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ENT ACTIVITY DASHBOARD" sheetId="1" r:id="rId4"/>
    <sheet state="visible" name="MasterData" sheetId="2" r:id="rId5"/>
    <sheet state="visible" name="S1 Student Journal Pub" sheetId="3" r:id="rId6"/>
    <sheet state="visible" name="S2 Student Conference Publicati" sheetId="4" r:id="rId7"/>
    <sheet state="visible" name="S3 Student Internships" sheetId="5" r:id="rId8"/>
    <sheet state="visible" name="S4 Student Certifications" sheetId="6" r:id="rId9"/>
    <sheet state="visible" name="S5 Student WorkshopsConf attend" sheetId="7" r:id="rId10"/>
    <sheet state="visible" name="S6 Student NPTEL" sheetId="8" r:id="rId11"/>
    <sheet state="visible" name="S7 Student Workshops Organized" sheetId="9" r:id="rId12"/>
    <sheet state="visible" name="S8 Student Events Organized" sheetId="10" r:id="rId13"/>
    <sheet state="visible" name="S9 Student Guest Lectures Organ" sheetId="11" r:id="rId14"/>
    <sheet state="visible" name="S10 Student Prof. Body" sheetId="12" r:id="rId15"/>
    <sheet state="visible" name="S11 Student Awards" sheetId="13" r:id="rId16"/>
    <sheet state="visible" name="S12 Student capabilities enhanc" sheetId="14" r:id="rId17"/>
    <sheet state="visible" name="S13 Students Higher Edu." sheetId="15" r:id="rId18"/>
    <sheet state="visible" name="S14 Students Competitive Exams" sheetId="16" r:id="rId19"/>
    <sheet state="visible" name="S15 Students Industry Visit" sheetId="17" r:id="rId20"/>
    <sheet state="visible" name="S16 Students Social Service Pro" sheetId="18" r:id="rId21"/>
    <sheet state="visible" name="S17 Students Leadership &amp; Volun" sheetId="19" r:id="rId22"/>
    <sheet state="visible" name="S18 Students Placements" sheetId="20" r:id="rId23"/>
  </sheets>
  <definedNames>
    <definedName hidden="1" localSheetId="5" name="Z_E89A854D_CA60_4EB3_8BF0_291130071F0F_.wvu.FilterData">'S4 Student Certifications'!$A$1:$Y$1142</definedName>
    <definedName hidden="1" localSheetId="1" name="Z_5A3FE551_BE9F_4F73_9636_37149EBA48E4_.wvu.FilterData">MasterData!$A$1:$HA$1887</definedName>
    <definedName hidden="1" localSheetId="4" name="Z_5A3FE551_BE9F_4F73_9636_37149EBA48E4_.wvu.FilterData">'S3 Student Internships'!$A$1:$X$187</definedName>
    <definedName hidden="1" localSheetId="5" name="Z_5A3FE551_BE9F_4F73_9636_37149EBA48E4_.wvu.FilterData">'S4 Student Certifications'!$A$1:$Y$976</definedName>
    <definedName hidden="1" localSheetId="7" name="Z_5A3FE551_BE9F_4F73_9636_37149EBA48E4_.wvu.FilterData">'S6 Student NPTEL'!$A$1:$X$113</definedName>
    <definedName hidden="1" localSheetId="12" name="Z_5A3FE551_BE9F_4F73_9636_37149EBA48E4_.wvu.FilterData">'S11 Student Awards'!$A$1:$Y$79</definedName>
  </definedNames>
  <calcPr/>
  <customWorkbookViews>
    <customWorkbookView activeSheetId="0" maximized="1" windowHeight="0" windowWidth="0" guid="{E89A854D-CA60-4EB3-8BF0-291130071F0F}" name="Filter 2"/>
    <customWorkbookView activeSheetId="0" maximized="1" windowHeight="0" windowWidth="0" guid="{5A3FE551-BE9F-4F73-9636-37149EBA48E4}" name="Filter 1"/>
  </customWorkbookViews>
</workbook>
</file>

<file path=xl/sharedStrings.xml><?xml version="1.0" encoding="utf-8"?>
<sst xmlns="http://schemas.openxmlformats.org/spreadsheetml/2006/main" count="20908" uniqueCount="5284">
  <si>
    <t>STUDENT ACTIVITY DASHBOARD</t>
  </si>
  <si>
    <t>Type of Activity</t>
  </si>
  <si>
    <t>2014-2018</t>
  </si>
  <si>
    <t>2015-2019</t>
  </si>
  <si>
    <t>2016-2020</t>
  </si>
  <si>
    <t>2017-2021</t>
  </si>
  <si>
    <t>2018-2022</t>
  </si>
  <si>
    <t>2019-2023</t>
  </si>
  <si>
    <t>2020-2024</t>
  </si>
  <si>
    <t>2021-2025</t>
  </si>
  <si>
    <t>S1: Student Journal Pub.</t>
  </si>
  <si>
    <t>S2: Student Conference Publication</t>
  </si>
  <si>
    <t>S3: Student Internships</t>
  </si>
  <si>
    <t>S4: Student Certifications</t>
  </si>
  <si>
    <t>S5: Student Workshops/Conf attended</t>
  </si>
  <si>
    <t>S6: Student NPTEL</t>
  </si>
  <si>
    <t>S7: Student Workshops Organized</t>
  </si>
  <si>
    <t>S8: Student Events Organized</t>
  </si>
  <si>
    <t>S9: Student Guest Lecutres Organized</t>
  </si>
  <si>
    <t>S10: Student Prof. Body</t>
  </si>
  <si>
    <t>S11: Student Awards</t>
  </si>
  <si>
    <t>S12: Student capabilities enhancement</t>
  </si>
  <si>
    <t>S13: Students Higher Edu.</t>
  </si>
  <si>
    <t>S14: Students Competitive Exams</t>
  </si>
  <si>
    <t>S15: Students Industry Visit</t>
  </si>
  <si>
    <t>S16: Students Social Service Programs</t>
  </si>
  <si>
    <t>S17: Students Leadership &amp; Volunteering Activities</t>
  </si>
  <si>
    <t>S18: Students Placements</t>
  </si>
  <si>
    <t>Timestamp</t>
  </si>
  <si>
    <t>ACADEMIC YEAR</t>
  </si>
  <si>
    <t>Name of the student</t>
  </si>
  <si>
    <t>Roll Number</t>
  </si>
  <si>
    <t>Paper Title</t>
  </si>
  <si>
    <t>Journal Name</t>
  </si>
  <si>
    <t>Major Indexing Information</t>
  </si>
  <si>
    <t>Impact Factor</t>
  </si>
  <si>
    <t>If Yes what is the impact factor?</t>
  </si>
  <si>
    <t>What is the source of impact factor: (Example for SCI/SCIE, the source is Clarivate Analytics. For Scopus, the source is SJR)</t>
  </si>
  <si>
    <t>Date of publication</t>
  </si>
  <si>
    <t>DOI</t>
  </si>
  <si>
    <t>Page numbers</t>
  </si>
  <si>
    <t>ISSN</t>
  </si>
  <si>
    <t>Author position</t>
  </si>
  <si>
    <t>Is the college name appear in the paper?</t>
  </si>
  <si>
    <t>Attach the paper</t>
  </si>
  <si>
    <t>Conference Name</t>
  </si>
  <si>
    <t>Location</t>
  </si>
  <si>
    <t>Publisher</t>
  </si>
  <si>
    <t>Date of conference</t>
  </si>
  <si>
    <t>Is it Scopus?</t>
  </si>
  <si>
    <t>How many authors?</t>
  </si>
  <si>
    <t>Name, designation, and address of Co-Authors</t>
  </si>
  <si>
    <t>Any financial support received from a college or not?</t>
  </si>
  <si>
    <t>If Yes, Amount Claimed</t>
  </si>
  <si>
    <t>Amount received</t>
  </si>
  <si>
    <t>Attach a copy of application and sanction</t>
  </si>
  <si>
    <t>Is the college affiliation mentioned in the paper?</t>
  </si>
  <si>
    <t>Attach Paper</t>
  </si>
  <si>
    <t>Name of the Company</t>
  </si>
  <si>
    <t>Duration of internship</t>
  </si>
  <si>
    <t>Start date</t>
  </si>
  <si>
    <t>End date</t>
  </si>
  <si>
    <t>Stipend paid by the company to the student?</t>
  </si>
  <si>
    <t>Is the company charging any amount from the student?</t>
  </si>
  <si>
    <t>If Yes, how much?</t>
  </si>
  <si>
    <t>Attach Proofs: Application form, Selection email or letter, Letter of completion</t>
  </si>
  <si>
    <t>Name of the program: Certification course on</t>
  </si>
  <si>
    <t>Platform or Organization from whom the certificate is issued</t>
  </si>
  <si>
    <t>Duration</t>
  </si>
  <si>
    <t>date of exam</t>
  </si>
  <si>
    <t xml:space="preserve">score </t>
  </si>
  <si>
    <t>faculty in-charge</t>
  </si>
  <si>
    <t>Proof: Email or letter of registration, and Certificate of completion</t>
  </si>
  <si>
    <t>Academic Year</t>
  </si>
  <si>
    <t>Type</t>
  </si>
  <si>
    <t>Title of the Seminar/Conference/Webinar/Workshop</t>
  </si>
  <si>
    <t>How many days?</t>
  </si>
  <si>
    <t>Hosted By</t>
  </si>
  <si>
    <t>Name of the resource person or persons</t>
  </si>
  <si>
    <t>Level</t>
  </si>
  <si>
    <t>Event Participation</t>
  </si>
  <si>
    <t>If paid: Amount sanctioned by the college/paid by student</t>
  </si>
  <si>
    <t>Attach proof</t>
  </si>
  <si>
    <t>Name of the Course</t>
  </si>
  <si>
    <t xml:space="preserve">Offered by </t>
  </si>
  <si>
    <t>duration</t>
  </si>
  <si>
    <t>score</t>
  </si>
  <si>
    <t>Attach Proof: Registration email, Certificate or Scorecard</t>
  </si>
  <si>
    <t>Name of the Workshop or Training Program</t>
  </si>
  <si>
    <t>Number of students participated</t>
  </si>
  <si>
    <t>Resource Person</t>
  </si>
  <si>
    <t>Faculty In-charge</t>
  </si>
  <si>
    <t>Budget proposed</t>
  </si>
  <si>
    <t>Budget sanctioned</t>
  </si>
  <si>
    <t>Budget utilized</t>
  </si>
  <si>
    <t>Proofs</t>
  </si>
  <si>
    <t>Name of the Event</t>
  </si>
  <si>
    <t>Resource Person/Chief Guest</t>
  </si>
  <si>
    <t xml:space="preserve">Achievement </t>
  </si>
  <si>
    <t>Date of achievement</t>
  </si>
  <si>
    <t>Issuing Authority (Institute name)</t>
  </si>
  <si>
    <t>Names of co-authors, as it appears in the Journal</t>
  </si>
  <si>
    <t>Type of the Program</t>
  </si>
  <si>
    <t>Faculty in-charge</t>
  </si>
  <si>
    <t>Description of the program</t>
  </si>
  <si>
    <t>start date</t>
  </si>
  <si>
    <t>end date</t>
  </si>
  <si>
    <t>Any budget expenditure involved?</t>
  </si>
  <si>
    <t>If Yes, the amount sanctioned</t>
  </si>
  <si>
    <t>amount spent</t>
  </si>
  <si>
    <t>Attach proofs for event and budget</t>
  </si>
  <si>
    <t>Name of the program (M.Tech/MS/MBA)</t>
  </si>
  <si>
    <t>Institution name and location</t>
  </si>
  <si>
    <t>Date of joining</t>
  </si>
  <si>
    <t xml:space="preserve">Attach proof of admission: Admission Confirmation Letter from the University </t>
  </si>
  <si>
    <t>Exam Name</t>
  </si>
  <si>
    <t>Date of qualifying</t>
  </si>
  <si>
    <t>Attach proof: An email from the student or scanned copy of the scorecard</t>
  </si>
  <si>
    <t>Email Address</t>
  </si>
  <si>
    <t>SEMESTER</t>
  </si>
  <si>
    <t>Date of visit</t>
  </si>
  <si>
    <t>Purpose of visit</t>
  </si>
  <si>
    <t>Attach Proof (Photo or Any Certificate Issued)</t>
  </si>
  <si>
    <t>Program Description</t>
  </si>
  <si>
    <t>Date</t>
  </si>
  <si>
    <t>Place</t>
  </si>
  <si>
    <t>Proof(Photos/Certificate Issued)</t>
  </si>
  <si>
    <t>Leadership Role</t>
  </si>
  <si>
    <t>Start Date</t>
  </si>
  <si>
    <t>Proof if any</t>
  </si>
  <si>
    <t>End Date</t>
  </si>
  <si>
    <t>Company Name</t>
  </si>
  <si>
    <t>Appointment Date</t>
  </si>
  <si>
    <t>Proof (Appointment Order)</t>
  </si>
  <si>
    <t>Salary Package Per Annum</t>
  </si>
  <si>
    <t>FROM</t>
  </si>
  <si>
    <t>TO</t>
  </si>
  <si>
    <t>SEMESTERS</t>
  </si>
  <si>
    <t>AI and Applications</t>
  </si>
  <si>
    <t>2hrs</t>
  </si>
  <si>
    <t>Dr KV Kadambari</t>
  </si>
  <si>
    <t>Dr P Satheesh</t>
  </si>
  <si>
    <t>https://drive.google.com/open?id=1FDgWJRLG-0YmUX-Ho8W9BzIF5VOe8920</t>
  </si>
  <si>
    <t>satish@mvgrce.edu.in</t>
  </si>
  <si>
    <t>Business Model innovation using digital platforms</t>
  </si>
  <si>
    <t>Mr P Ramesh, Microsoft</t>
  </si>
  <si>
    <t>Dr P Satheesh and Dr P Ravi Kiran Varma</t>
  </si>
  <si>
    <t>https://drive.google.com/open?id=16hFTXxdc9QEZmhVAzu2w4tuF05DhDNfC</t>
  </si>
  <si>
    <t>Kundrapu Jayanth Naidu</t>
  </si>
  <si>
    <t>18331A0582</t>
  </si>
  <si>
    <t>2018-2019</t>
  </si>
  <si>
    <t>Conference</t>
  </si>
  <si>
    <t>International Conference on Cognitive Science and Artificial Intelligence</t>
  </si>
  <si>
    <t>Institute of Bioinformatics and computational Biology</t>
  </si>
  <si>
    <t xml:space="preserve">Dr P.SATHEESH </t>
  </si>
  <si>
    <t>International</t>
  </si>
  <si>
    <t>Free</t>
  </si>
  <si>
    <t>https://drive.google.com/open?id=1GzSlloib5_ZjM3U8BaXAS0iZVY4Qvefl</t>
  </si>
  <si>
    <t>18331a0582@mvgrce.edu.in</t>
  </si>
  <si>
    <t>2019-2020</t>
  </si>
  <si>
    <t>State level 2nd Position in Python Programming</t>
  </si>
  <si>
    <t>SAE INDIA</t>
  </si>
  <si>
    <t>https://drive.google.com/open?id=1gn3ikCIhs-dev83eRRxjViW8zJF-T-k7</t>
  </si>
  <si>
    <t>Guest Lecture on "Futuristic IoT Solutions"</t>
  </si>
  <si>
    <t>1 Hour</t>
  </si>
  <si>
    <t>Dr. Ajay Pratap, IIT BHU, Varanasi</t>
  </si>
  <si>
    <t>Dr. Ravi Kiran Varma P</t>
  </si>
  <si>
    <t>https://drive.google.com/open?id=1ifa6yjOXG4TtdUNUSfZBrITLDK4L2_f0</t>
  </si>
  <si>
    <t>ravikiranvarmap@mvgrce.edu.in</t>
  </si>
  <si>
    <t>BHUPATHIRAJU S S SOWJANYA LAKSHMI</t>
  </si>
  <si>
    <t>19331D8401</t>
  </si>
  <si>
    <t>2020-2021</t>
  </si>
  <si>
    <t>Webinar</t>
  </si>
  <si>
    <t>IPR Strategy for startups and MSMEs</t>
  </si>
  <si>
    <t>MSME- Development Institute, Visakhapatnam &amp; MVGR College Of Engineering</t>
  </si>
  <si>
    <t>1.	Dr. Dayanada Murthy 
2.	Dr. B.K Sahu
3.	Shri. Ravi Gadde
4.	G.V.R. Naidu
5.	Shri. Satish Kumar
6.	Dr.R.Ramesh</t>
  </si>
  <si>
    <t>National</t>
  </si>
  <si>
    <t>https://drive.google.com/open?id=1nOXIgsmw_1iZ20dMcolXCnFpxNh3geu6</t>
  </si>
  <si>
    <t>placementcse@mvgrce.edu.in</t>
  </si>
  <si>
    <t>CHENDA ARUN HYDE</t>
  </si>
  <si>
    <t>19331D8402</t>
  </si>
  <si>
    <t xml:space="preserve"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t>
  </si>
  <si>
    <t>https://drive.google.com/open?id=1afo59aMa85woopBPrtJmp_56u-PY7HTs</t>
  </si>
  <si>
    <t>LOLLA KIRAN KUMAR</t>
  </si>
  <si>
    <t>19331D8403</t>
  </si>
  <si>
    <t xml:space="preserve">IPR Strategy for startups and MSMEs </t>
  </si>
  <si>
    <t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</t>
  </si>
  <si>
    <t>https://drive.google.com/open?id=1QmIkUIxHvdzBAcki1wIXRP47a-PU77Kk</t>
  </si>
  <si>
    <t xml:space="preserve">TADELA PRADEEP </t>
  </si>
  <si>
    <t>19331D8404</t>
  </si>
  <si>
    <t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t>
  </si>
  <si>
    <t>https://drive.google.com/open?id=1Pe0T8pWf12QdeQ2l38yTmPICsIyeZbQy</t>
  </si>
  <si>
    <t>UPPALAPATI BHARATHI</t>
  </si>
  <si>
    <t>19331D8405</t>
  </si>
  <si>
    <t>https://drive.google.com/open?id=1W3oS3s45iTQmlMEJQi1z29zqvH6WU2Oe</t>
  </si>
  <si>
    <t>International Womens Day</t>
  </si>
  <si>
    <t>1 day</t>
  </si>
  <si>
    <t>Dr.Nandini</t>
  </si>
  <si>
    <t>P.Parimala</t>
  </si>
  <si>
    <t>https://drive.google.com/open?id=1-v8R8caNSpd9aQqqGDaTIf13ETG7x4f_</t>
  </si>
  <si>
    <t>parimala.palli@mvgrce.edu.in</t>
  </si>
  <si>
    <t xml:space="preserve">Intellectual Property Rights (IPRs)-Trademarks and Copyrights </t>
  </si>
  <si>
    <t xml:space="preserve"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t>
  </si>
  <si>
    <t>https://drive.google.com/open?id=1RgZ80kmSdlvQtzc3UJScqGgKGkzKnbfI</t>
  </si>
  <si>
    <t>narendrakumar@mvgrce.edu.in</t>
  </si>
  <si>
    <t>https://drive.google.com/open?id=1dK_D_RDE24bPlmDiUo1YrkdeeNUXFGV-</t>
  </si>
  <si>
    <t xml:space="preserve">19331D8403	</t>
  </si>
  <si>
    <t>https://drive.google.com/open?id=1TYqCMYsPfhi8HRht_jC-sxycUMe9HGFz</t>
  </si>
  <si>
    <t xml:space="preserve">19331D8404	</t>
  </si>
  <si>
    <t>Intellectual Property Rights (IPRs)-Trademarks and Copyrights</t>
  </si>
  <si>
    <t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t>
  </si>
  <si>
    <t>https://drive.google.com/open?id=1uuWNhUbL1MBPVA0Q1VgPjVpSFZOEDzao</t>
  </si>
  <si>
    <t xml:space="preserve">19331D8405	</t>
  </si>
  <si>
    <t>https://drive.google.com/open?id=1uAFAwt3dYk4mRC_UPUBn5AW5Zxo56IkM</t>
  </si>
  <si>
    <t xml:space="preserve">Sprint 2021 </t>
  </si>
  <si>
    <t>24 hours</t>
  </si>
  <si>
    <t xml:space="preserve">Sripath roy(Gen. Secretary, Swecha AP) </t>
  </si>
  <si>
    <t>M. Vamsi Krishna</t>
  </si>
  <si>
    <t>https://drive.google.com/open?id=1LoHF43KbwnVo_okD5d4L7957XnqQvQmj</t>
  </si>
  <si>
    <t>mvamsi@mvgrce.edu.in</t>
  </si>
  <si>
    <t xml:space="preserve">Cisco Women Rock-IT </t>
  </si>
  <si>
    <t>Corien Vermaak, Swati Handa</t>
  </si>
  <si>
    <t>Mrs B.Sujata</t>
  </si>
  <si>
    <t>https://drive.google.com/open?id=1qg0PxyqcGhx6JTmOlDsBiPQ91aW-JAjo</t>
  </si>
  <si>
    <t>bsujata@mvgrce.edu.in</t>
  </si>
  <si>
    <t>Registration and Orientation Program on Hacker Rank &amp; Hacker Earth Coding Platforms</t>
  </si>
  <si>
    <t>Mr. K. Suraj Varma</t>
  </si>
  <si>
    <t>Mr. K. Leela Prasad</t>
  </si>
  <si>
    <t>https://drive.google.com/open?id=14_kjEFWXuvWr-8EVjs6NZleSOjYppHsb</t>
  </si>
  <si>
    <t xml:space="preserve">Meghana Pusapati </t>
  </si>
  <si>
    <t>16331A05D4</t>
  </si>
  <si>
    <t>MS in Computer and Information Sciences</t>
  </si>
  <si>
    <t>Syracuse University,  New York</t>
  </si>
  <si>
    <t>https://drive.google.com/open?id=1PjR39K2HwkwQPNZ5t-nniB3dOKXMOnAs</t>
  </si>
  <si>
    <t>pusapatimeghana@gmail.com</t>
  </si>
  <si>
    <t>Prudhvi teja bandaru</t>
  </si>
  <si>
    <t>17331A0509</t>
  </si>
  <si>
    <t>MBA</t>
  </si>
  <si>
    <t>Amity University Lucknow</t>
  </si>
  <si>
    <t>https://drive.google.com/open?id=1c_dom1yBEfrg7AcSOQr54fVgwxMKaGJK</t>
  </si>
  <si>
    <t>prudhvibandaru1990@gmail.com</t>
  </si>
  <si>
    <t>VVNS Sai Kiriti</t>
  </si>
  <si>
    <t>17331A05G7</t>
  </si>
  <si>
    <t>MS</t>
  </si>
  <si>
    <t>Vanderbilt University, Nashville, TN, USA</t>
  </si>
  <si>
    <t>https://drive.google.com/open?id=1lmrb71Nm-41_5xPCanOYRZqI2qrZVI5Q</t>
  </si>
  <si>
    <t>skischaos@gmail.com</t>
  </si>
  <si>
    <t>Shaik abdul khayyam sahib</t>
  </si>
  <si>
    <t>14331A05E9</t>
  </si>
  <si>
    <t xml:space="preserve">Northwest Missouri State University/ Maryville, Missouri </t>
  </si>
  <si>
    <t>https://drive.google.com/open?id=1QIXtVuPtDJ-tn8Cng1QKSSt3CNyRaikQ</t>
  </si>
  <si>
    <t>abdulkhayyum38@gmail.com</t>
  </si>
  <si>
    <t>LATCHUBUKTHA SUTESH</t>
  </si>
  <si>
    <t>18331A0588</t>
  </si>
  <si>
    <t>Capgemini</t>
  </si>
  <si>
    <t>82 days</t>
  </si>
  <si>
    <t>Yes</t>
  </si>
  <si>
    <t>No</t>
  </si>
  <si>
    <t>https://drive.google.com/open?id=18tBNcfZaqHL51fcmdpFuOp4AHku-Sq8d</t>
  </si>
  <si>
    <t>latchubukthasutesh9@gmail.com</t>
  </si>
  <si>
    <t>SEM-8</t>
  </si>
  <si>
    <t>Pooja Madhurima Salapu</t>
  </si>
  <si>
    <t>18331A05D5</t>
  </si>
  <si>
    <t>Nineleaps</t>
  </si>
  <si>
    <t>6 months</t>
  </si>
  <si>
    <t>https://drive.google.com/open?id=1KMcNy8oz1aK5J5G9aU2Se0gUADC6l5Ra</t>
  </si>
  <si>
    <t>poojasalapu@gmail.com</t>
  </si>
  <si>
    <t xml:space="preserve">Kondeti Chandrika </t>
  </si>
  <si>
    <t>18331A0580</t>
  </si>
  <si>
    <t>TCS</t>
  </si>
  <si>
    <t>https://drive.google.com/open?id=1QPnvEQXm9CbOANLie0JsDZIWVPyOyVKW</t>
  </si>
  <si>
    <t>chandrika9229@gmail.com</t>
  </si>
  <si>
    <t>11 students</t>
  </si>
  <si>
    <t xml:space="preserve"> Swecha AP 3rd State Conference</t>
  </si>
  <si>
    <t xml:space="preserve"> Swecha</t>
  </si>
  <si>
    <t>Sripath Roy
General Secretary
Swecha AP</t>
  </si>
  <si>
    <t>State</t>
  </si>
  <si>
    <t>https://drive.google.com/open?id=18nREiU1AqlhbNSEtT3q_qfWZ3kD-lLE5</t>
  </si>
  <si>
    <t>SEM-7</t>
  </si>
  <si>
    <t xml:space="preserve">Savitribai Phule Day </t>
  </si>
  <si>
    <t>Faculty In-charge &amp; Students</t>
  </si>
  <si>
    <t>M.Vamsi Krishna</t>
  </si>
  <si>
    <t>https://drive.google.com/open?id=1pFZMSg0U5JTeBIAvD-st02kTb3uFM-8Z</t>
  </si>
  <si>
    <t>SEM-6</t>
  </si>
  <si>
    <t>Republic Day</t>
  </si>
  <si>
    <t>Students &amp; Faculty</t>
  </si>
  <si>
    <t>https://drive.google.com/open?id=1A27DXNoiss-Gco3r7lf4BKFY1X0B1UjN</t>
  </si>
  <si>
    <t>WOMEN'S DAY</t>
  </si>
  <si>
    <t xml:space="preserve">MVGR Alumni </t>
  </si>
  <si>
    <t>M.B.Rani</t>
  </si>
  <si>
    <t>https://drive.google.com/open?id=1JdfIuSWEbOy-mVPSaH9DMtIU1XBJuDkC</t>
  </si>
  <si>
    <t>mbrani@mvgrce.edu.in</t>
  </si>
  <si>
    <t xml:space="preserve">Aaron Day </t>
  </si>
  <si>
    <t>Mr. M.Vamsi Krishna</t>
  </si>
  <si>
    <t>https://drive.google.com/open?id=1Kwci2O8yMxhrJdcfh3GEfc9JIKNlizun</t>
  </si>
  <si>
    <t>BOOT CAMP</t>
  </si>
  <si>
    <t>2 DAYS</t>
  </si>
  <si>
    <t>Mr. K. Sai Kumar(TCS), Mr. K. Hemanth(Amazon), Ms. P. L. Prasanna(Amazon), Mr. Rama Reddy(Amazon), Mr. K. Rupeshwar and Mr. K. Suraj</t>
  </si>
  <si>
    <t>https://drive.google.com/open?id=1BEZt90cEEdzOA0qkKyqNAyG_fheG72hZ</t>
  </si>
  <si>
    <t>Boddapati Rajesh</t>
  </si>
  <si>
    <t>18331A0515</t>
  </si>
  <si>
    <t>GATE</t>
  </si>
  <si>
    <t>https://drive.google.com/open?id=1RxQJURGeMsrUZuJpXuO9L3e9voYAgdDo</t>
  </si>
  <si>
    <t>rajeshboddapati37@gmail.com</t>
  </si>
  <si>
    <t>Red hat</t>
  </si>
  <si>
    <t>Indefinite</t>
  </si>
  <si>
    <t>https://drive.google.com/open?id=1mgQJ7PVKKoZmV-qGrfd_y3l9_VsLB2Xd</t>
  </si>
  <si>
    <t>BUKA PRUDHVI RAJ</t>
  </si>
  <si>
    <t>19335A0503</t>
  </si>
  <si>
    <t>AICTE</t>
  </si>
  <si>
    <t>2 months</t>
  </si>
  <si>
    <t>https://drive.google.com/open?id=1MvkXMoGjwziiWPG0OmXyCZDmkQEV6b6_</t>
  </si>
  <si>
    <t>prudhviraj.buka99@gmail.com</t>
  </si>
  <si>
    <t>2021-2022</t>
  </si>
  <si>
    <t>How to get placement in Multinational Companies</t>
  </si>
  <si>
    <t>IIT madras</t>
  </si>
  <si>
    <t>IIT madras training department</t>
  </si>
  <si>
    <t>https://drive.google.com/open?id=1a0rY2N1aRx84OJCd0TO_zTJMfUd5I30t</t>
  </si>
  <si>
    <t>Joshini Sabbavarapu</t>
  </si>
  <si>
    <t>19335A0515</t>
  </si>
  <si>
    <t>2 Months</t>
  </si>
  <si>
    <t>https://drive.google.com/open?id=1VnotBEkB8oNas5leG5dtem61RtWiI3Ml</t>
  </si>
  <si>
    <t>joshini747@gmail.com</t>
  </si>
  <si>
    <t>SEM-4</t>
  </si>
  <si>
    <t>Career in Emerging Technologies – Big Data, Cloud Computing, AI/ML</t>
  </si>
  <si>
    <t>TCS Moderator</t>
  </si>
  <si>
    <t>Debashish khan</t>
  </si>
  <si>
    <t>https://drive.google.com/open?id=1t2RW8Ou2_Z21Ub-FmXX3n8O8MdXYovhZ</t>
  </si>
  <si>
    <t>C Tutorial Course</t>
  </si>
  <si>
    <t xml:space="preserve">Solo learn </t>
  </si>
  <si>
    <t>Self learning</t>
  </si>
  <si>
    <t>https://drive.google.com/open?id=14eo9gXW8eOYIUYK44iYmyknAgotMtBCt</t>
  </si>
  <si>
    <t>AWS Academy Graduate</t>
  </si>
  <si>
    <t>Canvas</t>
  </si>
  <si>
    <t>P. Ravi Kiran Varma</t>
  </si>
  <si>
    <t>https://drive.google.com/open?id=17F5rPbYSDTPITykm_JNA5_0jp_oZ9XnU</t>
  </si>
  <si>
    <t>Introduction To Networks</t>
  </si>
  <si>
    <t>CISCO</t>
  </si>
  <si>
    <t xml:space="preserve"> 2 months</t>
  </si>
  <si>
    <t>Subba Raju K V</t>
  </si>
  <si>
    <t>https://drive.google.com/open?id=1gwdqE6sXsNJcPK7gyGzJeWLjYnJvNtJD</t>
  </si>
  <si>
    <t>SEM-5</t>
  </si>
  <si>
    <t>BUKA  PRUDHVI RAJ</t>
  </si>
  <si>
    <t>https://drive.google.com/open?id=1e27Wps8S69r38ou72yivHyRDm3jqGar8</t>
  </si>
  <si>
    <t>Programming for Everybody</t>
  </si>
  <si>
    <t>Coursera</t>
  </si>
  <si>
    <t>https://drive.google.com/open?id=1B4eqhT6xtlTOUszrwY6nfoBTshlHSD4l</t>
  </si>
  <si>
    <t>Programming Essentials in Python</t>
  </si>
  <si>
    <t>2months</t>
  </si>
  <si>
    <t>Subba Raju K  V</t>
  </si>
  <si>
    <t>https://drive.google.com/open?id=10uhrouQE2aJzqQfW3d72BRVy0pAyt6B0</t>
  </si>
  <si>
    <t>Cybersecurity Essentials</t>
  </si>
  <si>
    <t>https://drive.google.com/open?id=1Mac7rF7rgHOPwkrJYolg2b5WVbaFmM4I</t>
  </si>
  <si>
    <t>https://drive.google.com/open?id=1sfxhRoYOsW8VWhJuHLcbG3HvHaFmXux_</t>
  </si>
  <si>
    <t>Introduction to IoT</t>
  </si>
  <si>
    <t>https://drive.google.com/open?id=1KqskbhHVrDUN2HojQEHtK5JZwT3Tmxoz</t>
  </si>
  <si>
    <t>Introduction to Packet Tracer</t>
  </si>
  <si>
    <t>https://drive.google.com/open?id=1cIMtORVa3wnEsp897bTMvo0w3xH7ckoV</t>
  </si>
  <si>
    <t>https://drive.google.com/open?id=1u3KBvWfE8m3AhT0STmxwE86UySa-Bsr1</t>
  </si>
  <si>
    <t>https://drive.google.com/open?id=1kdGC3HxK8cyPhg5MkQpXA8YVXgwBKdYF</t>
  </si>
  <si>
    <t>https://drive.google.com/open?id=1TQNt9O5qvayRmvqgmj3pkfr5flOfdDtl</t>
  </si>
  <si>
    <t>securing 1st postion in the competition named PLACEAZA QUIZZ</t>
  </si>
  <si>
    <t>GMR Institute of Technology</t>
  </si>
  <si>
    <t>https://drive.google.com/open?id=1mtbP1QQNgrt8Quklkt73D96IAgRWsd43</t>
  </si>
  <si>
    <t>Programming for Python</t>
  </si>
  <si>
    <t>.</t>
  </si>
  <si>
    <t>https://drive.google.com/open?id=1oq2V-UqMhKBxHOEtz1AKdg2zDHkd5tBq</t>
  </si>
  <si>
    <t>what is data science</t>
  </si>
  <si>
    <t>https://drive.google.com/open?id=13TAkbd6WvVwYJiXluYi4yvFFwTDCz6uT</t>
  </si>
  <si>
    <t>What is Data Science</t>
  </si>
  <si>
    <t>2  months</t>
  </si>
  <si>
    <t>https://drive.google.com/open?id=1ig_8iP1h4iycn08YAtmzeVSpDUbm7gtY</t>
  </si>
  <si>
    <t>Couursera</t>
  </si>
  <si>
    <t>https://drive.google.com/open?id=1FEcFbJNoMZeOSZ2XRUcnIxmPYpN1mJKR</t>
  </si>
  <si>
    <t xml:space="preserve">Datla Vasanth Gopal Raju </t>
  </si>
  <si>
    <t>18331A05H5</t>
  </si>
  <si>
    <t>CLA: Programming essentials with c</t>
  </si>
  <si>
    <t>Cisco</t>
  </si>
  <si>
    <t>4 months</t>
  </si>
  <si>
    <t>Dr.P.Ravi Kiran varma</t>
  </si>
  <si>
    <t>https://drive.google.com/open?id=1Jb6MGZ2hFrOwp_ZbSYhLyHoB_QRaMyRJ</t>
  </si>
  <si>
    <t>vasanthdatla@gmail.com</t>
  </si>
  <si>
    <t>SEM-2</t>
  </si>
  <si>
    <t>SANAPALA SAI NEERAJ</t>
  </si>
  <si>
    <t>18331A05D6</t>
  </si>
  <si>
    <t>NCC  - "B" CERTIFICATE</t>
  </si>
  <si>
    <t>MINISTRY OF DEFENCE(INDIA)</t>
  </si>
  <si>
    <t>https://drive.google.com/open?id=1ePQdQjmHPiagxHQtHPNkmgkhs0CpKRVk</t>
  </si>
  <si>
    <t>sanapala.saineeraj4000@gmail.com</t>
  </si>
  <si>
    <t>yashwanth boggarapu</t>
  </si>
  <si>
    <t>18331A0517</t>
  </si>
  <si>
    <t>10 Weeks</t>
  </si>
  <si>
    <t>https://drive.google.com/open?id=12y2JfnPITi1EgRwDeBbP2weo5du5Dfw_</t>
  </si>
  <si>
    <t>yashwanthboggarapu2000@gmail.com</t>
  </si>
  <si>
    <t>P.Ravi Kiran Varma</t>
  </si>
  <si>
    <t>https://drive.google.com/open?id=1o97LtgjQqJ36vf4k-pOxjw_spMpmlq0J</t>
  </si>
  <si>
    <t>Programming For Everybody</t>
  </si>
  <si>
    <t>Self Learning</t>
  </si>
  <si>
    <t>https://drive.google.com/open?id=1TygJTBULgKD7q8GeQR5toar9zOHjDVEh</t>
  </si>
  <si>
    <t>Programming Essentials In Python</t>
  </si>
  <si>
    <t>https://drive.google.com/open?id=1nfPh1Cv_7Q_0fIvYBaESrOMN0havByVR</t>
  </si>
  <si>
    <t>https://drive.google.com/open?id=1cXf0pIBBC1kOVLsyX-_DetYOgp09YzA_</t>
  </si>
  <si>
    <t>GANTA MOUNIKA</t>
  </si>
  <si>
    <t>18331A0543</t>
  </si>
  <si>
    <t>https://drive.google.com/open?id=19o5Qm4OqpYUbu8u3Ot2KY7B0CHQfQKNe</t>
  </si>
  <si>
    <t>mounikaganta2001@gmail.com</t>
  </si>
  <si>
    <t>G manojkumar</t>
  </si>
  <si>
    <t>18331A0542</t>
  </si>
  <si>
    <t>cyber security essentials</t>
  </si>
  <si>
    <t>cisco</t>
  </si>
  <si>
    <t>1month</t>
  </si>
  <si>
    <t>ravikiran varma</t>
  </si>
  <si>
    <t>https://drive.google.com/open?id=1XowCNI-6kjv_bJYJ1OROc-hXPvbArvwA</t>
  </si>
  <si>
    <t>gmanoj2k08@gmail.com</t>
  </si>
  <si>
    <t>SEM-1</t>
  </si>
  <si>
    <t>ganta manoj kumar</t>
  </si>
  <si>
    <t>amazon</t>
  </si>
  <si>
    <t>3months</t>
  </si>
  <si>
    <t>https://drive.google.com/open?id=18-E87WQWNLxgSe6O5CdCHwihnb5pegwi</t>
  </si>
  <si>
    <t>participation in hackathon</t>
  </si>
  <si>
    <t>virtusa</t>
  </si>
  <si>
    <t>https://drive.google.com/open?id=1G4WFlSvqJ_jZjUheUgUalNNZL1kQmzhN</t>
  </si>
  <si>
    <t>AWS Academy Graduate - AWS Academy Cloud Foundations</t>
  </si>
  <si>
    <t>aws academy</t>
  </si>
  <si>
    <t xml:space="preserve">aws academy </t>
  </si>
  <si>
    <t>https://drive.google.com/open?id=1ScZ7IOZPdhhfDJUXPF-CMEI1xDbJyAAv</t>
  </si>
  <si>
    <t>workshop on Dart Programming</t>
  </si>
  <si>
    <t>Brainovision Solutions</t>
  </si>
  <si>
    <t xml:space="preserve"> V.Nagesh</t>
  </si>
  <si>
    <t>https://drive.google.com/open?id=1302qP7fBAPWTJKjCTBqpo-demIxhqNXY</t>
  </si>
  <si>
    <t>Venkata Jaswanth Potnuru</t>
  </si>
  <si>
    <t>19335A0513</t>
  </si>
  <si>
    <t>DATA ANALYST: The Booming  Technology In IT</t>
  </si>
  <si>
    <t>National Skill Development Corporation</t>
  </si>
  <si>
    <t>EXCELR SOLUTIONS</t>
  </si>
  <si>
    <t>https://drive.google.com/open?id=1DJ2JnCvQr30lA7e1yMtsehGcovvjzUil</t>
  </si>
  <si>
    <t>venkatajaswanth10@gmail.com</t>
  </si>
  <si>
    <t>IP Awareness/Training program</t>
  </si>
  <si>
    <t>Intellectual Property Office</t>
  </si>
  <si>
    <t>M vamsiKrishna</t>
  </si>
  <si>
    <t>https://drive.google.com/open?id=1bymUP6eHfxlufPNEm_LBn01j8OdUH3ZD</t>
  </si>
  <si>
    <t>Jayanth Naidu Kundrapu</t>
  </si>
  <si>
    <t>AWS Cloud Virtual Internship</t>
  </si>
  <si>
    <t>EduSkills</t>
  </si>
  <si>
    <t>3 Months</t>
  </si>
  <si>
    <t>Dr. Ravi Kiran Varma Penmatsa</t>
  </si>
  <si>
    <t>https://drive.google.com/open?id=1Eri7YtVm9NkUJ8-580CvasGTHTCxPe_F</t>
  </si>
  <si>
    <t>jayanth.kundrapu013@gmail.com</t>
  </si>
  <si>
    <t>Lalita Manoj Kumar Banisetty</t>
  </si>
  <si>
    <t>18331A0586</t>
  </si>
  <si>
    <t>3 months</t>
  </si>
  <si>
    <t>https://drive.google.com/open?id=1nCmT-2MVzYJ2cSjKXQ-RXQr60oPUlD_K</t>
  </si>
  <si>
    <t>mano.benesetti@gmail.com</t>
  </si>
  <si>
    <t>Bogapurapu Rahul</t>
  </si>
  <si>
    <t>18331A0516</t>
  </si>
  <si>
    <t>Soft Skills</t>
  </si>
  <si>
    <t>NPTEL</t>
  </si>
  <si>
    <t>12 Weeks</t>
  </si>
  <si>
    <t>https://drive.google.com/open?id=1piWHs3Y2Ya4_4oUq9AiKaWdJA4SIpaiH</t>
  </si>
  <si>
    <t>rrahul94772@gmail.com</t>
  </si>
  <si>
    <t>https://drive.google.com/open?id=1rz9AnQm86uagR_pAMig6v7gRhPmsjPD5</t>
  </si>
  <si>
    <t>5th international5th International Conference on Cognitive Science and Artificial Intelligence</t>
  </si>
  <si>
    <t>Institute of Bioinformatics and Computational Biology</t>
  </si>
  <si>
    <t>Dr. P Satheesh, Dr. Ch Divakar, Prof. Allam Appa Rao</t>
  </si>
  <si>
    <t>https://drive.google.com/open?id=1L1Qo1Mxhgikalx904HBgg4GAs8INbe9I</t>
  </si>
  <si>
    <t xml:space="preserve">2nd Position in TIER 2 Python Programming Competition </t>
  </si>
  <si>
    <t>https://drive.google.com/open?id=1ERO6TVwxYl1AFWaNaYPJyUygy_Alj8rw</t>
  </si>
  <si>
    <t>L.Kavya</t>
  </si>
  <si>
    <t>18331A0585</t>
  </si>
  <si>
    <t>Communication Skills</t>
  </si>
  <si>
    <t xml:space="preserve">AVS College of Arts and Science </t>
  </si>
  <si>
    <t>5 days</t>
  </si>
  <si>
    <t>-</t>
  </si>
  <si>
    <t>https://drive.google.com/open?id=1_fCZDqKNIBX0w3m-dkaM6PGiYSEGIZC1</t>
  </si>
  <si>
    <t>lakhanapuramkavya@gmail.com</t>
  </si>
  <si>
    <t>12 weeks</t>
  </si>
  <si>
    <t>https://drive.google.com/open?id=10hLmuCevcj4rym65LtXH_pBpFzZsdz2h</t>
  </si>
  <si>
    <t>B.Samiksha</t>
  </si>
  <si>
    <t>18331A0510</t>
  </si>
  <si>
    <t>https://drive.google.com/open?id=1lCQIP6NcvtwOI3Qp-ygztSrRYNle8Fno</t>
  </si>
  <si>
    <t>bsamiksha1469@gmail.com</t>
  </si>
  <si>
    <t xml:space="preserve">Ganta Manoj Kumar </t>
  </si>
  <si>
    <t>Matlab on ramp</t>
  </si>
  <si>
    <t>Mathworks</t>
  </si>
  <si>
    <t>5months</t>
  </si>
  <si>
    <t xml:space="preserve">Prasad rao </t>
  </si>
  <si>
    <t>https://drive.google.com/open?id=1jyPW79fPV6fSlK6LANHzYP9sopxjR-lO</t>
  </si>
  <si>
    <t>VUGGINA VEERA VENKATA SATYA VARAHA AYYAPPA</t>
  </si>
  <si>
    <t>19335A0518</t>
  </si>
  <si>
    <t>https://drive.google.com/open?id=1rWOtnSib5pNevDKPrBsgqUJemwthqMRE</t>
  </si>
  <si>
    <t>ayyappa.vuggina01@gmail.com</t>
  </si>
  <si>
    <t>8 Weeks</t>
  </si>
  <si>
    <t>K. Ravi Kiran Varma</t>
  </si>
  <si>
    <t>https://drive.google.com/open?id=1qLwO9j6QWJqkrVFTFe1r7bBOvBWyxMrR</t>
  </si>
  <si>
    <t xml:space="preserve">TIP Community </t>
  </si>
  <si>
    <t>1 month</t>
  </si>
  <si>
    <t>https://drive.google.com/open?id=1hifjuFihTXKbIiF-5nCra9V0PPc36URt</t>
  </si>
  <si>
    <t>Ravi Kiran Varma</t>
  </si>
  <si>
    <t>https://drive.google.com/open?id=1xi_3_KryNHfhuwsF0rmwH-Qd-mqYuTLU</t>
  </si>
  <si>
    <t>AWS Academy Cloud Foundations</t>
  </si>
  <si>
    <t>AWS</t>
  </si>
  <si>
    <t>https://drive.google.com/open?id=1y5dyz-4_Rx96Ob2UHhlEn0uTeO_arITJ</t>
  </si>
  <si>
    <t>Introduction to Cybersecurity</t>
  </si>
  <si>
    <t>3 MONTHS</t>
  </si>
  <si>
    <t>https://drive.google.com/open?id=1GoETtWDzIgW_oAaP0040Hr6PSwh-t3GB</t>
  </si>
  <si>
    <t>Amazon Web services (AWS) CLOUD</t>
  </si>
  <si>
    <t>AICET</t>
  </si>
  <si>
    <t>10 weeks</t>
  </si>
  <si>
    <t>https://drive.google.com/open?id=11rW9SYSxFKwYAVVe4rjhiUeQzmiKRoi5</t>
  </si>
  <si>
    <t>B SAMIKSHA</t>
  </si>
  <si>
    <t>2 MONTHS</t>
  </si>
  <si>
    <t>https://drive.google.com/open?id=1FbWAOVoOljNV934Luz8kVJsk5CN-9IFP</t>
  </si>
  <si>
    <t>https://drive.google.com/open?id=1QJRz-EbuXy_d6ZWpHTsrEjjdIKElpk0-</t>
  </si>
  <si>
    <t>https://drive.google.com/open?id=1nv45MlqTCMcGUrLqupfue2-EpTWrTG8c</t>
  </si>
  <si>
    <t>NDG LINUX ESSENTIALS Unhatched</t>
  </si>
  <si>
    <t>https://drive.google.com/open?id=1x3HYhUw40jhSMb8RRJ3qW95BZmPslygK</t>
  </si>
  <si>
    <t xml:space="preserve">Alluri Vishnu Vardhan Varma </t>
  </si>
  <si>
    <t>18331A0504</t>
  </si>
  <si>
    <t xml:space="preserve">Capgemini </t>
  </si>
  <si>
    <t>https://drive.google.com/open?id=1CeOQ59qmlzNyT1Esv4h5TV6_GBYNxX3G</t>
  </si>
  <si>
    <t>vvvarma2001@gmail.com</t>
  </si>
  <si>
    <t>Internet Connection: How to Get Online?</t>
  </si>
  <si>
    <t>45 days</t>
  </si>
  <si>
    <t>NA</t>
  </si>
  <si>
    <t>https://drive.google.com/open?id=1cPx_WF0s9doUfM1_GkZe3bOU5GdjrSt5</t>
  </si>
  <si>
    <t>Dr.Ravi Kiran Varma</t>
  </si>
  <si>
    <t>https://drive.google.com/open?id=1yr0kBqoZsc_zc9qQEBxEHDJokNdQsJKu</t>
  </si>
  <si>
    <t xml:space="preserve">Gorle Jayasri </t>
  </si>
  <si>
    <t>19335A0505</t>
  </si>
  <si>
    <t>https://drive.google.com/open?id=1iHQ_OzGdGwvuj_6h5n4_UoHjYIdeFruP</t>
  </si>
  <si>
    <t>gorlejayasri99@gmail.com</t>
  </si>
  <si>
    <t xml:space="preserve">Programming for Everybody </t>
  </si>
  <si>
    <t>https://drive.google.com/open?id=1snLSTDItYM6XqrV7D2RDPUr_OFCaKzBn</t>
  </si>
  <si>
    <t>Matlab</t>
  </si>
  <si>
    <t>MathWorks</t>
  </si>
  <si>
    <t>https://drive.google.com/open?id=1DXcdXzCkOcbyhBhLXOKT4jhAX9XdM3_G</t>
  </si>
  <si>
    <t>Gorle Jayasri</t>
  </si>
  <si>
    <t>https://drive.google.com/open?id=17WoFN9WMB3spWhb84feUEwJqfHh35LmO</t>
  </si>
  <si>
    <t>Classical Cryptosystems and Core Concepts</t>
  </si>
  <si>
    <t>https://drive.google.com/open?id=1sQlYEdwj_KjmRMuHxd_Ck5LyLI73v53O</t>
  </si>
  <si>
    <t>https://drive.google.com/open?id=1RxUqwi4Bbgsj0-AYaZjFPewNmTLYF7RM</t>
  </si>
  <si>
    <t>Getting Started with Python</t>
  </si>
  <si>
    <t>https://drive.google.com/open?id=1rvgWR3i5McsxAnq_-ne6ZbqkJcF31fxr</t>
  </si>
  <si>
    <t>Python Data Structures</t>
  </si>
  <si>
    <t xml:space="preserve">Self Learning </t>
  </si>
  <si>
    <t>https://drive.google.com/open?id=1bH4XKH46QEMsaBFlfL864MyY17Fp4rhR</t>
  </si>
  <si>
    <t>Machine Learning for All</t>
  </si>
  <si>
    <t>https://drive.google.com/open?id=1e_2MubAzEkdFujWjr27BAhXJYOS91CyG</t>
  </si>
  <si>
    <t xml:space="preserve">AI for Everyone </t>
  </si>
  <si>
    <t>https://drive.google.com/open?id=1bXQldzL7MuT1C-ThtJPgBjxOiWEm41c6</t>
  </si>
  <si>
    <t>AWS academy</t>
  </si>
  <si>
    <t>https://drive.google.com/open?id=1ziKEhcb8WGR6GcExGyLs1lCuko-zHEY-</t>
  </si>
  <si>
    <t>Programming in C</t>
  </si>
  <si>
    <t>8 weeks</t>
  </si>
  <si>
    <t>https://drive.google.com/open?id=1Rv0duWK5org1VQf4Lv2k64_LZkKBgSPi</t>
  </si>
  <si>
    <t>SEM-3</t>
  </si>
  <si>
    <t>Programming in java</t>
  </si>
  <si>
    <t>https://drive.google.com/open?id=1Ljw76TOEBELwkGryhr8VqCI-2coBs_iX</t>
  </si>
  <si>
    <t>https://drive.google.com/open?id=12iVb3sqWGWkU7FaU42aPFyT_SieeG7QH</t>
  </si>
  <si>
    <t>DR. RAVI KIRAN VARMA PENMATSA</t>
  </si>
  <si>
    <t>https://drive.google.com/open?id=16P-7gXP6ohJrWg3eywzto-usP9EqpkTz</t>
  </si>
  <si>
    <t>vuggina veera venkata satya varaha ayyappa</t>
  </si>
  <si>
    <t>https://drive.google.com/open?id=1XFI_7JiumZfW1wC0twlAbqOlOW7O9NH4</t>
  </si>
  <si>
    <t>Top performer in tcs hackathon</t>
  </si>
  <si>
    <t xml:space="preserve">TCS </t>
  </si>
  <si>
    <t>https://drive.google.com/open?id=1bBYyu0DE3yVgrgfKcr-yZxyqJ5zXhHaF</t>
  </si>
  <si>
    <t>Introduction to Networks</t>
  </si>
  <si>
    <t>https://drive.google.com/open?id=1jjoaRfGp6aVW5F5X17X0ibtIlEwpilm3</t>
  </si>
  <si>
    <t>Swecha AP</t>
  </si>
  <si>
    <t>https://drive.google.com/open?id=1rf12jICt3hys1pme1JN7hTvyeY64jQ6o</t>
  </si>
  <si>
    <t>18331a05d5@mvgrce.edu.in</t>
  </si>
  <si>
    <t>CCNAv7: Introduction to Networks</t>
  </si>
  <si>
    <t>https://drive.google.com/open?id=1wZ6vEmX8t7uRppb1rzrUDY46gzb-WT52</t>
  </si>
  <si>
    <t>https://drive.google.com/open?id=1e6ubDzw6OCuboHa_eyBRGvgpGre_nTHs</t>
  </si>
  <si>
    <t>subba Raju K V</t>
  </si>
  <si>
    <t>https://drive.google.com/open?id=1lZco-aVK73UFtLeAGDTmSu_dhNTddkX_</t>
  </si>
  <si>
    <t xml:space="preserve">Swecha AP </t>
  </si>
  <si>
    <t>https://drive.google.com/open?id=1nEPbTa1t2UWNNR8RZde4eRKLEX8WqBpZ</t>
  </si>
  <si>
    <t>https://drive.google.com/open?id=1hYqGjr9QMT_lw_DWcv9xguMH_Dqhm_0P</t>
  </si>
  <si>
    <t xml:space="preserve">AWS </t>
  </si>
  <si>
    <t>Ravi kumar penmatsa</t>
  </si>
  <si>
    <t>https://drive.google.com/open?id=1juW1leyKoY2adY4coW49zQc9Xn91Wi_l</t>
  </si>
  <si>
    <t>AWS Academy</t>
  </si>
  <si>
    <t>Ravi Kiran Varma Penmatsa</t>
  </si>
  <si>
    <t>https://drive.google.com/open?id=1mnD5N7GnMRQCd8jftZCsJHHiDgkeDE3Q</t>
  </si>
  <si>
    <t>AWS Academy Graduate - AWS Academy Cloud Architecting</t>
  </si>
  <si>
    <t>https://drive.google.com/open?id=127AW0C839nzZAdcqYaMw-UrY4OUnaC49</t>
  </si>
  <si>
    <t xml:space="preserve">AWS Academy </t>
  </si>
  <si>
    <t>https://drive.google.com/open?id=1BmT1EtI1k5GIYrLz2ZgDUKZUyM-VraZb</t>
  </si>
  <si>
    <t>AWS Academy Cloud Architecting</t>
  </si>
  <si>
    <t>https://drive.google.com/open?id=1PaevZzctwiNstawvOgA2hOnh0j81xwO7</t>
  </si>
  <si>
    <t>Coursera(HTML,CSS,Python and AI)</t>
  </si>
  <si>
    <t>https://drive.google.com/open?id=1BgGg5XwToZYoBNupMBn0U5mPe5X9DExJ</t>
  </si>
  <si>
    <t>Coderiders</t>
  </si>
  <si>
    <t>https://drive.google.com/open?id=1E8e34JvVoXED8RuuRU8oxi4f1e4Dsafs</t>
  </si>
  <si>
    <t>BTech</t>
  </si>
  <si>
    <t>https://drive.google.com/open?id=1Ym3ufoG5hrPBXiCbrihB5TaL3YXbLlNc</t>
  </si>
  <si>
    <t xml:space="preserve">AICTE </t>
  </si>
  <si>
    <t>https://drive.google.com/open?id=1TAH1SbQQA-KZ2zRXCfxGzvrNvcAAWpPd</t>
  </si>
  <si>
    <t>Cyber Security</t>
  </si>
  <si>
    <t>Andhra Pradesh State Skill Development Corporation(APSSDC)</t>
  </si>
  <si>
    <t>Dr. Rajesh Nimmagadda</t>
  </si>
  <si>
    <t>https://drive.google.com/open?id=1k-RdzvCgtdevHdpknc1frcI8zeceBy31</t>
  </si>
  <si>
    <t>Red Hat System Administration I (RH124)</t>
  </si>
  <si>
    <t>SUBBARAJU SIR</t>
  </si>
  <si>
    <t>https://drive.google.com/open?id=1EqVwWxFgPBJOHvjZA0jScf8rURHuLvfM</t>
  </si>
  <si>
    <t>Antennas</t>
  </si>
  <si>
    <t xml:space="preserve"> Andhra Pradesh State Skill Development Corporation(APSSDC)</t>
  </si>
  <si>
    <t>Dr. Kiran Kumar Nallamekala</t>
  </si>
  <si>
    <t>https://drive.google.com/open?id=1u9whwEgeafFtxo1K4e69WtfCHd4-5x7u</t>
  </si>
  <si>
    <t>Trending technologies by EXCELR APSSDC</t>
  </si>
  <si>
    <t>APSSDC EXCELR</t>
  </si>
  <si>
    <t>https://drive.google.com/open?id=1Y9_qqWpPAcz7k69iFzE4GAdFFfx03ljx</t>
  </si>
  <si>
    <t>D2C</t>
  </si>
  <si>
    <t>https://drive.google.com/open?id=1xqCzYUBCGabD8rGLakUdkhtRCClEnZlj</t>
  </si>
  <si>
    <t>National intellectual property awareness mission</t>
  </si>
  <si>
    <t>NIPAM</t>
  </si>
  <si>
    <t>https://drive.google.com/open?id=1f68sWt-5rGKluE20-P2Im7xMMD-04opV</t>
  </si>
  <si>
    <t>GANTA  GAYATRI</t>
  </si>
  <si>
    <t>18331A0541</t>
  </si>
  <si>
    <t>CCNA</t>
  </si>
  <si>
    <t>https://drive.google.com/open?id=1y973qex__okkEKPhMTgBO-JPj-KbUioj</t>
  </si>
  <si>
    <t>gantagayatri490@gmail.com</t>
  </si>
  <si>
    <t>https://drive.google.com/open?id=1LuMxZ-WwCiFoEhTdZYsi4aKvomUYNSG1</t>
  </si>
  <si>
    <t>TechnoGen</t>
  </si>
  <si>
    <t>34 Days</t>
  </si>
  <si>
    <t>https://drive.google.com/open?id=1Ypb6w_HDPXntjJUJ4tTBW_VXaSaaBTlB</t>
  </si>
  <si>
    <t>1 Month</t>
  </si>
  <si>
    <t>https://drive.google.com/open?id=1OIEpS1he-XvUXsBSIAw6J0qTP92jKwkr</t>
  </si>
  <si>
    <t>SWECHA FREEDOM FEST</t>
  </si>
  <si>
    <t>SWECHA</t>
  </si>
  <si>
    <t>Vamsi Krishna</t>
  </si>
  <si>
    <t>Paid</t>
  </si>
  <si>
    <t>https://drive.google.com/open?id=13LkRJTs4XF0_4gVHPtBDYYbiBl1B3cT3</t>
  </si>
  <si>
    <t>Sai Sakti Vamsi Kolli</t>
  </si>
  <si>
    <t>18331A05D1</t>
  </si>
  <si>
    <t>Wipro Earthian Sustainability Quiz,  Information Security Annual Training</t>
  </si>
  <si>
    <t>Wipro</t>
  </si>
  <si>
    <t>6 Days</t>
  </si>
  <si>
    <t>Mr.P Ram Santosh Naidu</t>
  </si>
  <si>
    <t>https://drive.google.com/open?id=1dI8_tPOHSzCb74KkjRi3HCoy2-bfgU5I</t>
  </si>
  <si>
    <t>saishaktikolli@gmail.com</t>
  </si>
  <si>
    <t>Cybersecurity Foundation</t>
  </si>
  <si>
    <t>Palo Alto Networks Cybersecurity Academy</t>
  </si>
  <si>
    <t>https://drive.google.com/open?id=1GBl0nnG0xx1XN603Yge18K4HSJemYzOJ</t>
  </si>
  <si>
    <t>Sai Sakthi Vamsi Kolli</t>
  </si>
  <si>
    <t>https://drive.google.com/open?id=1_o4CsmjyYrEXDlK98Mo745yDuPAPbOyo</t>
  </si>
  <si>
    <t>Python</t>
  </si>
  <si>
    <t>Log2Base2</t>
  </si>
  <si>
    <t>2 Month</t>
  </si>
  <si>
    <t>Mr P Ram Santosh Naidu</t>
  </si>
  <si>
    <t>https://drive.google.com/open?id=1sCRyjn5e_QQuDBpkeNhqnyLnFdCEWrBp</t>
  </si>
  <si>
    <t>C , C++</t>
  </si>
  <si>
    <t>50 days</t>
  </si>
  <si>
    <t>https://drive.google.com/open?id=1hmBDFEQubi1xdeD9NNZO5E6rwOHsO1Ky</t>
  </si>
  <si>
    <t>https://drive.google.com/open?id=1njaOo2FQclLRPfdKvfW1gZpxGn7_94Ih</t>
  </si>
  <si>
    <t>Hyderabad</t>
  </si>
  <si>
    <t>3.5 LPA</t>
  </si>
  <si>
    <t>Wipro Earthain Sustainabilty Quiz</t>
  </si>
  <si>
    <t>1 Day</t>
  </si>
  <si>
    <t>https://drive.google.com/open?id=1weMVHWhGnk2_8xnEmWSlproEiy_09tE9</t>
  </si>
  <si>
    <t>https://drive.google.com/open?id=1GDwNFQwwbcvfERxsS__5FKPalkASwhN9</t>
  </si>
  <si>
    <t>Code Riders 2021</t>
  </si>
  <si>
    <t xml:space="preserve"> 1 Month</t>
  </si>
  <si>
    <t>https://drive.google.com/open?id=1LdzmjOYq2KIe8nkrqSa5ThZwK1bqixZg</t>
  </si>
  <si>
    <t xml:space="preserve"> CISCO</t>
  </si>
  <si>
    <t>https://drive.google.com/open?id=15m24HTsvhmCHTfpddNph-bNu08e1k0k_</t>
  </si>
  <si>
    <t>CCNAv7: Switching, Routing, and Wireless Essentials</t>
  </si>
  <si>
    <t>https://drive.google.com/open?id=1Ubp8_c4h7akiK0B3O4DqW0FOv0a_NPLu</t>
  </si>
  <si>
    <t xml:space="preserve"> AWS Academy Cloud Foundations</t>
  </si>
  <si>
    <t>20 hours</t>
  </si>
  <si>
    <t>https://drive.google.com/open?id=1hWZ3IU_hEzghk26-0Zy6EkmUgvGEumIh</t>
  </si>
  <si>
    <t>https://drive.google.com/open?id=17fDZDgI0IUlTGAQR7Oh1MKbR9td1xQNL</t>
  </si>
  <si>
    <t>https://drive.google.com/open?id=1OI6bpCgYEzw1K9uQUhVrnzdx_wk7OzEw</t>
  </si>
  <si>
    <t>Introduction to IOT</t>
  </si>
  <si>
    <t>Jackson Smith</t>
  </si>
  <si>
    <t>https://drive.google.com/open?id=1Iz5WGeW5_Pf7x4xtRu9jFfSAZJGtPWoT</t>
  </si>
  <si>
    <t>NDG LINUX Essentials</t>
  </si>
  <si>
    <t>Mark Williams</t>
  </si>
  <si>
    <t>https://drive.google.com/open?id=1L1zMhfxTvNoi-qU4SQcbTr004amwsT8L</t>
  </si>
  <si>
    <t>chandra mohan ganivada</t>
  </si>
  <si>
    <t>18331A0540</t>
  </si>
  <si>
    <t>0000</t>
  </si>
  <si>
    <t>https://drive.google.com/open?id=1Nr448mqqr1NBrnVWdEOvPsyTfKkRoX6E</t>
  </si>
  <si>
    <t>ganivasniz20852@gmail.com</t>
  </si>
  <si>
    <t>CPA: Programming Essentials in C++</t>
  </si>
  <si>
    <t>https://drive.google.com/open?id=1vMGLeUrSR3Dh6GgANjUHAzVvzXnuXo0B</t>
  </si>
  <si>
    <t>PCAP: Programming Essentials in Python</t>
  </si>
  <si>
    <t>https://drive.google.com/open?id=1DNSPS149gUyqLMTKWt0qSnJScql9abxN</t>
  </si>
  <si>
    <t>https://drive.google.com/open?id=11O2rotzNzFdvp3cPl2KcpFSbjJsThz21</t>
  </si>
  <si>
    <t>Networking Essentials</t>
  </si>
  <si>
    <t>https://drive.google.com/open?id=1fSSORdeD8acofYQiHurdHVIzDt6LzyPy</t>
  </si>
  <si>
    <t>V Sowdamini</t>
  </si>
  <si>
    <t>19335A0517</t>
  </si>
  <si>
    <t xml:space="preserve">Amazo </t>
  </si>
  <si>
    <t>https://drive.google.com/open?id=1wt9s597GXQ644bd2PXLfHEfaSSeztFVo</t>
  </si>
  <si>
    <t>sowdaminivanamali5931@gmail.com</t>
  </si>
  <si>
    <t xml:space="preserve">IP Awareness/Training program </t>
  </si>
  <si>
    <t>Intellectual property office india</t>
  </si>
  <si>
    <t>M VAMSI krishna</t>
  </si>
  <si>
    <t>https://drive.google.com/open?id=1MN72QEOBlsJEpBytw8ieoI5Y1fdvvO8B</t>
  </si>
  <si>
    <t>1 MONTH</t>
  </si>
  <si>
    <t>https://drive.google.com/open?id=157mtY3fc8QYuVIVtyTbeJ4QX-mMTiq2I</t>
  </si>
  <si>
    <t>https://drive.google.com/open?id=1PZnuH5tSVB26pRmJlwb2FJMFv4qiaUM3</t>
  </si>
  <si>
    <t>https://drive.google.com/open?id=1W3R9v_hup1LUCJiss5p917DRrA5R7EIv</t>
  </si>
  <si>
    <t>https://drive.google.com/open?id=14fV7fxncmH55U2ozhPZT7Y_pjan6yvMR</t>
  </si>
  <si>
    <t>https://drive.google.com/open?id=1Eh1ZtTa1QnOLiqHCU_Xtc1vAhcsYeqNY</t>
  </si>
  <si>
    <t>https://drive.google.com/open?id=1gac_Nud4F4G8I9PCCa9D0Btcm3uOxWZQ</t>
  </si>
  <si>
    <t>Foundations of artificial intelligence and machine learning</t>
  </si>
  <si>
    <t>Anucet Ieee subsection</t>
  </si>
  <si>
    <t>K Chaitanya</t>
  </si>
  <si>
    <t>https://drive.google.com/open?id=1mmZ91l860Gob8yBSsKcYE-clugg18T9H</t>
  </si>
  <si>
    <t>Aws academy cloud architecting</t>
  </si>
  <si>
    <t>Aws academy</t>
  </si>
  <si>
    <t>20hrs</t>
  </si>
  <si>
    <t>Dr p Ravikiran varma</t>
  </si>
  <si>
    <t>https://drive.google.com/open?id=1KxtjneWk-xmDymWeFiQvMkzvSpLeO477</t>
  </si>
  <si>
    <t>syed ali zulfekar</t>
  </si>
  <si>
    <t>18331A05E9</t>
  </si>
  <si>
    <t>CLA: Programming Essentials in C</t>
  </si>
  <si>
    <t>https://drive.google.com/open?id=1lz_Bl-sFcaCSf5bLkeZNU00wIlLysyUY</t>
  </si>
  <si>
    <t>tillu812@gmail.com</t>
  </si>
  <si>
    <t>ravi kiran varma</t>
  </si>
  <si>
    <t>https://drive.google.com/open?id=1Xptl1fq8dz1QeoTmoamjU_iN5PqHa11t</t>
  </si>
  <si>
    <t>https://drive.google.com/open?id=1p8mCPDMdTmkYsb9TbiBpyzyVeoOg4PP8</t>
  </si>
  <si>
    <t>dr.ravi kiran varma</t>
  </si>
  <si>
    <t>https://drive.google.com/open?id=15xS7hw95edEQiA3Z0-2edZvwijii28YG</t>
  </si>
  <si>
    <t>CCNAv7: Enterprise Networking, Security, and Automation</t>
  </si>
  <si>
    <t>https://drive.google.com/open?id=181GeCtBVogSFrpfprg4RD4Ah_1lWhBn7</t>
  </si>
  <si>
    <t>https://drive.google.com/open?id=1Mty3rxcbLKf2IeeWugKzvR_8RUp42v3Y</t>
  </si>
  <si>
    <t>aws</t>
  </si>
  <si>
    <t>https://drive.google.com/open?id=12MytZyqxTtur7HDjKk7tzk42J7to-H0B</t>
  </si>
  <si>
    <t>aicte</t>
  </si>
  <si>
    <t>https://drive.google.com/open?id=1f0LvrIQaf3gHFF_9bh-qodDIZzGE6k5J</t>
  </si>
  <si>
    <t>Syed ali zulfekar</t>
  </si>
  <si>
    <t>Seminar</t>
  </si>
  <si>
    <t>Ethical hacking</t>
  </si>
  <si>
    <t>azure skynet</t>
  </si>
  <si>
    <t>Manish bhardwaj</t>
  </si>
  <si>
    <t>https://drive.google.com/open?id=1ERDbRT7AXsv2WVl9XVABo_pFFLRjA9xp</t>
  </si>
  <si>
    <t xml:space="preserve">Yasaswi Dendukuri </t>
  </si>
  <si>
    <t>18331A0531</t>
  </si>
  <si>
    <t xml:space="preserve">AWS academy </t>
  </si>
  <si>
    <t>https://drive.google.com/open?id=1KSJLjeKsDdThgf6G9SNIh-_WIZEN-1Be</t>
  </si>
  <si>
    <t>dendukuri.16@gmail.com</t>
  </si>
  <si>
    <t>GRE</t>
  </si>
  <si>
    <t>https://drive.google.com/open?id=1pXi0t5byqcGcH9faXaSFlImJi7ZXoM8S</t>
  </si>
  <si>
    <t>sruthi</t>
  </si>
  <si>
    <t>18331A05C5</t>
  </si>
  <si>
    <t>10WEEKS</t>
  </si>
  <si>
    <t>https://drive.google.com/open?id=1kghyJdNeldS3J2SiTzRELjTjV3CbYhOw</t>
  </si>
  <si>
    <t>sruthirokalla369@gmail.com</t>
  </si>
  <si>
    <t>MUKHEE JYOTHSNA</t>
  </si>
  <si>
    <t>18331A05A2</t>
  </si>
  <si>
    <t>AWS AICTE</t>
  </si>
  <si>
    <t>https://drive.google.com/open?id=1rH9_Xv4bqvDtpQ9t64MpU_vTDvA5hrFu</t>
  </si>
  <si>
    <t>jyothsnamukhee03@gmail.com</t>
  </si>
  <si>
    <t>Sruthi</t>
  </si>
  <si>
    <t>DATA SCIENCE TECHNOLOGIES</t>
  </si>
  <si>
    <t>KYRION TECHNOLOGIES</t>
  </si>
  <si>
    <t>IITH</t>
  </si>
  <si>
    <t>https://drive.google.com/open?id=1lwSOwIwTVqpRGpHUzE0w7n6RB76vPn-L</t>
  </si>
  <si>
    <t>SWECHA FEST</t>
  </si>
  <si>
    <t>VAMSI KRISHNA M</t>
  </si>
  <si>
    <t>https://drive.google.com/open?id=1YJN4rRyY1B01XvUq4hn70_L_LIvcg3Kv</t>
  </si>
  <si>
    <t>Yuvaraj Chowdary Ratnala</t>
  </si>
  <si>
    <t>18331A05C3</t>
  </si>
  <si>
    <t>CCNA module 1</t>
  </si>
  <si>
    <t>Dr. Ravi Kiran Varma</t>
  </si>
  <si>
    <t>https://drive.google.com/open?id=1rdisy0xDoX3c9uFLxKm_19fszA7Dhi4f</t>
  </si>
  <si>
    <t>18331A05C3@mvgrce.edu.in</t>
  </si>
  <si>
    <t>CREATIVE AD MAKING</t>
  </si>
  <si>
    <t>MVGR</t>
  </si>
  <si>
    <t>https://drive.google.com/open?id=1fgbpRkkKznyY-PKI5Dnda_W7Byo0CdFa</t>
  </si>
  <si>
    <t>Yuvaraj Chowdary Ratnals</t>
  </si>
  <si>
    <t>CCNA module 2</t>
  </si>
  <si>
    <t>https://drive.google.com/open?id=1tHgTeOmv4x6dEn_N61Fd6rPcGaAfx2RS</t>
  </si>
  <si>
    <t>https://drive.google.com/open?id=1Q2FKudakYyie6V-kEbVzxtvuNVTgPpRj</t>
  </si>
  <si>
    <t>CCNA module 3</t>
  </si>
  <si>
    <t>https://drive.google.com/open?id=1hRUVOirhtpE6w5Buo_hQrdNvEfdzHtBY</t>
  </si>
  <si>
    <t xml:space="preserve">sruthi </t>
  </si>
  <si>
    <t>KOSMOS</t>
  </si>
  <si>
    <t>3MONTHS</t>
  </si>
  <si>
    <t>https://drive.google.com/open?id=1o80YrSS6nw-p4ji1xpt0DwyY0GaDNIcM</t>
  </si>
  <si>
    <t>Python Programming</t>
  </si>
  <si>
    <t>https://drive.google.com/open?id=1h9YhIgUXtK2rBnqbP6g_f9Dx3QrR_pnD</t>
  </si>
  <si>
    <t>Linux Essentials</t>
  </si>
  <si>
    <t>https://drive.google.com/open?id=1Ya1eh77EFYh1RmxrFdj0Bgk9t3YDTADS</t>
  </si>
  <si>
    <t>C++ essestials</t>
  </si>
  <si>
    <t>https://drive.google.com/open?id=140nJceU32DcUPhZT_yhidWWeYTPZkYVC</t>
  </si>
  <si>
    <t>C programming</t>
  </si>
  <si>
    <t>https://drive.google.com/open?id=1Yf2zDUoI8_xkNYtSbliWFcbfmxkzIlSp</t>
  </si>
  <si>
    <t>Introduction to CyberSecurity</t>
  </si>
  <si>
    <t>https://drive.google.com/open?id=1VKlnt2b-FZFjBtRvA1PX9qSc4nwCLvid</t>
  </si>
  <si>
    <t>Hackathon</t>
  </si>
  <si>
    <t>ANITS</t>
  </si>
  <si>
    <t>https://drive.google.com/open?id=12KkFitX19-ii4YF7cu-Zw7LKTTP6wTY1</t>
  </si>
  <si>
    <t>2 monthS</t>
  </si>
  <si>
    <t>https://drive.google.com/open?id=1sBRIOvnXlhUEOwhmWjBi2OIKVVyG4RDh</t>
  </si>
  <si>
    <t>ayyappa.vuggina001@gmail.com</t>
  </si>
  <si>
    <t>Yuvaraj Chowday Ratnala</t>
  </si>
  <si>
    <t>Cyber security Essestials</t>
  </si>
  <si>
    <t>https://drive.google.com/open?id=1-7cOBptRB-DD8CcNF69wOnEx9CBw8ZuN</t>
  </si>
  <si>
    <t>Introduction to Packet tracer</t>
  </si>
  <si>
    <t>https://drive.google.com/open?id=1rafPhd2JGq6PbQEtzK_z-f8bXhTqly8M</t>
  </si>
  <si>
    <t>VOLUNTEER</t>
  </si>
  <si>
    <t>https://drive.google.com/open?id=1JDkbWTWW31HZtahRtdxiRWL1l2STgDcF</t>
  </si>
  <si>
    <t xml:space="preserve">Manukonda Royal Frederick </t>
  </si>
  <si>
    <t>18331A0595</t>
  </si>
  <si>
    <t xml:space="preserve">AWS Cloud Foundation </t>
  </si>
  <si>
    <t>10weeks</t>
  </si>
  <si>
    <t>https://drive.google.com/open?id=13oDkQ5eszOIASYc_IZHqIC-kEbAMo6TT</t>
  </si>
  <si>
    <t>royalfrederickmanukonda@gmail.com</t>
  </si>
  <si>
    <t>Swecha Freedom Fest</t>
  </si>
  <si>
    <t>MVGR GLUG</t>
  </si>
  <si>
    <t>Mr. M. Vamsi Krishna</t>
  </si>
  <si>
    <t>https://drive.google.com/open?id=1_AmuudImeuAke-60a-pwhO2xVaxGX9rn</t>
  </si>
  <si>
    <t>METTA VAMSI PRANAV</t>
  </si>
  <si>
    <t>18331A0598</t>
  </si>
  <si>
    <t>Intellectual Property Office, India</t>
  </si>
  <si>
    <t>https://drive.google.com/open?id=1v5U4mH5Q8y5JkinMsVnRQk6Qam2Nz3kX</t>
  </si>
  <si>
    <t>vamsipranav9948@gmail.com</t>
  </si>
  <si>
    <t>Summer Camp</t>
  </si>
  <si>
    <t>Swecha</t>
  </si>
  <si>
    <t>Mr. M Vamsi Krishna</t>
  </si>
  <si>
    <t>https://drive.google.com/open?id=1dMNxi_Or7UhKxJPL3YEinENFdowglzpI</t>
  </si>
  <si>
    <t>18331A05C33</t>
  </si>
  <si>
    <t>Maths Day</t>
  </si>
  <si>
    <t>Department of Mathematics</t>
  </si>
  <si>
    <t>Dr. M. Krishna Sastry</t>
  </si>
  <si>
    <t>https://drive.google.com/open?id=19Ka6YBVza_JMpDFUmAyufew4waw_D5y0</t>
  </si>
  <si>
    <t>AL For Everyone</t>
  </si>
  <si>
    <t>https://drive.google.com/open?id=13C09EPcX1B9VGsXLB2h1XTf93qbuA80k</t>
  </si>
  <si>
    <t>Kusuma Patnaik Murahari</t>
  </si>
  <si>
    <t>18331A0584</t>
  </si>
  <si>
    <t>AICTE AWS Cloud Virtual Internship</t>
  </si>
  <si>
    <t>https://drive.google.com/open?id=1gXlcLwDfPm-ZNDcW9x18d9Dv5fS8zPdT</t>
  </si>
  <si>
    <t>muraharikusum2000@gmail.com</t>
  </si>
  <si>
    <t xml:space="preserve"> Java</t>
  </si>
  <si>
    <t>Self Learn</t>
  </si>
  <si>
    <t>https://drive.google.com/open?id=1IWEHEfz3lbGYZAmHqbWoBE51TIggD5nL</t>
  </si>
  <si>
    <t>CLA Programming Essentials in C</t>
  </si>
  <si>
    <t>VAMSI KRISHNA MAHABHASHYAM</t>
  </si>
  <si>
    <t>https://drive.google.com/open?id=1JY06WZOLqu14PhonWHVOlvTMYjZ6411P</t>
  </si>
  <si>
    <t>https://drive.google.com/open?id=1byWGeZTZx-0YwRF5T9ijQuTz8yqdfnDb</t>
  </si>
  <si>
    <t>POTNURU VENKATA NARASIMHA RAJU</t>
  </si>
  <si>
    <t>19331A05D4</t>
  </si>
  <si>
    <t>https://drive.google.com/open?id=1VuTH7Tgo0Pk_ScTpkx1b4YGJX5R6P5Zn</t>
  </si>
  <si>
    <t>pvenkatanarasimharaju2214@gmail.com</t>
  </si>
  <si>
    <t>https://drive.google.com/open?id=1Xt0pIDVap4OLOIehCGYbKilh3Ncco4Ld</t>
  </si>
  <si>
    <t>Programming for Everybody(Python)</t>
  </si>
  <si>
    <t>University Of MICHIGAN</t>
  </si>
  <si>
    <t>https://drive.google.com/open?id=1SHO-5VD9JUEPjog22cWO832kaqajphQy</t>
  </si>
  <si>
    <t>https://drive.google.com/open?id=1o8gU9LI-eJ4hrwHkz7b6V6vX8bc2YFb7</t>
  </si>
  <si>
    <t>Joy of Computing using Python</t>
  </si>
  <si>
    <t>https://drive.google.com/open?id=1tzckmNokaVHGruMN6Hc_EC3u6-od9oOJ</t>
  </si>
  <si>
    <t>IT Essentials</t>
  </si>
  <si>
    <t>Dr. Suvarna Kumar Gogula</t>
  </si>
  <si>
    <t>https://drive.google.com/open?id=1EfuGEnP_eBHvTjbT1pv_KO0PWBL4P-GW</t>
  </si>
  <si>
    <t>KARUMURI SRI RAJ ARYAN</t>
  </si>
  <si>
    <t>18331A0571</t>
  </si>
  <si>
    <t>MATLAB</t>
  </si>
  <si>
    <t>MATLAB ONRAMP</t>
  </si>
  <si>
    <t>SELF-LEARN</t>
  </si>
  <si>
    <t>https://drive.google.com/open?id=1YonZ6olGOZrggM5XjJjW_MC2fOeFo4X9</t>
  </si>
  <si>
    <t>aryankarumuri@gmail.com</t>
  </si>
  <si>
    <t>https://drive.google.com/open?id=1piUk9daAxG9HHSX9eiVkZqbXZtLN3M-g</t>
  </si>
  <si>
    <t>https://drive.google.com/open?id=1AmiFS0aMD7bwcYvbhng9RsATTG5f7YaR</t>
  </si>
  <si>
    <t>AICTE in collaboration with NEAT, Eduskills</t>
  </si>
  <si>
    <t>https://drive.google.com/open?id=1nbfLYFI3vQYDxQ8JKspWb0auP9vnyZst</t>
  </si>
  <si>
    <t>AWS Academy - Cloud Foundations</t>
  </si>
  <si>
    <t>https://drive.google.com/open?id=1VUHajIfvsA2_Is5Aem3vaPKQ5aK14Pgy</t>
  </si>
  <si>
    <t>ANDHRA PRADESH STATE SKILL DEVELOPMENT CORPORATION(APSSDC)</t>
  </si>
  <si>
    <t>ONLINE WEBINAR</t>
  </si>
  <si>
    <t>3 HOURS</t>
  </si>
  <si>
    <t>https://drive.google.com/open?id=1kpORz2olsLac_KiQt0KQ39YxBR7-BvWk</t>
  </si>
  <si>
    <t>https://drive.google.com/open?id=1kKr1bqJud7rueQacoJtL1uRgQoDkwQuk</t>
  </si>
  <si>
    <t>Red Hat System Administration I</t>
  </si>
  <si>
    <t>Red Hat</t>
  </si>
  <si>
    <t>https://drive.google.com/open?id=1w0iKuQmyjwGbJ7rYkESG66j1--K7Kw9x</t>
  </si>
  <si>
    <t>https://drive.google.com/open?id=15fJA4e5vCmqFwiHh6LlpgGNYDCeSn6_o</t>
  </si>
  <si>
    <t>Biology for Engineers and other Non-biologists</t>
  </si>
  <si>
    <t>4 weeks</t>
  </si>
  <si>
    <t>https://drive.google.com/open?id=1rNKTlVQ1Mg-UyM2vSMSBZCEV7h0azLbL</t>
  </si>
  <si>
    <t>TechLearn</t>
  </si>
  <si>
    <t>https://drive.google.com/open?id=1L8QvenQSbBbS_qby0dpkOU-60lBMdQqT</t>
  </si>
  <si>
    <t>Developing Soft Skills and Personality</t>
  </si>
  <si>
    <t>https://drive.google.com/open?id=1mGpPuvf5TuUWPtLTJqcAplQbHfswZDei</t>
  </si>
  <si>
    <t>https://drive.google.com/open?id=19ICyEx7TvltSMYYTihknjAb2kVuwFTJ0</t>
  </si>
  <si>
    <t>https://drive.google.com/open?id=1xXaz0acVeXLlZtQK5bAkaIcj6gP9tmUW</t>
  </si>
  <si>
    <t>JP MORGAN CHASE &amp; Co.</t>
  </si>
  <si>
    <t>https://drive.google.com/open?id=1yhkjwAcobRnGlwhZoJOOSTwHDCLEjMxE</t>
  </si>
  <si>
    <t>https://drive.google.com/open?id=1lBR2uMs4Crdx2pUdhIF8OqE50WSzxF0M</t>
  </si>
  <si>
    <t>PrepInsta</t>
  </si>
  <si>
    <t>https://drive.google.com/open?id=1ng0Lk9SymFgR_16TJjdbejLvtYazcoUx</t>
  </si>
  <si>
    <t>https://drive.google.com/open?id=1BGZMlDUnSEgkcWuFeTdo9Q6hmkRpWqxk</t>
  </si>
  <si>
    <t>Cyber Security Foundation</t>
  </si>
  <si>
    <t>Palo Alto Networks Cyber Security Academy</t>
  </si>
  <si>
    <t>https://drive.google.com/open?id=1IqL4FoPNCX1j8hfwDq8zIaDgZf34hk3P</t>
  </si>
  <si>
    <t>The Women Rock-IT Program</t>
  </si>
  <si>
    <t>Cisco Networking Academy</t>
  </si>
  <si>
    <t>Emma Reid</t>
  </si>
  <si>
    <t>https://drive.google.com/open?id=1snuULu0HwVOJ687g5nrp_n5xXeDOBAOD</t>
  </si>
  <si>
    <t>How UBER Saves Your Time?</t>
  </si>
  <si>
    <t>Tech Learn</t>
  </si>
  <si>
    <t>Kishore Reddy</t>
  </si>
  <si>
    <t>https://drive.google.com/open?id=1Wm4MnZKWaOo8kn9bpOgiuXGTJuxbVBfo</t>
  </si>
  <si>
    <t>https://drive.google.com/open?id=1b3VHZTk5JSmej9BlE4_egVB0SC9_mGf8</t>
  </si>
  <si>
    <t>Implementation Of AL bot for a two player game(TIC TAC TOE)</t>
  </si>
  <si>
    <t>https://drive.google.com/open?id=1UW4JMALPhi0QZwc7UJeLomfBEpWwBMSu</t>
  </si>
  <si>
    <t>https://drive.google.com/open?id=1IZY82G5m3K69SqYjyhhh8SYU1Lr1Ps6M</t>
  </si>
  <si>
    <t>How Tesla Self Car Driving Works?</t>
  </si>
  <si>
    <t>https://drive.google.com/open?id=1Xa6M5OzsQg1V9f_t8BfVNYGChbG7C8wf</t>
  </si>
  <si>
    <t>https://drive.google.com/open?id=1KVm4N3gzrXfXIagHc0ay7TGiDHr14cyf</t>
  </si>
  <si>
    <t>Implement Playlist Generator For Spotify</t>
  </si>
  <si>
    <t>https://drive.google.com/open?id=1WASeusBpiMpHwN8Tc4olsQAqUnPt0BGt</t>
  </si>
  <si>
    <t xml:space="preserve">   Solo senior dance competition</t>
  </si>
  <si>
    <t>Maks dance studio and fitness</t>
  </si>
  <si>
    <t>https://drive.google.com/open?id=1TV9WHLuDDCpqYakrw3vT8Q4B94v1NnqP</t>
  </si>
  <si>
    <t>Implementing Social Media Login Using Facebook API</t>
  </si>
  <si>
    <t>https://drive.google.com/open?id=1-5ulWFAkRwnJeAKm0eIUioBG-oDd3-t6</t>
  </si>
  <si>
    <t>Create Your Portfolio Using Angular and Material UI</t>
  </si>
  <si>
    <t>https://drive.google.com/open?id=1zvZKnreh3OXHMk5VhsXTjp2KaWv929to</t>
  </si>
  <si>
    <t>C PROGRAMMING</t>
  </si>
  <si>
    <t>K.V. Subba Raju</t>
  </si>
  <si>
    <t>https://drive.google.com/open?id=1K0hyaMAaPsme28BcbSbWerGiglJgibIZ</t>
  </si>
  <si>
    <t>PYTHON</t>
  </si>
  <si>
    <t>https://drive.google.com/open?id=1ng_BFT84CIRQXxhWSzRE95sFg53StfXT</t>
  </si>
  <si>
    <t>CODE RIDERS 2021</t>
  </si>
  <si>
    <t>https://drive.google.com/open?id=1mdMxQKViLW6ytSLD-Vbdi4e36jaHSc9u</t>
  </si>
  <si>
    <t>Korlapu.Neelima</t>
  </si>
  <si>
    <t>19335A0508</t>
  </si>
  <si>
    <t>AWS cloud solution architecture</t>
  </si>
  <si>
    <t>P.Ravikiranvarma</t>
  </si>
  <si>
    <t>https://drive.google.com/open?id=17Z1Pj0_3s3CNdVQcwfvjW-EQpt6p9MI8</t>
  </si>
  <si>
    <t>kneelima2001@gmail.com</t>
  </si>
  <si>
    <t>Korlapu. Neelima</t>
  </si>
  <si>
    <t>paloalto</t>
  </si>
  <si>
    <t>paloalto networks cybersecurity academy</t>
  </si>
  <si>
    <t>p. Ravikiranvarma</t>
  </si>
  <si>
    <t>https://drive.google.com/open?id=12xA8tdA87ytI4YDWfbXDbBh_21lGhlC6</t>
  </si>
  <si>
    <t>certificate for appreciation</t>
  </si>
  <si>
    <t>Vignan's Institute of Engineering For Women</t>
  </si>
  <si>
    <t>https://drive.google.com/open?id=1a7_i4mBy91rc-1wnj7fXUZe2lgdZ_dUp</t>
  </si>
  <si>
    <t>Ch Yashwanth</t>
  </si>
  <si>
    <t>21331A0530</t>
  </si>
  <si>
    <t>MEDICAL IMAGE &amp; SIGNAL PROCESSING USING PYTHON MIS2P'22</t>
  </si>
  <si>
    <t>IEEE VIZAG BAY SECTION</t>
  </si>
  <si>
    <t>Dr. M V S S Nagendranath</t>
  </si>
  <si>
    <t>https://drive.google.com/open?id=1QnUhsVy-V9By4eiuivhfai7KsnOFOEpg</t>
  </si>
  <si>
    <t>nissirao7@gmail.com</t>
  </si>
  <si>
    <t>CHINNI HEMANTH KUMAR</t>
  </si>
  <si>
    <t>21331A0529</t>
  </si>
  <si>
    <t>IEEE, VIZAG BAY SECTION</t>
  </si>
  <si>
    <t>Dr. M v s s nagendranath</t>
  </si>
  <si>
    <t>https://drive.google.com/open?id=1lxAJST8TXOy3XcL_6b_yYdnKszShgTct</t>
  </si>
  <si>
    <t>Chinnihemanth89@gmail.com</t>
  </si>
  <si>
    <t>Nalli Anusha</t>
  </si>
  <si>
    <t>18331A05A7</t>
  </si>
  <si>
    <t>SQL e-QUIZ</t>
  </si>
  <si>
    <t>VIGNAN'S INSTITUTE OF ENGINEERING FOR WOMEN</t>
  </si>
  <si>
    <t>https://drive.google.com/open?id=1cj6KMrfRUN35LIBGgAZrYmyvlNpJT8rK</t>
  </si>
  <si>
    <t>anushanalli18@gmail.com</t>
  </si>
  <si>
    <t>SUBHASH VADLANA</t>
  </si>
  <si>
    <t>18331A05G3</t>
  </si>
  <si>
    <t>https://drive.google.com/open?id=1UCYsFcfdCkQbSjAfAGs7hvKdplw9pvJo</t>
  </si>
  <si>
    <t>subhash12345696@gmail.com</t>
  </si>
  <si>
    <t>https://drive.google.com/open?id=1yH6xTcHoOf9YKgRhzLt1vsdSEVe9vBnF</t>
  </si>
  <si>
    <t>https://drive.google.com/open?id=1LhLl8wf-mab2ISMydvdASHJw2x8W0HOp</t>
  </si>
  <si>
    <t>G. Sai Hemanth Kumar</t>
  </si>
  <si>
    <t>21331A0557</t>
  </si>
  <si>
    <t>https://drive.google.com/open?id=1xgPDjIIWtlF8N_AbDktqiqkbj0DwF7lD</t>
  </si>
  <si>
    <t>sainagu9876@gmail.com</t>
  </si>
  <si>
    <t>6 weeks</t>
  </si>
  <si>
    <t>https://drive.google.com/open?id=1iwLu_bWwmWVWWsS1xqwK7HIQDR5WiX5h</t>
  </si>
  <si>
    <t>https://drive.google.com/open?id=1UUOc2bc6eY3QzSTHXsUfbAZ3XLFm1tgt</t>
  </si>
  <si>
    <t>https://drive.google.com/open?id=1jBcezeHcAVh8Ra03iYZ5Gb6UyE3hDAEu</t>
  </si>
  <si>
    <t>https://drive.google.com/open?id=1ma_stHfWBNm3aii_BEU928E9YL2sHdt2</t>
  </si>
  <si>
    <t>YASHWANTH BOGGARAPU</t>
  </si>
  <si>
    <t>Course era</t>
  </si>
  <si>
    <t>https://drive.google.com/open?id=1Dzwq6M6F0MneFVTbr_uNPH4It9kXbuBR</t>
  </si>
  <si>
    <t>Programming Essentials in C</t>
  </si>
  <si>
    <t>https://drive.google.com/open?id=1MECCJigW9kZNViIwA4VPXhY5cUjsAjyS</t>
  </si>
  <si>
    <t>Virtusa Consulting Services Pvt Ltd, India</t>
  </si>
  <si>
    <t>https://drive.google.com/open?id=1uKBfJz5WRxQys5M72Brb5OK10qcss7FK</t>
  </si>
  <si>
    <t>Virtusa</t>
  </si>
  <si>
    <t>https://drive.google.com/open?id=1M75Zuz94mobCB2u7SAfxI6p_Ap3Wqno0</t>
  </si>
  <si>
    <t>Chennai</t>
  </si>
  <si>
    <t>6.5 LPA</t>
  </si>
  <si>
    <t>Bankupalli Srinidhi</t>
  </si>
  <si>
    <t>18331A0511</t>
  </si>
  <si>
    <t xml:space="preserve">Introduction to css, html, JavaScript </t>
  </si>
  <si>
    <t>MR. Ram santhosh Naidu</t>
  </si>
  <si>
    <t>https://drive.google.com/open?id=1UBOwEJ9I9SCa4QjFoguP6K2cUsxIiAtY</t>
  </si>
  <si>
    <t>srinidhivishwanath01@gmail.com</t>
  </si>
  <si>
    <t xml:space="preserve">BORRA VENKATA DURGA RAO </t>
  </si>
  <si>
    <t>21331A0525</t>
  </si>
  <si>
    <t>https://drive.google.com/open?id=1Xw2oJAu2cW0rAc9TPYjclklox-UbSYzd</t>
  </si>
  <si>
    <t>venkatdurgarao7450@gmail.com</t>
  </si>
  <si>
    <t>UMANANDAN SAGAR CHUKKA</t>
  </si>
  <si>
    <t>18331A05G1</t>
  </si>
  <si>
    <t>https://drive.google.com/open?id=1cOOeFbzfVa259sAWKf5ChvDZd0ox5haj</t>
  </si>
  <si>
    <t>cusagar@gmail.com</t>
  </si>
  <si>
    <t>ASHOK KUMAR KORNU</t>
  </si>
  <si>
    <t>19335a0509</t>
  </si>
  <si>
    <t>https://drive.google.com/open?id=1gtaQNNyKbecMF1hVt0kUst-Ow5gy0n_U</t>
  </si>
  <si>
    <t>ashokkumarkornu2000@gmail.com</t>
  </si>
  <si>
    <t>dabbiru haneesh</t>
  </si>
  <si>
    <t>18331A0528</t>
  </si>
  <si>
    <t>Suvidha foundation</t>
  </si>
  <si>
    <t>https://drive.google.com/open?id=1GJg-pY3JFa2WpVzh2cHEFtzk64MkRwv4</t>
  </si>
  <si>
    <t>dabbiruhaneesh@gmail.com</t>
  </si>
  <si>
    <t>Dabbiru haneesh</t>
  </si>
  <si>
    <t>SPARKS FOUNDATION</t>
  </si>
  <si>
    <t>https://drive.google.com/open?id=1ZdqbZz3jeUF3M_MYrqnTTtzHJAcp2G98</t>
  </si>
  <si>
    <t>19335A0509</t>
  </si>
  <si>
    <t>https://drive.google.com/open?id=1JlXIlbw3LU4pvglwII582towmfSEFhKP</t>
  </si>
  <si>
    <t>Dabbiru Haneesh</t>
  </si>
  <si>
    <t>MATLAB Onramp</t>
  </si>
  <si>
    <t>math works</t>
  </si>
  <si>
    <t>patnaik sir</t>
  </si>
  <si>
    <t>https://drive.google.com/open?id=1QcqfuFaHa6H053vRvriHTe-x9DfBwCd5</t>
  </si>
  <si>
    <t>Arisetty Koulini priya</t>
  </si>
  <si>
    <t>18331A0507</t>
  </si>
  <si>
    <t>introduction to cloud identity,HTML,CSS,JavaScript,web development,advanced styling with responsive design</t>
  </si>
  <si>
    <t>Google cloud,university of Michigan</t>
  </si>
  <si>
    <t>Lakshman rao</t>
  </si>
  <si>
    <t>https://drive.google.com/open?id=1xOtwg-_8p-fxQ4Pa_pf12b4F16TkwHwQ</t>
  </si>
  <si>
    <t>koulinipriya984984@gmail.com</t>
  </si>
  <si>
    <t>python(Basic)</t>
  </si>
  <si>
    <t>hackerrank</t>
  </si>
  <si>
    <t>None</t>
  </si>
  <si>
    <t>https://drive.google.com/open?id=15V76iEt4CxmdQlVon3hNfEC99jdl_76T</t>
  </si>
  <si>
    <t>Dr,Ravi Kiran Varma Penmatsa</t>
  </si>
  <si>
    <t>https://drive.google.com/open?id=1GfiUIYmtc5lHuKVXjJFvcD_dMpiJydpn</t>
  </si>
  <si>
    <t>1 Months</t>
  </si>
  <si>
    <t>https://drive.google.com/open?id=1mDHA3t9wZzaCRSYZW_V_mQyWBk9Pz8ex</t>
  </si>
  <si>
    <t>yegireddi sharmila</t>
  </si>
  <si>
    <t>19335A0519</t>
  </si>
  <si>
    <t>Cisco certification on essential programming in Python</t>
  </si>
  <si>
    <t xml:space="preserve"> Subba raju k v </t>
  </si>
  <si>
    <t xml:space="preserve">Subba raju k v </t>
  </si>
  <si>
    <t>https://drive.google.com/open?id=1eVFF13KuKupbFEOlXh1v8SIRQmQg4b71</t>
  </si>
  <si>
    <t>sharmilayegireddi@gmail.com</t>
  </si>
  <si>
    <t>CCNA on networking</t>
  </si>
  <si>
    <t>Mvgr college of engineering</t>
  </si>
  <si>
    <t>https://drive.google.com/open?id=1w-IsasqP3t24jS8fpAoDARXoUNdVPN0Y</t>
  </si>
  <si>
    <t>https://drive.google.com/open?id=1pnUEp9JInySqXlPxfO-l_p6EtXy4QLJb</t>
  </si>
  <si>
    <t>Web Technology</t>
  </si>
  <si>
    <t>ShapeAi</t>
  </si>
  <si>
    <t>https://drive.google.com/open?id=1C1cf7JpQvnbLHJbkSl_GcfXU09Em_cL1</t>
  </si>
  <si>
    <t>Python Programming For Everyone</t>
  </si>
  <si>
    <t>Sri Venkateswara College of Engineering &amp; Technology</t>
  </si>
  <si>
    <t>https://drive.google.com/open?id=1Rgp9RcpL0amYzwFCwfvoSHP8-_qz7L8J</t>
  </si>
  <si>
    <t>Palo alto on cyber security</t>
  </si>
  <si>
    <t>Ravi kiran varma</t>
  </si>
  <si>
    <t>https://drive.google.com/open?id=1nMcjeDp3LFt1z1cRZug48GyfV1fbyZTG</t>
  </si>
  <si>
    <t>https://drive.google.com/open?id=1_x0w13DUxgU5mRVbSDHa4RMMIgT0_CiY</t>
  </si>
  <si>
    <t>Yegireddi sharmila</t>
  </si>
  <si>
    <t>Amazon aws acadamy</t>
  </si>
  <si>
    <t>https://drive.google.com/open?id=1lEpwiKvCdwRIeNr-XYFINLTXzsZygfTe</t>
  </si>
  <si>
    <t>https://drive.google.com/open?id=1vZ6h6NmWY4HXvyOSIHu-uiERHOWH-pa3</t>
  </si>
  <si>
    <t>https://drive.google.com/open?id=1jdJWtZhz8H41QJNUaf5RtjX52LNo8Api</t>
  </si>
  <si>
    <t>1 st prize in newsreel a contest on current affairs</t>
  </si>
  <si>
    <t xml:space="preserve">GMRIT </t>
  </si>
  <si>
    <t>https://drive.google.com/open?id=13SNgW7VupL2K7SWxmqQnnrjTaqBBbZcq</t>
  </si>
  <si>
    <t>https://drive.google.com/open?id=1nRDBC7pTdfCiYyaiOh-weXyRCKy4G_dh</t>
  </si>
  <si>
    <t>Html</t>
  </si>
  <si>
    <t xml:space="preserve">3 months </t>
  </si>
  <si>
    <t xml:space="preserve">Ram santhosh naidu </t>
  </si>
  <si>
    <t>https://drive.google.com/open?id=10DIYGLHZ9tYfI1fQ5KChqCTvurgWNlZo</t>
  </si>
  <si>
    <t>Javascript</t>
  </si>
  <si>
    <t>Ram santhosh naidu</t>
  </si>
  <si>
    <t>https://drive.google.com/open?id=1Nir40EKmnh1bKY3MAizZPSeaLrKAGV1h</t>
  </si>
  <si>
    <t>SQL QUIZ</t>
  </si>
  <si>
    <t>Vignan’s Institute of Engineering</t>
  </si>
  <si>
    <t>1 DAY</t>
  </si>
  <si>
    <t>https://drive.google.com/open?id=1ZF9MwusSUKSs-S0c6iZa-SxEZTgYzEi5</t>
  </si>
  <si>
    <t>Css</t>
  </si>
  <si>
    <t>https://drive.google.com/open?id=16YuOgPrHQn_L_0OMIhQ71G9-Q5oVq_75</t>
  </si>
  <si>
    <t>Gummaluri A V L Sri Lekha</t>
  </si>
  <si>
    <t>18331A0555</t>
  </si>
  <si>
    <t>Stumagz</t>
  </si>
  <si>
    <t>50days</t>
  </si>
  <si>
    <t>https://drive.google.com/open?id=17IrdOrM5riUDlK7k5Np6O4fQSFI_YiLU</t>
  </si>
  <si>
    <t>lekhasree1430@gmail.com</t>
  </si>
  <si>
    <t>GUMMALURI A V LAKSHMI SRI LEKHA</t>
  </si>
  <si>
    <t>css3</t>
  </si>
  <si>
    <t>University of Michigan</t>
  </si>
  <si>
    <t>1mnth</t>
  </si>
  <si>
    <t>https://drive.google.com/open?id=1wr-9g-h1nNPln7TH18Vd8LrJ__ulov_d</t>
  </si>
  <si>
    <t>https://drive.google.com/open?id=16XuY4EmUqK2kjZQKWp85qX6PVR4EofpK</t>
  </si>
  <si>
    <t>Programming for everybody(getting started with python)</t>
  </si>
  <si>
    <t>University of Michigan(Coursera)</t>
  </si>
  <si>
    <t>https://drive.google.com/open?id=1lkOA7apObZaQGPC_yRymnEcyRs5JFC-y</t>
  </si>
  <si>
    <t>Crash Course on Python</t>
  </si>
  <si>
    <t>https://drive.google.com/open?id=1a01qIrRTj6Es2vSmI86QnjWKufkpZF5_</t>
  </si>
  <si>
    <t>Cloud Identity</t>
  </si>
  <si>
    <t>https://drive.google.com/open?id=1usRNj28J-Yv6kinZKevnEFcpZdFjXnlv</t>
  </si>
  <si>
    <t>Tracking Student Growth using Google Slides</t>
  </si>
  <si>
    <t>https://drive.google.com/open?id=1MX5GaLHjFSuq5PDC4RNThxuwL5EraFCr</t>
  </si>
  <si>
    <t>HTML5</t>
  </si>
  <si>
    <t>https://drive.google.com/open?id=1XD6n55u4083weBmzcpH610mjDGhsoYfd</t>
  </si>
  <si>
    <t>JavaScript</t>
  </si>
  <si>
    <t>https://drive.google.com/open?id=1fr51ofb1W2cxRhP0PDjYmOEyIGpYgfmd</t>
  </si>
  <si>
    <t>Webdevelopment</t>
  </si>
  <si>
    <t>https://drive.google.com/open?id=1DYVycUg39LYXa1MTaM-5hZYiPhY52zHM</t>
  </si>
  <si>
    <t>Gummaluri A V lakshmi Sri lekha</t>
  </si>
  <si>
    <t>2nd prize in National Level Dance Competition</t>
  </si>
  <si>
    <t>Natyaravali Cultural Association</t>
  </si>
  <si>
    <t>https://drive.google.com/open?id=1CGoEV-2e8V_Lk7tS14KxSr7ESQ8kcu19</t>
  </si>
  <si>
    <t>G A V L Sri lekha</t>
  </si>
  <si>
    <t>2nd prize</t>
  </si>
  <si>
    <t>Maharaja prabuthva samskruta kalasala</t>
  </si>
  <si>
    <t>https://drive.google.com/open?id=1J6jQbfJk6dWBsUdK5PdL31TlD2H8n1mi</t>
  </si>
  <si>
    <t>Datapro</t>
  </si>
  <si>
    <t>100days</t>
  </si>
  <si>
    <t>https://drive.google.com/open?id=1jXktun-HZQccdZTo1gydXxzOLTvv5CnM</t>
  </si>
  <si>
    <t>Gummaluri A V Lakshmi Sri Lekha</t>
  </si>
  <si>
    <t>Infor</t>
  </si>
  <si>
    <t>https://drive.google.com/open?id=14_zULZ6Hd6xjm0n-EZCNgOfM0U3palZz</t>
  </si>
  <si>
    <t>GAVL Sri lekha</t>
  </si>
  <si>
    <t>https://drive.google.com/open?id=1n27dXeSQi_XbyI0Qxh545-88cmtBtSqd</t>
  </si>
  <si>
    <t>Sri Lekha</t>
  </si>
  <si>
    <t>Vote for Better india</t>
  </si>
  <si>
    <t>vizianagaram</t>
  </si>
  <si>
    <t>https://drive.google.com/open?id=12g2wjrfUifDh3Gx7TlgWMhP8oc4dxI9d</t>
  </si>
  <si>
    <t>Miss Performer</t>
  </si>
  <si>
    <t>MVGR college of engineering</t>
  </si>
  <si>
    <t>https://drive.google.com/open?id=1uTGVtRaRxKQKLb_Ehjblj80sg5F5loWs</t>
  </si>
  <si>
    <t>Yashwanth Boggarapu</t>
  </si>
  <si>
    <t>Artificial Intelligence Workshop</t>
  </si>
  <si>
    <t>Indian institute of technology, Hyderabad</t>
  </si>
  <si>
    <t>Sujata Mehta</t>
  </si>
  <si>
    <t>https://drive.google.com/open?id=1DhXoFA1w4UZTLOmDgJtSJ8eYXX20ozee</t>
  </si>
  <si>
    <t xml:space="preserve">Chitikana Spandana </t>
  </si>
  <si>
    <t>18331A0527</t>
  </si>
  <si>
    <t>https://drive.google.com/open?id=1wwqvYj7G8Hq9WXoUmmD6Idk6NYqHxAoX</t>
  </si>
  <si>
    <t>spandana1009@gmail.com</t>
  </si>
  <si>
    <t>THE JOY OF COMPUTING WITH PYTHON</t>
  </si>
  <si>
    <t>SWAYAM</t>
  </si>
  <si>
    <t>12 week</t>
  </si>
  <si>
    <t>https://drive.google.com/open?id=16HY80oc6HtCuuvj5JewUNCelUtFbxbkg</t>
  </si>
  <si>
    <t>Srihita Gottimukkala</t>
  </si>
  <si>
    <t>18331A0551</t>
  </si>
  <si>
    <t>DR. Ravi Kiran Varma</t>
  </si>
  <si>
    <t>https://drive.google.com/open?id=1HEFFnq8T2crffT5UhOJ7A7csKpf6EYKP</t>
  </si>
  <si>
    <t>shrivarma29@gmail.com</t>
  </si>
  <si>
    <t>Penumatcha sai vamsi krishna varma</t>
  </si>
  <si>
    <t>18331A05B9</t>
  </si>
  <si>
    <t>The joy of computing python</t>
  </si>
  <si>
    <t>Nptel</t>
  </si>
  <si>
    <t>https://drive.google.com/open?id=1cxNgSdtZCgxXJy14XYM9W6ctcNxeemck</t>
  </si>
  <si>
    <t>varmavamsi38@gmail.com</t>
  </si>
  <si>
    <t>183331A0543</t>
  </si>
  <si>
    <t>GoalStreet</t>
  </si>
  <si>
    <t>https://drive.google.com/open?id=1ZeIF1osrfps_pQKFLERPH1SofXyLhKVp</t>
  </si>
  <si>
    <t>SATHWICK SADANALA</t>
  </si>
  <si>
    <t>18331A05C6</t>
  </si>
  <si>
    <t>Code riders 2021</t>
  </si>
  <si>
    <t xml:space="preserve">Eduskills </t>
  </si>
  <si>
    <t>June-july2021</t>
  </si>
  <si>
    <t>https://drive.google.com/open?id=1uiOk2DJDaRpvDEfg1RYv1Q7VzJqGW4l0</t>
  </si>
  <si>
    <t>sadanalasathwick@gmail.com</t>
  </si>
  <si>
    <t>Dr P Ravi Kiran Varma</t>
  </si>
  <si>
    <t>https://drive.google.com/open?id=1MiDY-YLGQZZKBUxNOYnsMV3T58qcYnWx</t>
  </si>
  <si>
    <t xml:space="preserve">Sathwick Sadanala </t>
  </si>
  <si>
    <t xml:space="preserve">18331A05C6 </t>
  </si>
  <si>
    <t>Ethical Hacking</t>
  </si>
  <si>
    <t xml:space="preserve">IIT hyderabad </t>
  </si>
  <si>
    <t>Workshop conducted by Manish Bharadwaj</t>
  </si>
  <si>
    <t>https://drive.google.com/open?id=1St4ALTYPjBjD_fwPzqO2wiDh4k_BcGAm</t>
  </si>
  <si>
    <t>Iddiboina Bala Kishore</t>
  </si>
  <si>
    <t>18331A0558</t>
  </si>
  <si>
    <t>AWS CLOUD FOUNDATIONS</t>
  </si>
  <si>
    <t>P RAVI KIRAN VARMA</t>
  </si>
  <si>
    <t>https://drive.google.com/open?id=1GHLPz2KKWtbbMW9wN7c_o4y2rt_PJ1IG</t>
  </si>
  <si>
    <t>balakishore810@gmail.com</t>
  </si>
  <si>
    <t>Introduction to packet Tracer</t>
  </si>
  <si>
    <t>https://drive.google.com/open?id=1fppRokg8O_ztDJx0mkm7EqY01BpPMsrL</t>
  </si>
  <si>
    <t>AWS(Amazon)</t>
  </si>
  <si>
    <t>https://drive.google.com/open?id=1XYSKZ49HqIeghBbtItkh5MlLKQtpA4P9</t>
  </si>
  <si>
    <t>Sathwick Sadanala</t>
  </si>
  <si>
    <t>Programming essentials in C</t>
  </si>
  <si>
    <t>Dr.Ravin Kiran Varma Penmatsa</t>
  </si>
  <si>
    <t>https://drive.google.com/open?id=1OD_4ylnlGP-3KVccawhDmymp_XieJ2JT</t>
  </si>
  <si>
    <t xml:space="preserve">AKASAPU HEMANTH KUMAR </t>
  </si>
  <si>
    <t xml:space="preserve">18331A0502 </t>
  </si>
  <si>
    <t>https://drive.google.com/open?id=1EmvpTa5j_6na-7NvTE7ZmRtnvUJ1ecxS</t>
  </si>
  <si>
    <t>akasapuhemanthkumar@gmail.com</t>
  </si>
  <si>
    <t>Palo Alto Networks</t>
  </si>
  <si>
    <t>DR P Ravi Kiran Varma</t>
  </si>
  <si>
    <t>https://drive.google.com/open?id=1_6uI5I0pLhwAN-tYYgmJI22WJ1ACcGYu</t>
  </si>
  <si>
    <t>Cybersecurity essentials</t>
  </si>
  <si>
    <t>https://drive.google.com/open?id=1VRlGOrW3Zj480S4jLzaknk543AyUWlZD</t>
  </si>
  <si>
    <t>KOLLI YASWANTH KUMAR</t>
  </si>
  <si>
    <t>18331A0579</t>
  </si>
  <si>
    <t>Winners in Badminton</t>
  </si>
  <si>
    <t>Jawaharlal Nehru Technological University Vizianagaram , KAKINADA</t>
  </si>
  <si>
    <t>https://drive.google.com/open?id=1GSySQ9XWzPG4_CT4scF7g4D8a1w0HNVg</t>
  </si>
  <si>
    <t>yaswanthroshan1045@gmail.com</t>
  </si>
  <si>
    <t>Dr.Ravi Kiran Varma Penmatsa</t>
  </si>
  <si>
    <t>https://drive.google.com/open?id=1saIgyXhIKHIP0qj41JYjjetOKWSi9XTp</t>
  </si>
  <si>
    <t>Sagirisetty Teja sri</t>
  </si>
  <si>
    <t>18331A05D0</t>
  </si>
  <si>
    <t xml:space="preserve">CCNAv7 </t>
  </si>
  <si>
    <t>RAVI KIRAN VARMA</t>
  </si>
  <si>
    <t>https://drive.google.com/open?id=1iMgoMdOng_18ssDd4lHi-8f00MaO0xdx</t>
  </si>
  <si>
    <t>tejasri.sagirisetty@gmail.com</t>
  </si>
  <si>
    <t>AWS Cloud virtual internship -AICTE</t>
  </si>
  <si>
    <t>https://drive.google.com/open?id=1MlxCiiHa-jCKLhW0mp25BWHjk-pxLFWX</t>
  </si>
  <si>
    <t>AKASAPU HEMANTH KUMAR</t>
  </si>
  <si>
    <t>Coding ninja</t>
  </si>
  <si>
    <t>5days</t>
  </si>
  <si>
    <t>Self learn</t>
  </si>
  <si>
    <t>https://drive.google.com/open?id=1fIttXo-0e7AW-B6zZWeKtI9UqK1Vr7U-</t>
  </si>
  <si>
    <t xml:space="preserve"> BUDIDI SURYA SAI MAHESWAR</t>
  </si>
  <si>
    <t>18331A0521</t>
  </si>
  <si>
    <t>The joy of computing using python</t>
  </si>
  <si>
    <t>https://drive.google.com/open?id=1SWhau6BZsYrQW2m8wvGigOczG7S684k8</t>
  </si>
  <si>
    <t>suryamahesh2000@gmail.com</t>
  </si>
  <si>
    <t>Cybersecurity foundation</t>
  </si>
  <si>
    <t xml:space="preserve">Palo Alto networks Cybersecurity academy </t>
  </si>
  <si>
    <t>https://drive.google.com/open?id=1TE7yeZAMwFyhxq-xeNKV41D9Sw_m3tKg</t>
  </si>
  <si>
    <t>Dr. Ravi Kiran Varma Penamatsa</t>
  </si>
  <si>
    <t>https://drive.google.com/open?id=1-SoacEr93mcC-8vYxjGNQEffwQCJoh-c</t>
  </si>
  <si>
    <t>CLA - C</t>
  </si>
  <si>
    <t>https://drive.google.com/open?id=1PGe_YhDZ1SXbP36ChnZ2JAqpqC42knJJ</t>
  </si>
  <si>
    <t>Programming essesntials in C++</t>
  </si>
  <si>
    <t>https://drive.google.com/open?id=1wwftrjGcCgXc829tPDxaqXf_VUtsK_MT</t>
  </si>
  <si>
    <t>BUDIDI SURYA SAI MAHESWAR</t>
  </si>
  <si>
    <t>Dr. P. Ravi Kiran Varma</t>
  </si>
  <si>
    <t>https://drive.google.com/open?id=1-SvlkiljJgizcW340DsSkgyrIk5El_Fs</t>
  </si>
  <si>
    <t>Python - PCAP</t>
  </si>
  <si>
    <t xml:space="preserve">RAVI KIRAN VARMA </t>
  </si>
  <si>
    <t>https://drive.google.com/open?id=1DWHd-7ka-ee46X0CkP17v6AZjHeQ7aA7</t>
  </si>
  <si>
    <t>https://drive.google.com/open?id=1AeoCf75DFmus-547YYjYZdDtYHiUXCrr</t>
  </si>
  <si>
    <t>Java tutorial course</t>
  </si>
  <si>
    <t>Sololearn</t>
  </si>
  <si>
    <t>https://drive.google.com/open?id=17N3BeMW8Hmh9A0Hdl076geARXIkgtdJg</t>
  </si>
  <si>
    <t>Programming essesntials in Python</t>
  </si>
  <si>
    <t>https://drive.google.com/open?id=12-80y08be4n2P68It-eHdVNU-Tzf5XWU</t>
  </si>
  <si>
    <t xml:space="preserve">KANTUMUTCHU DINESH </t>
  </si>
  <si>
    <t>18331A0569</t>
  </si>
  <si>
    <t xml:space="preserve">COURSERA </t>
  </si>
  <si>
    <t>--</t>
  </si>
  <si>
    <t>https://drive.google.com/open?id=1KKoUmR5Osd9B5_nwo1qlelMAibn-9ZoZ</t>
  </si>
  <si>
    <t>imdinesh26@gmail.com</t>
  </si>
  <si>
    <t>Mindtree</t>
  </si>
  <si>
    <t>https://drive.google.com/open?id=1Qkly311R7TArLslRUrk4QxzeuF6u8THT</t>
  </si>
  <si>
    <t xml:space="preserve">sadanalasathwick@gmail.com </t>
  </si>
  <si>
    <t xml:space="preserve">Introduction to cybersecurity </t>
  </si>
  <si>
    <t>Dr.Ravi kiran varma penmatsa</t>
  </si>
  <si>
    <t>https://drive.google.com/open?id=1lwiSYH1TMda63duErMfjJzJNHJ3lznq7</t>
  </si>
  <si>
    <t>Tcs</t>
  </si>
  <si>
    <t>https://drive.google.com/open?id=1eqRDfKf6TAFamnY0kDJLrMwUjrnB1G6L</t>
  </si>
  <si>
    <t>3.3lpa</t>
  </si>
  <si>
    <t xml:space="preserve">Programming For Everybody Getting Started with Python </t>
  </si>
  <si>
    <t xml:space="preserve">1 month </t>
  </si>
  <si>
    <t>https://drive.google.com/open?id=18ZGvBLENRDpnFtEk8pa5vgpH8LovCSxW</t>
  </si>
  <si>
    <t xml:space="preserve">Python Data Structures </t>
  </si>
  <si>
    <t xml:space="preserve">- </t>
  </si>
  <si>
    <t>https://drive.google.com/open?id=1YYL7ajowjC05hE-1lr9jnWEK3HxBaqXe</t>
  </si>
  <si>
    <t>Introduction to networks</t>
  </si>
  <si>
    <t>Dr.Ravi kiran Varma</t>
  </si>
  <si>
    <t>https://drive.google.com/open?id=1L9wjC6vG7nuYvjdimem2IuS0Bw1r4G8G</t>
  </si>
  <si>
    <t xml:space="preserve">SQL for Data Science </t>
  </si>
  <si>
    <t xml:space="preserve">2 month </t>
  </si>
  <si>
    <t>https://drive.google.com/open?id=1WrZ6G5U0Tk1c9ooBvCrvbKrBvHPNs9mF</t>
  </si>
  <si>
    <t xml:space="preserve">Switching,  routinng and wireless essentials </t>
  </si>
  <si>
    <t>Dr.Ravi kiran varma</t>
  </si>
  <si>
    <t>https://drive.google.com/open?id=1-zCDceZm8HrT2MI98eNitL7FcvuByl22</t>
  </si>
  <si>
    <t xml:space="preserve">Enterprise,networking,security and automation </t>
  </si>
  <si>
    <t>https://drive.google.com/open?id=15XHduGDa7PgoZDaYpRg4GrCbAe0JtMuG</t>
  </si>
  <si>
    <t xml:space="preserve">Kantumutchu Dinesh </t>
  </si>
  <si>
    <t xml:space="preserve">Build a mobile app with Google sheets on Glide and No Coding </t>
  </si>
  <si>
    <t xml:space="preserve">1 day </t>
  </si>
  <si>
    <t>https://drive.google.com/open?id=1ruTJxLfRD91bBKO3FXzsuBZ404E4nE-J</t>
  </si>
  <si>
    <t>3days</t>
  </si>
  <si>
    <t>Vamsi sir(swecha member)</t>
  </si>
  <si>
    <t>https://drive.google.com/open?id=1d3CJEwqnnG0DPf8lZ3jX3U-orHJ8_B2K</t>
  </si>
  <si>
    <t xml:space="preserve">ARTIFICIAL INTELLIGENCE WORKSHOP </t>
  </si>
  <si>
    <t xml:space="preserve">IIT-HYDERABAD </t>
  </si>
  <si>
    <t xml:space="preserve">KYRION TECHNOLOGIES </t>
  </si>
  <si>
    <t>https://drive.google.com/open?id=19Vnr-yfir3mSMfja5hULLq4nv1UtLUFs</t>
  </si>
  <si>
    <t>https://drive.google.com/open?id=1OtmRwww0kHx5VNyzxRZUw9VdnrJnpqf0</t>
  </si>
  <si>
    <t xml:space="preserve">Nukarapu Sai Surya Harshith </t>
  </si>
  <si>
    <t>20331A05C8</t>
  </si>
  <si>
    <t>Workshop</t>
  </si>
  <si>
    <t>Workshop on data analytics using python</t>
  </si>
  <si>
    <t>JNTUGV - UCEV by Dept. Of CSE</t>
  </si>
  <si>
    <t>Sivaramakrishna.T</t>
  </si>
  <si>
    <t>https://drive.google.com/open?id=1b10yQQiqJa5x-8VGCPcRG_CInB4HWbui</t>
  </si>
  <si>
    <t>harshithnukarapu210@yahoo.com</t>
  </si>
  <si>
    <t>Madabathula Padma Praharshitha</t>
  </si>
  <si>
    <t>20331A05A3</t>
  </si>
  <si>
    <t xml:space="preserve">Workshop on data analytics using python </t>
  </si>
  <si>
    <t>JNTUGV -UCEV by department of CSE</t>
  </si>
  <si>
    <t>SIVARAMAKRISHNA.T</t>
  </si>
  <si>
    <t>https://drive.google.com/open?id=1tEBdOaI5D-hDwEhnzhVTlujb8AifOd6E</t>
  </si>
  <si>
    <t>praharshitha210@gmail.com</t>
  </si>
  <si>
    <t>https://drive.google.com/open?id=1qXwc475uw5BmiNnSXgm_E1KoedXTkkgW</t>
  </si>
  <si>
    <t>AWS cloud foundations</t>
  </si>
  <si>
    <t>Dr.Ravi Kiran varma</t>
  </si>
  <si>
    <t>https://drive.google.com/open?id=14K6nY5Zmu7aYFBOqjAHAjykSQh084Liz</t>
  </si>
  <si>
    <t>Madhavi Latha Maduthuri</t>
  </si>
  <si>
    <t>18331A0590</t>
  </si>
  <si>
    <t>Cisci Introduction to packet tracker</t>
  </si>
  <si>
    <t>Cisco Introduction to packet Tracker</t>
  </si>
  <si>
    <t>https://drive.google.com/open?id=1Sa0mof6HF9WoRTINJHjV102SRQUn-hmg</t>
  </si>
  <si>
    <t>madhavimaduthuri5@gmail.com</t>
  </si>
  <si>
    <t>1 week</t>
  </si>
  <si>
    <t>https://drive.google.com/open?id=1GUfl4mlnXROBrfPau_24WDQdpP5kWsjX</t>
  </si>
  <si>
    <t>https://drive.google.com/open?id=12i9WYJZrumjVke4Oq75AvPlAIc806ql5</t>
  </si>
  <si>
    <t>https://drive.google.com/open?id=1WWEp-QqOIqYjBMhmUKbPZ36vniwhr2Av</t>
  </si>
  <si>
    <t>Kalivarapu Nikitha</t>
  </si>
  <si>
    <t>18331A0563</t>
  </si>
  <si>
    <t>Red Hat system administration I</t>
  </si>
  <si>
    <t>Red academy</t>
  </si>
  <si>
    <t xml:space="preserve">K.V . Subba Raju </t>
  </si>
  <si>
    <t>https://drive.google.com/open?id=1P1eIRxNbNnIakpXu7ay-bcjoV6kb1-qp</t>
  </si>
  <si>
    <t>nikithakalivarapu0404@gmail.com</t>
  </si>
  <si>
    <t>Telaprolu Anusha</t>
  </si>
  <si>
    <t>18331A05F3</t>
  </si>
  <si>
    <t>DEVELOPING SOFT SKILLS AND PERSONALITY</t>
  </si>
  <si>
    <t>18 WEEKS</t>
  </si>
  <si>
    <t>https://drive.google.com/open?id=10ICl2iGnFmohHhEghsK1kCY2vbKE3S4V</t>
  </si>
  <si>
    <t>anushatelaprolu04@gmail.com</t>
  </si>
  <si>
    <t>https://drive.google.com/open?id=1aFiyWg3nKicVjRiTTKmWpmr6wrfEAy7Y</t>
  </si>
  <si>
    <t>DATABASE MANAGEMENT SYSTEM</t>
  </si>
  <si>
    <t>https://drive.google.com/open?id=1CgkJja-xS0LqyyIfSu4y9kgIUYuvt0gx</t>
  </si>
  <si>
    <t xml:space="preserve">Karuna Sri Pithani </t>
  </si>
  <si>
    <t xml:space="preserve">18331A0572 </t>
  </si>
  <si>
    <t xml:space="preserve">Cybersecurity essentials </t>
  </si>
  <si>
    <t xml:space="preserve">Cisco networking academy </t>
  </si>
  <si>
    <t xml:space="preserve">2 months </t>
  </si>
  <si>
    <t>K. V. Subba Raju</t>
  </si>
  <si>
    <t>https://drive.google.com/open?id=1bmxenqMP3W4gpKKmI_TSTLICeQwEwlpP</t>
  </si>
  <si>
    <t>pithanikarunasri2001@gmail.com</t>
  </si>
  <si>
    <t>https://drive.google.com/open?id=1nARL6r93gj8v1ZcpPA2aTvnZZw4YZEE2</t>
  </si>
  <si>
    <t>Arun Prasad</t>
  </si>
  <si>
    <t>18331A0564</t>
  </si>
  <si>
    <t>Applied Data Science Specialization</t>
  </si>
  <si>
    <t>Joseph Santarcangelo</t>
  </si>
  <si>
    <t>https://drive.google.com/open?id=1L-6Rmu3CgF-8_Se78N5N2LfPSpaEXXgt</t>
  </si>
  <si>
    <t>arunprasadkalla@gmail.com</t>
  </si>
  <si>
    <t>PROGRAMMING IN JAVA</t>
  </si>
  <si>
    <t>12 WEEKS</t>
  </si>
  <si>
    <t>https://drive.google.com/open?id=1ZG1YYMjQ4TXCkBaoZqizj2_VmRSfoIKO</t>
  </si>
  <si>
    <t>Buddharaju Pragna</t>
  </si>
  <si>
    <t>18331A05H2</t>
  </si>
  <si>
    <t>AI For Everyone</t>
  </si>
  <si>
    <t>20 days</t>
  </si>
  <si>
    <t>online</t>
  </si>
  <si>
    <t>https://drive.google.com/open?id=1mXWQ22tEBum6Qeqx3u3J2UDzE1iF6z0M</t>
  </si>
  <si>
    <t>pragnabuddharaju@gmail.com</t>
  </si>
  <si>
    <t>THE JOY OF COMPUTING USING PYTHON</t>
  </si>
  <si>
    <t>https://drive.google.com/open?id=1TA671kxGBe6lEKNctxZgT38P8oIqNMJb</t>
  </si>
  <si>
    <t>cybersecurity essentials</t>
  </si>
  <si>
    <t>DR. RAVI KIRAN VARMA</t>
  </si>
  <si>
    <t>https://drive.google.com/open?id=1ZP05LU2PnFrGBLhaKojrsGTwG9mpwlyI</t>
  </si>
  <si>
    <t>S sairam</t>
  </si>
  <si>
    <t>17331a05e8</t>
  </si>
  <si>
    <t>Runners in basketball</t>
  </si>
  <si>
    <t>Raghu college of engineering</t>
  </si>
  <si>
    <t>https://drive.google.com/open?id=14qjDpxA_-qxw3L62ORAV10i6-yrPoJ82</t>
  </si>
  <si>
    <t>saikiller0110@gmail.com</t>
  </si>
  <si>
    <t>INTRODUCTION TO NETWORKS</t>
  </si>
  <si>
    <t>5/1/0020</t>
  </si>
  <si>
    <t>K V SUBBA RAJU</t>
  </si>
  <si>
    <t>https://drive.google.com/open?id=1aUFVkujqx_v1nB1Enlhrf5_3ygCp9yAP</t>
  </si>
  <si>
    <t>https://drive.google.com/open?id=1DkiGuPWNrrJ17ziZzyj9FJD6S56uqueV</t>
  </si>
  <si>
    <t>PROGRAMMING ESSENTIALS IN C</t>
  </si>
  <si>
    <t>https://drive.google.com/open?id=1yGuzfZwmMNrNPTASHcdU8xTj7U-OG277</t>
  </si>
  <si>
    <t>Python for Everybody</t>
  </si>
  <si>
    <t>Charles Severance</t>
  </si>
  <si>
    <t>https://drive.google.com/open?id=18ppfmiEPyncUUVBWULW5JrOKj_WdGpMZ</t>
  </si>
  <si>
    <t>DATA SCIENCE</t>
  </si>
  <si>
    <t>COURSERA</t>
  </si>
  <si>
    <t>20 DAYS</t>
  </si>
  <si>
    <t>NIL</t>
  </si>
  <si>
    <t>https://drive.google.com/open?id=1EEn3-aKrMe4UR2gUR2znSArjTP68kM0u</t>
  </si>
  <si>
    <t>https://drive.google.com/open?id=1gSqponAO_29zt3P0egTKxJUtj0kBDxM5</t>
  </si>
  <si>
    <t>Sagi Gayathri</t>
  </si>
  <si>
    <t>18331A05C7</t>
  </si>
  <si>
    <t>Introduction to Cyber Attacks</t>
  </si>
  <si>
    <t>coursera</t>
  </si>
  <si>
    <t>28 days</t>
  </si>
  <si>
    <t>Online</t>
  </si>
  <si>
    <t>https://drive.google.com/open?id=1nPbHAHelH1Rzus_6GXDSVERUuLB1-m_y</t>
  </si>
  <si>
    <t>sagigayathri02@gmail.com</t>
  </si>
  <si>
    <t>30 days</t>
  </si>
  <si>
    <t>https://drive.google.com/open?id=1_zRhbWe-ZIATBTKnt5Wrb3e5ad6h5zy4</t>
  </si>
  <si>
    <t>AI FOR EVERYONE</t>
  </si>
  <si>
    <t>https://drive.google.com/open?id=1NpMNOiwnBkrEYraqidO1Z-98GkhJaxhJ</t>
  </si>
  <si>
    <t>29 days</t>
  </si>
  <si>
    <t>https://drive.google.com/open?id=1jkM9Pz_-gM1Q-WaB6KkKawPZ14FeI4li</t>
  </si>
  <si>
    <t>IBM Ai Engineering</t>
  </si>
  <si>
    <t>Romeo Kienzler</t>
  </si>
  <si>
    <t>https://drive.google.com/open?id=1gsrEmS1hLfncbXA-rvRGaO_R2PbZQppF</t>
  </si>
  <si>
    <t>Deep Learning</t>
  </si>
  <si>
    <t>Andrew Ng</t>
  </si>
  <si>
    <t>https://drive.google.com/open?id=1yN5JNH56TE1t4RD3Q3mNwVCDsSXRiUpQ</t>
  </si>
  <si>
    <t>36 days</t>
  </si>
  <si>
    <t>https://drive.google.com/open?id=1ZQNdDhW7QVnMU3V3fNKSjWx8KRbBE20y</t>
  </si>
  <si>
    <t>Deep Learning.Ai</t>
  </si>
  <si>
    <t>Course</t>
  </si>
  <si>
    <t>Subba Raju.k</t>
  </si>
  <si>
    <t>https://drive.google.com/open?id=1RJuokXaS3doZU8nzhvmSWD7IgeoPV_x4</t>
  </si>
  <si>
    <t>Web Design for Everybody</t>
  </si>
  <si>
    <t>Colleen Van Lent</t>
  </si>
  <si>
    <t>https://drive.google.com/open?id=1oBQG3ddsVRj9xP203FS0eowppN38tU9h</t>
  </si>
  <si>
    <t>C Programming</t>
  </si>
  <si>
    <t>J.J.College of Engineering and Technology</t>
  </si>
  <si>
    <t>https://drive.google.com/open?id=1KaG8ifl87vZVdinj78aAvxxBCvmdzON0</t>
  </si>
  <si>
    <t>Web Applications for Everybody</t>
  </si>
  <si>
    <t>https://drive.google.com/open?id=1IIBfarkDFsZ9NAt0KrRtpOVyEgmB92Za</t>
  </si>
  <si>
    <t xml:space="preserve">MEESALA UPENDRA VENKATA AKHIL </t>
  </si>
  <si>
    <t>18331A0597</t>
  </si>
  <si>
    <t>Aws AICTE</t>
  </si>
  <si>
    <t xml:space="preserve">10 weeks </t>
  </si>
  <si>
    <t>https://drive.google.com/open?id=1C_pOOqVb4BweyXOmoWqjvKoBG_jRZya9</t>
  </si>
  <si>
    <t>meesalaakhil2000@gmail.com</t>
  </si>
  <si>
    <t>Sanapathi Parimala</t>
  </si>
  <si>
    <t>18331A05D8</t>
  </si>
  <si>
    <t>https://drive.google.com/open?id=1_MKGKDwRsGQXTZXyb1XI02-gZj3wRvhZ</t>
  </si>
  <si>
    <t>parichari2000@gmail.com</t>
  </si>
  <si>
    <t>Praseeda Gayatri Jakkula</t>
  </si>
  <si>
    <t xml:space="preserve">18331A0559 </t>
  </si>
  <si>
    <t xml:space="preserve">Self learning </t>
  </si>
  <si>
    <t>https://drive.google.com/open?id=1DSJt6tFJ4O2jHUYmy6vh-Xa-G0Ke0L7V</t>
  </si>
  <si>
    <t>jakkulapraseeda8@gmail.com</t>
  </si>
  <si>
    <t>Verzeo</t>
  </si>
  <si>
    <t>https://drive.google.com/open?id=1jMO4xex9aLpQ4Gd4CThhIclPonr9dDQn</t>
  </si>
  <si>
    <t xml:space="preserve">Cisco </t>
  </si>
  <si>
    <t xml:space="preserve">Self learning  </t>
  </si>
  <si>
    <t>https://drive.google.com/open?id=16y1iF3l2MA9mQJEl_Y8S7lqApti--mOm</t>
  </si>
  <si>
    <t xml:space="preserve">Ravi Kiran Varma </t>
  </si>
  <si>
    <t>https://drive.google.com/open?id=18TIirDTEcMvezXQ8kG1pGurYT2PnZ9xW</t>
  </si>
  <si>
    <t>Linux</t>
  </si>
  <si>
    <t>Ret Hat Academy</t>
  </si>
  <si>
    <t>https://drive.google.com/open?id=1LsdtgiAGWx7Vab0obt7ZLMgD7sa7LOIh</t>
  </si>
  <si>
    <t>Ravi Kumar Varma</t>
  </si>
  <si>
    <t>https://drive.google.com/open?id=1unNQDUrlO24WN9Qw-Oz_biIXQnl2FzTf</t>
  </si>
  <si>
    <t xml:space="preserve">Programming essentials in python </t>
  </si>
  <si>
    <t>https://drive.google.com/open?id=1Te42C1BjAkSS5lPVsAkrwzxRDe3HYG1t</t>
  </si>
  <si>
    <t>https://drive.google.com/open?id=12YJ5IMud9HHYs3B98G5gZFsYH0UVkzhJ</t>
  </si>
  <si>
    <t>https://drive.google.com/open?id=1S_xIhpWCnipqO8l3vqfjrx7_gB06fmn1</t>
  </si>
  <si>
    <t>Introduction to cybersecurity</t>
  </si>
  <si>
    <t>DR.Ravi Kiran Varma Penmatsa</t>
  </si>
  <si>
    <t>https://drive.google.com/open?id=163j5j2XeooYEkwlKvEJ11gq6V3MU9zTa</t>
  </si>
  <si>
    <t xml:space="preserve">Python for beginners </t>
  </si>
  <si>
    <t>Udemy</t>
  </si>
  <si>
    <t>5hr</t>
  </si>
  <si>
    <t>https://drive.google.com/open?id=1YxvWo0-QXKLcKQzguE7dv8y65JIh9gKX</t>
  </si>
  <si>
    <t xml:space="preserve">Aws Academy Cloud Foundation </t>
  </si>
  <si>
    <t>https://drive.google.com/open?id=1de7x2fVjRWzN06eIg7w4V41EJ0irYQnv</t>
  </si>
  <si>
    <t>Introduction to Artificial intelligence</t>
  </si>
  <si>
    <t>https://drive.google.com/open?id=1iO3XouAEkbdhcbi2x1DPtekEr2EXacSH</t>
  </si>
  <si>
    <t>The complete  2021 php full stack web developer bootcamp</t>
  </si>
  <si>
    <t>49 hrs</t>
  </si>
  <si>
    <t>https://drive.google.com/open?id=1nGRXkId6o5cqj3xIaeRBqo0koBoDqQqF</t>
  </si>
  <si>
    <t>Aws Academy cloud architecting</t>
  </si>
  <si>
    <t xml:space="preserve">Aws Academy </t>
  </si>
  <si>
    <t xml:space="preserve">20 hours </t>
  </si>
  <si>
    <t>https://drive.google.com/open?id=14-6G2e_21ywg6bnLAmBUKYzIZlJF7i-X</t>
  </si>
  <si>
    <t>Cousera</t>
  </si>
  <si>
    <t>https://drive.google.com/open?id=1TEMftiyrdghPbyJBdcw26PbaHhraB9Gt</t>
  </si>
  <si>
    <t xml:space="preserve">Data science  for non data scientists </t>
  </si>
  <si>
    <t>5 hrs</t>
  </si>
  <si>
    <t>https://drive.google.com/open?id=1D_K3ZQUUgJStHoH0_5tpdXyvMvpvv40N</t>
  </si>
  <si>
    <t xml:space="preserve">VADLAPUDI DHEERAJ KUMAR </t>
  </si>
  <si>
    <t>18331A05G4</t>
  </si>
  <si>
    <t>AMAZON</t>
  </si>
  <si>
    <t>https://drive.google.com/open?id=1JaMGYAXjB8A_wX0xWqvSLF4SkKfTv8wQ</t>
  </si>
  <si>
    <t>vdkumar1200@gmail.com</t>
  </si>
  <si>
    <t xml:space="preserve">Web technologies </t>
  </si>
  <si>
    <t>Swecha freedom fesr</t>
  </si>
  <si>
    <t>Vamsi krishna</t>
  </si>
  <si>
    <t>https://drive.google.com/open?id=1sWMBO_Kz5DIB1sTOzC2ljXUUNi-6Jj7w</t>
  </si>
  <si>
    <t>Jakkula Praseeda</t>
  </si>
  <si>
    <t>https://drive.google.com/open?id=1mmIxRh7KV6AuPrt8ko_SCJfjgabXIUqI</t>
  </si>
  <si>
    <t xml:space="preserve">Programming for everybody </t>
  </si>
  <si>
    <t xml:space="preserve">K.V.Subba Raju </t>
  </si>
  <si>
    <t>https://drive.google.com/open?id=1zn_3aP5fg2NK4Sa2zP-gGo0Bdj0__thB</t>
  </si>
  <si>
    <t>MEESALA UPENDRA VENKATA AKHIL</t>
  </si>
  <si>
    <t>NCC "C" Certificate</t>
  </si>
  <si>
    <t>National Cadet Corps (NCC)</t>
  </si>
  <si>
    <t>https://drive.google.com/open?id=1u4P98AFX96-DheFXYHueISXv5rFBW69n</t>
  </si>
  <si>
    <t>Deep learning.AI</t>
  </si>
  <si>
    <t>Subba Raju</t>
  </si>
  <si>
    <t>https://drive.google.com/open?id=1zpmm0W3UGpW7gPZdfB1tomu7zAu655rf</t>
  </si>
  <si>
    <t>Programming essential in Python</t>
  </si>
  <si>
    <t>2 month</t>
  </si>
  <si>
    <t xml:space="preserve">Ravi Kiran Varma Penmasta </t>
  </si>
  <si>
    <t>https://drive.google.com/open?id=1vT3ht79J_rL3R2Y6cNERNbj2zqtKCjbQ</t>
  </si>
  <si>
    <t>Jampana Harshini</t>
  </si>
  <si>
    <t>18331A0561</t>
  </si>
  <si>
    <t xml:space="preserve">Artificial Internship Workshop </t>
  </si>
  <si>
    <t xml:space="preserve">IIT Hyderabad </t>
  </si>
  <si>
    <t>https://drive.google.com/open?id=1Btn5Fd1QtPh7OtnhdJFnojpZJ3vuU6is</t>
  </si>
  <si>
    <t>harshini.jampana@gmail.com</t>
  </si>
  <si>
    <t xml:space="preserve">Cybersecurity Essentials </t>
  </si>
  <si>
    <t>DR.RAVI KIRAN VARMA PENMATSA</t>
  </si>
  <si>
    <t>https://drive.google.com/open?id=1QXxIknCStY1FADfkr_8n33MRValOUXhr</t>
  </si>
  <si>
    <t>NCC "B" Certificate</t>
  </si>
  <si>
    <t>National Cadet Crops(NCC) Unit</t>
  </si>
  <si>
    <t>https://drive.google.com/open?id=1HwOWXJMOaF_1InxGLgLG3n7bJEc8Wqoy</t>
  </si>
  <si>
    <t xml:space="preserve">Winners in Football, Inter-College sports competition </t>
  </si>
  <si>
    <t xml:space="preserve">MVGR COLLEGE OF ENGINEERING </t>
  </si>
  <si>
    <t>https://drive.google.com/open?id=1v0hWKNZmunFG-b1zOpH2nMicycDJXoC2</t>
  </si>
  <si>
    <t>Harshini Jampana</t>
  </si>
  <si>
    <t>Programming for everybody (python)</t>
  </si>
  <si>
    <t xml:space="preserve">Subba Raju </t>
  </si>
  <si>
    <t>https://drive.google.com/open?id=1xj8sKmz3AYv0ZHoz3yUKwCxwhKOie9j4</t>
  </si>
  <si>
    <t>Zensar</t>
  </si>
  <si>
    <t>https://drive.google.com/open?id=1TzKAWwUItopmdVYKWq0Fxz3cBchc2C9s</t>
  </si>
  <si>
    <t>Not told yet</t>
  </si>
  <si>
    <t>4LPA</t>
  </si>
  <si>
    <t>https://drive.google.com/open?id=1P_kXvTodQgrAxLcYoHJL7hFzaXkWsdjp</t>
  </si>
  <si>
    <t xml:space="preserve">Cybersecurity Foundation </t>
  </si>
  <si>
    <t xml:space="preserve">Palo Alto Networks </t>
  </si>
  <si>
    <t>https://drive.google.com/open?id=1StTaZaaV_ip8ZODPg62FDxhm_OrJUdMv</t>
  </si>
  <si>
    <t>Harshini jampana</t>
  </si>
  <si>
    <t>https://drive.google.com/open?id=1uVtJF_NIxSsHhdA36qHb5H9Q1jIBSLHj</t>
  </si>
  <si>
    <t>Applied Machine Learning in Python</t>
  </si>
  <si>
    <t>https://drive.google.com/open?id=1gYjOMzNjOvKJepuv6ao08mqXhsq92C1T</t>
  </si>
  <si>
    <t xml:space="preserve">Subba Raju K V </t>
  </si>
  <si>
    <t>https://drive.google.com/open?id=11bQE7iUqWXnUTU6vjyfJICAwQh-lTG5q</t>
  </si>
  <si>
    <t>Joy of computing in Python</t>
  </si>
  <si>
    <t>NPTL</t>
  </si>
  <si>
    <t>https://drive.google.com/open?id=1Un1H0AIrb1uOW-ZLxouxeSlD51o_s6yJ</t>
  </si>
  <si>
    <t>https://drive.google.com/open?id=1Xd2y5nlg-K0Q_Dueeqz6RuQsBFdomNzX</t>
  </si>
  <si>
    <t xml:space="preserve">Kalivarapu Nikitha </t>
  </si>
  <si>
    <t>https://drive.google.com/open?id=1KiMO9-8cXk6324UORr6IxuY-KUyyORrZ</t>
  </si>
  <si>
    <t>18831A0561</t>
  </si>
  <si>
    <t>https://drive.google.com/open?id=1Fn17WcnzXqqx_gbD7qzad0N3XQCVJX-T</t>
  </si>
  <si>
    <t>IoT Fundamentals: Connecting Things</t>
  </si>
  <si>
    <t>https://drive.google.com/open?id=11vOXoyyj2R4fsgYVAYNT-egC_Om5iX96</t>
  </si>
  <si>
    <t>Giduturi Sneha Latha</t>
  </si>
  <si>
    <t>18331A0547</t>
  </si>
  <si>
    <t>C for Everyone: Programming Fundamentals</t>
  </si>
  <si>
    <t>https://drive.google.com/open?id=1KJE6jTvg3cwUXAjwv6DyLbIhO_2sf296</t>
  </si>
  <si>
    <t>snehalathagiduturi@gmail.com</t>
  </si>
  <si>
    <t>Yasaswi Dendukuri</t>
  </si>
  <si>
    <t>https://drive.google.com/open?id=1KmNugm_XisKqjzAylIcY0aqZxNJlRQzk</t>
  </si>
  <si>
    <t xml:space="preserve">Dandu Sravani </t>
  </si>
  <si>
    <t>18331A0529</t>
  </si>
  <si>
    <t>Coursera python for everybody</t>
  </si>
  <si>
    <t xml:space="preserve">Seven weeks </t>
  </si>
  <si>
    <t xml:space="preserve">P. Satheesh </t>
  </si>
  <si>
    <t>https://drive.google.com/open?id=1ToU8ynlyYDOTVYC4oabKICXuq5AnKW3p</t>
  </si>
  <si>
    <t>sravyadandu200@gmail.com</t>
  </si>
  <si>
    <t xml:space="preserve"> Yasaswi Dendukuri</t>
  </si>
  <si>
    <t>Html5</t>
  </si>
  <si>
    <t>Na</t>
  </si>
  <si>
    <t>https://drive.google.com/open?id=1pcLpbVr2HuqKqMGYfZNDpRDZ5rGJa3qz</t>
  </si>
  <si>
    <t>SAI VENKATA ROHIT NAIK BHUKYA</t>
  </si>
  <si>
    <t>18331A05D3</t>
  </si>
  <si>
    <t xml:space="preserve">Web Development </t>
  </si>
  <si>
    <t xml:space="preserve">6 months </t>
  </si>
  <si>
    <t xml:space="preserve">Colleen van lent </t>
  </si>
  <si>
    <t>https://drive.google.com/open?id=1__g9ayAlDo4o5BLco3HRndl_PozQVYIF</t>
  </si>
  <si>
    <t>rohitbhukya@gmail.com</t>
  </si>
  <si>
    <t>Introduction to Web development</t>
  </si>
  <si>
    <t>https://drive.google.com/open?id=1kJPv0I6H9Kk9nyK1ZXr0M2XPCPxfRoTd</t>
  </si>
  <si>
    <t>Coursera introduction to html5</t>
  </si>
  <si>
    <t>Three weeks</t>
  </si>
  <si>
    <t>https://drive.google.com/open?id=1ywwRx2BTwuQhj21kkoPE0IoFic1e0lG4</t>
  </si>
  <si>
    <t>Introduction to HTML5</t>
  </si>
  <si>
    <t>https://drive.google.com/open?id=1JQ5wy0mFP75VcieLkSgUlKUHipxnVgZB</t>
  </si>
  <si>
    <t>Major leak hacking</t>
  </si>
  <si>
    <t>GMRIT</t>
  </si>
  <si>
    <t>https://drive.google.com/open?id=1KNB5mdpBylr3Sq-X6G2GSjH6Uo6pYECQ</t>
  </si>
  <si>
    <t>18331A0539</t>
  </si>
  <si>
    <t xml:space="preserve">Coursera Python Data structures </t>
  </si>
  <si>
    <t>https://drive.google.com/open?id=1E7huDsRdgt5PdBLlOHyYPh6mOB9NeyoA</t>
  </si>
  <si>
    <t>HEXAWARE</t>
  </si>
  <si>
    <t>https://drive.google.com/open?id=1LCsKkG24i9wmznr03mspYdIeItEzVxqQ</t>
  </si>
  <si>
    <t>CHENNAI</t>
  </si>
  <si>
    <t>https://drive.google.com/open?id=1n9PlgNueWUsKnTR51cXZAMTfxtOvAthK</t>
  </si>
  <si>
    <t>K.Neelima</t>
  </si>
  <si>
    <t>National Intellectul Property Awareness Mision</t>
  </si>
  <si>
    <t>https://drive.google.com/open?id=15KfSnOojoq7cgldAyhisNnYZCXghX_TB</t>
  </si>
  <si>
    <t>KADAGALA RAVIKUAMR</t>
  </si>
  <si>
    <t>19335A0506</t>
  </si>
  <si>
    <t>https://drive.google.com/open?id=1cyFS3Sp1zfHCceCD48s7AXEP-jYbJ1bb</t>
  </si>
  <si>
    <t>ravikadagala9494@gmail.com</t>
  </si>
  <si>
    <t>CCNAv7 Introduction to Networks</t>
  </si>
  <si>
    <t>https://drive.google.com/open?id=1h9mBg40srAoiXjTsWHdo3xEaW2L5sHlk</t>
  </si>
  <si>
    <t>K. Neelima</t>
  </si>
  <si>
    <t>Neural Hack2021-season 5</t>
  </si>
  <si>
    <t>Team Virtusa</t>
  </si>
  <si>
    <t>https://drive.google.com/open?id=19jrZAI10BQmb-sfpxY5DRbl_KKgFEZOd</t>
  </si>
  <si>
    <t>CCNAv7: Switching, Routing and Wireless Essentials</t>
  </si>
  <si>
    <t>https://drive.google.com/open?id=1tDOHp__OtFWbzJDmUCm6oh-7tDAAm6WE</t>
  </si>
  <si>
    <t>NEELAPU MANISH REDDY</t>
  </si>
  <si>
    <t>18331A05B2</t>
  </si>
  <si>
    <t xml:space="preserve">Internship </t>
  </si>
  <si>
    <t xml:space="preserve">1stop </t>
  </si>
  <si>
    <t>Megha singh</t>
  </si>
  <si>
    <t>https://drive.google.com/open?id=1a89jgZ_mpPNAvxA-fn3pEpDnpQyYxyZM</t>
  </si>
  <si>
    <t>manish18200011@gmail.com</t>
  </si>
  <si>
    <t>PALO ALTO ON CYBER SECURITY</t>
  </si>
  <si>
    <t>PALO ALTO NETWORKS</t>
  </si>
  <si>
    <t>RAVI KIRAN VARMA P</t>
  </si>
  <si>
    <t>https://drive.google.com/open?id=1Oa6VnPsSdeAhKvr7XSPH2ZBfnjOkfsDN</t>
  </si>
  <si>
    <t xml:space="preserve">CCNAv7: Enterprise Networking, Security and Automation </t>
  </si>
  <si>
    <t>https://drive.google.com/open?id=119hO-WqLyV7FzJ2-_hIX5dSvmZUDHsU-</t>
  </si>
  <si>
    <t>https://drive.google.com/open?id=1rRH2ZCJXnOgm37WwXkGf_PG02fe6BEU5</t>
  </si>
  <si>
    <t xml:space="preserve">Bangalore </t>
  </si>
  <si>
    <t>4 lpa</t>
  </si>
  <si>
    <t>BLOOD DONATION CAMP</t>
  </si>
  <si>
    <t>MVGR COLLEGE OF ENGINEERING</t>
  </si>
  <si>
    <t>https://drive.google.com/open?id=1WUmGmLGyf8ZbZCJ8S4Y5ZUMjDsGOZsFK</t>
  </si>
  <si>
    <t>NCC "B" CERTIFICATE</t>
  </si>
  <si>
    <t>MINISTRY OF DEFENCE, GOVERNMENT OF INDIA</t>
  </si>
  <si>
    <t>https://drive.google.com/open?id=1B0HiC2xPJwhIF3MC1nGrmuBGAsKXTckG</t>
  </si>
  <si>
    <t>Gayatri Devi Datla</t>
  </si>
  <si>
    <t>18331A0545</t>
  </si>
  <si>
    <t xml:space="preserve">Development of softskills and personality </t>
  </si>
  <si>
    <t>https://drive.google.com/open?id=1TUDXE9LzcTF8LfMkXxNqJqzwyfWVxVjM</t>
  </si>
  <si>
    <t>gayatridevidatla2001@gmail.com</t>
  </si>
  <si>
    <t>Mummudivarapu Narendra</t>
  </si>
  <si>
    <t>19335A0511</t>
  </si>
  <si>
    <t>Programming for Everybody (Getting Started with Python), University of Michigan in  Coursera • Python Data Structures, University of Michigan in Coursera • AI For Everyone, DeepLearning.AI in Coursera • What is Data Science? IBM in Coursera, COVID19 Data Analysis Using Python</t>
  </si>
  <si>
    <t xml:space="preserve">Coursera </t>
  </si>
  <si>
    <t>100 %</t>
  </si>
  <si>
    <t>NO</t>
  </si>
  <si>
    <t>https://drive.google.com/open?id=1I6zZ9K06c1wCT1L431NBOjkohm3g5IhF</t>
  </si>
  <si>
    <t>shanmukhanarendra3@gmail.com</t>
  </si>
  <si>
    <t>Cisco - c programming essentials</t>
  </si>
  <si>
    <t>70 days</t>
  </si>
  <si>
    <t>A grade</t>
  </si>
  <si>
    <t>RAVI KIRAN  VARMA PENMATSA</t>
  </si>
  <si>
    <t>https://drive.google.com/open?id=1T_NXKMeQmB7MiH4olcxYiiU7HYwI_m2z</t>
  </si>
  <si>
    <t>SUBBA RAJU K V</t>
  </si>
  <si>
    <t>https://drive.google.com/open?id=1bJOZk-Z-twZuGoL4UVAoKmqU_iTREof7</t>
  </si>
  <si>
    <t>IELTS</t>
  </si>
  <si>
    <t>https://drive.google.com/open?id=1kQAU-tOs-0tvu_Vylj2B4e_FYdYkkup4</t>
  </si>
  <si>
    <t>https://drive.google.com/open?id=1iix9taZqOSqzBb3UlKmCC1uecq-qn_xj</t>
  </si>
  <si>
    <t>https://drive.google.com/open?id=1Lku-n1N6xKb4YeQ2ISDrulg3EnW8yOlb</t>
  </si>
  <si>
    <t>Pimpri Chinchwad College of Engineering</t>
  </si>
  <si>
    <t>https://drive.google.com/open?id=1zWfCKVgNCwM-_UZ2Ju37CgfKQENuNThd</t>
  </si>
  <si>
    <t xml:space="preserve">Softskills </t>
  </si>
  <si>
    <t>12weeks</t>
  </si>
  <si>
    <t>https://drive.google.com/open?id=1GYGDiZixLyORKX67jOnV6DN7WueVpLsm</t>
  </si>
  <si>
    <t>Mvgr college of Engineering</t>
  </si>
  <si>
    <t>B vamsi krishna</t>
  </si>
  <si>
    <t>https://drive.google.com/open?id=165gm2cIFcNxj5zaOUv4C6bN2YlDlYYeR</t>
  </si>
  <si>
    <t>Python Data Structures, University of Michigan in Coursera</t>
  </si>
  <si>
    <t>https://drive.google.com/open?id=1woLJmmeh4K84uqSqrMp4r-wGbeA2Wlh2</t>
  </si>
  <si>
    <t>PALO ALTO NETWORKS CYBERSECURITY ACADAMEY</t>
  </si>
  <si>
    <t>https://drive.google.com/open?id=1nafLwFRJBG-q1nNRHwDX29EsbpCu0eL7</t>
  </si>
  <si>
    <t>What is Data Science? IBM in Coursera</t>
  </si>
  <si>
    <t xml:space="preserve"> Coursera</t>
  </si>
  <si>
    <t>https://drive.google.com/open?id=1AmH3w3-44GU5sGNa3DzDod4lpkTUtORf</t>
  </si>
  <si>
    <t>Devadula N C S CH Sudhakar</t>
  </si>
  <si>
    <t>19335A0504</t>
  </si>
  <si>
    <t xml:space="preserve">Palo Alto networks cyber security </t>
  </si>
  <si>
    <t>palo alto</t>
  </si>
  <si>
    <t>https://drive.google.com/open?id=11kUcBBqKkglYBl2WjxBweseQQrqhNbiJ</t>
  </si>
  <si>
    <t>naveendevadula706@gmail.com</t>
  </si>
  <si>
    <t>https://drive.google.com/open?id=1jfXVxuerdSjvFtlEZeWYwfurTz0AqxaO</t>
  </si>
  <si>
    <t>COVID19 Data Analysis Using Python in Coursera Project Network</t>
  </si>
  <si>
    <t>7 days</t>
  </si>
  <si>
    <t>https://drive.google.com/open?id=1jiIJU8ZvyKMBVP_vkvOEkTVZRG6nYWi9</t>
  </si>
  <si>
    <t>AI For Everyone, DeepLearning.AI in Coursera</t>
  </si>
  <si>
    <t>99 %</t>
  </si>
  <si>
    <t>https://drive.google.com/open?id=1g4cAStMYWAGWLinDZd771nGBJDVj-ByV</t>
  </si>
  <si>
    <t>Programming for Everybody (Getting Started with Python), University of Michigan in Coursera</t>
  </si>
  <si>
    <t>96 %</t>
  </si>
  <si>
    <t>https://drive.google.com/open?id=18o0SK3peIRcyf0MCpt0WbB7IFzl3U_3J</t>
  </si>
  <si>
    <t>Gulla Sai Bhavana</t>
  </si>
  <si>
    <t>18331A0552</t>
  </si>
  <si>
    <t>Ravi Kiran varma</t>
  </si>
  <si>
    <t>https://drive.google.com/open?id=16Z5RdP2vQp6lMUtgglv2xjoJf6auni2F</t>
  </si>
  <si>
    <t>saibhavana.as16@gmail.com</t>
  </si>
  <si>
    <t>https://drive.google.com/open?id=1iaMcD70_naH6KRFWv5NG0ZCyOjxcUoAW</t>
  </si>
  <si>
    <t>Gre</t>
  </si>
  <si>
    <t>https://drive.google.com/open?id=1stKWQG_enFOYdDbP2puflITk4RHtpwWk</t>
  </si>
  <si>
    <t>Basics of C</t>
  </si>
  <si>
    <t>1Hour</t>
  </si>
  <si>
    <t>https://drive.google.com/open?id=1buShck1TZ1p1G5nDkhqST59D4U3bZYLH</t>
  </si>
  <si>
    <t>Gorle Shri Aiswarya</t>
  </si>
  <si>
    <t>18331A0549</t>
  </si>
  <si>
    <t>https://drive.google.com/open?id=1l9MmNe4Fq8SyQw1-9vTljhFxhOoq0gf_</t>
  </si>
  <si>
    <t>aiswarya15112000@gmail.com</t>
  </si>
  <si>
    <t>https://drive.google.com/open?id=182CeUHgul8js2A2Xhtd4IrhsNNqCMqVI</t>
  </si>
  <si>
    <t>Not given</t>
  </si>
  <si>
    <t>https://drive.google.com/open?id=1R4u3fohaTi7TEZxouCeFMmE0I7vah8Pd</t>
  </si>
  <si>
    <t>https://drive.google.com/open?id=1AdnImYkBMQpTsxJI24rJgH5FhywglYup</t>
  </si>
  <si>
    <t>Ganta Gayatri</t>
  </si>
  <si>
    <t>https://drive.google.com/open?id=1vqeGJy-iKtS4guA_6gnC5j3DBV2QdXDU</t>
  </si>
  <si>
    <t>AICTE Internship</t>
  </si>
  <si>
    <t>https://drive.google.com/open?id=1G-l2_HdaTZMDsWqoGZ4rN5EPJbHtt5E_</t>
  </si>
  <si>
    <t>MOUNIKA GANTA</t>
  </si>
  <si>
    <t>https://drive.google.com/open?id=1bRPpbfZ6VF2nNspGaENIdFCxpIgOX3Wf</t>
  </si>
  <si>
    <t>N K V SRIHARSHA</t>
  </si>
  <si>
    <t>18331A05A4</t>
  </si>
  <si>
    <t>Cyber security</t>
  </si>
  <si>
    <t>https://drive.google.com/open?id=15Pk_sGZWE6Flko1Wb2O2twwEnxSdKUX2</t>
  </si>
  <si>
    <t>sriharshankv312001@gmail.com</t>
  </si>
  <si>
    <t>IBM</t>
  </si>
  <si>
    <t>https://drive.google.com/open?id=1oKlHFLgb197iFG06xERQ80MBgMyQFlCO</t>
  </si>
  <si>
    <t>Bangalore</t>
  </si>
  <si>
    <t>https://drive.google.com/open?id=1pxy4YbkI-sDS6ij1d0Nqu69p9VIc-cBR</t>
  </si>
  <si>
    <t>https://drive.google.com/open?id=1SQnF_8DCN91WHC55Or2_3svZTsc2qfWR</t>
  </si>
  <si>
    <t xml:space="preserve">Ichapurapu C S V Krishna Devarayalu </t>
  </si>
  <si>
    <t>18331A0557</t>
  </si>
  <si>
    <t>https://drive.google.com/open?id=193Wgb8wmC7lrSq_ixj5T9weuc-l9Xeb8</t>
  </si>
  <si>
    <t>devarayalu29@gmail.com</t>
  </si>
  <si>
    <t>ICICI prudential life insurance</t>
  </si>
  <si>
    <t>https://drive.google.com/open?id=1MyYAqkRZDWCeVSdVFKaTl8YKOzJnYgtW</t>
  </si>
  <si>
    <t>Mumbai</t>
  </si>
  <si>
    <t>Ichapurapu C S V Krishna Devarayalu</t>
  </si>
  <si>
    <t>https://drive.google.com/open?id=1ND4We0vstlu_HdYGx2G6nGW02_8BM1Aj</t>
  </si>
  <si>
    <t>Machine learning with Verzeo</t>
  </si>
  <si>
    <t>Verzei</t>
  </si>
  <si>
    <t>https://drive.google.com/open?id=1w3Q2vDhXD7K6JmivRgDShFYxy502g-7Z</t>
  </si>
  <si>
    <t>Copyright</t>
  </si>
  <si>
    <t>1. Dr. Dayanada Murthy C P director,Academic Affairs and Research,DSNLU
2. Dr. B.K Sahu,Regional Manager and Officer Incharge IPFC&amp; TISC,NRDC,GOVT OF INDIA.
3. Shri. Ravi Gadde,Joint Director,MSME Development Institute,Visakhapatnam.
4. G.V.R. Naidu,Asst. Director, MSME Development Institute,Visakhapatnam.
5. Shri. Satish Kumar,Asst.DirectorIPR Cell,O/o DC(MSME),New Delhi.
6. Dr.R.Ramesh,Dean R&amp;D,MVGR College of Engineering,Vizianagaram</t>
  </si>
  <si>
    <t>https://drive.google.com/open?id=1N7m8oEXhRnGzxG2-xw3itirH2SvkA6r9</t>
  </si>
  <si>
    <t>PYTHON BASICS</t>
  </si>
  <si>
    <t>https://drive.google.com/open?id=1DR6n0B5vS7rx8FgO0IsPV3YHM7XgoHqq</t>
  </si>
  <si>
    <t>anushaakkena@gmail.com</t>
  </si>
  <si>
    <t>Akkena Anusha</t>
  </si>
  <si>
    <t>18331A0503</t>
  </si>
  <si>
    <t>https://drive.google.com/open?id=15v-MfMEFmUzEFJ3ZTLKtrm2EVBoDx79w</t>
  </si>
  <si>
    <t>Not mentioned</t>
  </si>
  <si>
    <t>Basics of c programming</t>
  </si>
  <si>
    <t>60 mins</t>
  </si>
  <si>
    <t>https://drive.google.com/open?id=1qnoXfzoIm_xbQw2fRc9wW-eeTtUjs97_</t>
  </si>
  <si>
    <t>Data Structures Concepts and Singly Linked List</t>
  </si>
  <si>
    <t>90mins</t>
  </si>
  <si>
    <t>https://drive.google.com/open?id=1XZPrlwYuQ8RNAX-qNAdMU_fytsLHWrYs</t>
  </si>
  <si>
    <t>AWS cloud</t>
  </si>
  <si>
    <t>https://drive.google.com/open?id=149ESPV0oXnCADUJfxkqG3CkaYT08LuIp</t>
  </si>
  <si>
    <t>Udemy c programming</t>
  </si>
  <si>
    <t>60mins</t>
  </si>
  <si>
    <t>https://drive.google.com/open?id=104yQPZ9U-vypFW9lO_evhFhRF4jQHd61</t>
  </si>
  <si>
    <t>Dumpa Divakar Reddy</t>
  </si>
  <si>
    <t>18331A0536</t>
  </si>
  <si>
    <t>Mvgr</t>
  </si>
  <si>
    <t>https://drive.google.com/open?id=1tOHKevKif4koHSLOdb0tc4-Ry3FHkosy</t>
  </si>
  <si>
    <t>dumpadivakarreddy22@gmail.com</t>
  </si>
  <si>
    <t>Angular Js to develop web apps faster</t>
  </si>
  <si>
    <t>BRAIN O VISION</t>
  </si>
  <si>
    <t>1. Dr. Datchana Moorthy Ramu
2. Dr. V. Nagesh
3. Ganesh Nag Doddi</t>
  </si>
  <si>
    <t>https://drive.google.com/open?id=1IrAvW02zQnWaBoFjCxeNvfNtAZnO5_n7</t>
  </si>
  <si>
    <t>React Js</t>
  </si>
  <si>
    <t>Dr. Datachana Murthy
Ganesh Nag Doddi
Dr.S.N.Tirumala Rao
Dr.M.Sreenivasa Kumar</t>
  </si>
  <si>
    <t>https://drive.google.com/open?id=1JTnzJnLZbGd66fe_TL_fryOq94tevmAZ</t>
  </si>
  <si>
    <t>Programming for Everybody (Getting Started with Python)</t>
  </si>
  <si>
    <t>Certified</t>
  </si>
  <si>
    <t>https://drive.google.com/open?id=1IHDuFGK8kbwPdBAfTzfr3Yms7U5O4m0P</t>
  </si>
  <si>
    <t>https://drive.google.com/open?id=13jDW6BHQVmmW42YSPFBqxRreQFVJWysf</t>
  </si>
  <si>
    <t>Machine Learning With Python</t>
  </si>
  <si>
    <t>APSSDC</t>
  </si>
  <si>
    <t>College</t>
  </si>
  <si>
    <t>https://drive.google.com/open?id=16x3z72xdhCk6YK9A67W_yXtuyx05bPN1</t>
  </si>
  <si>
    <t>Introduction to Programming in C</t>
  </si>
  <si>
    <t>https://drive.google.com/open?id=100ON6FXXFJQCTUfsWvvxEkja3pplX6TH</t>
  </si>
  <si>
    <t>B.Himavarsha</t>
  </si>
  <si>
    <t>18331A0509</t>
  </si>
  <si>
    <t>WAC workshop</t>
  </si>
  <si>
    <t>IIT Hyderabad</t>
  </si>
  <si>
    <t>Sujata mehta</t>
  </si>
  <si>
    <t>https://drive.google.com/open?id=1skgTASfCSWO8hGQPc6u4CIRldHi6rvWf</t>
  </si>
  <si>
    <t>varuhima20@gmail.com</t>
  </si>
  <si>
    <t xml:space="preserve">Dr. Ravi Kiran Varma </t>
  </si>
  <si>
    <t>https://drive.google.com/open?id=1lyip7oxDkH1x2-lP8ojF2p4l2zLatMLF</t>
  </si>
  <si>
    <t>K V Subba Raju</t>
  </si>
  <si>
    <t>https://drive.google.com/open?id=1vcHf6jIBARYMnFgJ8qweSZMkRjKwh6qh</t>
  </si>
  <si>
    <t>B Himavarsha</t>
  </si>
  <si>
    <t>Interactivity with javascript</t>
  </si>
  <si>
    <t>https://drive.google.com/open?id=1KtTbj7IeX1qRiGMk6w-TrmpeGOo0SNxk</t>
  </si>
  <si>
    <t>https://drive.google.com/open?id=1WgcdOGmJehGo22q_Q3xA0nKWoCTqTHG6</t>
  </si>
  <si>
    <t>https://drive.google.com/open?id=1QS0nQI88rgIEiYjj7TO4KU58qQvkytVU</t>
  </si>
  <si>
    <t>https://drive.google.com/open?id=1JG2cKnTAt6FFwBtdLaOvidtCwg1Gx4CN</t>
  </si>
  <si>
    <t>https://drive.google.com/open?id=1B45LHuXyosLJYJfrfizCUPhkpMVKLUxC</t>
  </si>
  <si>
    <t>https://drive.google.com/open?id=1nw46DLHTIhvxTqAm5_dB1SW8mAcDAZgU</t>
  </si>
  <si>
    <t>AI &amp; ML, Data Science</t>
  </si>
  <si>
    <t>Next Wave</t>
  </si>
  <si>
    <t>4 Months</t>
  </si>
  <si>
    <t>https://drive.google.com/open?id=1yXWfjkTzVJACdP3CmygqEhe8TFipaIH7</t>
  </si>
  <si>
    <t>10 WEEKS</t>
  </si>
  <si>
    <t>https://drive.google.com/open?id=13U9yk399AL7BvTvwZ1ytE-le7410_VoI</t>
  </si>
  <si>
    <t>coderiders</t>
  </si>
  <si>
    <t>https://drive.google.com/open?id=1QfD3YoKwUmM276CZ53kxVi9fxuGdfYai</t>
  </si>
  <si>
    <t>Implement OOPS using JAVA with Data Structures and Beyond</t>
  </si>
  <si>
    <t>Simplilearn</t>
  </si>
  <si>
    <t>https://drive.google.com/open?id=1JKiX_JHVCRcuVNSyJyJaAbmdcYd1jhGE</t>
  </si>
  <si>
    <t>https://drive.google.com/open?id=1-YPdD-Vl_sybYqQmOafz3bTBgBWsgVDU</t>
  </si>
  <si>
    <t>Sai Sri Priya Prasanthi Pulipati</t>
  </si>
  <si>
    <t>18331A05D2</t>
  </si>
  <si>
    <t>100/100</t>
  </si>
  <si>
    <t>https://drive.google.com/open?id=1AUlxpqtAYLI6dnxM8-qKO9Qz_T3OjvE4</t>
  </si>
  <si>
    <t>Priyaprasanthi.pulipati@gmail.com</t>
  </si>
  <si>
    <t>5 Months</t>
  </si>
  <si>
    <t>https://drive.google.com/open?id=19aeJwC8b5XnMxqmN3pfcrhfeawrRDQwJ</t>
  </si>
  <si>
    <t>https://drive.google.com/open?id=1VaUH-A22cfvXSe2NQUv3nyEdsF86eyPR</t>
  </si>
  <si>
    <t>Introduction to Web Development</t>
  </si>
  <si>
    <t>4 Weeks</t>
  </si>
  <si>
    <t>90/100</t>
  </si>
  <si>
    <t>Daniel Randall</t>
  </si>
  <si>
    <t>https://drive.google.com/open?id=1P8w8GvyxqUANvL9Jmnanhtu3FmIqQJiy</t>
  </si>
  <si>
    <t>Cybersecurity and the Internet of Things</t>
  </si>
  <si>
    <t>Dr. Traci Carte</t>
  </si>
  <si>
    <t>https://drive.google.com/open?id=1Ck3LnQotgKdjvrT_F1Y9zbynAxV3l9Ys</t>
  </si>
  <si>
    <t>3 weeks</t>
  </si>
  <si>
    <t>https://drive.google.com/open?id=1i8HHuCsfFOoOcbEvNBTOAB_bxCKoXHKN</t>
  </si>
  <si>
    <t>https://drive.google.com/open?id=1UBPcUGu-Eetauau5woeM7YBFkiac-EWx</t>
  </si>
  <si>
    <t>Mudili Kavya</t>
  </si>
  <si>
    <t>18331A05A1</t>
  </si>
  <si>
    <t>SQL - quiz</t>
  </si>
  <si>
    <t>Vignan institute of engineering for women</t>
  </si>
  <si>
    <t>Aruna Kumari</t>
  </si>
  <si>
    <t>https://drive.google.com/open?id=19Bz4-TSyMFGw2NJTz2LV242aaUzJXp0-</t>
  </si>
  <si>
    <t>kavyamudili2001@gmail.com</t>
  </si>
  <si>
    <t>Juspay</t>
  </si>
  <si>
    <t>Dare2Compete</t>
  </si>
  <si>
    <t>50/100</t>
  </si>
  <si>
    <t>R.Ravi Kumar</t>
  </si>
  <si>
    <t>https://drive.google.com/open?id=1_3Y3Dn-fAuceIAkVOsN3hfSh-z_L91wz</t>
  </si>
  <si>
    <t>mohammad riyazul haneef sharief</t>
  </si>
  <si>
    <t>18331A05H6</t>
  </si>
  <si>
    <t>hod</t>
  </si>
  <si>
    <t>https://drive.google.com/open?id=19h15cFhPipW5vUj08jHS_uz6zvL_TrVJ</t>
  </si>
  <si>
    <t>haneefleo10@gmail.com</t>
  </si>
  <si>
    <t>https://drive.google.com/open?id=1rlINLdDNg-MSnn6DBnOVVMwxnH4wwjcj</t>
  </si>
  <si>
    <t>Vizianagaram</t>
  </si>
  <si>
    <t>Unpaid internship</t>
  </si>
  <si>
    <t>https://drive.google.com/open?id=1gL1-pFaJTVb4ekmp6tbUST46T9MTOiEa</t>
  </si>
  <si>
    <t>Palo Alto Netwoks Cybersecurity Academy</t>
  </si>
  <si>
    <t>5 Weeks</t>
  </si>
  <si>
    <t>P.Ravi Kian Varma</t>
  </si>
  <si>
    <t>https://drive.google.com/open?id=1z3bh4S-82Zij-0NQjhYOYn9onXj1uIj5</t>
  </si>
  <si>
    <t>eduskills</t>
  </si>
  <si>
    <t>oct-dec</t>
  </si>
  <si>
    <t>https://drive.google.com/open?id=1dSLAOq_qHDJ33dDwkguw-lP3lSBua3Rv</t>
  </si>
  <si>
    <t>ipr</t>
  </si>
  <si>
    <t>nipam Intellectual  Property Office, India</t>
  </si>
  <si>
    <t>https://drive.google.com/open?id=1o9CmMMPo4x_cPDqfR1uAC4229rmDrOlE</t>
  </si>
  <si>
    <t>nptel</t>
  </si>
  <si>
    <t>programming</t>
  </si>
  <si>
    <t>13 weeks</t>
  </si>
  <si>
    <t>https://drive.google.com/open?id=1j1LJB0cHO3-M56_bgxFu7Uv7ZXpyg8IL</t>
  </si>
  <si>
    <t>redhat</t>
  </si>
  <si>
    <t>networking</t>
  </si>
  <si>
    <t>15 days</t>
  </si>
  <si>
    <t>https://drive.google.com/open?id=1DX0D2SIWhzLk7FMpUnFIMNLM8oPjm0_4</t>
  </si>
  <si>
    <t>WAC</t>
  </si>
  <si>
    <t>kyrion</t>
  </si>
  <si>
    <t>2 days</t>
  </si>
  <si>
    <t>https://drive.google.com/open?id=1yoWewoCcYE_mAq1cw9T2GlSjw8VorDod</t>
  </si>
  <si>
    <t>udemy</t>
  </si>
  <si>
    <t>html and css</t>
  </si>
  <si>
    <t>https://drive.google.com/open?id=1nco6whHmoSoug69oD_HlGJml4LsO4Mtu</t>
  </si>
  <si>
    <t>SOWMYA SHREE KALIDINDI</t>
  </si>
  <si>
    <t>18331A0562</t>
  </si>
  <si>
    <t>Red Hat system Administration</t>
  </si>
  <si>
    <t>Red Hat ACADEMY</t>
  </si>
  <si>
    <t xml:space="preserve">k v Subba Raju </t>
  </si>
  <si>
    <t>https://drive.google.com/open?id=1Fx3MGZMylb2KB4VQ8-8ri0r51KfCvmQ4</t>
  </si>
  <si>
    <t>sowmyakalidindi.01@gmail.com</t>
  </si>
  <si>
    <t xml:space="preserve"> Mallavarapu Tejaswi</t>
  </si>
  <si>
    <t>18331A0591</t>
  </si>
  <si>
    <t>Red Hat System Administration</t>
  </si>
  <si>
    <t>Red Hat Academy</t>
  </si>
  <si>
    <t xml:space="preserve">K.Subbaraju </t>
  </si>
  <si>
    <t>https://drive.google.com/open?id=1Hus_hZaH_wddVaJby0dqKYREGOtrx7re</t>
  </si>
  <si>
    <t>Mallavarapu.tejaswi@gmail.com</t>
  </si>
  <si>
    <t>Introduction to Quantum Computing</t>
  </si>
  <si>
    <t>https://drive.google.com/open?id=1Om5mTkeCm46j56W_vD94EOFJ_nV1AU5X</t>
  </si>
  <si>
    <t>l4g</t>
  </si>
  <si>
    <t>coursera International Cyber Conflicts</t>
  </si>
  <si>
    <t>https://drive.google.com/open?id=1oWasJFEXhwahVIPRB8q_8btbTW7ApZkQ</t>
  </si>
  <si>
    <t>LG4</t>
  </si>
  <si>
    <t>HOD</t>
  </si>
  <si>
    <t>https://drive.google.com/open?id=1xt5LEu5bBb-4_0oISAlYRhZxRlhgQLfX</t>
  </si>
  <si>
    <t>L4G</t>
  </si>
  <si>
    <t>Internet of Things: Communication Technologies</t>
  </si>
  <si>
    <t>https://drive.google.com/open?id=1RweKqsvzDX5niTTmixe4L1DXbfBCvLMk</t>
  </si>
  <si>
    <t>CHANDANA PITLA</t>
  </si>
  <si>
    <t>18331A05C1</t>
  </si>
  <si>
    <t>N/A</t>
  </si>
  <si>
    <t>https://drive.google.com/open?id=1DS6ZBes_FtFimJEeFfznz8YwMYxneyMB</t>
  </si>
  <si>
    <t>pitlachandana@gmail.com</t>
  </si>
  <si>
    <t>https://drive.google.com/open?id=1rOpA9Qf3MkBT8yJhdUGsZiyuUl0f6ufw</t>
  </si>
  <si>
    <t>https://drive.google.com/open?id=1fzMlUctlFglMIqKFJADBsK49j0d5pd8G</t>
  </si>
  <si>
    <t>1833A05C1</t>
  </si>
  <si>
    <t>4 WEEKS</t>
  </si>
  <si>
    <t>https://drive.google.com/open?id=1eCpyWkLyc-6dr-tMZugc9DkqbKcpQtVl</t>
  </si>
  <si>
    <t>Mallavarapu Tejaswi</t>
  </si>
  <si>
    <t>Web Technologies</t>
  </si>
  <si>
    <t>M.Vamsi krisha</t>
  </si>
  <si>
    <t>https://drive.google.com/open?id=1f7ZdZP0Y8ylvFDgvbt3EbAAAlwQBCWbP</t>
  </si>
  <si>
    <t xml:space="preserve">KALIDINDI SOWMYA SHREE </t>
  </si>
  <si>
    <t>ARTIFICIAL INTELLIGENE WORKSHOP</t>
  </si>
  <si>
    <t xml:space="preserve">Kyrion Technologies pvt </t>
  </si>
  <si>
    <t>Rishabh Mehta</t>
  </si>
  <si>
    <t>https://drive.google.com/open?id=135Q2r1gTVjaVA3KaRMDJ0K-zgdyfsFgO</t>
  </si>
  <si>
    <t>Design Thinking for the Greater Good: Innovation in the Social Sector</t>
  </si>
  <si>
    <t>https://drive.google.com/open?id=1lbtq1ot8rFAJUeIqnZAXSgTiy6gaVoOc</t>
  </si>
  <si>
    <t>tadisatishreddy2000@gmail.com</t>
  </si>
  <si>
    <t>Tadi Satish Reddy</t>
  </si>
  <si>
    <t>18331A05F0</t>
  </si>
  <si>
    <t>Hyundai Mobis</t>
  </si>
  <si>
    <t>https://drive.google.com/open?id=1oE8-5Rv1pgHd2n7iM2-tekmBSDdmdp1X</t>
  </si>
  <si>
    <t>4.5 LPA</t>
  </si>
  <si>
    <t>Swecha(FSM-AP)</t>
  </si>
  <si>
    <t>https://drive.google.com/open?id=1Ul6j1tdopkDnXwGZ284vPMkX5WE8h6-k</t>
  </si>
  <si>
    <t>Web Design for Everybody Capstone</t>
  </si>
  <si>
    <t>6 WEEKS</t>
  </si>
  <si>
    <t>https://drive.google.com/open?id=1Ctfpt_XIN9hAYn3bHXijID1hrcsz-gMV</t>
  </si>
  <si>
    <t>DR RAVI KIRAN VARMA PENMATSA</t>
  </si>
  <si>
    <t>https://drive.google.com/open?id=1ewXXWm2TWYbNSnabislMMRorrSBEDccP</t>
  </si>
  <si>
    <t>Speak English Professionally: In Person, Online &amp; On the Phone</t>
  </si>
  <si>
    <t>5 WEEKS</t>
  </si>
  <si>
    <t>https://drive.google.com/open?id=18dAxoIXFcIgmNM697BE2ZyWofCJK-k-S</t>
  </si>
  <si>
    <t>INTRODUCTION TO CYBERSECURITY</t>
  </si>
  <si>
    <t>https://drive.google.com/open?id=1KmZO2SOcVkXhna0Y1SSTfbCAazPqP9wm</t>
  </si>
  <si>
    <t>Dr.P Ravikiran Varma</t>
  </si>
  <si>
    <t>https://drive.google.com/open?id=1KsJQ4g2v1OiJ-Y3MxO_I9mqFmrJrAW7S</t>
  </si>
  <si>
    <t>7 WEEKS</t>
  </si>
  <si>
    <t>https://drive.google.com/open?id=1CAgQLguOwJiwiLffS2m5njKmzhOeqroo</t>
  </si>
  <si>
    <t>Dr. P Ravi kiran Varma</t>
  </si>
  <si>
    <t>https://drive.google.com/open?id=1EoNPL_1E82X1InuZl-Fo7mxvYqTLOY7X</t>
  </si>
  <si>
    <t>pitla chandana</t>
  </si>
  <si>
    <t>Dart Programming Language</t>
  </si>
  <si>
    <t>https://drive.google.com/open?id=18qYGJEXtnFFuODV51Xsx6ukkfnK9x7e_</t>
  </si>
  <si>
    <t>COGNIZANT</t>
  </si>
  <si>
    <t>https://drive.google.com/open?id=15n55aEqfKyP6UPUXflhsoxybtRV7Im2Z</t>
  </si>
  <si>
    <t>HYDERABAD</t>
  </si>
  <si>
    <t>4 LAC</t>
  </si>
  <si>
    <t>20DAYS</t>
  </si>
  <si>
    <t>https://drive.google.com/open?id=1I3FsKgZVcxoWW5NeYzNV2ZxGBoIbCnKe</t>
  </si>
  <si>
    <t>SOWMYA SHREE</t>
  </si>
  <si>
    <t>DEEP LEARNING.AI</t>
  </si>
  <si>
    <t>https://drive.google.com/open?id=1kFaXnM7AKbPqvJ7OkEBuEez0r0yNOk4J</t>
  </si>
  <si>
    <t xml:space="preserve"> Programming Essentials in C</t>
  </si>
  <si>
    <t>https://drive.google.com/open?id=18pgc0gm0hmGPJP9oH8JCJDHPND5ntMnR</t>
  </si>
  <si>
    <t>CYBERSECURITY essentials</t>
  </si>
  <si>
    <t>RAVIKIRAN VARMA</t>
  </si>
  <si>
    <t>https://drive.google.com/open?id=1mLca-pf2cnjAaPzLwB8dZU0P4r-iP5-v</t>
  </si>
  <si>
    <t>python programming</t>
  </si>
  <si>
    <t>na</t>
  </si>
  <si>
    <t>https://drive.google.com/open?id=1fD-93RwXXhC0K5ycSPrdDptYbiWhn34J</t>
  </si>
  <si>
    <t xml:space="preserve">SOWMYA SHREE </t>
  </si>
  <si>
    <t>Programming for everybody</t>
  </si>
  <si>
    <t>https://drive.google.com/open?id=1I29xo311bxhhi0UhASwQ_9tsxhTs0JSF</t>
  </si>
  <si>
    <t>https://drive.google.com/open?id=1rXxIP0-ycjvngDbWwuTy-ueH2NHTPTs_</t>
  </si>
  <si>
    <t xml:space="preserve"> AI For Everyone</t>
  </si>
  <si>
    <t>https://drive.google.com/open?id=1napAuTrFY6jTxUg6igWVS81ratYpZGNx</t>
  </si>
  <si>
    <t>CLA : programming essentials with c</t>
  </si>
  <si>
    <t>4 MONTHS</t>
  </si>
  <si>
    <t>DR.P.RAVI KIRAN VARMA</t>
  </si>
  <si>
    <t>https://drive.google.com/open?id=10jN8ft_iXeXc4DHwstW5z-1I0QAWcWtR</t>
  </si>
  <si>
    <t>Design Thinking for Innovation</t>
  </si>
  <si>
    <t>JEANNE M LIEDTKA</t>
  </si>
  <si>
    <t>https://drive.google.com/open?id=1BEfNeiiEu9LMjljlAsteG1kp_wTycme-</t>
  </si>
  <si>
    <t>KARUNA SRI PITHANI</t>
  </si>
  <si>
    <t>18331A0572</t>
  </si>
  <si>
    <t xml:space="preserve">K.V. Subba Raju </t>
  </si>
  <si>
    <t>https://drive.google.com/open?id=1V3fybC-DGobMr_SsQLb8jGq39MBPwary</t>
  </si>
  <si>
    <t>https://drive.google.com/open?id=1zD8mOZDCOPlEwskVEI9iFlOwZiKFVwqA</t>
  </si>
  <si>
    <t>SOWMYA KALIDINDI</t>
  </si>
  <si>
    <t>https://drive.google.com/open?id=1DmPs353d-h_k805KpRM5_WLtihWEXRzd</t>
  </si>
  <si>
    <t xml:space="preserve">Mvgr Dean </t>
  </si>
  <si>
    <t>B.Sujatha</t>
  </si>
  <si>
    <t>https://drive.google.com/open?id=1GbkxbsFGmye-z56y_xPiRNG9eToM2ch7</t>
  </si>
  <si>
    <t>Switching, Routing, and Wireless Essentials</t>
  </si>
  <si>
    <t>https://drive.google.com/open?id=1CDB0KVbPqd39RcXbdpdW2pLBV-s3QZtu</t>
  </si>
  <si>
    <t>https://drive.google.com/open?id=1XzpEHnmsRo1Uja7H4Ago-dTSgB7E3juT</t>
  </si>
  <si>
    <t>https://drive.google.com/open?id=16gZmeUvS9zZULTRIPtzvstcoMURbbR7z</t>
  </si>
  <si>
    <t>Math Quiz</t>
  </si>
  <si>
    <t>K.RAMAKRISHNAN college of technology</t>
  </si>
  <si>
    <t>https://drive.google.com/open?id=1sGz2Ht7iO4CJXa-dYUGiz7pcwTQPBs37</t>
  </si>
  <si>
    <t>DR. P. Ravi Kiran Varma</t>
  </si>
  <si>
    <t>https://drive.google.com/open?id=1RnC2GbH-CfcVWrmFfeFFuPPZWipJe-1V</t>
  </si>
  <si>
    <t>Partner: PCAP - Programming Essentials in Python</t>
  </si>
  <si>
    <t>https://drive.google.com/open?id=1Sx1ZyD2BHcQN0GDSRkGEnVP0HUCSDu2X</t>
  </si>
  <si>
    <t>https://drive.google.com/open?id=1FrmD4FrVsbwjfv3n3SsjPWzxbBvJl3aH</t>
  </si>
  <si>
    <t>https://drive.google.com/open?id=1yvAZgwQQ0WAUyCgbaDFF-bYA-saESrT9</t>
  </si>
  <si>
    <t>Partner: CLA - Programming Essentials in C</t>
  </si>
  <si>
    <t>https://drive.google.com/open?id=1vP7XB9PLCSVA5x3_RS9FgkgZg7Yg90Kh</t>
  </si>
  <si>
    <t>Swathi Paluri</t>
  </si>
  <si>
    <t>19335A0516</t>
  </si>
  <si>
    <t>https://drive.google.com/open?id=1GMChl2S9RjFtG0f56onc7V-grHCA0_D-</t>
  </si>
  <si>
    <t>swathich164@gmail.com</t>
  </si>
  <si>
    <t>https://drive.google.com/open?id=1hxMUQFll5RKAmvU_5YVnns8Ot4gix8Ew</t>
  </si>
  <si>
    <t>https://drive.google.com/open?id=1tluUCTW5833qn2Y2I016fUFLNcvU9wQN</t>
  </si>
  <si>
    <t>https://drive.google.com/open?id=1dKrpoYYtE0hUM6zbt2JQ32HhCmpAw7eb</t>
  </si>
  <si>
    <t>https://drive.google.com/open?id=1BSdn0sj7sm_8k8qnMWJVLWe2eDruQRFu</t>
  </si>
  <si>
    <t>https://drive.google.com/open?id=11I6_ATL91tvllYsQB01c8ZC_aPNM__yt</t>
  </si>
  <si>
    <t>https://drive.google.com/open?id=1KVLd8bu3XroEMIX5eGBRLp0Ny1PYDFLa</t>
  </si>
  <si>
    <t>EDUSKILLS</t>
  </si>
  <si>
    <t>OCT - DEC</t>
  </si>
  <si>
    <t>https://drive.google.com/open?id=185yq5reXH52Tg4xzEngzlZp5G3H3apQs</t>
  </si>
  <si>
    <t>https://drive.google.com/open?id=1dclhAY9hOiRHeG2Veptfo-i5Pl2ti7ub</t>
  </si>
  <si>
    <t>https://drive.google.com/open?id=1V-ZHoqUtAElJvV2UCSkugzD7cF6D22cX</t>
  </si>
  <si>
    <t>https://drive.google.com/open?id=1ijOUB7VQ2hNHPGHW72G42Z4NKaQLEOd1</t>
  </si>
  <si>
    <t>Introduction to Microsoft Azure Cloud Services</t>
  </si>
  <si>
    <t>https://drive.google.com/open?id=1Ag7a8-iLv_jbwDS4g5LMfd_Qm1mYghCP</t>
  </si>
  <si>
    <t>183331A0572</t>
  </si>
  <si>
    <t>K. Prasad Rao</t>
  </si>
  <si>
    <t>https://drive.google.com/open?id=1DGq3Z9Hv6wdsfDLdxFHWrkfim1dk2reA</t>
  </si>
  <si>
    <t>The Science of Well-Being</t>
  </si>
  <si>
    <t>Laurie Santos</t>
  </si>
  <si>
    <t>https://drive.google.com/open?id=1jRQLjFUB42L-7lWbY9cFdYdWHXICyjt1</t>
  </si>
  <si>
    <t>Science of Exercise</t>
  </si>
  <si>
    <t>Robert Mazzeo</t>
  </si>
  <si>
    <t>https://drive.google.com/open?id=1xuoVqr0QMgCsvz5rFTo9SVoMb5UeU67O</t>
  </si>
  <si>
    <t>Dart Programming</t>
  </si>
  <si>
    <t>https://drive.google.com/open?id=1GYI3beS34UKdwNxyKDCVgA7e5RJ2y8RA</t>
  </si>
  <si>
    <t>DR.P.Ravi Kiran Varma</t>
  </si>
  <si>
    <t>https://drive.google.com/open?id=1VksBdV3ybINuVdznQDBP-Cr4O1vi219V</t>
  </si>
  <si>
    <t>https://drive.google.com/open?id=1WPQVCAEf6avo8QyVvfSh5zhD9uLCPNij</t>
  </si>
  <si>
    <t>Python Data Structure</t>
  </si>
  <si>
    <t>https://drive.google.com/open?id=1ST4b8Hp_jhQRMiO7hFlz-QG0wtYMcjcr</t>
  </si>
  <si>
    <t>https://drive.google.com/open?id=149E4ROiJYHPw5OBN0KsGUY5hFPqL8gfC</t>
  </si>
  <si>
    <t>https://drive.google.com/open?id=1KZYZ-Lb9-WgsfgcK-Baipk7HTxVfU9w-</t>
  </si>
  <si>
    <t>https://drive.google.com/open?id=1NQc3uCU_vybJQ93r1wFSyFbEWe15DgTn</t>
  </si>
  <si>
    <t>Modern Art &amp; Ideas</t>
  </si>
  <si>
    <t>Lisa Mazzola</t>
  </si>
  <si>
    <t>https://drive.google.com/open?id=1GZ6HmXd0Z96Lgo4uEZ3qL3WT5kxQ6Pde</t>
  </si>
  <si>
    <t>https://drive.google.com/open?id=1iOl5zk8jwAhdEaC20sFGrBDFkqGX_xRy</t>
  </si>
  <si>
    <t>Introduction to Philosophy</t>
  </si>
  <si>
    <t>Dave Ward</t>
  </si>
  <si>
    <t>https://drive.google.com/open?id=15zLmiPTwGlB263x4Rbuxp5ft-FbLEaKg</t>
  </si>
  <si>
    <t>Influencing People</t>
  </si>
  <si>
    <t>Scott DeRue</t>
  </si>
  <si>
    <t>https://drive.google.com/open?id=1lDoQoKhSD4BIbKrcvBDXhksloXGEnkvG</t>
  </si>
  <si>
    <t>Anatomy: Musculoskeletal and Integumentary Systems</t>
  </si>
  <si>
    <t>Kathleen Alsup</t>
  </si>
  <si>
    <t>https://drive.google.com/open?id=1idI9O8jYBlqxO8yVanfpu18hvzSMfcj_</t>
  </si>
  <si>
    <t>Adjunct Professor Andrew Ng</t>
  </si>
  <si>
    <t>https://drive.google.com/open?id=1YXipXLsc-4Z-v_4cuaF6acWtj_t6PegX</t>
  </si>
  <si>
    <t>1 hr</t>
  </si>
  <si>
    <t>https://drive.google.com/open?id=12vI9Z20YOFsMeRIFDcYp1nDbnAFwzEYW</t>
  </si>
  <si>
    <t>https://drive.google.com/open?id=1uYuYXkdEWryncIHec1p4qelhklqO9KIq</t>
  </si>
  <si>
    <t>National Intellectual Property Awareness Mission</t>
  </si>
  <si>
    <t>1hr</t>
  </si>
  <si>
    <t>Kalyan Chakravarthi</t>
  </si>
  <si>
    <t>https://drive.google.com/open?id=1WKQ6Zat4I6cv91_KTvrVBOEV6xr2MpY5</t>
  </si>
  <si>
    <t>Kasi Suresh</t>
  </si>
  <si>
    <t>18331A0573</t>
  </si>
  <si>
    <t>Crash course on python</t>
  </si>
  <si>
    <t>https://drive.google.com/open?id=1LlmpZ_qnGbwpVaiBXux7TglB4Rh5Ters</t>
  </si>
  <si>
    <t>sureshkasi06@gmail.com</t>
  </si>
  <si>
    <t>Cisco Cybersecurity essentials</t>
  </si>
  <si>
    <t>KV SUBBARAJU</t>
  </si>
  <si>
    <t>https://drive.google.com/open?id=1snsrBX1UnEHDW1ZYLbuttCJHV_PROQ0g</t>
  </si>
  <si>
    <t>Naveen Kumar Penta</t>
  </si>
  <si>
    <t>18331A05B7</t>
  </si>
  <si>
    <t>Introduction to programming in C</t>
  </si>
  <si>
    <t>Nptel online certification</t>
  </si>
  <si>
    <t>Subbaraju</t>
  </si>
  <si>
    <t>https://drive.google.com/open?id=1UtdWvpvtlF3ujQ68A99h3BMwzhOk8LTf</t>
  </si>
  <si>
    <t>naveenkumarpenta15@gmail.com</t>
  </si>
  <si>
    <t>Cisco, CLA</t>
  </si>
  <si>
    <t>Above 60%</t>
  </si>
  <si>
    <t>Subbaraju k v</t>
  </si>
  <si>
    <t>https://drive.google.com/open?id=1Gwih3gqGq6Q54ZAYZdM5T7GpIxCh4skf</t>
  </si>
  <si>
    <t>Cyber security essentials</t>
  </si>
  <si>
    <t>Cisco netacad</t>
  </si>
  <si>
    <t>Subbaraju K V</t>
  </si>
  <si>
    <t>https://drive.google.com/open?id=18LI4k02AlcJkQR7kYxO2sU6TvLjZRnR2</t>
  </si>
  <si>
    <t>Programming essentials in python</t>
  </si>
  <si>
    <t>Cisco Netacad</t>
  </si>
  <si>
    <t>https://drive.google.com/open?id=1TIANKWZqybsJ4s54dnDKxsWmd6fSGmzv</t>
  </si>
  <si>
    <t xml:space="preserve">Dbms SQL online quiz </t>
  </si>
  <si>
    <t>Vignan's institute of engineering womens</t>
  </si>
  <si>
    <t>https://drive.google.com/open?id=134UiPRoXaCxJnCMdOhg1Gql8_3OtEd_z</t>
  </si>
  <si>
    <t>Swecha volunteers</t>
  </si>
  <si>
    <t>https://drive.google.com/open?id=1Q-7YhkSF7m4wLi3K0CVmURJR9q2aTB2J</t>
  </si>
  <si>
    <t>GNU/Linux Admin and Programming with python</t>
  </si>
  <si>
    <t>Hemanth,Prasanna,Sai kumar</t>
  </si>
  <si>
    <t>https://drive.google.com/open?id=1nHKEpBmLzwDIC7-hYAYMG2_dJItDviPX</t>
  </si>
  <si>
    <t>chandra sekhar naidu</t>
  </si>
  <si>
    <t>20331A05A8</t>
  </si>
  <si>
    <t>Professor Ira Pohl, PhD,</t>
  </si>
  <si>
    <t>https://drive.google.com/open?id=19J4nmDFGt6M9WCEJQNAyedpsrJrnPnSO</t>
  </si>
  <si>
    <t>naiduchandrasekhar23@gmail.com</t>
  </si>
  <si>
    <t>Savant Venkata Sai Mullapudi</t>
  </si>
  <si>
    <t>18331A05G7</t>
  </si>
  <si>
    <t>10/10</t>
  </si>
  <si>
    <t>Mr. Ravi Kiran Varma</t>
  </si>
  <si>
    <t>https://drive.google.com/open?id=1ag8xXp9J_hg2avLex4CCudLV_lqvxbz9</t>
  </si>
  <si>
    <t>savant.mullapudi@gmail.com</t>
  </si>
  <si>
    <t>Pro Digital Worx</t>
  </si>
  <si>
    <t>https://drive.google.com/open?id=1XQxkvsPZxMq63zzQhpUlzZHGT-30Giml</t>
  </si>
  <si>
    <t xml:space="preserve">Savant Venkata Sai Mullapudi </t>
  </si>
  <si>
    <t>AWS Virtual internship</t>
  </si>
  <si>
    <t>https://drive.google.com/open?id=1lThSYHiqJHzqahEuh_3YUwc0a9q2IBhp</t>
  </si>
  <si>
    <t>Cisco Certifications</t>
  </si>
  <si>
    <t>https://drive.google.com/open?id=1Ajs9l4X8WbxrWo2002eOfyCA9CGdMv9p</t>
  </si>
  <si>
    <t>Cybersecurity course</t>
  </si>
  <si>
    <t>Palo Alto Acdemy</t>
  </si>
  <si>
    <t>https://drive.google.com/open?id=1I6lz0VHdmJ63xafnDKePv1Nz0ganYjql</t>
  </si>
  <si>
    <t>Programming essentials on Python</t>
  </si>
  <si>
    <t>https://drive.google.com/open?id=16oKlg_rKMdoqmLF-Q6oHHqpa3u5Ey7al</t>
  </si>
  <si>
    <t>Virtusa Nueral Hack</t>
  </si>
  <si>
    <t>https://drive.google.com/open?id=1uTswfh5k6-rIOfPskt7WzSag8mhnF2uE</t>
  </si>
  <si>
    <t>https://drive.google.com/open?id=1WqlqoKN7RCPaHZu3tKUP64aR1eTIIRms</t>
  </si>
  <si>
    <t>Unknown</t>
  </si>
  <si>
    <t>https://drive.google.com/open?id=1DeZf8Izquo12knJ7xhM8jkqs47vI9VAG</t>
  </si>
  <si>
    <t xml:space="preserve">VADAPALLI  HASITHA   </t>
  </si>
  <si>
    <t>18331A05G2</t>
  </si>
  <si>
    <t>https://drive.google.com/open?id=1iddx6GiyzoGylhxCDI-E-V5ifL8jy-ki</t>
  </si>
  <si>
    <t>hasithavarma1234@gmail.com</t>
  </si>
  <si>
    <t>https://drive.google.com/open?id=1mupstIOV7geibVsKyebzZh5v-A2TfVam</t>
  </si>
  <si>
    <t>Vadapalli Hasitha</t>
  </si>
  <si>
    <t xml:space="preserve"> AWS Academy </t>
  </si>
  <si>
    <t>https://drive.google.com/open?id=1fjnwkCATs7XldWAR7MZNuQUb05pDdhNb</t>
  </si>
  <si>
    <t>30 Days</t>
  </si>
  <si>
    <t>https://drive.google.com/open?id=1mn0SSjIJN5TMndifLbcIyvt7Gn7ZzLDt</t>
  </si>
  <si>
    <t>AI WORKSHOP</t>
  </si>
  <si>
    <t>Kyrion Technologies at IIT Hyderabad</t>
  </si>
  <si>
    <t>2 Days</t>
  </si>
  <si>
    <t>No Exam</t>
  </si>
  <si>
    <t>https://drive.google.com/open?id=1oGd0TgPMSs2_aUaC7MhhXkTdYXkrrSp8</t>
  </si>
  <si>
    <t>Vattikulla Sharmila</t>
  </si>
  <si>
    <t>18331A05H8</t>
  </si>
  <si>
    <t>National Level Student Workshop on ReactJs</t>
  </si>
  <si>
    <t>Brainovision solution India pvt.ltd</t>
  </si>
  <si>
    <t>Vishnu</t>
  </si>
  <si>
    <t>https://drive.google.com/open?id=1KloXdaVGNkXol7VQk2g9ENDnLuu-Zmt5</t>
  </si>
  <si>
    <t>sharmilavattikulla@gmail.com</t>
  </si>
  <si>
    <t>https://drive.google.com/open?id=107KWl7vHy4JvgbFp97Q2TqLetMA7I7ZT</t>
  </si>
  <si>
    <t>Eduskills</t>
  </si>
  <si>
    <t>https://drive.google.com/open?id=1gKXf64OaYsX91n6YGp_dwGAQ9rb5W9na</t>
  </si>
  <si>
    <t>https://drive.google.com/open?id=1Sc50u7O2yN6wdOggs836WOqMRMciijHi</t>
  </si>
  <si>
    <t>Not yet known</t>
  </si>
  <si>
    <t>Python progmming Quiz</t>
  </si>
  <si>
    <t>Siddhartha Institute of Engineering &amp; Technology</t>
  </si>
  <si>
    <t>1Day</t>
  </si>
  <si>
    <t>https://drive.google.com/open?id=1erC_GJzEFzMEUrIt7RCB1gE5rOo1vD_9</t>
  </si>
  <si>
    <t>Vignan's Institute of Engineering for Women</t>
  </si>
  <si>
    <t>https://drive.google.com/open?id=1hK2pBkdTZDKlPOmiNsZBHAE_l9PK0ReV</t>
  </si>
  <si>
    <t>5/2/2019</t>
  </si>
  <si>
    <t>https://drive.google.com/open?id=1UH29DWZ7mNJAc3hFq7J6-52l9vH-o75V</t>
  </si>
  <si>
    <t>Vadapalli  Hasitha</t>
  </si>
  <si>
    <t>https://drive.google.com/open?id=1gwt9YnCs_Mw_5hdc2VLXTf3wKncfuc6Q</t>
  </si>
  <si>
    <t>Hari Ramakrishna Turpati</t>
  </si>
  <si>
    <t>18331A05F9</t>
  </si>
  <si>
    <t>C</t>
  </si>
  <si>
    <t>Netacad</t>
  </si>
  <si>
    <t>https://drive.google.com/open?id=1MaIstHqnDkNHBOsPBnH7PCPqV-V-vA3u</t>
  </si>
  <si>
    <t>thriramakrishna95@gmail.com</t>
  </si>
  <si>
    <t>Sravani Sreepada</t>
  </si>
  <si>
    <t>19331A05G1</t>
  </si>
  <si>
    <t>https://drive.google.com/open?id=1R_crjsy8Lbn26MMooTRDEIdrtwv0l2F0</t>
  </si>
  <si>
    <t>sreepadasravani@gmail.com</t>
  </si>
  <si>
    <t>Introduction to packet tracer</t>
  </si>
  <si>
    <t>https://drive.google.com/open?id=1kCej-tFd2U_21HOqTq7dkkunOSUkz9PY</t>
  </si>
  <si>
    <t>https://drive.google.com/open?id=12D6tVmvoLlsK_hHZi7DYhiLtuyKu3-k3</t>
  </si>
  <si>
    <t>Switching Routing and wireless essentials</t>
  </si>
  <si>
    <t>https://drive.google.com/open?id=1f4IbL3inliT5llRVq8Zb-tsbD5AxG-bz</t>
  </si>
  <si>
    <t>https://drive.google.com/open?id=1sGwuj9VRKy0EKAY8yVgQ1Dcof6o5oKcu</t>
  </si>
  <si>
    <t>Dr. Ravi kiran varma</t>
  </si>
  <si>
    <t>https://drive.google.com/open?id=1j1-oZeZS2g_ZOxn2CBPUDerYewVdGTrB</t>
  </si>
  <si>
    <t>Introduction to cyber security</t>
  </si>
  <si>
    <t>https://drive.google.com/open?id=17YaiJ7jsRQYYiWUOAI1WTjDUII1YWA80</t>
  </si>
  <si>
    <t>Palo alto networks</t>
  </si>
  <si>
    <t>https://drive.google.com/open?id=1TUx6HI9v0Krubux7DA1wOgRCNkWizT7H</t>
  </si>
  <si>
    <t>AWS certified Solutions architect- associate</t>
  </si>
  <si>
    <t>Amazon Web Services</t>
  </si>
  <si>
    <t>Amazon Organisation exam</t>
  </si>
  <si>
    <t>https://drive.google.com/open?id=1Oon8p6ylgk_W4ZWn769axktQh7m85hqJ</t>
  </si>
  <si>
    <t>7 weeks</t>
  </si>
  <si>
    <t xml:space="preserve"> Charles Russell Severance</t>
  </si>
  <si>
    <t>https://drive.google.com/open?id=1a5C1fy7ElXVeE8z6o5zy1tZ2Ook-dC0p</t>
  </si>
  <si>
    <t>Hari Rama Krishna Turpati</t>
  </si>
  <si>
    <t>Internet of things</t>
  </si>
  <si>
    <t>IIT- Hyderabad</t>
  </si>
  <si>
    <t>Rishab Mehta</t>
  </si>
  <si>
    <t>https://drive.google.com/open?id=1_Ond_jtt-d4exjAneB4sKCd2EikihoCK</t>
  </si>
  <si>
    <t>Hari Rama krishna Turpati</t>
  </si>
  <si>
    <t>ProDigital Worx</t>
  </si>
  <si>
    <t>https://drive.google.com/open?id=1iT_54ac8mHt0eNjUvGQm683y9KsMKAtY</t>
  </si>
  <si>
    <t>jamiharshini123@gmail.com</t>
  </si>
  <si>
    <t>Jami Harshini</t>
  </si>
  <si>
    <t>18331A0560</t>
  </si>
  <si>
    <t>https://drive.google.com/open?id=1ygSpxfiwRrg2HFxEQJvY4dUJ1FceX5cU</t>
  </si>
  <si>
    <t>3.36 LPA</t>
  </si>
  <si>
    <t>Sai Yogesh Bhasuru</t>
  </si>
  <si>
    <t>18331A05D4</t>
  </si>
  <si>
    <t>GATE 2022</t>
  </si>
  <si>
    <t>https://drive.google.com/open?id=1dSDVLhcrt7gnGStAc0MGnLY3tlUVTYjV</t>
  </si>
  <si>
    <t>saiyogeshbhasuru16@gmail.com</t>
  </si>
  <si>
    <t>yarusha lavanya</t>
  </si>
  <si>
    <t>18331A05E4</t>
  </si>
  <si>
    <t>deep learning</t>
  </si>
  <si>
    <t>https://drive.google.com/open?id=1ZZA504_CZJJomGE-VQrhHmlKo50Jlrb8</t>
  </si>
  <si>
    <t>lavanyayarusha25@gmail.com</t>
  </si>
  <si>
    <t>CYBER SECURITY</t>
  </si>
  <si>
    <t>PALO ALTO NETWORKS CYBERSECURITY ACADEMY</t>
  </si>
  <si>
    <t>https://drive.google.com/open?id=1ySydhHPSGF509jC_hYDhMEh1dGCh1YnY</t>
  </si>
  <si>
    <t>Joy of Computing with Python</t>
  </si>
  <si>
    <t>https://drive.google.com/open?id=1ycpGI9ww9o25WRe9xh6ExTvdOLI-e72k</t>
  </si>
  <si>
    <t>Runners in C Quiz Competition</t>
  </si>
  <si>
    <t>BITS VIZAG</t>
  </si>
  <si>
    <t>https://drive.google.com/open?id=1OZDw1MRW-j1Pk_z6DL1I2axO9gKAPHzB</t>
  </si>
  <si>
    <t xml:space="preserve">Mandadi Bharathi naga sri sai prathyusha </t>
  </si>
  <si>
    <t>18331A0593</t>
  </si>
  <si>
    <t>First prize in ppt</t>
  </si>
  <si>
    <t xml:space="preserve">Mvgr college of engineering </t>
  </si>
  <si>
    <t>https://drive.google.com/open?id=1WU1m7CU_TcognuKDh7Q7HrvZgSOLydXL</t>
  </si>
  <si>
    <t>mandadi.prathyusha@gmail.com</t>
  </si>
  <si>
    <t>IEEE AI WORKSHOP</t>
  </si>
  <si>
    <t>MVGR College of Engineering</t>
  </si>
  <si>
    <t>Mr</t>
  </si>
  <si>
    <t>https://drive.google.com/open?id=1YuVsBrH8JGCYk8UYHg-tqKCJZ8AOJa3k</t>
  </si>
  <si>
    <t>Now and me</t>
  </si>
  <si>
    <t>https://drive.google.com/open?id=1pWiCeUui6TF-dBkqKuF1k9wm-ZuQPQmy</t>
  </si>
  <si>
    <t>cyberattacks</t>
  </si>
  <si>
    <t>https://drive.google.com/open?id=1m4BTv5Etd4b2TIO038QhUJcszrtjqWra</t>
  </si>
  <si>
    <t>62 nd rank</t>
  </si>
  <si>
    <t>IEEE</t>
  </si>
  <si>
    <t>https://drive.google.com/open?id=1qP9qZmE22ppsqqe3S3RAkzkCzz1VlT7d</t>
  </si>
  <si>
    <t>Html course</t>
  </si>
  <si>
    <t>https://drive.google.com/open?id=19GI5qFSQHScSiFk4Ywd1RnR0wG0_hQVG</t>
  </si>
  <si>
    <t>PRAJYULITHA LAKKOJU</t>
  </si>
  <si>
    <t>20331A0598</t>
  </si>
  <si>
    <t>https://drive.google.com/open?id=1oBsoHCUqyikc8mDOXNplplxNdc8rspMh</t>
  </si>
  <si>
    <t>sonalakkoju6@gmail.com</t>
  </si>
  <si>
    <t xml:space="preserve">Ethical hacking </t>
  </si>
  <si>
    <t>Satra university</t>
  </si>
  <si>
    <t>https://drive.google.com/open?id=1hsdS8x6QAkr093ZKVQozx_VW02UX_ciT</t>
  </si>
  <si>
    <t>c</t>
  </si>
  <si>
    <t>https://drive.google.com/open?id=1a3rZb27uIXa2apvbeh2nvyIEJUoZY8CP</t>
  </si>
  <si>
    <t>cyber security</t>
  </si>
  <si>
    <t>https://drive.google.com/open?id=1RbHsvYG8Vr-xXkN-ACZybU3Su2tqODs8</t>
  </si>
  <si>
    <t xml:space="preserve">Dr P.Ravi Kiran varma </t>
  </si>
  <si>
    <t>https://drive.google.com/open?id=133E3GUGhxSo-el8Nj3fbCzJgfrKNEtyF</t>
  </si>
  <si>
    <t>Smart knower</t>
  </si>
  <si>
    <t>https://drive.google.com/open?id=1GcsdzqCzF19-5ITW2e-Qg41q-oUQdwCy</t>
  </si>
  <si>
    <t>Ranked 532 Nationally</t>
  </si>
  <si>
    <t>https://drive.google.com/open?id=1DUCmRPc7cYSEu1VOX3CbZFwMrxdmKmBg</t>
  </si>
  <si>
    <t xml:space="preserve">Sai Yogesh Bhasuru </t>
  </si>
  <si>
    <t>Programming essentials in c++</t>
  </si>
  <si>
    <t>https://drive.google.com/open?id=18tx_x8oqHtl_mYiqbPjDtWxVUocIfhOG</t>
  </si>
  <si>
    <t xml:space="preserve">mandadi.prathyusha@gmail.com </t>
  </si>
  <si>
    <t xml:space="preserve">18331A0593 </t>
  </si>
  <si>
    <t>Carrer guidance post covid 19</t>
  </si>
  <si>
    <t xml:space="preserve">IIIT allahabad </t>
  </si>
  <si>
    <t>Rishab mehta</t>
  </si>
  <si>
    <t>https://drive.google.com/open?id=12mLbgSr8BQGMi1V9Ki3S11KzhbWIS1ne</t>
  </si>
  <si>
    <t>EDU SKILLS</t>
  </si>
  <si>
    <t>https://drive.google.com/open?id=1MMJqoGur-eMCf_7hAzgs-uyOed9kNdHH</t>
  </si>
  <si>
    <t>https://drive.google.com/open?id=1BE7JQdinxMsRNrXWG8ECY6NhXcr3E34U</t>
  </si>
  <si>
    <t>lavanyayausha25@gmail.com</t>
  </si>
  <si>
    <t>https://drive.google.com/open?id=17IHN36wQEF50A9mml5qyjIR9WamldUwy</t>
  </si>
  <si>
    <t>AWS CLOUD ARCHITECT</t>
  </si>
  <si>
    <t>AWS ACADEMY</t>
  </si>
  <si>
    <t>40 HOURS</t>
  </si>
  <si>
    <t>https://drive.google.com/open?id=1_gG2F-FhMtSVQC3MCZ-ZTi5aDHgRVFQw</t>
  </si>
  <si>
    <t>Secret to success after college</t>
  </si>
  <si>
    <t>IIIT allahabad</t>
  </si>
  <si>
    <t>https://drive.google.com/open?id=1uVsSqbzOHsEXd8qtejGTUQkuw-oQqRX2</t>
  </si>
  <si>
    <t xml:space="preserve">Programming essentials in c </t>
  </si>
  <si>
    <t xml:space="preserve">Dr.P.Ravi Kiran varma </t>
  </si>
  <si>
    <t>https://drive.google.com/open?id=1QMfaNPYetS7O2Ru9r_pgzrbBQQ9dHwz0</t>
  </si>
  <si>
    <t>20 HOURS</t>
  </si>
  <si>
    <t>https://drive.google.com/open?id=1_y6iGGdoyvfMVY7JXc1BYWAP6GB_1jpL</t>
  </si>
  <si>
    <t xml:space="preserve">Introduction to cyber security </t>
  </si>
  <si>
    <t>https://drive.google.com/open?id=1akSfmutBOQ2wbe7JeqQbyvifchGO0q9a</t>
  </si>
  <si>
    <t xml:space="preserve">Data science </t>
  </si>
  <si>
    <t>https://drive.google.com/open?id=1CUBc4XwsGKxtG0Gm3o57OEqgjSf_ux31</t>
  </si>
  <si>
    <t xml:space="preserve">Introduction to packet tracer </t>
  </si>
  <si>
    <t xml:space="preserve">Dr.P Ravi Kiran varma </t>
  </si>
  <si>
    <t>https://drive.google.com/open?id=1tu1ObCtNEgwaW1ESur34JpG0BxnEKJ4o</t>
  </si>
  <si>
    <t>PARTICIPATION</t>
  </si>
  <si>
    <t>PUBLICIS SAPIENT</t>
  </si>
  <si>
    <t>https://drive.google.com/open?id=1G7RDq0-LLMZyM_EG-AGSwXh3R1SHMW6k</t>
  </si>
  <si>
    <t>DEVARAJU</t>
  </si>
  <si>
    <t>20331A0592</t>
  </si>
  <si>
    <t>https://drive.google.com/open?id=1A2vochcJvGrHoDWXY64uTyxO0dapzj9a</t>
  </si>
  <si>
    <t>devaraj20112002@gmail.com</t>
  </si>
  <si>
    <t>Second prize in dialogue telling</t>
  </si>
  <si>
    <t>https://drive.google.com/open?id=1R2LLLsbXQwIwW4V-BCvJ1JlshXZWl59-</t>
  </si>
  <si>
    <t xml:space="preserve">Iot fundementals : connecting things </t>
  </si>
  <si>
    <t>https://drive.google.com/open?id=1s2j7xWnBz1z6TvxUo2Crr6p7f5ZN-w9u</t>
  </si>
  <si>
    <t>4th place in creative ad making</t>
  </si>
  <si>
    <t>https://drive.google.com/open?id=1YRzFQEBgsDlYrmKJpQZK7rihv1Ts_b0I</t>
  </si>
  <si>
    <t xml:space="preserve">Switching routing and wireless essentials </t>
  </si>
  <si>
    <t>https://drive.google.com/open?id=1ozV6zBev14iz3yyNal7hj2QhlxhgFLV6</t>
  </si>
  <si>
    <t>Ranked 54th in India</t>
  </si>
  <si>
    <t>https://drive.google.com/open?id=11oFg23t3ZKMD-lJrDa5C7OpBFpQ9H73T</t>
  </si>
  <si>
    <t>Freedom fest</t>
  </si>
  <si>
    <t>Vamsi sir</t>
  </si>
  <si>
    <t>https://drive.google.com/open?id=1wRDnWjVgTMxaH-hngAwYfoHXbiKKZt70</t>
  </si>
  <si>
    <t>ranked 125th in India</t>
  </si>
  <si>
    <t>https://drive.google.com/open?id=1_hWaWfnrw-tMxz7sGcU2vpEumtEmhwt6</t>
  </si>
  <si>
    <t xml:space="preserve">First prize in PPT presentation </t>
  </si>
  <si>
    <t>https://drive.google.com/open?id=1f5fkYcbl5lPC1KzM9l4IKPF55533wJ9L</t>
  </si>
  <si>
    <t xml:space="preserve">Enterprise networking security and automation </t>
  </si>
  <si>
    <t>https://drive.google.com/open?id=1WPfUXhW8cLHgHZxkW5IogO5j-ks-Ep7U</t>
  </si>
  <si>
    <t>Front End Developer Workshop</t>
  </si>
  <si>
    <t>Skill Safari</t>
  </si>
  <si>
    <t>https://drive.google.com/open?id=1fgv5CvK18243Ysu4UJmQrd7eBoTRVQvp</t>
  </si>
  <si>
    <t>Participation</t>
  </si>
  <si>
    <t>Edu Skills</t>
  </si>
  <si>
    <t>https://drive.google.com/open?id=1gFA1lCu4rHLk8s0vfQ6Wa3HEML6MLnnW</t>
  </si>
  <si>
    <t>https://drive.google.com/open?id=1InkIWNhqHwMI_EK22-4sYbdW-AcASCU3</t>
  </si>
  <si>
    <t>Dr.P.Ravi kiran varma</t>
  </si>
  <si>
    <t>https://drive.google.com/open?id=1f_6RyJdXXACjMWev8ca0hIqydzsrtWcs</t>
  </si>
  <si>
    <t>DR.P.Ravi kiran varma</t>
  </si>
  <si>
    <t>https://drive.google.com/open?id=12XH5RrfL2FOuXr7u4fG9Rx1Bs1pYuF3w</t>
  </si>
  <si>
    <t>switching routing and wireless essentials</t>
  </si>
  <si>
    <t>https://drive.google.com/open?id=1u7wm-N97PPXgI3ost1CrXrVe66wKvBsJ</t>
  </si>
  <si>
    <t>https://drive.google.com/open?id=12zEjCujEAx38R7Mcz3Q5dj-Y8ZmURofK</t>
  </si>
  <si>
    <t>Enterprise Networking, Security, and Automation</t>
  </si>
  <si>
    <t>7/6/0202</t>
  </si>
  <si>
    <t>https://drive.google.com/open?id=1qmWYkZ9uNISCKdJ2kUyd6rPe1yQQrs8m</t>
  </si>
  <si>
    <t xml:space="preserve">Venkata Surya Pranay Mamidipalli </t>
  </si>
  <si>
    <t xml:space="preserve">20331A05A5 </t>
  </si>
  <si>
    <t>LINUX VIRTUAL AUTOMATION INTERNSHIP</t>
  </si>
  <si>
    <t>https://drive.google.com/open?id=1rABfJUKRpSqleWAVpC2T3MOprLuyLyPa</t>
  </si>
  <si>
    <t>suryapranaymamidipalli@gmail.com</t>
  </si>
  <si>
    <t xml:space="preserve">Linux essentials </t>
  </si>
  <si>
    <t>https://drive.google.com/open?id=1pWjhSz02aRPeh3Gu2nw87YrCPDMuAnNn</t>
  </si>
  <si>
    <t>https://drive.google.com/open?id=1rUsvBUcqTc4pCRFgLI6clp8DLaNqSU2s</t>
  </si>
  <si>
    <t>https://drive.google.com/open?id=1zNDTOJTa-loY2JzE0YC6MTK-athBsanK</t>
  </si>
  <si>
    <t>Programming Essentials in C++</t>
  </si>
  <si>
    <t>https://drive.google.com/open?id=1EJO0XC5P_pLAqOf-2Q8rbY0TxHWpxzxX</t>
  </si>
  <si>
    <t>Feb-Apr</t>
  </si>
  <si>
    <t>https://drive.google.com/open?id=1alC3TptgmchgQ0Ov9CEIfYpn5FubFyJL</t>
  </si>
  <si>
    <t>IT ESSENTIALS</t>
  </si>
  <si>
    <t>K.V.SUBBARAJU</t>
  </si>
  <si>
    <t>https://drive.google.com/open?id=1QtbtvLWTBhNXZvDVypiun7FhSG7Wn0YN</t>
  </si>
  <si>
    <t xml:space="preserve">Venkata surya pranay Mamidipalli </t>
  </si>
  <si>
    <t>NDG LINUX ESSENTIALS</t>
  </si>
  <si>
    <t>5 months</t>
  </si>
  <si>
    <t xml:space="preserve">K.V.SUBBARAJU </t>
  </si>
  <si>
    <t>https://drive.google.com/open?id=1MyCa2fivlqQ7bcs1S2McWuvIsY-7DS9G</t>
  </si>
  <si>
    <t>Machine Learning Using Python</t>
  </si>
  <si>
    <t>3 Weeks</t>
  </si>
  <si>
    <t>https://drive.google.com/open?id=1oaGjs8hJ2R12P4G98dW9kU2e-yGO4_xl</t>
  </si>
  <si>
    <t>DATA ANALYTICS WITH PYTHON</t>
  </si>
  <si>
    <t xml:space="preserve">JNTUGVU college of engineering </t>
  </si>
  <si>
    <t>SETHU PAVAN</t>
  </si>
  <si>
    <t>https://drive.google.com/open?id=1R7MqIRs3YZOruWBtAqBzwhgUzbDpw4tb</t>
  </si>
  <si>
    <t>Kavya Mudili</t>
  </si>
  <si>
    <t>Cyber Security  Essentials</t>
  </si>
  <si>
    <t>https://drive.google.com/open?id=1Wawjw-L04QCVpBY0em0_Y1SQLmOVcqrO</t>
  </si>
  <si>
    <t xml:space="preserve">MACHINE LEARNING </t>
  </si>
  <si>
    <t>NATIONAL INSTITUTION OF TECHNOLOGY, TIRUCHIRAPALLI</t>
  </si>
  <si>
    <t>E.SIVA SHANKAR</t>
  </si>
  <si>
    <t>https://drive.google.com/open?id=1ANx1BaRz1AoBB0EdoUoNP7vJe5AVsnVV</t>
  </si>
  <si>
    <t xml:space="preserve">Sravanthi </t>
  </si>
  <si>
    <t xml:space="preserve">20331A0594 </t>
  </si>
  <si>
    <t>Eduskill</t>
  </si>
  <si>
    <t>https://drive.google.com/open?id=1Jbbts9ceS-YQiXZrGgp3WKwz8lNH1LZO</t>
  </si>
  <si>
    <t>sravanthikumarapu.88@gmail.com</t>
  </si>
  <si>
    <t>MD.Halima</t>
  </si>
  <si>
    <t>20331A05B1</t>
  </si>
  <si>
    <t>2montha</t>
  </si>
  <si>
    <t>https://drive.google.com/open?id=18oE2vDGu9afNUFdwWn5qMx4nqei6-7E9</t>
  </si>
  <si>
    <t>md138halima@gmail.com</t>
  </si>
  <si>
    <t>https://drive.google.com/open?id=18rsWLMQxRgogo3XfG981SyQXesg61x9O</t>
  </si>
  <si>
    <t>Matcha Priyanka</t>
  </si>
  <si>
    <t>20331A05A7</t>
  </si>
  <si>
    <t>https://drive.google.com/open?id=1YFVlenXh3kc0nHj0cl5g9MGId9HzR25u</t>
  </si>
  <si>
    <t>priyamatcha03@gmail.com</t>
  </si>
  <si>
    <t>NDG Linux Essentials</t>
  </si>
  <si>
    <t>K .V .SubbaRaju</t>
  </si>
  <si>
    <t>https://drive.google.com/open?id=1Z1JVlWAsHNb0NSCqusVw79G3BCC4Y88H</t>
  </si>
  <si>
    <t>Imandi swathi</t>
  </si>
  <si>
    <t>20331A0572</t>
  </si>
  <si>
    <t>NDG Linux</t>
  </si>
  <si>
    <t>K V subbaraju</t>
  </si>
  <si>
    <t>https://drive.google.com/open?id=1cqxllut2Fduqdqm6ZeBOazCpG_Pq87iB</t>
  </si>
  <si>
    <t>imandiswathi821@gmail.com</t>
  </si>
  <si>
    <t>Gara Ranjeet kumar</t>
  </si>
  <si>
    <t>18331A0544</t>
  </si>
  <si>
    <t>Introduction to programing in C</t>
  </si>
  <si>
    <t>https://drive.google.com/open?id=1g39anyffvpUh0R9NdOuTGXraa6W7E7g-</t>
  </si>
  <si>
    <t>ranjeetgara123@gmail.com</t>
  </si>
  <si>
    <t>Gara Ranjeet</t>
  </si>
  <si>
    <t xml:space="preserve">Winner in Intra Collage Football </t>
  </si>
  <si>
    <t>https://drive.google.com/open?id=1exrzR0Tq1AAGjjixli_wHi2BLmsP9l2J</t>
  </si>
  <si>
    <t>https://drive.google.com/open?id=1f6QUzmNI0NAK3xQ4rBtytOxYcgP1jjNk</t>
  </si>
  <si>
    <t xml:space="preserve">Gara Ranjeet </t>
  </si>
  <si>
    <t>Runners in C-Quencz</t>
  </si>
  <si>
    <t>BITS Vizag</t>
  </si>
  <si>
    <t>https://drive.google.com/open?id=1VBFzDwiftdcDb4NNTOQzmJZ83ltxNxGZ</t>
  </si>
  <si>
    <t>Participated in Jumpstart</t>
  </si>
  <si>
    <t>Publicis Sapient</t>
  </si>
  <si>
    <t>https://drive.google.com/open?id=18DQ-a_SgSwwQNnJR71iVduvkRog5eD4i</t>
  </si>
  <si>
    <t>Participated in Flikart Griid 3.0</t>
  </si>
  <si>
    <t>Flipkart</t>
  </si>
  <si>
    <t>https://drive.google.com/open?id=12CWg_r8JF53cf3Baygsp9xmHsKumoWl6</t>
  </si>
  <si>
    <t>Participated in Juspay Hiring Challenge</t>
  </si>
  <si>
    <t>https://drive.google.com/open?id=1JJuiFEf9tPTTCoSLFcd05jYGhtg__3XX</t>
  </si>
  <si>
    <t>Infrasoft</t>
  </si>
  <si>
    <t>https://drive.google.com/open?id=1b_sBzr_AVYvGHgUPUw4RBFGXzGbjNYxw</t>
  </si>
  <si>
    <t>5 LPA</t>
  </si>
  <si>
    <t>https://drive.google.com/open?id=164PkLKDM0UG_ADq-iyJk3eLt2LeK4efP</t>
  </si>
  <si>
    <t>Participated in Craze-Athon</t>
  </si>
  <si>
    <t>Anther Energy</t>
  </si>
  <si>
    <t>https://drive.google.com/open?id=1lielZ9SCE8IidGkSQqOF6wsdXvjIU3iV</t>
  </si>
  <si>
    <t>https://drive.google.com/open?id=10PSNFfo7CjwjQLY7Gx8EcRI6qf5g1DH5</t>
  </si>
  <si>
    <t>Participated in IEEE Xtreme 14.0</t>
  </si>
  <si>
    <t>https://drive.google.com/open?id=1zjAe8X2zfPzNCJ-qrVbm0yKxYzq2Ms1A</t>
  </si>
  <si>
    <t>Web design for web developers</t>
  </si>
  <si>
    <t>3 hours</t>
  </si>
  <si>
    <t>Jonas Schmedtmann</t>
  </si>
  <si>
    <t>https://drive.google.com/open?id=1sDjV3n0ZaZV91dbGI3HkFjaboiqhhNg-</t>
  </si>
  <si>
    <t>Python Basics</t>
  </si>
  <si>
    <t>5 hours</t>
  </si>
  <si>
    <t>Paul Resnick</t>
  </si>
  <si>
    <t>https://drive.google.com/open?id=1OtVz7NJkJOxhAlctniZAXLM5rkioRXHd</t>
  </si>
  <si>
    <t>Secured 4313rd positiono in Google KickStart 2020</t>
  </si>
  <si>
    <t>Google</t>
  </si>
  <si>
    <t>https://drive.google.com/open?id=1sDwciOtEuxq5IPhQZaT5VEoNzXGiQgdN</t>
  </si>
  <si>
    <t>IOT using thingspeak</t>
  </si>
  <si>
    <t>Executive committee</t>
  </si>
  <si>
    <t>https://drive.google.com/open?id=1FPX2QrZLTvGZfjzHUBavNjiV9l1kTGPq</t>
  </si>
  <si>
    <t>Techmihirnaik</t>
  </si>
  <si>
    <t>https://drive.google.com/open?id=1Cf5Nc45YCsAU9q1zOQiHHUx4XaxKGJuX</t>
  </si>
  <si>
    <t xml:space="preserve">Subba Raju K </t>
  </si>
  <si>
    <t>https://drive.google.com/open?id=1l7eoNt7hRn6fxUZXYc909qxPbl4HUAbA</t>
  </si>
  <si>
    <t>10 hours</t>
  </si>
  <si>
    <t>https://drive.google.com/open?id=1aq0xsrL_B-iQeN4e4rF3P7OQXUecsNFJ</t>
  </si>
  <si>
    <t>https://drive.google.com/open?id=18j-pZ12BOZQwFqc_2u-9vRh6F7tBoz_M</t>
  </si>
  <si>
    <t>participated in Quiz on C programming with data structures</t>
  </si>
  <si>
    <t>https://drive.google.com/open?id=15fShLSYa95M1CMx2QjXwiLnXqFK26po5</t>
  </si>
  <si>
    <t>Trn Digital</t>
  </si>
  <si>
    <t>https://drive.google.com/open?id=1nZEMt24baX0onTXz2Liyrd92-XxHFnF0</t>
  </si>
  <si>
    <t>Bengulur</t>
  </si>
  <si>
    <t>5lpa</t>
  </si>
  <si>
    <t>React JS</t>
  </si>
  <si>
    <t>Dr.Datachana Murthy</t>
  </si>
  <si>
    <t>Ganesh Nag Doddi</t>
  </si>
  <si>
    <t>https://drive.google.com/open?id=1P_SDynCHaaW72tBwCIbXv8UEO8NUopEk</t>
  </si>
  <si>
    <t>K.V.Subba Raju</t>
  </si>
  <si>
    <t>https://drive.google.com/open?id=12U8nlGkFFj4wHZie88BUI6ywlqI9YugT</t>
  </si>
  <si>
    <t>https://drive.google.com/open?id=17NyakmZ6ZsZ83DGgRdjSksxJJRHvzLvv</t>
  </si>
  <si>
    <t>Angular JS to develop web apps faster</t>
  </si>
  <si>
    <t>Dr.Datchana Moorthy</t>
  </si>
  <si>
    <t>Ganesh Nag doddi</t>
  </si>
  <si>
    <t>https://drive.google.com/open?id=134P2I3pD2SS-W20-g3ud9BmBsVEiO2FR</t>
  </si>
  <si>
    <t>Intellectual Property office</t>
  </si>
  <si>
    <t>https://drive.google.com/open?id=12Aw9JBnVJ5rWOQ2L_VqcpXMWITfO6AgA</t>
  </si>
  <si>
    <t>National IP Awareness Mission</t>
  </si>
  <si>
    <t>NIPAM Team</t>
  </si>
  <si>
    <t>https://drive.google.com/open?id=1BoUN3WLMggs9Bm6YOfMVjkHpYDJ16YUP</t>
  </si>
  <si>
    <t>International  day of yoga</t>
  </si>
  <si>
    <t>Kamlesh D patel</t>
  </si>
  <si>
    <t>Heartfulness institute</t>
  </si>
  <si>
    <t>https://drive.google.com/open?id=1-VEYMCW3l0PXFEtYFpD3jldSLz6PLv8l</t>
  </si>
  <si>
    <t>Neural Hack 2021 - season 5</t>
  </si>
  <si>
    <t>Murali Padmanabhan</t>
  </si>
  <si>
    <t>https://drive.google.com/open?id=1hPgl68HaJ-zzV1WqFQtYWNEhmfy5PCLs</t>
  </si>
  <si>
    <t>c(intermediate)</t>
  </si>
  <si>
    <t>Hackerrank</t>
  </si>
  <si>
    <t>https://drive.google.com/open?id=10QvYm-wuVcxAqSNrdtWB0ZlUg8veOEdU</t>
  </si>
  <si>
    <t>Capstone: Retrieving, Processing, and Visualizing Data with Python</t>
  </si>
  <si>
    <t>https://drive.google.com/open?id=136LdQUNtmF9QaTM1zTx2W11doFVWTOLE</t>
  </si>
  <si>
    <t>Medi Prasuna</t>
  </si>
  <si>
    <t>18331A0596</t>
  </si>
  <si>
    <t xml:space="preserve">BNY Mellon Technology </t>
  </si>
  <si>
    <t>6 Months</t>
  </si>
  <si>
    <t>https://drive.google.com/open?id=16K0OjAGBT3DmHR5mzjJrBu_od50A5jWJ</t>
  </si>
  <si>
    <t>prasunamedi5@gmail.com</t>
  </si>
  <si>
    <t>https://drive.google.com/open?id=1KuNBmpMZS_uA0_73kYuTsGnKJkSaxJNR</t>
  </si>
  <si>
    <t>6 LPA</t>
  </si>
  <si>
    <t>Koyya Aswini</t>
  </si>
  <si>
    <t>20331A0593</t>
  </si>
  <si>
    <t>NDG LINUX</t>
  </si>
  <si>
    <t>K v subbaraju</t>
  </si>
  <si>
    <t>https://drive.google.com/open?id=1kAHHiXHPPzDaVNvKd1i1qugvelPnBGd5</t>
  </si>
  <si>
    <t>kaswini206@gmail.com</t>
  </si>
  <si>
    <t>INDU KAMBAPU</t>
  </si>
  <si>
    <t>18331A0565</t>
  </si>
  <si>
    <t>Dr. P.Ravi Kiran Varma</t>
  </si>
  <si>
    <t>https://drive.google.com/open?id=1jwEjX1eg1cjLCJcQyUFV20AYaopM1Rj_</t>
  </si>
  <si>
    <t>kambapuindu@gmail.com</t>
  </si>
  <si>
    <t>TIRUMALARAJU VIJAYARAMA MOHITH VARMA</t>
  </si>
  <si>
    <t>18331A05F8</t>
  </si>
  <si>
    <t>C LANGUAGE</t>
  </si>
  <si>
    <t>90 DAYS</t>
  </si>
  <si>
    <t>COMPLETED</t>
  </si>
  <si>
    <t>https://drive.google.com/open?id=1UdFcBbraR4eMfq9v89NSg0Rw00m1jrLa</t>
  </si>
  <si>
    <t>vijayaramaraju1999@gmail.com</t>
  </si>
  <si>
    <t>CYBERSECURITY  ESSENTIALS</t>
  </si>
  <si>
    <t>https://drive.google.com/open?id=1kB2dETgK9HrOxigXiDFEsWXGRNUPqNBB</t>
  </si>
  <si>
    <t xml:space="preserve">CISCO </t>
  </si>
  <si>
    <t>https://drive.google.com/open?id=16gk4EJQdxCN0zUM15j7dKfdYYeYJjiMQ</t>
  </si>
  <si>
    <t>CYBERSECURITY FOUNDATION</t>
  </si>
  <si>
    <t>PALO ALTO</t>
  </si>
  <si>
    <t>https://drive.google.com/open?id=1Q_mxllZmRvTLTbcdP2WbjAIWSoLVVgED</t>
  </si>
  <si>
    <t>MICROSOFT AZURE ESSENTIALS</t>
  </si>
  <si>
    <t>GREAT LEARNING</t>
  </si>
  <si>
    <t>30 DAYS</t>
  </si>
  <si>
    <t>https://drive.google.com/open?id=1kUCKamDQvSydly64EJmnG0x75hW8ZcJl</t>
  </si>
  <si>
    <t>https://drive.google.com/open?id=1gb03XodkHPhoZhmWCb4BYT9_AYiuwvXC</t>
  </si>
  <si>
    <t>MANAGEMENT</t>
  </si>
  <si>
    <t>15 DAYS</t>
  </si>
  <si>
    <t>https://drive.google.com/open?id=16PngkmY2MrkDIn-g-e6sl8BNXl8J7Lpi</t>
  </si>
  <si>
    <t>ADVANCED EXCEL TUTORIAL</t>
  </si>
  <si>
    <t>ELEARNMARKETS</t>
  </si>
  <si>
    <t>60 DAYS</t>
  </si>
  <si>
    <t>https://drive.google.com/open?id=1qG4yKD0AhX79KjzGNKXGiMINRg-6-e_d</t>
  </si>
  <si>
    <t>WIPRO</t>
  </si>
  <si>
    <t>https://drive.google.com/open?id=17si7cirUmJndpGWo3GtEYCMGrK38dDoV</t>
  </si>
  <si>
    <t xml:space="preserve">Yogesh Vardhan Duvvi </t>
  </si>
  <si>
    <t>18331A0538</t>
  </si>
  <si>
    <t>Prodigital worx</t>
  </si>
  <si>
    <t>https://drive.google.com/open?id=1Dj1IHiJpi9Lf7RMiYSSBntVBnyCoemGO</t>
  </si>
  <si>
    <t>yogeshvardhanduvvi@gmail.com</t>
  </si>
  <si>
    <t>ANGULAR JS TO DEVELOP WEB APPS FASTER</t>
  </si>
  <si>
    <t>BY CSE AND IT  IN ASSOCIATION WITH NYCI&amp; BRAIN-O-VISION-</t>
  </si>
  <si>
    <t>DR.V.NAGESH, GANESH NAG DODDI,DR.DATCHANA MOORTHY RAMU</t>
  </si>
  <si>
    <t>https://drive.google.com/open?id=12oZBqNOCdGscf-2Q9CeT0JV9-npaxoEZ</t>
  </si>
  <si>
    <t>HEAD START TO MERN STACK WITH REACT PROJECT -2 DAYS BOOTCAMP</t>
  </si>
  <si>
    <t>SKILL SAFARI</t>
  </si>
  <si>
    <t>https://drive.google.com/open?id=1QhCd4X2faGs2frmeSijuspb-SsA1hgvh</t>
  </si>
  <si>
    <t>TECHFEST IIT BOMBAY- CYBER SECURITY</t>
  </si>
  <si>
    <t>1STOP.AI</t>
  </si>
  <si>
    <t>PAUL MATHEW.I</t>
  </si>
  <si>
    <t>https://drive.google.com/open?id=135lffPeuyEr33WeMtI8SWpmgcErped5g</t>
  </si>
  <si>
    <t>SQL</t>
  </si>
  <si>
    <t>Charles severance</t>
  </si>
  <si>
    <t>https://drive.google.com/open?id=1K7re4F4sjorGSy4xdqaaQ9iR-eljFBmp</t>
  </si>
  <si>
    <t>TECHFEST IIT BOMBAY-IOT</t>
  </si>
  <si>
    <t>https://drive.google.com/open?id=1xHB7KlbUemK4WT97QXCv1wmS6wBM8Ib9</t>
  </si>
  <si>
    <t>wipro</t>
  </si>
  <si>
    <t>https://drive.google.com/open?id=1hBqV4sg4Pw3O_UkYZNPEOc25dVaFCQ2c</t>
  </si>
  <si>
    <t>hyderabad</t>
  </si>
  <si>
    <t xml:space="preserve">PHP </t>
  </si>
  <si>
    <t>https://drive.google.com/open?id=1egre4J8ROMfoWUd7u6ooYPskcd26Yji0</t>
  </si>
  <si>
    <t>https://drive.google.com/open?id=12IpAFvbUR9zj0mziUqWU7AgiiGFeWJDn</t>
  </si>
  <si>
    <t>CLA</t>
  </si>
  <si>
    <t>https://drive.google.com/open?id=1z5KkDpjCjsM7cmCqgb6ch6Zw6xDrHH7K</t>
  </si>
  <si>
    <t>TIRUMALARAJU VVIJAYARAMA MOHITH VARMA</t>
  </si>
  <si>
    <t>NCC</t>
  </si>
  <si>
    <t>2(A) CTR NCC,VSP</t>
  </si>
  <si>
    <t>https://drive.google.com/open?id=1dxsEMUXbJMfkH09yBl3V1nbaVPYmlu0q</t>
  </si>
  <si>
    <t>Hari Krishna Saripalli</t>
  </si>
  <si>
    <t>18331A05D9</t>
  </si>
  <si>
    <t>Aicte</t>
  </si>
  <si>
    <t>https://drive.google.com/open?id=1tjRps7JVzvJ4U_8NLhIsGXmohocnwFRC</t>
  </si>
  <si>
    <t>harikrishnasaripalli99@gmail.com</t>
  </si>
  <si>
    <t xml:space="preserve">Cybersecurity </t>
  </si>
  <si>
    <t>https://drive.google.com/open?id=1v01EIsd16wQQu_jl1eRzigztb8ixsaaB</t>
  </si>
  <si>
    <t>NATINAL INTELLECTUAL PROPERTY AWARENESS MISSION</t>
  </si>
  <si>
    <t>INTELLECTUAL PROPERTY OFFICE,INDIA</t>
  </si>
  <si>
    <t>https://drive.google.com/open?id=1SITLo59BA2g6jPYZieToe5GLnG9g9zbO</t>
  </si>
  <si>
    <t>PCAP</t>
  </si>
  <si>
    <t>Subba raju k v</t>
  </si>
  <si>
    <t>https://drive.google.com/open?id=14M2s0Yb5IrkGYbOl1tHOF2UOlYrDb6lf</t>
  </si>
  <si>
    <t>7 months</t>
  </si>
  <si>
    <t>https://drive.google.com/open?id=1-2XRNFWqoYlC4fMcw_b0gR2AoUtJrEB5</t>
  </si>
  <si>
    <t xml:space="preserve">Sai Venkata rohit naik bhukya </t>
  </si>
  <si>
    <t xml:space="preserve">Revature </t>
  </si>
  <si>
    <t>https://drive.google.com/open?id=1x1vPPgHRokfeWxX4IGrK3rtEMoNuxZ4y</t>
  </si>
  <si>
    <t>Kalyana Chakravarthy Chilukuri</t>
  </si>
  <si>
    <t>https://drive.google.com/open?id=1-Kh2b0Mccdp5ibZVzDcX7rSa2CN-NJG8</t>
  </si>
  <si>
    <t>Collen van lent</t>
  </si>
  <si>
    <t>https://drive.google.com/open?id=1LY1yS5lHsPfg_pPppzxlb8enwNd2sr7N</t>
  </si>
  <si>
    <t>manoj varma sagi</t>
  </si>
  <si>
    <t>18331A05C8</t>
  </si>
  <si>
    <t>DR Ravi kiran varmA</t>
  </si>
  <si>
    <t>https://drive.google.com/open?id=1hPn17VP27yhvydDTY9traLQ1wHwZmrox</t>
  </si>
  <si>
    <t>manojvarmaaa13@gmail.com</t>
  </si>
  <si>
    <t>K V Subba raju</t>
  </si>
  <si>
    <t>https://drive.google.com/open?id=1BKGViztp3IVXKGp0QsPQ8GzQD5egv4tn</t>
  </si>
  <si>
    <t>SUBBARAJU K V</t>
  </si>
  <si>
    <t>https://drive.google.com/open?id=12RL8c1eDxOxloOcL-nQ5Q8_yqlWmTs1j</t>
  </si>
  <si>
    <t>DR Ravi kiran varma</t>
  </si>
  <si>
    <t>https://drive.google.com/open?id=1lJpU6p4HauFCn44XN7EJcAWZpal2R1b5</t>
  </si>
  <si>
    <t>IOT</t>
  </si>
  <si>
    <t>IIT HYDERABAD</t>
  </si>
  <si>
    <t>https://drive.google.com/open?id=1Ra_1aYRguclV2sJfGLJG3mjP_04GJuSP</t>
  </si>
  <si>
    <t>Manoj varma sagi</t>
  </si>
  <si>
    <t>Blood donation camp</t>
  </si>
  <si>
    <t>CSE dept</t>
  </si>
  <si>
    <t>https://drive.google.com/open?id=1_fR-LdhuKTTzZxiOKp3PDnIv3EijWFWW</t>
  </si>
  <si>
    <t>Revature</t>
  </si>
  <si>
    <t>https://drive.google.com/open?id=18CSIBf0DwDGccDZjuZgC5i44VXJQgrE0</t>
  </si>
  <si>
    <t>5L</t>
  </si>
  <si>
    <t>Subbaraju KV</t>
  </si>
  <si>
    <t>https://drive.google.com/open?id=1jJoTU4sgyRGXMbpfu72l4atFy68iFGgx</t>
  </si>
  <si>
    <t>https://drive.google.com/open?id=1oATV4z38uVsk4DRsCVGk1JQtK1jyN3h9</t>
  </si>
  <si>
    <t>4.0 Tech Online Boot Camp</t>
  </si>
  <si>
    <t xml:space="preserve">CCBP 4.0 Tech Community </t>
  </si>
  <si>
    <t>https://drive.google.com/open?id=1zl0FM32wwsGqc5vNeMZ_jEgkKuRia6S2</t>
  </si>
  <si>
    <t>https://drive.google.com/open?id=1o8ldw801tLElIfAhRl2UosClrwPyDlUF</t>
  </si>
  <si>
    <t>Essay Writing -3rd Prize on the eve of Women's Day</t>
  </si>
  <si>
    <t xml:space="preserve">MVGR College of Engineering </t>
  </si>
  <si>
    <t>https://drive.google.com/open?id=1rur1MIBRmakoHW0PG-WRkLUbz7xGtELk</t>
  </si>
  <si>
    <t>SoloLearn</t>
  </si>
  <si>
    <t>https://drive.google.com/open?id=1OD1v1NPhwpIGDw1egj5-f8gTMb_M7LZF</t>
  </si>
  <si>
    <t>18341A0585</t>
  </si>
  <si>
    <t>Tata Imagination Challenge 2021</t>
  </si>
  <si>
    <t xml:space="preserve">Dare To Complete </t>
  </si>
  <si>
    <t>3 days</t>
  </si>
  <si>
    <t>https://drive.google.com/open?id=1EnSLOaNxEjnCT7OoDfIeiqBqy8uy1FsZ</t>
  </si>
  <si>
    <t>Microsoft Azure Fundamentals</t>
  </si>
  <si>
    <t xml:space="preserve">Microsoft </t>
  </si>
  <si>
    <t>700/1000</t>
  </si>
  <si>
    <t>https://drive.google.com/open?id=10E2Ll4SUAfNR9h_MRcegXemaUXhuQ-LK</t>
  </si>
  <si>
    <t>https://drive.google.com/open?id=1OcrvTBzPmFZ0bGCM7fryutUkjhGhJYh5</t>
  </si>
  <si>
    <t>Thudumu Soni kumar</t>
  </si>
  <si>
    <t>18331A05F6</t>
  </si>
  <si>
    <t>https://drive.google.com/open?id=1KfBxR3zT_qNZ6b0gk50CYbmZIJNudz2s</t>
  </si>
  <si>
    <t>tsksoni1@gmail.com</t>
  </si>
  <si>
    <t>SRIHARI NAIDU POGIRI</t>
  </si>
  <si>
    <t>18331A05E6</t>
  </si>
  <si>
    <t>Programming essesntials in c</t>
  </si>
  <si>
    <t>https://drive.google.com/open?id=1icNJAJuu3Wy4ss4bug7-BgODwv2t1xhH</t>
  </si>
  <si>
    <t>sriharismart0000@gmail.com</t>
  </si>
  <si>
    <t>Co-Author in Meri Jubani Book</t>
  </si>
  <si>
    <t>Droplets of Ink Publications</t>
  </si>
  <si>
    <t>https://drive.google.com/open?id=1SJ77RbJvhha7Ixqu9_K1Mj891gesr6jJ</t>
  </si>
  <si>
    <t>Uday sai Kiran Abbiredddy</t>
  </si>
  <si>
    <t>18331A05G0</t>
  </si>
  <si>
    <t>https://drive.google.com/open?id=1BH-PRg3x3i8kT7ptfZj5TSMnBWA5QRY1</t>
  </si>
  <si>
    <t>abbireddy8300@gmail.com</t>
  </si>
  <si>
    <t>6monrhs</t>
  </si>
  <si>
    <t>https://drive.google.com/open?id=1h8NrepugU0ydNIsSDDJourgUc70hRnYH</t>
  </si>
  <si>
    <t>Uday sai kiran Abbireddy</t>
  </si>
  <si>
    <t>18331A05G0.</t>
  </si>
  <si>
    <t>https://drive.google.com/open?id=1Xf4evwkfBW0R1l-NdlxYWV8qBgHehXF5</t>
  </si>
  <si>
    <t>CYBER SECURITY ESSENTIALS</t>
  </si>
  <si>
    <t>https://drive.google.com/open?id=17tn4juU4_DUYU4WxjeD0_gQdnDwsFK4O</t>
  </si>
  <si>
    <t>MOYYA VENKATESWARA NAIDU</t>
  </si>
  <si>
    <t>20331A05B5</t>
  </si>
  <si>
    <t>It Essentials</t>
  </si>
  <si>
    <t>K Subba Raju</t>
  </si>
  <si>
    <t>https://drive.google.com/open?id=1zIvJBF_xQ5S9qMEkM3UqEPmg3JTGPRFk</t>
  </si>
  <si>
    <t>venkateswaranaidumoyya@gmail.com</t>
  </si>
  <si>
    <t>Uday sai Kiran Abbireddy</t>
  </si>
  <si>
    <t>Cyber Security Essentials</t>
  </si>
  <si>
    <t>https://drive.google.com/open?id=1Ug5t3VNci3uyoMfvLwu4DoJcudtXmz6n</t>
  </si>
  <si>
    <t>PROGRAMMING ESSESNTIALS IN PYTHON</t>
  </si>
  <si>
    <t>https://drive.google.com/open?id=1tZvwC6rzsQDCj5lbFaKWVh3P1rWKOafa</t>
  </si>
  <si>
    <t>https://drive.google.com/open?id=1xIIq1nYwFHorwLkBW_zDqAC1A5tdIh8Q</t>
  </si>
  <si>
    <t>Switching, Routing, and Wireless Networks</t>
  </si>
  <si>
    <t>https://drive.google.com/open?id=1GUXYnrxGrBjKWI0LoOXMDiraPHF9jeui</t>
  </si>
  <si>
    <t>Enterprise Networking, Security, And Automation.</t>
  </si>
  <si>
    <t>https://drive.google.com/open?id=1cxSMeC_FJlUsEbswkGYBB-f3dR41ySBU</t>
  </si>
  <si>
    <t>NGD Linux Essentials</t>
  </si>
  <si>
    <t>https://drive.google.com/open?id=1RKfLsFt74vnUJHLq7UFknSc1hSnykayV</t>
  </si>
  <si>
    <t>https://drive.google.com/open?id=1cSM7x8o4W_E3LFnpiS_Jm2WLq9tnhRZ2</t>
  </si>
  <si>
    <t>https://drive.google.com/open?id=1jQmw3Ie7xSNvHnUNz9e96ERK-Ud-Slz5</t>
  </si>
  <si>
    <t>Kuppili Pratyusha</t>
  </si>
  <si>
    <t>18331A0583</t>
  </si>
  <si>
    <t>https://drive.google.com/open?id=1XJ6SeZ_hy3OjpGyqWE0RO2fvlFNqQ9wb</t>
  </si>
  <si>
    <t>pratyukuppili2001@gmail.com</t>
  </si>
  <si>
    <t>Uday saoi kiran Abbireddy</t>
  </si>
  <si>
    <t>AWS Acadamey</t>
  </si>
  <si>
    <t>https://drive.google.com/open?id=1vKa_n_oyI4AoCh9UTGclxRUxxe2U_WzG</t>
  </si>
  <si>
    <t>Ravi kiran Varma Penmatsa</t>
  </si>
  <si>
    <t>https://drive.google.com/open?id=1Dzn2hpi1Qp9w0A9xUJxLMx6IhlI2QGuk</t>
  </si>
  <si>
    <t>https://drive.google.com/open?id=1xnS1kpvZ4yuMLZLTiAlOP-A_y-Vyza1i</t>
  </si>
  <si>
    <t xml:space="preserve">Internet of things </t>
  </si>
  <si>
    <t>Kyrion Technologies PVT.LTD at IIT Hyderabad</t>
  </si>
  <si>
    <t>Kyrion</t>
  </si>
  <si>
    <t>https://drive.google.com/open?id=16U575sMRpFQYinxQDwYYXgmIvOKTrbCr</t>
  </si>
  <si>
    <t>Kolluru Sai Venkata Ravi Sastry</t>
  </si>
  <si>
    <t>20331A0588</t>
  </si>
  <si>
    <t>LINUX  AUTOMATION VIRTUAL INTERNSHIP</t>
  </si>
  <si>
    <t>Redhat enterprises</t>
  </si>
  <si>
    <t>K.V Subbaraju</t>
  </si>
  <si>
    <t>https://drive.google.com/open?id=1TZeRWDVvLRWDIxlmQfpSSmfVPpff27yt</t>
  </si>
  <si>
    <t>ravisastrykolluru2021@gmail.com</t>
  </si>
  <si>
    <t>Uday sai kIran Abbireddy</t>
  </si>
  <si>
    <t>Ncc B certificate</t>
  </si>
  <si>
    <t>Ministry of Defence</t>
  </si>
  <si>
    <t>https://drive.google.com/open?id=1RqkczE9AyMhEK147VBBtVh5cSdIieWKN</t>
  </si>
  <si>
    <t>4.0 tech boot camp</t>
  </si>
  <si>
    <t>Ccbp 4.0 tech community</t>
  </si>
  <si>
    <t>12 hrs</t>
  </si>
  <si>
    <t>https://drive.google.com/open?id=1SU1986z5Bl7T2ntuXWAw2vduIF4Z19lT</t>
  </si>
  <si>
    <t xml:space="preserve">workshop </t>
  </si>
  <si>
    <t>M Vamsi Krishna</t>
  </si>
  <si>
    <t>https://drive.google.com/open?id=1NowfernrLisMsTjXwN2MTz0gb5_43kXk</t>
  </si>
  <si>
    <t>https://drive.google.com/open?id=1lSazFEIzDqFFXObzM2CoBuKoIgGVlXCw</t>
  </si>
  <si>
    <t>sumitha.donthamsetti@gmail.com</t>
  </si>
  <si>
    <t>Donthamsetti Sumitha</t>
  </si>
  <si>
    <t>18331A0535</t>
  </si>
  <si>
    <t>https://drive.google.com/open?id=1kI4PwakFQ2t4yeEjeLQQ1x8M8NSXTHlj</t>
  </si>
  <si>
    <t>4 LPA</t>
  </si>
  <si>
    <t>Web Design for Everybody: Basics of Web Development &amp; Coding</t>
  </si>
  <si>
    <t>Colleen Van lent PhD</t>
  </si>
  <si>
    <t>https://drive.google.com/open?id=1paBUJfz_M4Gigm8Veby7U8NWn40KrzpW</t>
  </si>
  <si>
    <t xml:space="preserve">Programming essentials in C Language </t>
  </si>
  <si>
    <t>6months</t>
  </si>
  <si>
    <t>https://drive.google.com/open?id=1LrTwKTVFOygHJ8gHCJ2OlPA3e0ySb62H</t>
  </si>
  <si>
    <t xml:space="preserve">Redhat System Administration </t>
  </si>
  <si>
    <t xml:space="preserve">Redhat </t>
  </si>
  <si>
    <t>https://drive.google.com/open?id=198sBy60ZJuhV2m216INIEmBsIzHPJOir</t>
  </si>
  <si>
    <t>Building web applications in php</t>
  </si>
  <si>
    <t>https://drive.google.com/open?id=1CraJr1Nid3rqoJ1bVL8eBdrZi1yQ-kpC</t>
  </si>
  <si>
    <t>JNTU Kakinada</t>
  </si>
  <si>
    <t>not given</t>
  </si>
  <si>
    <t>National level online quiz</t>
  </si>
  <si>
    <t>https://drive.google.com/open?id=1pMTutEHS8VT2lEPvgSLuKWua8eBbMpnz</t>
  </si>
  <si>
    <t>Introduction to Structured query language</t>
  </si>
  <si>
    <t>https://drive.google.com/open?id=1d5VMkEdhOE6wUBXgCuli559i34T1JNFq</t>
  </si>
  <si>
    <t>AWS Academy Certificate</t>
  </si>
  <si>
    <t>AICTE Edu skills</t>
  </si>
  <si>
    <t>https://drive.google.com/open?id=1pJnAHkwhsnPJtQBH37JAkhjqh901yg2r</t>
  </si>
  <si>
    <t>Online Summer Training - Kyrion technology</t>
  </si>
  <si>
    <t>https://drive.google.com/open?id=1ML-AQBPz_j8-clf9teLqwOuIGI7Dcpfg</t>
  </si>
  <si>
    <t>Python Online Workshop</t>
  </si>
  <si>
    <t>Kyrion technologies</t>
  </si>
  <si>
    <t>https://drive.google.com/open?id=1NXOPsyh955aIGZjzTRRVIr0FWUw4rpis</t>
  </si>
  <si>
    <t>Karanam yeswanth teja</t>
  </si>
  <si>
    <t>20331A0581</t>
  </si>
  <si>
    <t>IT essentials</t>
  </si>
  <si>
    <t>K.subbaraju</t>
  </si>
  <si>
    <t>https://drive.google.com/open?id=1yOJySaImIeqzV8zvtN7zLCZ8rTzC6P4y</t>
  </si>
  <si>
    <t>tejacherry0611@gmail.com</t>
  </si>
  <si>
    <t>GUMMA VENKATA SRIVATHSA</t>
  </si>
  <si>
    <t>20331A0568</t>
  </si>
  <si>
    <t>K.SUBBARAJU</t>
  </si>
  <si>
    <t>https://drive.google.com/open?id=1kXrytMYKsJLrS-3i_-DaB6hKP07r6KbC</t>
  </si>
  <si>
    <t>gvsrivathsa@gmail.com</t>
  </si>
  <si>
    <t>NDG Linux essentials</t>
  </si>
  <si>
    <t>https://drive.google.com/open?id=1NiIHfvJgm5gpPCpKbnhOuxmv4ZnfWpQW</t>
  </si>
  <si>
    <t>MACHINE LEARNING</t>
  </si>
  <si>
    <t>NIT TRICHY</t>
  </si>
  <si>
    <t>M.SRI KRISHNA</t>
  </si>
  <si>
    <t>https://drive.google.com/open?id=1g38x1n1M60apvsFzB3wZCCoaSepNDmv9</t>
  </si>
  <si>
    <t>https://drive.google.com/open?id=1yt2Df3VcW_0AB69NaxXNmKcQZRhjv1TI</t>
  </si>
  <si>
    <t>Gudala Lalitha Maheswari</t>
  </si>
  <si>
    <t>20331A0565</t>
  </si>
  <si>
    <t>https://drive.google.com/open?id=1AJghTvCvOYf2111qo8ySsjxTH-es7gtq</t>
  </si>
  <si>
    <t>gudalalalithamaheswari4180@gmail.com</t>
  </si>
  <si>
    <t>Cybersecurity and ethical Hacking</t>
  </si>
  <si>
    <t>https://drive.google.com/open?id=1VIjxi_MlNnA9ugQx67YvTGsEQC5oDd4y</t>
  </si>
  <si>
    <t>M. Tarun Kumar</t>
  </si>
  <si>
    <t>20331A05B0</t>
  </si>
  <si>
    <t>K Subba raju</t>
  </si>
  <si>
    <t>https://drive.google.com/open?id=1mxzJH-OG4In_VvdEQaVkfMt6-qVrqc3K</t>
  </si>
  <si>
    <t>mt790191@gmail.com</t>
  </si>
  <si>
    <t>https://drive.google.com/open?id=1zlp-hU7vPBWUBXOs7s5t0l2yaDufQLfH</t>
  </si>
  <si>
    <t>https://drive.google.com/open?id=17Sl_rQ_ag42spqyJh38eNM10mb_mPENE</t>
  </si>
  <si>
    <t>Redhat</t>
  </si>
  <si>
    <t>https://drive.google.com/open?id=10vYy2yRzwiezw6ByqFwZcrerK8gpogGu</t>
  </si>
  <si>
    <t>Nune.Veera Narayanamma</t>
  </si>
  <si>
    <t>20331A05C9</t>
  </si>
  <si>
    <t xml:space="preserve"> NDG</t>
  </si>
  <si>
    <t>https://drive.google.com/open?id=1ULzhn86Os22MLlFB0nnAUp6trn1SlqXA</t>
  </si>
  <si>
    <t>vasavinune24@gmail.com</t>
  </si>
  <si>
    <t>REDHAT</t>
  </si>
  <si>
    <t>https://drive.google.com/open?id=1cr5DGy03nmFmZFMxy1SU8HLUYkTAtxEu</t>
  </si>
  <si>
    <t>M. Tarun kumar</t>
  </si>
  <si>
    <t>https://drive.google.com/open?id=1_7V9WKQdECrYmJ4B1k45Qyokl2hvYj3d</t>
  </si>
  <si>
    <t>CISCO ONLINE COURSE</t>
  </si>
  <si>
    <t>K.V SUBBARAJU</t>
  </si>
  <si>
    <t>https://drive.google.com/open?id=1czIzAGfCjQHXOg3WrEvdsBQ0ELMRPG0z</t>
  </si>
  <si>
    <t>https://drive.google.com/open?id=1vinEl0B5tg4rSvGazB6MyvSNVNZm97dS</t>
  </si>
  <si>
    <t>Killana Gayatri Venkata Manikanta</t>
  </si>
  <si>
    <t>18331A0576</t>
  </si>
  <si>
    <t>C certitficate</t>
  </si>
  <si>
    <t>https://drive.google.com/open?id=1n51ksBrcJzu8FL6s0RaMBBoDHsOxzL4B</t>
  </si>
  <si>
    <t>manikantakillana22@gmail.com</t>
  </si>
  <si>
    <t>KONA THARUN SREE SAI</t>
  </si>
  <si>
    <t>20331A0590</t>
  </si>
  <si>
    <t>https://drive.google.com/open?id=1U4zNBqKNThAe54o7icr_2AYBW3oeP86E</t>
  </si>
  <si>
    <t>tharunkona111@gmail.com</t>
  </si>
  <si>
    <t>Thota vineetha</t>
  </si>
  <si>
    <t>18331A05F5</t>
  </si>
  <si>
    <t>Artificial intelligence workshop</t>
  </si>
  <si>
    <t>Sujatha mehta</t>
  </si>
  <si>
    <t>https://drive.google.com/open?id=1VTe8G3ag7QW6ZX3AXCtEh60hSBycfJ4w</t>
  </si>
  <si>
    <t>vineethathota50@gmail.com</t>
  </si>
  <si>
    <t xml:space="preserve">GUDIVADA VASUDEVARAJU </t>
  </si>
  <si>
    <t>20331A0567</t>
  </si>
  <si>
    <t xml:space="preserve">Linux automation virtual internship </t>
  </si>
  <si>
    <t>https://drive.google.com/open?id=1RW0cM3DT5GM0oQ8k3Q0cM-pY3Bkzk4xa</t>
  </si>
  <si>
    <t>vasuvpk2330@gmail.com</t>
  </si>
  <si>
    <t>Vineetha thota</t>
  </si>
  <si>
    <t>2017-2018</t>
  </si>
  <si>
    <t>1st prize dring independence day competition</t>
  </si>
  <si>
    <t>https://drive.google.com/open?id=1E8igZRSp5FI396jnkfTgwu5IJlHZfWol</t>
  </si>
  <si>
    <t>Programming Esentials in C</t>
  </si>
  <si>
    <t>one month</t>
  </si>
  <si>
    <t>Vamsi Krishna Mahabhasyam</t>
  </si>
  <si>
    <t>https://drive.google.com/open?id=1Qc5AqfMve3ctBRZ_w3MfmS_ctS2EU0GC</t>
  </si>
  <si>
    <t xml:space="preserve">  18331A0576</t>
  </si>
  <si>
    <t>Cyber Security Essemtials</t>
  </si>
  <si>
    <t>https://drive.google.com/open?id=1nH8TaKBldh6ZDc0sW1vjSxEoDNNHr6gI</t>
  </si>
  <si>
    <t>Programming Essentials in python</t>
  </si>
  <si>
    <t>https://drive.google.com/open?id=10YCOw4UsW0uhFlhA-QSLmEDz3KUDJMRG</t>
  </si>
  <si>
    <t xml:space="preserve"> 18331A0576</t>
  </si>
  <si>
    <t>SubbaRaju k v</t>
  </si>
  <si>
    <t>https://drive.google.com/open?id=1g1PPciummGlsJydx6Kye9TuF6hVVOtLV</t>
  </si>
  <si>
    <t>KONA.THARUN SREE SAI</t>
  </si>
  <si>
    <t xml:space="preserve">NDG LINUX  ESSENTIAL </t>
  </si>
  <si>
    <t xml:space="preserve">K.subba Raj </t>
  </si>
  <si>
    <t>https://drive.google.com/open?id=1jXQvw4zGqm7fBrhjrUC98L7_ZuN9JyzH</t>
  </si>
  <si>
    <t>sql certificate</t>
  </si>
  <si>
    <t>vignan institute of technology</t>
  </si>
  <si>
    <t>https://drive.google.com/open?id=1rFAppWC-72fQPrU4o8uPvGih8eD1oEDz</t>
  </si>
  <si>
    <t>10 days</t>
  </si>
  <si>
    <t>SubbaRaju K V</t>
  </si>
  <si>
    <t>https://drive.google.com/open?id=1KvXPRrtHu5Ev8HODK-1xhlS1_HnHyN_5</t>
  </si>
  <si>
    <t>MOBILE APPLICATION DEVELOPMENT</t>
  </si>
  <si>
    <t xml:space="preserve">SQUARE SB SOFTWARE SOLUTIONS </t>
  </si>
  <si>
    <t>Bharat</t>
  </si>
  <si>
    <t>https://drive.google.com/open?id=1g0QXVO9noo4etUmIUP_oXpwHqMjRE4Bt</t>
  </si>
  <si>
    <t>INTERNET OF THINGS</t>
  </si>
  <si>
    <t>THE_ORIGIN</t>
  </si>
  <si>
    <t>https://drive.google.com/open?id=1u3NS11v0fvpPHhZMHMMRQxaGA8DySqfG</t>
  </si>
  <si>
    <t xml:space="preserve">Prajyulitha Lakkoju </t>
  </si>
  <si>
    <t>Cisco it essentials</t>
  </si>
  <si>
    <t>NDG</t>
  </si>
  <si>
    <t>Dr suvarna Kumar gogula</t>
  </si>
  <si>
    <t>https://drive.google.com/open?id=1NSplG2ly1V3XE_WGlxIRc7GYvwZOmQk4</t>
  </si>
  <si>
    <t>Pavanteja sepana</t>
  </si>
  <si>
    <t>18331A05H4</t>
  </si>
  <si>
    <t>Cisco networking academy</t>
  </si>
  <si>
    <t>Ravi Kiran varama penmatsa</t>
  </si>
  <si>
    <t>https://drive.google.com/open?id=1qt7a5B2-6G4JsDP0xvOkYugdloNW3pP6</t>
  </si>
  <si>
    <t>tejpavan68@gmail.com</t>
  </si>
  <si>
    <t xml:space="preserve">Subba raju kv </t>
  </si>
  <si>
    <t>https://drive.google.com/open?id=1r6kjgn0k81G9upoY_aZZXrU3VZdSNE-5</t>
  </si>
  <si>
    <t>Assesment skill python</t>
  </si>
  <si>
    <t>Hacker rank</t>
  </si>
  <si>
    <t>https://drive.google.com/open?id=1YP4_waRixUhOZpsEhOc70FDSoErnVSsW</t>
  </si>
  <si>
    <t>Mohammed Imran</t>
  </si>
  <si>
    <t>20335A0509</t>
  </si>
  <si>
    <t>Blue Prism</t>
  </si>
  <si>
    <t>https://drive.google.com/open?id=1I10ymDocU9KshULXlkbs_MaLEpV-PeAS</t>
  </si>
  <si>
    <t>md116imran@gmail.com</t>
  </si>
  <si>
    <t>Jyothirmayi Manapuram</t>
  </si>
  <si>
    <t>20335A0507</t>
  </si>
  <si>
    <t>https://drive.google.com/open?id=1Nd4eGUqv6sSL8MquViyInvt8UdolPuv1</t>
  </si>
  <si>
    <t>jyothirmaimanapuram4@gmail.com</t>
  </si>
  <si>
    <t>Subba raju kv</t>
  </si>
  <si>
    <t>https://drive.google.com/open?id=1lZlrMRlBl-ZLTW1m78YX4pxu7K-6bUBi</t>
  </si>
  <si>
    <t>Kuriti Ravindra naidu</t>
  </si>
  <si>
    <t>20331A0597</t>
  </si>
  <si>
    <t>https://drive.google.com/open?id=16zd3VBlO3IdfTICh8JOvZbYDTeh7-442</t>
  </si>
  <si>
    <t>ravindranaidukuriti@gmail.com</t>
  </si>
  <si>
    <t>Programming for everybody (getting started with python)</t>
  </si>
  <si>
    <t xml:space="preserve">University of Michigan </t>
  </si>
  <si>
    <t>https://drive.google.com/open?id=1suhghNE_gGxnd0mnesNV1ieJ0Rzs88iu</t>
  </si>
  <si>
    <t xml:space="preserve">Kondeti Geetanjali </t>
  </si>
  <si>
    <t xml:space="preserve">20331A0591 </t>
  </si>
  <si>
    <t xml:space="preserve">IT essentials </t>
  </si>
  <si>
    <t xml:space="preserve">Cisco Networking academy </t>
  </si>
  <si>
    <t>https://drive.google.com/open?id=14LIehmwYyGdyv-HF6cs2pf9kDT6oLxKO</t>
  </si>
  <si>
    <t>kondetigeetanjali2003@gmail.com</t>
  </si>
  <si>
    <t>Dr.Suvarna kumar gogula</t>
  </si>
  <si>
    <t>https://drive.google.com/open?id=1d0KR6IQNBkDE-A4-SJmWZRoAXQxrhI1_</t>
  </si>
  <si>
    <t>ELURU DIVYA DEEPTHI</t>
  </si>
  <si>
    <t>20335A0503</t>
  </si>
  <si>
    <t>https://drive.google.com/open?id=1M6-zSpYjgfr0BASlp2QUzn_c4XjO8T6i</t>
  </si>
  <si>
    <t>eluruneelaveni@gmail.com</t>
  </si>
  <si>
    <t>K . Subbaraj</t>
  </si>
  <si>
    <t>https://drive.google.com/open?id=1wLqkG0B7CZj2enTBSaRevw6zhdZ39qcw</t>
  </si>
  <si>
    <t>Chinthapalli. Geetha sree</t>
  </si>
  <si>
    <t>19331A0537</t>
  </si>
  <si>
    <t>https://drive.google.com/open?id=19zlUndQh5pJmKfNO2-EjhssTuaVWZjGL</t>
  </si>
  <si>
    <t>sreegeetha794@gmail.com</t>
  </si>
  <si>
    <t>BANDARU BHANU SAI PRAKASH</t>
  </si>
  <si>
    <t>20335A0501</t>
  </si>
  <si>
    <t>https://drive.google.com/open?id=1QL9q--_GVEuGWpOC3zPdAKUT_Ha5rhv-</t>
  </si>
  <si>
    <t>bhanusaiprakash04@gmail.com</t>
  </si>
  <si>
    <t xml:space="preserve">LADI ADITYA PRASAD </t>
  </si>
  <si>
    <t>20335A0506</t>
  </si>
  <si>
    <t>https://drive.google.com/open?id=1mYUOK3K-F97GEKgt0CtUJvMCj1Ut9iVR</t>
  </si>
  <si>
    <t>adityaprasadladi@gmail.com</t>
  </si>
  <si>
    <t>https://drive.google.com/open?id=1cURO-VXsTbK6ZoZ8HDDxXySavbQV-XEM</t>
  </si>
  <si>
    <t xml:space="preserve">Jayanthi lahari Katta </t>
  </si>
  <si>
    <t>20335A0505</t>
  </si>
  <si>
    <t>https://drive.google.com/open?id=1sAcrYSuEOcOeoIFyHDZBVlmlqck3MYDm</t>
  </si>
  <si>
    <t>laharijayanthi10@gmail.com</t>
  </si>
  <si>
    <t>Muppaneni Gayatri Srinidhi</t>
  </si>
  <si>
    <t>18331A05A3</t>
  </si>
  <si>
    <t>https://drive.google.com/open?id=1XIuR7daUWGUMTat-Yoq0W9bWN3UpHpcf</t>
  </si>
  <si>
    <t>srinidhimuppaneni@gmail.com</t>
  </si>
  <si>
    <t>BHARAT HARI</t>
  </si>
  <si>
    <t>20331A0570</t>
  </si>
  <si>
    <t>oct-dec 2021</t>
  </si>
  <si>
    <t>https://drive.google.com/open?id=1xGu6fOJRvDMwRLBNU3Kd0Ulose5pqrjf</t>
  </si>
  <si>
    <t>bharat.haristudent@gmail.com</t>
  </si>
  <si>
    <t xml:space="preserve">Kuriti Ravindra naidu </t>
  </si>
  <si>
    <t>NDG linux</t>
  </si>
  <si>
    <t>Dr . Subbaraju sir</t>
  </si>
  <si>
    <t>https://drive.google.com/open?id=1AmK6gtlJvyR9Zvdm5oy-YUJo4zmpxEwh</t>
  </si>
  <si>
    <t>Nukarapu Sai Surya Harshith</t>
  </si>
  <si>
    <t>IT Essentials course</t>
  </si>
  <si>
    <t>CISCO Networking Academy</t>
  </si>
  <si>
    <t xml:space="preserve">Subha Raju </t>
  </si>
  <si>
    <t>https://drive.google.com/open?id=1o3_ZxR1dQRBZMIFc6vqFHPGas0qFe5A1</t>
  </si>
  <si>
    <t>Jahnavi Kadagala</t>
  </si>
  <si>
    <t>20331A0576</t>
  </si>
  <si>
    <t>k.Subbaraju</t>
  </si>
  <si>
    <t>https://drive.google.com/open?id=1dZnSV-pHqcDQWPTUvehAvOrIez_YMVqD</t>
  </si>
  <si>
    <t>jahnavi200305@gmail.com</t>
  </si>
  <si>
    <t xml:space="preserve">National intellectual property awareness mission </t>
  </si>
  <si>
    <t xml:space="preserve">Intellectual property office, India </t>
  </si>
  <si>
    <t xml:space="preserve">Vamsi sir </t>
  </si>
  <si>
    <t>https://drive.google.com/open?id=1EkYPRhT0FUNeDhx1N_rR_eAwme2sNrD8</t>
  </si>
  <si>
    <t xml:space="preserve">Madabathula Padma Praharshitha </t>
  </si>
  <si>
    <t xml:space="preserve">It essentials </t>
  </si>
  <si>
    <t>K V Subha Raju</t>
  </si>
  <si>
    <t>https://drive.google.com/open?id=1h1KZYLbmTaYH0uVr8nGP_oBlO4Por7L8</t>
  </si>
  <si>
    <t>Tejaswikarthik Nistala</t>
  </si>
  <si>
    <t>20331A05C7</t>
  </si>
  <si>
    <t>It essentials</t>
  </si>
  <si>
    <t>K. V. Subbaraju</t>
  </si>
  <si>
    <t>https://drive.google.com/open?id=161gAY9xCIyUZGV70Ss5tKQa6hhdg7zkq</t>
  </si>
  <si>
    <t>tejaswikarthiknistala@gmail.com</t>
  </si>
  <si>
    <t>PIRADHI YASWANTH KUMAR</t>
  </si>
  <si>
    <t>20335A0514</t>
  </si>
  <si>
    <t>https://drive.google.com/open?id=11dwcyzHKey-Qjswz26kVyFcRmb_znhxm</t>
  </si>
  <si>
    <t>yashdarling14@gmail.com</t>
  </si>
  <si>
    <t>Google developer group devfest 2021</t>
  </si>
  <si>
    <t>Devfest india</t>
  </si>
  <si>
    <t>https://drive.google.com/open?id=18KJNAHlNOgi39ODIHQNwA6UZDkEVrb_G</t>
  </si>
  <si>
    <t>BHAVANI GUDE</t>
  </si>
  <si>
    <t>20331A0566</t>
  </si>
  <si>
    <t>MR K.SUBBARAJU</t>
  </si>
  <si>
    <t>https://drive.google.com/open?id=1xkg2nR2j_Anot_YEWevxyZVOJDL07W8H</t>
  </si>
  <si>
    <t>gudebhavani9@gmail.com</t>
  </si>
  <si>
    <t>Passed</t>
  </si>
  <si>
    <t xml:space="preserve">K V Subha Raju </t>
  </si>
  <si>
    <t>https://drive.google.com/open?id=1oFxnyj1h9VS2-8ETGMPGTcUZGcAYN4ZL</t>
  </si>
  <si>
    <t>suryaharshith210@gmail.com</t>
  </si>
  <si>
    <t>Preetam Kurella</t>
  </si>
  <si>
    <t>20331A0596</t>
  </si>
  <si>
    <t>https://drive.google.com/open?id=1kD3Hcy00znGez18lUtVsEhAYtW5COimF</t>
  </si>
  <si>
    <t>preetamkurella@gmail.com</t>
  </si>
  <si>
    <t>Jntuk central zone football tournament secured 4th place</t>
  </si>
  <si>
    <t>Lakireddy Bali Reddy college of engineering</t>
  </si>
  <si>
    <t>https://drive.google.com/open?id=1hstXQ_rkvbzK5KWZpu81SJe3YLtZFkJm</t>
  </si>
  <si>
    <t>https://drive.google.com/open?id=1McGay_zEnuYV7_C0DLAirQ8wZ8zoD7xk</t>
  </si>
  <si>
    <t>KURELLA AMAR SAI PREETAM</t>
  </si>
  <si>
    <t>Redhat linux (RH-124)</t>
  </si>
  <si>
    <t>Redhat system administration</t>
  </si>
  <si>
    <t>K.V. Subbaraju</t>
  </si>
  <si>
    <t>https://drive.google.com/open?id=1i_ODEw_dzDJaiYVMOS22Ce2GY3djlGfQ</t>
  </si>
  <si>
    <t>Pavan Teja sepana</t>
  </si>
  <si>
    <t>Winner in football inter College sports competition</t>
  </si>
  <si>
    <t>Mvgr College of engineering</t>
  </si>
  <si>
    <t>https://drive.google.com/open?id=1p5-HbiZyGgZdl2vroKQPYUKklhEWweY-</t>
  </si>
  <si>
    <t>BOCHA MANYA SAI RAMA AKSHAYA</t>
  </si>
  <si>
    <t>20331A0519</t>
  </si>
  <si>
    <t xml:space="preserve">IT Essentials </t>
  </si>
  <si>
    <t>https://drive.google.com/open?id=1fnmAoSjTrUozP-Ro7MU303VLcipK9HKc</t>
  </si>
  <si>
    <t>bochamsrakshaya@gmail.com</t>
  </si>
  <si>
    <t xml:space="preserve">Redhatlinux(RH-124) </t>
  </si>
  <si>
    <t>Redhatsystem administration</t>
  </si>
  <si>
    <t>https://drive.google.com/open?id=1pCYnpmlYoFMaw-kdno5tsj-86aWCShCa</t>
  </si>
  <si>
    <t>https://drive.google.com/open?id=1BM7zfaq9nhB2UA45kz0lUnEv5gHDG3Gd</t>
  </si>
  <si>
    <t>Redhat Linux (124)</t>
  </si>
  <si>
    <t xml:space="preserve">Passed </t>
  </si>
  <si>
    <t>K.V . Subbaraju</t>
  </si>
  <si>
    <t>https://drive.google.com/open?id=1-gdyTvGMF5N5gPtaMIfHkTXB0qOBPXGF</t>
  </si>
  <si>
    <t xml:space="preserve">Redhat linux(RH-134) </t>
  </si>
  <si>
    <t>https://drive.google.com/open?id=1_IwNi8vxw7ykR1mhqexmx1rJV-IOttVY</t>
  </si>
  <si>
    <t>Redhat linux (RH-134)</t>
  </si>
  <si>
    <t>https://drive.google.com/open?id=1EKvphQSKtq5f-ziSqUg4ooo8NU3Fu-42</t>
  </si>
  <si>
    <t>https://drive.google.com/open?id=1oDdwHExZvZNkf4-RZUZoekLUWPiO_iWN</t>
  </si>
  <si>
    <t>K. Charan Teja</t>
  </si>
  <si>
    <t>20331A0587</t>
  </si>
  <si>
    <t>K.V.Subbaraju sir</t>
  </si>
  <si>
    <t>https://drive.google.com/open?id=15firB2U7LSHc09kBS6Z0FyxPPWcjqaVm</t>
  </si>
  <si>
    <t>devadeepkolla211@gmail.com</t>
  </si>
  <si>
    <t xml:space="preserve">KARANAM HARIKA DEVI </t>
  </si>
  <si>
    <t>20335A0504</t>
  </si>
  <si>
    <t>https://drive.google.com/open?id=1C15t6nORIzHNmH0Srb6akMdRBN_UHjiv</t>
  </si>
  <si>
    <t>harikaappalaraju7413@gmail.com</t>
  </si>
  <si>
    <t>Aws</t>
  </si>
  <si>
    <t>https://drive.google.com/open?id=15jQXeRCr_UZiP-hfR59DPeR33fQ64tnE</t>
  </si>
  <si>
    <t>Redhat Linux (134)</t>
  </si>
  <si>
    <t>https://drive.google.com/open?id=1ePKgLP0s2vCDChjGVBCeA6ZJpzBik2bC</t>
  </si>
  <si>
    <t xml:space="preserve">Bankapalli Bhargavi </t>
  </si>
  <si>
    <t>20335A0502</t>
  </si>
  <si>
    <t>https://drive.google.com/open?id=1pwG9BM12sfB_tRjhDTqD7cY1CDD1QwDY</t>
  </si>
  <si>
    <t>bhargavicme003@gmail.com</t>
  </si>
  <si>
    <t>IT-YUKTA-2K22</t>
  </si>
  <si>
    <t>Jntu vizianagaram</t>
  </si>
  <si>
    <t>G. jayasuma</t>
  </si>
  <si>
    <t>https://drive.google.com/open?id=1K4YvXyrOQTuJ2FfJ45B5JuJcD8DQ_fTh</t>
  </si>
  <si>
    <t>K.Charan Teja</t>
  </si>
  <si>
    <t xml:space="preserve">Red Hat organization </t>
  </si>
  <si>
    <t xml:space="preserve">Red Hat System Administration </t>
  </si>
  <si>
    <t>K.V.Subbaraj sir</t>
  </si>
  <si>
    <t>https://drive.google.com/open?id=1A-N-7jEjlW6kHxSpgtnAohojK6S_jEE3</t>
  </si>
  <si>
    <t>Redhat linux(RH 124)</t>
  </si>
  <si>
    <t>Redhat System Administration</t>
  </si>
  <si>
    <t>passed</t>
  </si>
  <si>
    <t>K.V.SubhaRaju</t>
  </si>
  <si>
    <t>https://drive.google.com/open?id=1oyxRrs_mpa1Wr7ea1u-YP_v0wp8XFQ7X</t>
  </si>
  <si>
    <t>ITYUKTHA-2K22</t>
  </si>
  <si>
    <t>JNTUGV</t>
  </si>
  <si>
    <t>G.jayasuma</t>
  </si>
  <si>
    <t>https://drive.google.com/open?id=1lMJZ3oZCH0qJpBElyfqLRPrXbwiJjMEP</t>
  </si>
  <si>
    <t>BOMMI HARSHITGA</t>
  </si>
  <si>
    <t>20331A0524</t>
  </si>
  <si>
    <t xml:space="preserve">K.SUBBARAJU </t>
  </si>
  <si>
    <t>https://drive.google.com/open?id=1LiMEyuEmNEP-JyQwa4-lr4x0Z7NOQKKZ</t>
  </si>
  <si>
    <t>bommiharshitha0603@gmail.com</t>
  </si>
  <si>
    <t>Redhat linux(RH134)</t>
  </si>
  <si>
    <t>Redhat system Administration</t>
  </si>
  <si>
    <t>https://drive.google.com/open?id=1d9vD1QBmDfwIF3W6hIiCWW4h5GHAugI0</t>
  </si>
  <si>
    <t>Linux Automation Virtual Internship</t>
  </si>
  <si>
    <t xml:space="preserve">Redhat Academy </t>
  </si>
  <si>
    <t xml:space="preserve">K. V. Subbaraju </t>
  </si>
  <si>
    <t>https://drive.google.com/open?id=1TeCR4HLMsWqwveJIj2vvFhZjbq9PpGSV</t>
  </si>
  <si>
    <t>Linux Automation virtual internship</t>
  </si>
  <si>
    <t>Red hat academy</t>
  </si>
  <si>
    <t>https://drive.google.com/open?id=1zx7EtsWxcpgDi3bY2U3OCgWVposD6Bov</t>
  </si>
  <si>
    <t>NDG linux essentials</t>
  </si>
  <si>
    <t>https://drive.google.com/open?id=1aTxFzkWMJR1cFhAQbVY1S978LynkQJJF</t>
  </si>
  <si>
    <t>K.V.Subharaju</t>
  </si>
  <si>
    <t>https://drive.google.com/open?id=1z9FKsD6U7nTC-TQYyGawgWr7RdiTZSd6</t>
  </si>
  <si>
    <t xml:space="preserve">NDG Linux Essentials </t>
  </si>
  <si>
    <t>https://drive.google.com/open?id=1TKvjyjGK_LYjM1Pe4Vg6-icNLcx8xeHU</t>
  </si>
  <si>
    <t>MOHAMMED ANJUMUL HAQUE</t>
  </si>
  <si>
    <t>20331A05B2</t>
  </si>
  <si>
    <t>CISCO NETWORKING ACADEMY</t>
  </si>
  <si>
    <t>K SUBBA RAJU</t>
  </si>
  <si>
    <t>https://drive.google.com/open?id=1Lpp02xPGgkuz4gglZkiLOpSnHOGr7ch_</t>
  </si>
  <si>
    <t>mdh9390646952@gmail.com</t>
  </si>
  <si>
    <t xml:space="preserve">Nimishakavi V S R Srujan </t>
  </si>
  <si>
    <t>20331A05C6</t>
  </si>
  <si>
    <t xml:space="preserve">Cisco Networking Academy </t>
  </si>
  <si>
    <t>K Subbu Raju</t>
  </si>
  <si>
    <t>https://drive.google.com/open?id=1asfdN6lSuj55iV4vkzAY9juwk-RRH0uu</t>
  </si>
  <si>
    <t>srujanraghc@gmail.com</t>
  </si>
  <si>
    <t>GUNTREDDI UDAYCHANDU</t>
  </si>
  <si>
    <t>20331A0569</t>
  </si>
  <si>
    <t>K subharaju</t>
  </si>
  <si>
    <t>https://drive.google.com/open?id=1NufJUKEeVtUmXpXptTvkpK5zq_97wpre</t>
  </si>
  <si>
    <t>udaychandu2001@gmail.com</t>
  </si>
  <si>
    <t xml:space="preserve">Linux Automation Virtual Internship </t>
  </si>
  <si>
    <t>https://drive.google.com/open?id=1U_VxK33JE_p7E3AnkwGdPKTxmcdgNasc</t>
  </si>
  <si>
    <t>K V.SubbaRaju</t>
  </si>
  <si>
    <t>https://drive.google.com/open?id=1jFahULrBJExN0gHP4_RddGjUIpadqYGs</t>
  </si>
  <si>
    <t>Linux automation virtual internships</t>
  </si>
  <si>
    <t>Redhat academy</t>
  </si>
  <si>
    <t>https://drive.google.com/open?id=16ASI1cuPXrKt31VDEX93KvQ581UNata8</t>
  </si>
  <si>
    <t>https://drive.google.com/open?id=1W_NOCuAPkMT5-7uZY2yLpkRH3sDF2yBb</t>
  </si>
  <si>
    <t xml:space="preserve">GUNTREDDI UDAYCHANDU </t>
  </si>
  <si>
    <t>20331A0659</t>
  </si>
  <si>
    <t>K.subharaju</t>
  </si>
  <si>
    <t>https://drive.google.com/open?id=1J1uudxn4EbQFRAxanIm_1_diR2O7kAb6</t>
  </si>
  <si>
    <t>https://drive.google.com/open?id=1O9IChSxdXxCNQaVY-oWkutdb5PWmDKzV</t>
  </si>
  <si>
    <t>Kolipaka Dinesh Venkata Mani Sai</t>
  </si>
  <si>
    <t>20331A0586</t>
  </si>
  <si>
    <t>https://drive.google.com/open?id=1Tg_9Zl6ggrHhx7AJjufvYTUhaC5608Su</t>
  </si>
  <si>
    <t>kolipakadinesh2003@gmail.com</t>
  </si>
  <si>
    <t>https://drive.google.com/open?id=1tVbui3IpKcHFKD1bNKAkcM4ru9WczXoG</t>
  </si>
  <si>
    <t>sachinvenkyindian@gmail.com</t>
  </si>
  <si>
    <t xml:space="preserve">Bevara Venkatesh </t>
  </si>
  <si>
    <t>18331A0513</t>
  </si>
  <si>
    <t>https://drive.google.com/open?id=1SzwVma1bvQzySAMcnIUyR86UB4_jEDZx</t>
  </si>
  <si>
    <t>Dont know</t>
  </si>
  <si>
    <t>4lpa</t>
  </si>
  <si>
    <t>Sumanth Varma Dandu</t>
  </si>
  <si>
    <t>18331A0530</t>
  </si>
  <si>
    <t>APEC</t>
  </si>
  <si>
    <t>Satish</t>
  </si>
  <si>
    <t>https://drive.google.com/open?id=1YYUrz4lf5EsBXTEPXNdUQAuk65vmtV5M</t>
  </si>
  <si>
    <t>dsumanthvarma6@gmail.com</t>
  </si>
  <si>
    <t>https://drive.google.com/open?id=1xh-6CUN_jqOL7YsUT-Wu8T20JJbUj-UT</t>
  </si>
  <si>
    <t>praveen.tarun115@gmail.com</t>
  </si>
  <si>
    <t>Bugata Praveen</t>
  </si>
  <si>
    <t>18331A0523</t>
  </si>
  <si>
    <t>https://drive.google.com/open?id=1oQTlIUlLTU4l6H3Z8lsz7HxqgYeHhzzs</t>
  </si>
  <si>
    <t xml:space="preserve">Hyderabad </t>
  </si>
  <si>
    <t>https://drive.google.com/open?id=1F7iTjzsHnuIodbVpb33cwJfk7_1LM-9l</t>
  </si>
  <si>
    <t>Rithvik Reddy Chantigari</t>
  </si>
  <si>
    <t>18331A0525</t>
  </si>
  <si>
    <t>Wiley-mthree</t>
  </si>
  <si>
    <t>https://drive.google.com/open?id=13J5UeAwZr8LZBFvHLWWmLBzpzuvdaHp2</t>
  </si>
  <si>
    <t>rithvikreddychantigari@gmail.com</t>
  </si>
  <si>
    <t>Kavala jyothsna</t>
  </si>
  <si>
    <t>20331A0582</t>
  </si>
  <si>
    <t>MR.K.Subbaraju</t>
  </si>
  <si>
    <t>https://drive.google.com/open?id=1rqDh4c8AZe0pallC8_DxVS483RzSNSns</t>
  </si>
  <si>
    <t>jyothsnakavala2003@gmail.com</t>
  </si>
  <si>
    <t>Rishabh Mehtha</t>
  </si>
  <si>
    <t>https://drive.google.com/open?id=1WkQtQLdGhQBJEgkiVn1gYaIcUbBhvm13</t>
  </si>
  <si>
    <t>National Institute of Technology Tiruchirapalli</t>
  </si>
  <si>
    <t>https://drive.google.com/open?id=1W3oP3DP3rBsp9RzvPebwIkHwjDigEuNA</t>
  </si>
  <si>
    <t>Prasad B</t>
  </si>
  <si>
    <t>18331A0514</t>
  </si>
  <si>
    <t>https://drive.google.com/open?id=1rlyRDaJkOzJm8bRKFhsUN4GOZtLeTbfr</t>
  </si>
  <si>
    <t>nani.bhogapurapu1106@gmail.com</t>
  </si>
  <si>
    <t xml:space="preserve">Red hat </t>
  </si>
  <si>
    <t>https://drive.google.com/open?id=1Vxws7ZxDedUtYqFillrfxBzIEcuaxcWk</t>
  </si>
  <si>
    <t xml:space="preserve">LOHITH VENKAT ANNAM </t>
  </si>
  <si>
    <t>18331A0506</t>
  </si>
  <si>
    <t xml:space="preserve">Swecha </t>
  </si>
  <si>
    <t>Vamsi</t>
  </si>
  <si>
    <t>https://drive.google.com/open?id=15ej9vscZ0I8ge1ld4LdQpKYaykpN1SaF</t>
  </si>
  <si>
    <t>annam.venkat24a@gmail.com</t>
  </si>
  <si>
    <t>Manac Infotech</t>
  </si>
  <si>
    <t>https://drive.google.com/open?id=1jHinSiZ9D-5a7iuvZ8of0MssCzGQHKS6</t>
  </si>
  <si>
    <t xml:space="preserve">Hexaware </t>
  </si>
  <si>
    <t>https://drive.google.com/open?id=1HxRFFojddfZhy4pNdOKAY6TXBt1DeE3G</t>
  </si>
  <si>
    <t xml:space="preserve">Dont know </t>
  </si>
  <si>
    <t>https://drive.google.com/open?id=1Q7aSFHIxNaHu-8QlEtAsaIFUj0e-lslA</t>
  </si>
  <si>
    <t>https://drive.google.com/open?id=1v9JLEHywb-uUy8bGNC3GjW6SgkJmpS0c</t>
  </si>
  <si>
    <t>Thrilochana Nakkella</t>
  </si>
  <si>
    <t>20331A05C3</t>
  </si>
  <si>
    <t>https://drive.google.com/open?id=1OdCqgTpFdMXyL2wGRwlzJQF7OcVDOTkQ</t>
  </si>
  <si>
    <t>3lochana.nakkella@gmail.com</t>
  </si>
  <si>
    <t>https://drive.google.com/open?id=1HhDM8hSHUy6Hc125dGJEBpi8IbmayzsU</t>
  </si>
  <si>
    <t>AWS Virtual Internship</t>
  </si>
  <si>
    <t>Dr. Ravi kiran Varma</t>
  </si>
  <si>
    <t>https://drive.google.com/open?id=19W1fVIBN315pgzRxfk00KUIixkX4M8-K</t>
  </si>
  <si>
    <t>B Prasad</t>
  </si>
  <si>
    <t>PCAP PYTHON ESSENTIALS</t>
  </si>
  <si>
    <t>https://drive.google.com/open?id=1k94jScnUdPRAllKESfy-MISeNFGATh6u</t>
  </si>
  <si>
    <t xml:space="preserve">A TEJESWARA RAO </t>
  </si>
  <si>
    <t>18331A0505</t>
  </si>
  <si>
    <t>Java and C++ and phython programming in complete course</t>
  </si>
  <si>
    <t>Global code institute</t>
  </si>
  <si>
    <t xml:space="preserve">Kalyana Chakravarthy </t>
  </si>
  <si>
    <t>https://drive.google.com/open?id=107vLh-tHpLz0JFCbzy4bv8VfAWSobwvQ</t>
  </si>
  <si>
    <t>anakapallitejeswararao2000@gmail.com</t>
  </si>
  <si>
    <t>Sumanth varma Dandu</t>
  </si>
  <si>
    <t>Mindtree Limites</t>
  </si>
  <si>
    <t>14-16 weeks</t>
  </si>
  <si>
    <t>https://drive.google.com/open?id=1vLiS16Riy3Hj4jFCZrDTX0Cb76lK2kbJ</t>
  </si>
  <si>
    <t>Artifical Intelligence</t>
  </si>
  <si>
    <t>https://drive.google.com/open?id=1TxqaqLjacyv5BFLhT_3QiJotOsS_nRQa</t>
  </si>
  <si>
    <t xml:space="preserve">Cyber security </t>
  </si>
  <si>
    <t xml:space="preserve">Palo Alto networks </t>
  </si>
  <si>
    <t xml:space="preserve">Ravikiran varama </t>
  </si>
  <si>
    <t>https://drive.google.com/open?id=1Nf0dS9oKIfRUR7U6PeBNEFsfkp5dW3Sh</t>
  </si>
  <si>
    <t>Graphic design certification legendary edition</t>
  </si>
  <si>
    <t>First look digital marketing solutions pvt.ltd</t>
  </si>
  <si>
    <t xml:space="preserve">Kalyan chakravarthy </t>
  </si>
  <si>
    <t>https://drive.google.com/open?id=15KlORbmmEYat07-YtUl0ZAjbTM255VC9</t>
  </si>
  <si>
    <t>https://drive.google.com/open?id=1Gi_5ij4VeUVfCmlwcC-fub9ubQUZaqe2</t>
  </si>
  <si>
    <t>—</t>
  </si>
  <si>
    <t xml:space="preserve">Lohith venkat Annam </t>
  </si>
  <si>
    <t xml:space="preserve">Zensar </t>
  </si>
  <si>
    <t>https://drive.google.com/open?id=1EDQ4Q2i0hjkmh99LPVKvOHUeTL69iJz-</t>
  </si>
  <si>
    <t>https://drive.google.com/open?id=1PRE1qe4Sha5GpZbyDT-TrczxIuR5f2Bv</t>
  </si>
  <si>
    <t>Infosys</t>
  </si>
  <si>
    <t>https://drive.google.com/open?id=10Ku5E62Gd_X9NlW3SyI23bLo1nHVOOTr</t>
  </si>
  <si>
    <t>I.T Essentials</t>
  </si>
  <si>
    <t>https://drive.google.com/open?id=1AEoFVZCs9R_i8Uv2eghRNXDGCyuNGV0o</t>
  </si>
  <si>
    <t>subba raju</t>
  </si>
  <si>
    <t>https://drive.google.com/open?id=10iRRL6oYzg9D17zZeW0XqU0pOWWcmdi0</t>
  </si>
  <si>
    <t>SUBBA RAJU</t>
  </si>
  <si>
    <t>https://drive.google.com/open?id=1p7w2l3SFw28Eb0ibzDAddGFhdRzJjgy2</t>
  </si>
  <si>
    <t>linux automation virtual program</t>
  </si>
  <si>
    <t>AICTE- red hat academy</t>
  </si>
  <si>
    <t>https://drive.google.com/open?id=1T4gMGUJ4XFABiYSCEBCvvtmcUDdii7k5</t>
  </si>
  <si>
    <t>TAMMINANA YASHWANTH</t>
  </si>
  <si>
    <t>18331A05F2</t>
  </si>
  <si>
    <t xml:space="preserve"> CCNA</t>
  </si>
  <si>
    <t>https://drive.google.com/open?id=1wjZLp-d60u1u4pMLRVmZviNunuo4_dWL</t>
  </si>
  <si>
    <t>tammineniyashwanth@gmail.com</t>
  </si>
  <si>
    <t xml:space="preserve">Jammi Sri Sai Yeshwanth </t>
  </si>
  <si>
    <t>20331A0574</t>
  </si>
  <si>
    <t xml:space="preserve">Redhat Enterprises </t>
  </si>
  <si>
    <t>https://drive.google.com/open?id=1zIw39WOTbilnopqS8otfGZVLqjHOITzf</t>
  </si>
  <si>
    <t>yeswanthjammi@gmail.com</t>
  </si>
  <si>
    <t>INFOSYS, WIPRO, COGNIZANT</t>
  </si>
  <si>
    <t>https://drive.google.com/open?id=1aoUkZBcN2ML6PLKzMhKZOLGvSduWTyzX</t>
  </si>
  <si>
    <t>Hyderabad &amp; Chennai</t>
  </si>
  <si>
    <t>5.5 LPA</t>
  </si>
  <si>
    <t xml:space="preserve">Vortex Machine Learning </t>
  </si>
  <si>
    <t xml:space="preserve">National Institute Of Technology Tiruchirapalli </t>
  </si>
  <si>
    <t>https://drive.google.com/open?id=1BiLv-XLj1k_RULgHrqvPtYN3P8kqC0QZ</t>
  </si>
  <si>
    <t xml:space="preserve">N Manikanta Sai Kumar </t>
  </si>
  <si>
    <t>20331A05C2</t>
  </si>
  <si>
    <t>K.V.Subbaraju</t>
  </si>
  <si>
    <t>https://drive.google.com/open?id=1NBVg10eIJsd6sM7PNq1K_ESwEvl-1Z9j</t>
  </si>
  <si>
    <t>manikanta202nmk@gmail.com</t>
  </si>
  <si>
    <t xml:space="preserve">Cisco Networking </t>
  </si>
  <si>
    <t>Dr KV Subba Raju</t>
  </si>
  <si>
    <t>https://drive.google.com/open?id=13O7D2koIVXmXkx9n66CbjBhzklX6JNwE</t>
  </si>
  <si>
    <t>SAI RISHITHA GORANTLA</t>
  </si>
  <si>
    <t>19331A0555</t>
  </si>
  <si>
    <t>https://drive.google.com/open?id=1hkVUsy0h-xVJYXHA9uKl-06xHAobIvjm</t>
  </si>
  <si>
    <t>rishithagorantla23@gmail.com</t>
  </si>
  <si>
    <t>Medisetti Ramya Sahithi</t>
  </si>
  <si>
    <t>20331A05A9</t>
  </si>
  <si>
    <t>https://drive.google.com/open?id=1yglCYVQ199qx5k15o7caTfXUWiGv0Jfi</t>
  </si>
  <si>
    <t>medisettiramyasahithi@gmail.com</t>
  </si>
  <si>
    <t>https://drive.google.com/open?id=1Wd9ZHAz5yyCDZGziuamZ_KhEPJWFqAfM</t>
  </si>
  <si>
    <t>18332A05F0</t>
  </si>
  <si>
    <t>Dr Ravi Kiran varma</t>
  </si>
  <si>
    <t>https://drive.google.com/open?id=1Zb-15iaNboindLGRyqAmWXSM4jrarj4b</t>
  </si>
  <si>
    <t>Dr. Ravi Kiran Verma</t>
  </si>
  <si>
    <t>https://drive.google.com/open?id=1DhSnZ69qVniIEuIV6Sj5XL01lXVYCBSB</t>
  </si>
  <si>
    <t>Dr Ravi Kiran verma</t>
  </si>
  <si>
    <t>https://drive.google.com/open?id=13lGdItF7uLb_QJuHbKFSTIT2NCFM2qOI</t>
  </si>
  <si>
    <t>GRANDHI.VASAVI</t>
  </si>
  <si>
    <t>19331A0558</t>
  </si>
  <si>
    <t>https://drive.google.com/open?id=18seBZorcjr3O70OKP_3pPmnzYScR3v6i</t>
  </si>
  <si>
    <t>vasavigrandhi02@gmail.com</t>
  </si>
  <si>
    <t>Dr Ravi Kiran Verma</t>
  </si>
  <si>
    <t>https://drive.google.com/open?id=1tXo0HN5OLkUMNJa9xtUoZ2zzgNTuxps5</t>
  </si>
  <si>
    <t>C++</t>
  </si>
  <si>
    <t>https://drive.google.com/open?id=1X6ppzp2_RQtZH-sMapbdVUJFv8cshZ_0</t>
  </si>
  <si>
    <t>https://drive.google.com/open?id=1TTKuv1PMBM3byrFdrOA4RuavOgVPs5_j</t>
  </si>
  <si>
    <t>Linux essentials</t>
  </si>
  <si>
    <t>https://drive.google.com/open?id=1yEpNi0SHGl5qQOLJpWfFDSVrtUwOq4Cb</t>
  </si>
  <si>
    <t>Iot</t>
  </si>
  <si>
    <t>https://drive.google.com/open?id=1QKPXuKgvVlA0gZbYZnTSSi7gWTbDZr8t</t>
  </si>
  <si>
    <t>Jaswanth Vajrapu</t>
  </si>
  <si>
    <t>1833A05G5</t>
  </si>
  <si>
    <t>https://drive.google.com/open?id=1Pdt8aypHVSwSzDIWguiP8nWMrEdB33h0</t>
  </si>
  <si>
    <t>jaswanth.vjp13@gmail.com</t>
  </si>
  <si>
    <t>18331A05G5</t>
  </si>
  <si>
    <t>Management</t>
  </si>
  <si>
    <t>Drona</t>
  </si>
  <si>
    <t xml:space="preserve">SIDHARTHAN </t>
  </si>
  <si>
    <t>https://drive.google.com/open?id=1iabDeur9k6QrEoaHZHRARPLPCSvizNGq</t>
  </si>
  <si>
    <t>BHOOMIREDDY KAVYA</t>
  </si>
  <si>
    <t>19331A0517</t>
  </si>
  <si>
    <t>https://drive.google.com/open?id=16c7c1M1MusHqa3fgQVXKq9D00j0pivXc</t>
  </si>
  <si>
    <t>kavyabhoomireddy@gmail.com</t>
  </si>
  <si>
    <t>Redhat Linux(RH-124)</t>
  </si>
  <si>
    <t>https://drive.google.com/open?id=1j1w0c2-FZYLuHintyze78-a8_CcCaP0D</t>
  </si>
  <si>
    <t>Chikkala Sowmya Deepika</t>
  </si>
  <si>
    <t>19331A0535</t>
  </si>
  <si>
    <t>https://drive.google.com/open?id=1Np-pIt1IdoqAq_K8OBZRls1Bm7DjtjSq</t>
  </si>
  <si>
    <t>sowmyadeepika2810@gmail.com</t>
  </si>
  <si>
    <t>Hacker Rank</t>
  </si>
  <si>
    <t>Harishankaran.K</t>
  </si>
  <si>
    <t>https://drive.google.com/open?id=15ob4XbwSyJWO_uug8fiShIJkjG616DJV</t>
  </si>
  <si>
    <t>Redhat Linux (RH-134)</t>
  </si>
  <si>
    <t>https://drive.google.com/open?id=1mQBFKyhqohX-jOzI2tnPUxJ-CqO5aJpf</t>
  </si>
  <si>
    <t xml:space="preserve">Datla V Subhadra Kumari </t>
  </si>
  <si>
    <t xml:space="preserve">19331A0541 </t>
  </si>
  <si>
    <t>https://drive.google.com/open?id=1JN1omyDFwhZ6DQdL14ffHMt9A0htX21g</t>
  </si>
  <si>
    <t>amritha.datla@gmail.com</t>
  </si>
  <si>
    <t>Thatimalla Niveditha</t>
  </si>
  <si>
    <t>19331A05H1</t>
  </si>
  <si>
    <t>https://drive.google.com/open?id=1fkfNt3Enmx67ukXQijvhGeQwlv7OqiGp</t>
  </si>
  <si>
    <t>thatimallaniveditha@gmail.com</t>
  </si>
  <si>
    <t>K V.Subbaraju</t>
  </si>
  <si>
    <t>https://drive.google.com/open?id=1pSs7zzy3eJi0Z95pmNnGfABCvWGgsb_H</t>
  </si>
  <si>
    <t>https://drive.google.com/open?id=1c5Y8DsJ-mMBKjKfPeXEF0JmLY5yb9AvC</t>
  </si>
  <si>
    <t>Siripurapu Sandhya</t>
  </si>
  <si>
    <t xml:space="preserve">19331A05F9 </t>
  </si>
  <si>
    <t>RPA</t>
  </si>
  <si>
    <t xml:space="preserve">MVGR college Of engineering </t>
  </si>
  <si>
    <t>certification</t>
  </si>
  <si>
    <t>Mr.P.Ram Santosh Naidu</t>
  </si>
  <si>
    <t>https://drive.google.com/open?id=1wJBg05qypWnDdgAhRK0R2uvkoJeon6rR</t>
  </si>
  <si>
    <t>siripurapusandhya15@gmail.com</t>
  </si>
  <si>
    <t>Participant in IEEEXTREME 13.0</t>
  </si>
  <si>
    <t>https://drive.google.com/open?id=1-gJsyg_GwG0B9yU1z85C9j7zOc7dCjCb</t>
  </si>
  <si>
    <t>A A S N NISHANTH VARMA PUSAPATI</t>
  </si>
  <si>
    <t>19331A0501</t>
  </si>
  <si>
    <t>https://drive.google.com/open?id=11tvcZC2B6NAxoyFWA5BgpbovXc-a3Nv7</t>
  </si>
  <si>
    <t>nishanthvarma14819@gmail.com</t>
  </si>
  <si>
    <t>Participated in IEEEXtreme 14.0 Programming</t>
  </si>
  <si>
    <t>https://drive.google.com/open?id=1Q123BBUxI1L9zmyqsMZASDg90DO_z1Yz</t>
  </si>
  <si>
    <t>Participated in IEEEXtreme 15.0 Programming</t>
  </si>
  <si>
    <t>https://drive.google.com/open?id=12rTU4jG8tcrAz8LiJ33uRa8PfNT2Qxpw</t>
  </si>
  <si>
    <t xml:space="preserve">AWS Cloud </t>
  </si>
  <si>
    <t>1 moth</t>
  </si>
  <si>
    <t>P.Ravi Kiran Vara</t>
  </si>
  <si>
    <t>https://drive.google.com/open?id=1ph83XLvX3vGd4A97E5ij08uGHbidKf49</t>
  </si>
  <si>
    <t>Varada Naga Praneetha</t>
  </si>
  <si>
    <t xml:space="preserve">19331A05I1 </t>
  </si>
  <si>
    <t>https://drive.google.com/open?id=1iebwTBXwTYrugaMqKMKl6bj1uGidMTeG</t>
  </si>
  <si>
    <t>praneetha.varada@gmail.com</t>
  </si>
  <si>
    <t>Problem Solving in C</t>
  </si>
  <si>
    <t>https://drive.google.com/open?id=1Ge4SRokCJY04Io2zfoiUhLhrAKh00_Ga</t>
  </si>
  <si>
    <t>Successful Presentation</t>
  </si>
  <si>
    <t>William Kuskin</t>
  </si>
  <si>
    <t>https://drive.google.com/open?id=1FnC69aIhT2LBAjYSJwvd29MN09KMBmLd</t>
  </si>
  <si>
    <t>Varada Naga praneetha</t>
  </si>
  <si>
    <t xml:space="preserve"> DR.Ravi kiran varma</t>
  </si>
  <si>
    <t>https://drive.google.com/open?id=1u5W3xc7M36C7uqNkrMs988SSF17BWLHi</t>
  </si>
  <si>
    <t xml:space="preserve">CCNAv7 : Introduction to networks </t>
  </si>
  <si>
    <t>Dr. ravi kiran varma</t>
  </si>
  <si>
    <t>https://drive.google.com/open?id=1sLv63GFElaZzg0tPVD_8qw9BRyVWvQLV</t>
  </si>
  <si>
    <t xml:space="preserve">Sammingi Anju Sai Neha Bhuvya </t>
  </si>
  <si>
    <t xml:space="preserve">19331A05E7 </t>
  </si>
  <si>
    <t>https://drive.google.com/open?id=1zG2hfJx1FiAxx-aMGpfLompju4QVYhBE</t>
  </si>
  <si>
    <t>nehabhuvya@gmail.com</t>
  </si>
  <si>
    <t>Sai Akshaya Kasireddi</t>
  </si>
  <si>
    <t>19331A05E6</t>
  </si>
  <si>
    <t>https://drive.google.com/open?id=1S0p5CNARv6AIh0jkY2b963wPxgWr77iY</t>
  </si>
  <si>
    <t>saiakshaya3042@gmail.com</t>
  </si>
  <si>
    <t>CCNAv7 : SRWE</t>
  </si>
  <si>
    <t>_</t>
  </si>
  <si>
    <t>https://drive.google.com/open?id=1syo7UaH687D-JpxJyPvut1j1pK3BMbje</t>
  </si>
  <si>
    <t>BORRA BHAVYA</t>
  </si>
  <si>
    <t>19331A0525</t>
  </si>
  <si>
    <t>https://drive.google.com/open?id=1eAZkMaFzM15aJQj0CiTTAt64qhQxtlMe</t>
  </si>
  <si>
    <t>bhavyaborra2002@gmail.com</t>
  </si>
  <si>
    <t>CAROLINE CHRISTY THANDU</t>
  </si>
  <si>
    <t>18331A05F4</t>
  </si>
  <si>
    <t>PROGRAMMING ESSENTIALS IN PYTHON</t>
  </si>
  <si>
    <t>https://drive.google.com/open?id=1bEEb_67tfTUMaadwqxyH1kLGgXu06L-o</t>
  </si>
  <si>
    <t>thanducarolinechristy@gmail.com</t>
  </si>
  <si>
    <t>Bondapalli Priyanka</t>
  </si>
  <si>
    <t>19331A0523</t>
  </si>
  <si>
    <t>https://drive.google.com/open?id=1xgzZEYjYgnECYBJzQfcqwASeVfjyLZC-</t>
  </si>
  <si>
    <t>priyankapriya0416@gmail.com</t>
  </si>
  <si>
    <t>indiradarshini126@gmail.com</t>
  </si>
  <si>
    <t xml:space="preserve">Tammineni Rajasree Indira priyadarshini </t>
  </si>
  <si>
    <t xml:space="preserve">19331A05H0 </t>
  </si>
  <si>
    <t>CR</t>
  </si>
  <si>
    <t>MOTAMARRI AKSHAYA</t>
  </si>
  <si>
    <t>19331A05A9</t>
  </si>
  <si>
    <t>https://drive.google.com/open?id=1JyesfyG9sdretzSNeYQ2p7xsGi1Vlmbs</t>
  </si>
  <si>
    <t>akshayamotamarri2108@gmail.com</t>
  </si>
  <si>
    <t>THANDU CAROLINE CHRISTY</t>
  </si>
  <si>
    <t>DR. P. RAVI KIRAN VARMA</t>
  </si>
  <si>
    <t>https://drive.google.com/open?id=1eC1pDXpm6Na2Yw9X6EHoZDI1_VQx9eSV</t>
  </si>
  <si>
    <t>LAKKIMSETTI CHANDRA SIRISHA</t>
  </si>
  <si>
    <t>19331A0594</t>
  </si>
  <si>
    <t>https://drive.google.com/open?id=1Yom3pKy4Tkgt9RrqNFbH2LIJ7nyblof1</t>
  </si>
  <si>
    <t>sirishalakkimsetti1729@gmail.com</t>
  </si>
  <si>
    <t>CYBERSECURITY ESSENTIALS</t>
  </si>
  <si>
    <t>https://drive.google.com/open?id=1foONca1k4A6XjEfgyT-fpPpAfD8E744q</t>
  </si>
  <si>
    <t>https://drive.google.com/open?id=1UR6VzrlXN7BED6ACISPUMmROl_Ggh1qz</t>
  </si>
  <si>
    <t xml:space="preserve">N CHANDRA SEKHAR REDDY </t>
  </si>
  <si>
    <t>19331A05B7</t>
  </si>
  <si>
    <t>https://drive.google.com/open?id=1D9VJrTOe4CseoWGyhcXBEAT02CSp62P6</t>
  </si>
  <si>
    <t>ncsreddy143@gmail.com</t>
  </si>
  <si>
    <t>https://drive.google.com/open?id=1pe3p-2freuWa5Y6VlateFoOG8VVzNEWA</t>
  </si>
  <si>
    <t>SWITCHING ROUTING AND WIRELESS ESSENTIALS</t>
  </si>
  <si>
    <t>https://drive.google.com/open?id=19pm2_Q5iWB3TaA9W5JNLMBYNbUk4cqmc</t>
  </si>
  <si>
    <t>Kalyampudi Sravani</t>
  </si>
  <si>
    <t>20331A0579</t>
  </si>
  <si>
    <t>K.Subbaraju</t>
  </si>
  <si>
    <t>https://drive.google.com/open?id=1DdtP4Jce1Hzh89cx91TIYbMBw-Eoyw6i</t>
  </si>
  <si>
    <t>sravanikalyampudi@gmail.com</t>
  </si>
  <si>
    <t>https://drive.google.com/open?id=12_srua-2bN288erbcYac-deqxTpCBmIW</t>
  </si>
  <si>
    <t xml:space="preserve">BUDDHARAJU  SANJANA </t>
  </si>
  <si>
    <t xml:space="preserve">19331A0526 </t>
  </si>
  <si>
    <t>https://drive.google.com/open?id=1q70iM5ZuSozWqArmkj9LmZgssRwVJcUV</t>
  </si>
  <si>
    <t>sanjanab5j@gmail.com</t>
  </si>
  <si>
    <t xml:space="preserve">MVGR college of engineering </t>
  </si>
  <si>
    <t>https://drive.google.com/open?id=1W-GEi_AHJJKbI5qy-Xka1C4tkYjzijrv</t>
  </si>
  <si>
    <t>https://drive.google.com/open?id=1Ezod3LTtx06q8Nryu-0ZbTaoweFYbeQy</t>
  </si>
  <si>
    <t>https://drive.google.com/open?id=1w7Nn7fnaelGzhVWNrJIoFAwtxc99uNTN</t>
  </si>
  <si>
    <t>3 WEEKS</t>
  </si>
  <si>
    <t>https://drive.google.com/open?id=1RTtyq3k-N2F7MeRaIQQUEPr2Q6jliTEQ</t>
  </si>
  <si>
    <t>chanamalla venkata sai vivek</t>
  </si>
  <si>
    <t>18331a05h3</t>
  </si>
  <si>
    <t>python complete course for python beginners</t>
  </si>
  <si>
    <t>7.5 hours</t>
  </si>
  <si>
    <t>horizon tech</t>
  </si>
  <si>
    <t>https://drive.google.com/open?id=1ZjUgIOn4CrJjrvYAAfjeeemjC-MPDfNq</t>
  </si>
  <si>
    <t>venkatsaivivek007@gmail.com</t>
  </si>
  <si>
    <t>computer architecture &amp; computer organisation</t>
  </si>
  <si>
    <t>12.5hrs</t>
  </si>
  <si>
    <t>yasas sri wickramasinghe</t>
  </si>
  <si>
    <t>https://drive.google.com/open?id=1fOz66l3-hJZ8uJ9WTF7kYbv6x4urVCfn</t>
  </si>
  <si>
    <t>Lekkala Pavani</t>
  </si>
  <si>
    <t xml:space="preserve">20331A05A2 </t>
  </si>
  <si>
    <t>https://drive.google.com/open?id=1-s6hUkyyPvazo85I9mZCbqlJIFZTi6sR</t>
  </si>
  <si>
    <t>pavani.leela15@gmail.com</t>
  </si>
  <si>
    <t>KANDULA VARSHINI</t>
  </si>
  <si>
    <t>19331A0572</t>
  </si>
  <si>
    <t>https://drive.google.com/open?id=1RiYNFJLyXRcHF4OU9iWJ_kKYyQDAByBf</t>
  </si>
  <si>
    <t>kandhulavarshini@gmail.com</t>
  </si>
  <si>
    <t>a complete website development tool without programming</t>
  </si>
  <si>
    <t>1.5 hrs</t>
  </si>
  <si>
    <t>mahesh pratapwar</t>
  </si>
  <si>
    <t>https://drive.google.com/open?id=1jEjFpyfV984wjTf7K6bTamn6PHOO9whM</t>
  </si>
  <si>
    <t xml:space="preserve">Lekkala Pavani </t>
  </si>
  <si>
    <t>https://drive.google.com/open?id=1eKMg0MuP3auzH31G2IsRDH1H5c5-rriI</t>
  </si>
  <si>
    <t>https://drive.google.com/open?id=1d53Z83IH6uTnP6_e1rTc7B2rYFvzwbgs</t>
  </si>
  <si>
    <t>https://drive.google.com/open?id=1l0vq1U6sdFw3l4NRBTGo5zxgvr-9dRuI</t>
  </si>
  <si>
    <t>https://drive.google.com/open?id=18qymJHQtd7_s6vxpDGKyC3Av6MtUIRUq</t>
  </si>
  <si>
    <t>https://drive.google.com/open?id=15uViMoGjxNAkEyV4Y1Q8HhaRwq88LVNU</t>
  </si>
  <si>
    <t>INTERNET OF THINGS WORKSHOP</t>
  </si>
  <si>
    <t>https://drive.google.com/open?id=1eU1ODAZjWmC1lWUo_kbTMctGyyaKRRwt</t>
  </si>
  <si>
    <t>https://drive.google.com/open?id=1FfDpT2xxMiSopeSUAR15TtLoVpZTPc4Q</t>
  </si>
  <si>
    <t>https://drive.google.com/open?id=1qbg09HWRvHvWMuQIuQSJ6sD4O5Mao3IC</t>
  </si>
  <si>
    <t>PALO ALTO NETWORKING ACADEMY</t>
  </si>
  <si>
    <t>DR.P. RAVI KIRAN VARMA</t>
  </si>
  <si>
    <t>https://drive.google.com/open?id=1EvXscih3t8GNcIkdo5_8G4zI0SWazPz8</t>
  </si>
  <si>
    <t>https://drive.google.com/open?id=1RZJGkxLxMIWCLo4siZnkp-f5pBgLSxfj</t>
  </si>
  <si>
    <t>https://drive.google.com/open?id=1f94s200c2aJ8-D01M1jsKM_f5UVJQI4P</t>
  </si>
  <si>
    <t>Manas Trang</t>
  </si>
  <si>
    <t>Y.M.C.Shekar</t>
  </si>
  <si>
    <t>https://drive.google.com/open?id=1PxUOyyuy2MDilQIZtpCG6-BGaxfslHXc</t>
  </si>
  <si>
    <t>DR. P. RAVI KIFRA VARMA</t>
  </si>
  <si>
    <t>https://drive.google.com/open?id=1CDQp-PBZmfOaWRAP94IsgsbraIKHtdWL</t>
  </si>
  <si>
    <t>Harshit Dhanuka</t>
  </si>
  <si>
    <t>20331A0571</t>
  </si>
  <si>
    <t>Red Hat Enterprise</t>
  </si>
  <si>
    <t>https://drive.google.com/open?id=1KKGtaq5GZLret3IA_PBGmysy9nnWrfqb</t>
  </si>
  <si>
    <t>harshitdhanuka92@gmail.com</t>
  </si>
  <si>
    <t>2months 2weeks</t>
  </si>
  <si>
    <t>K V Subbaraju</t>
  </si>
  <si>
    <t>https://drive.google.com/open?id=1V0NQc24We23LH8EhxU-DoWWBxbWP-qw8</t>
  </si>
  <si>
    <t>Gayathri Gondi</t>
  </si>
  <si>
    <t>19331A0553</t>
  </si>
  <si>
    <t>CLA - Programming Essentials in C</t>
  </si>
  <si>
    <t>70 hours</t>
  </si>
  <si>
    <t>https://drive.google.com/open?id=1L9EdbAfI7EPrI4X-M6NqXT4KXwvZicpg</t>
  </si>
  <si>
    <t>gayathrigondi2204@gmail.com</t>
  </si>
  <si>
    <t>Machine Learning</t>
  </si>
  <si>
    <t>NIT, TIRUCHIRAPALLI</t>
  </si>
  <si>
    <t>E. Siva Shankar</t>
  </si>
  <si>
    <t>https://drive.google.com/open?id=1CdIhKOLxHMKon7MhlxfbyeqhVil30Pmz</t>
  </si>
  <si>
    <t>19331a0553</t>
  </si>
  <si>
    <t>T Essentials: PC Hardware and Software</t>
  </si>
  <si>
    <t>https://drive.google.com/open?id=1jZqgHUFv77c-1WLKoijFh6ALBy9Ux1It</t>
  </si>
  <si>
    <t>Python 2019-23 III Sem CSE Sec A</t>
  </si>
  <si>
    <t>75 hours</t>
  </si>
  <si>
    <t xml:space="preserve"> JAYASRI SAI VENKATA ANGARA</t>
  </si>
  <si>
    <t>https://drive.google.com/open?id=1FE0_HvNkyx3uHLZDuU658DZshp-63E4t</t>
  </si>
  <si>
    <t>DATA ANALYTICS USING PYTHON</t>
  </si>
  <si>
    <t>JNTUGV-UCEV</t>
  </si>
  <si>
    <t>V Laxmi Prasad</t>
  </si>
  <si>
    <t>https://drive.google.com/open?id=1RNxNHVErA7ZetNxkkw55UxK_dJZ0frz-</t>
  </si>
  <si>
    <t xml:space="preserve">GNU/ Linux Admin and Programming with Python </t>
  </si>
  <si>
    <t>MVGR College of Engineering (Autonomous)</t>
  </si>
  <si>
    <t>https://drive.google.com/open?id=13ZIfIPothsMAgPWvm_xwT_qHdQfFypAW</t>
  </si>
  <si>
    <t>KADAMANTI SRAVAN</t>
  </si>
  <si>
    <t>20331A0577</t>
  </si>
  <si>
    <t xml:space="preserve">KV SUBBA RAJU </t>
  </si>
  <si>
    <t>https://drive.google.com/open?id=1m23VxHdX4Zs3AvCLywt75uFllkTGKKTd</t>
  </si>
  <si>
    <t>kadamantisravan10@gmail.com</t>
  </si>
  <si>
    <t>RED HAT LINUX ADMINSTRATION (RH134)</t>
  </si>
  <si>
    <t xml:space="preserve">AICT </t>
  </si>
  <si>
    <t>2MONTHS</t>
  </si>
  <si>
    <t>KV SUBBA RAJU</t>
  </si>
  <si>
    <t>https://drive.google.com/open?id=18UCOVjctEmUkeWvKSK3EwxxqYBTuhM8l</t>
  </si>
  <si>
    <t>RED HAT LINUX ADMINSTRATION (RH124)</t>
  </si>
  <si>
    <t>AICT</t>
  </si>
  <si>
    <t>https://drive.google.com/open?id=1Br9osdp4Z29Y2syRxU08Ud0JMlMK7QRZ</t>
  </si>
  <si>
    <t>Chaitra Mudili</t>
  </si>
  <si>
    <t>18331A05A0</t>
  </si>
  <si>
    <t>https://drive.google.com/open?id=1MifZlr4QTyfjCEJejPJbr5s190TAXprE</t>
  </si>
  <si>
    <t>chaitra2026@gmail.com</t>
  </si>
  <si>
    <t>Nakkina Visrutha</t>
  </si>
  <si>
    <t>18331A05A6</t>
  </si>
  <si>
    <t>https://drive.google.com/open?id=1j4dQCVh65KHXq89qFXkKzrxq4tCfzD-j</t>
  </si>
  <si>
    <t>visrutha2001@gmail.com</t>
  </si>
  <si>
    <t>CPA - Programming Essentials in C++</t>
  </si>
  <si>
    <t>https://drive.google.com/open?id=1Gk5FuNyOEn3ZKyId4GWfgMUKEX9yMALO</t>
  </si>
  <si>
    <t>https://drive.google.com/open?id=16FQHEBK1Sq5igP7cNRw9fRLyPnYvM-ms</t>
  </si>
  <si>
    <t>https://drive.google.com/open?id=1TUdexaEHNdOiYPHV3Cha4uQbX5XqPZhW</t>
  </si>
  <si>
    <t>https://drive.google.com/open?id=1pfY5xSV0Jpjkm30jccWxoPYm0rBdu9_6</t>
  </si>
  <si>
    <t>CCNA V7.02 Introduction to Networks</t>
  </si>
  <si>
    <t>https://drive.google.com/open?id=1Ue1zY6fmjTuNMCQ1eMzNM_hDW5JfeMAS</t>
  </si>
  <si>
    <t xml:space="preserve">PCAP - Programming Essentials in Python </t>
  </si>
  <si>
    <t>https://drive.google.com/open?id=1vIBeMPhSVPqi4P2p2StgeIVMPCBYCVJX</t>
  </si>
  <si>
    <t>Web Development</t>
  </si>
  <si>
    <t>Internshala</t>
  </si>
  <si>
    <t>Sarvesh Agarwal</t>
  </si>
  <si>
    <t>https://drive.google.com/open?id=1c29JlK1hYarwHb69KZRXURiOigcjghFZ</t>
  </si>
  <si>
    <t>https://drive.google.com/open?id=1Fq8ntn83IQFZjCmTbG2xuGOFjEVnA7oP</t>
  </si>
  <si>
    <t>Gorsa Uma Mahesh</t>
  </si>
  <si>
    <t>18331A0550</t>
  </si>
  <si>
    <t>https://drive.google.com/open?id=1DEdRuYekCFhzd1erkA9WdK8eaGdsNCPZ</t>
  </si>
  <si>
    <t>gorsaumamahesh@gmail.com</t>
  </si>
  <si>
    <t>90 days</t>
  </si>
  <si>
    <t>https://drive.google.com/open?id=1DtxFggTTAZr71CIcaovN-iBadE1uZmlF</t>
  </si>
  <si>
    <t>https://drive.google.com/open?id=1kl_yv6lEbe4MkUx-7DDutSvZygUj_uo8</t>
  </si>
  <si>
    <t>KARRI SUBBARAO VINEETH</t>
  </si>
  <si>
    <t>19331A0575</t>
  </si>
  <si>
    <t>Robotic process automation virtual internship</t>
  </si>
  <si>
    <t>https://drive.google.com/open?id=1X5-dMidjBHdOyo90FwgFkdU_7hTrD6iR</t>
  </si>
  <si>
    <t>karri.vineeth24@gmail.com</t>
  </si>
  <si>
    <t>NAIK SAMPATH SRINATH</t>
  </si>
  <si>
    <t>19331A05B5</t>
  </si>
  <si>
    <t>ROBOTIC PROCESS AUTOMATION VIRTUAL INTERNSHIP</t>
  </si>
  <si>
    <t>https://drive.google.com/open?id=191m4Py2VmJsLXOuKESJH2Y4SC417zdZa</t>
  </si>
  <si>
    <t>dubla1503@gmail.com</t>
  </si>
  <si>
    <t>https://drive.google.com/open?id=1dum9P0ybRNMtzfRuAqmPvSgnf5YbCylF</t>
  </si>
  <si>
    <t>Mohammed Salman</t>
  </si>
  <si>
    <t>19331A05A8</t>
  </si>
  <si>
    <t>https://drive.google.com/open?id=1zGU_nScoebuJRKY58U95WF0gjYoSO5rU</t>
  </si>
  <si>
    <t>wolverinemds7@gmail.com</t>
  </si>
  <si>
    <t>https://drive.google.com/open?id=1kDF-MB6lGC-Z5LbMtHfLutR5nCFaEE1X</t>
  </si>
  <si>
    <t>Hyderabad, Bangalore, Chennai, Pune</t>
  </si>
  <si>
    <t>https://drive.google.com/open?id=1E5XqRSmk05zWihTMLgZg6Ql9IoaxNiDl</t>
  </si>
  <si>
    <t>Not Mentioned</t>
  </si>
  <si>
    <t>Mandhapati Jagannadha Rohit Varma</t>
  </si>
  <si>
    <t>19331A05A3</t>
  </si>
  <si>
    <t>https://drive.google.com/open?id=1RitpCA1NL59Cr98CXpUkHL0g0_OdEVqI</t>
  </si>
  <si>
    <t>rohitvarmaanrk@gmail.com</t>
  </si>
  <si>
    <t>https://drive.google.com/open?id=1sdkBp2g2wlH95wnFfXO8E9JBzRju_s2I</t>
  </si>
  <si>
    <t>3.6 LPA</t>
  </si>
  <si>
    <t>Killadi.shyam</t>
  </si>
  <si>
    <t>20331A0583</t>
  </si>
  <si>
    <t>Subba raju</t>
  </si>
  <si>
    <t>https://drive.google.com/open?id=1og0LMMSqRPdxLyrHtf_XEsnDTBkDJ4pD</t>
  </si>
  <si>
    <t>shyamkiladi56@gmail.com</t>
  </si>
  <si>
    <t>Mopada Pavithra</t>
  </si>
  <si>
    <t>18331A0599</t>
  </si>
  <si>
    <t>Cybersecurity</t>
  </si>
  <si>
    <t>70 hrs</t>
  </si>
  <si>
    <t>Dr.Ravi Kiran Varma penmatsa</t>
  </si>
  <si>
    <t>https://drive.google.com/open?id=1pXQ52xlKblkbSofigaUXkxIeYb6x4PYn</t>
  </si>
  <si>
    <t>pavithramopada2001@gmail.com</t>
  </si>
  <si>
    <t xml:space="preserve">Manchukonda Gopala krishna </t>
  </si>
  <si>
    <t>19331A05A2</t>
  </si>
  <si>
    <t>https://drive.google.com/open?id=1yyjxs7slZUtmGPGTAvILaie_xjyJu5v0</t>
  </si>
  <si>
    <t>gkrishna6932@gmail.com</t>
  </si>
  <si>
    <t xml:space="preserve">Naguru Jyothsna Priya Chandrika </t>
  </si>
  <si>
    <t>18331A05A5</t>
  </si>
  <si>
    <t>https://drive.google.com/open?id=1G1RlYV30pCbXGPQFAePsPFOPnByNKUBj</t>
  </si>
  <si>
    <t>jyothsnanaguru@gmail.com</t>
  </si>
  <si>
    <t>Jaswanth Kumar Nanubala</t>
  </si>
  <si>
    <t>18331A05B0</t>
  </si>
  <si>
    <t xml:space="preserve">Nanubala Jaswanth Kumar </t>
  </si>
  <si>
    <t>DR. RAVI KUMAR KIRAN VARMA PEMMATSA</t>
  </si>
  <si>
    <t>https://drive.google.com/open?id=1iWb8zN9FhCMzxE4WZdSAZflQ-SsHEGZ3</t>
  </si>
  <si>
    <t>jaswanthsaisubhkar@gmail.com</t>
  </si>
  <si>
    <t>Pathivada Sai jahnavi</t>
  </si>
  <si>
    <t>18331A05B5</t>
  </si>
  <si>
    <t>CLA: programming essentials in C</t>
  </si>
  <si>
    <t>Subba Raju kV</t>
  </si>
  <si>
    <t>https://drive.google.com/open?id=1_837iaXdqKZSRBHMpo4hYm5uxdJYxCes</t>
  </si>
  <si>
    <t>jahnavipathivada123@gmail.com</t>
  </si>
  <si>
    <t>KANTUBHUKTA HEMANTH</t>
  </si>
  <si>
    <t>19331A0573</t>
  </si>
  <si>
    <t>https://drive.google.com/open?id=17iKZtZHoNF9lo8JjU7KDmXE4178ozFA8</t>
  </si>
  <si>
    <t>hemanthkantubhukta2232@gmail.com</t>
  </si>
  <si>
    <t>Varsha Mamidipaka</t>
  </si>
  <si>
    <t>18331A0592</t>
  </si>
  <si>
    <t>70hours</t>
  </si>
  <si>
    <t>https://drive.google.com/open?id=17S0nuZ621-AqdZ9vMxAoKdI3ofBUA95x</t>
  </si>
  <si>
    <t>bhuvanavarsha7701@gmail.com</t>
  </si>
  <si>
    <t>Nandella Pranavi Prathyusha</t>
  </si>
  <si>
    <t>18331A05A8</t>
  </si>
  <si>
    <t>https://drive.google.com/open?id=1vJQH7fGPhFeeAZJ54BPjtBO_OabI-2vI</t>
  </si>
  <si>
    <t>pranaviprathyusha1@gmail.com</t>
  </si>
  <si>
    <t>Naguru Jyothsna Priya Chandrika</t>
  </si>
  <si>
    <t>SQL quiz</t>
  </si>
  <si>
    <t xml:space="preserve">Vignan's institute of engineering </t>
  </si>
  <si>
    <t>Aruna kumari</t>
  </si>
  <si>
    <t>https://drive.google.com/open?id=1-90Ka40C2sh_JsPUKuWSPnoEThIkJSYD</t>
  </si>
  <si>
    <t xml:space="preserve">TARAKESWARA THATU NAIDU MADDALA </t>
  </si>
  <si>
    <t>19331A0597</t>
  </si>
  <si>
    <t>https://drive.google.com/open?id=1TPECwCKNhGQy2a6nSAQeDdhd6N0lrh9U</t>
  </si>
  <si>
    <t>maddalatharakesh@gmail.com</t>
  </si>
  <si>
    <t>Pathivada Sai Jahnavi</t>
  </si>
  <si>
    <t>30 hours</t>
  </si>
  <si>
    <t>DR. Ravi Kiran Varma Penmatsa</t>
  </si>
  <si>
    <t>https://drive.google.com/open?id=1wIkb9l78C23oE0wK1jzdByx3n-fv8k0S</t>
  </si>
  <si>
    <t>https://drive.google.com/open?id=1oHtKKhDC4KQnMG3E3JF_YFX-BuInEMDt</t>
  </si>
  <si>
    <t xml:space="preserve">INTERNET OF THINGS </t>
  </si>
  <si>
    <t xml:space="preserve">Kyrion technologies </t>
  </si>
  <si>
    <t>SUJATHA MEHTA</t>
  </si>
  <si>
    <t>https://drive.google.com/open?id=1i7HvRm7o_Fo5ru2AXb8mglLcWf9bU4VQ</t>
  </si>
  <si>
    <t>https://drive.google.com/open?id=14AuT_Gvb74eDAlwEuQ8_yb8X9RlK6cAF</t>
  </si>
  <si>
    <t>Kyrion technologies pvt.ltd</t>
  </si>
  <si>
    <t>https://drive.google.com/open?id=1KXxLf3kmQ7XkswAbYhV3eiJBIuHbXixm</t>
  </si>
  <si>
    <t>Nandella pranavi prathyusha</t>
  </si>
  <si>
    <t>https://drive.google.com/open?id=1F73gH2TnGuGRWSf3wNPieF-hlO86hBUO</t>
  </si>
  <si>
    <t xml:space="preserve">MAHESH KUCHETTI </t>
  </si>
  <si>
    <t>19331A0588</t>
  </si>
  <si>
    <t>https://drive.google.com/open?id=1gELbIpdDUVgmmrD4wFp7AgfsDpkZGuio</t>
  </si>
  <si>
    <t>maheshkuchetti01@gmail.com</t>
  </si>
  <si>
    <t xml:space="preserve">Kurella venkata surya sailesh </t>
  </si>
  <si>
    <t>19331A0593</t>
  </si>
  <si>
    <t>https://drive.google.com/open?id=1qID5BX52jnZtKx535FHOvcM-YdZpLWUB</t>
  </si>
  <si>
    <t>suryasailesh422@gmail.com</t>
  </si>
  <si>
    <t xml:space="preserve">SQL Quiz </t>
  </si>
  <si>
    <t>1 HOUR</t>
  </si>
  <si>
    <t>https://drive.google.com/open?id=1wGDKh6_IAgs70gC199Ruzn6O_l4R_sjR</t>
  </si>
  <si>
    <t>Veera pavan kumar Narla</t>
  </si>
  <si>
    <t>18331A05B1</t>
  </si>
  <si>
    <t>cybersecurity</t>
  </si>
  <si>
    <t>dr.ravi kiran varma penumatsa</t>
  </si>
  <si>
    <t>https://drive.google.com/open?id=1xHihBp9ffEgJqHIj-0yVXJ4us0-ljW7f</t>
  </si>
  <si>
    <t>narlaveerapavankumar@gmail.com</t>
  </si>
  <si>
    <t xml:space="preserve">First place in music competition </t>
  </si>
  <si>
    <t xml:space="preserve">Sri Adibhatla Foundation </t>
  </si>
  <si>
    <t>https://drive.google.com/open?id=1VqEA1AaA1YYsrUB7lhpw7VddimQkfcmN</t>
  </si>
  <si>
    <t>Vignan's institute of engineering for women</t>
  </si>
  <si>
    <t>B.Aruna kumari</t>
  </si>
  <si>
    <t>https://drive.google.com/open?id=1bQZN1sdfANiS5a7TIxmGbUcEMHCKl7ad</t>
  </si>
  <si>
    <t xml:space="preserve">NANUBALA JASWANTH KUMAR </t>
  </si>
  <si>
    <t xml:space="preserve">VIGNAN'S INSTITUTE OF ENGINEERING </t>
  </si>
  <si>
    <t xml:space="preserve">10 hours </t>
  </si>
  <si>
    <t xml:space="preserve">B. ARUNA KUMARI </t>
  </si>
  <si>
    <t>https://drive.google.com/open?id=1benE_3z7zTx6AB3LHanz1gZmijC1bplb</t>
  </si>
  <si>
    <t>Introduction to Html5</t>
  </si>
  <si>
    <t>https://drive.google.com/open?id=1zdKVzFpKrRvN7sqZM-u0JVTBml7nW9-l</t>
  </si>
  <si>
    <t>N.V.PAVAN KUMAR</t>
  </si>
  <si>
    <t>YOUTH FOR RURAL RECONSTRUCTION CAMPAIGN</t>
  </si>
  <si>
    <t>BODDAVALASA</t>
  </si>
  <si>
    <t>https://drive.google.com/open?id=1uk8fg4IYYCEf7-Gu0dZr-ENgBY6pXBXP</t>
  </si>
  <si>
    <t>https://drive.google.com/open?id=1Z921VLVGL4V-DzPO2qWrsy_sJnIhsHaG</t>
  </si>
  <si>
    <t xml:space="preserve">First prize in janapriya singing competition </t>
  </si>
  <si>
    <t xml:space="preserve">Rotary club - Vizianagaram </t>
  </si>
  <si>
    <t>https://drive.google.com/open?id=1UH4S_W_AVPs96zXmSoZ10StSHm20Vzhf</t>
  </si>
  <si>
    <t>Nalluri sai kiran</t>
  </si>
  <si>
    <t>19331A05B8</t>
  </si>
  <si>
    <t>https://drive.google.com/open?id=10l0klJaXRSSdkEThk-FQbIrJc2ryY74D</t>
  </si>
  <si>
    <t>nsaikiran2411@gmail.com</t>
  </si>
  <si>
    <t>https://drive.google.com/open?id=1IXNg6qLnKfWsK2iqSCIwl14UWLZf5Gng</t>
  </si>
  <si>
    <t>DR. Ravi KIran Varma Penmatsa</t>
  </si>
  <si>
    <t>https://drive.google.com/open?id=1s4rTgaYg372hFb6Ef0SbSzDyX97adY06</t>
  </si>
  <si>
    <t>VIGNAN INSTITUTE OF ENGINEERING FOR WOMEN</t>
  </si>
  <si>
    <t>ARUNA KUAMRI</t>
  </si>
  <si>
    <t>https://drive.google.com/open?id=1DJ9AuQ01JXB1hfVVa6krufEJTLEmmFqF</t>
  </si>
  <si>
    <t>VIGNAN'S Institute of engineering for women</t>
  </si>
  <si>
    <t>1 hour</t>
  </si>
  <si>
    <t>Aruna Kumari mam</t>
  </si>
  <si>
    <t>https://drive.google.com/open?id=1B9ct4MPV1Vcd-RGJ3roeiFas5NsBB8jn</t>
  </si>
  <si>
    <t>varsha mamidipaka</t>
  </si>
  <si>
    <t>Vignan  institute of engineering for women</t>
  </si>
  <si>
    <t>1hour</t>
  </si>
  <si>
    <t>B.Aruna Kumari</t>
  </si>
  <si>
    <t>https://drive.google.com/open?id=1twtW4Nmwd1QXFtq_YqRwnnhHTCc_X3wn</t>
  </si>
  <si>
    <t>National property officer</t>
  </si>
  <si>
    <t>CGPDTM</t>
  </si>
  <si>
    <t>https://drive.google.com/open?id=1MDrSYOioEUHeQwB-6smO-gSyxJqD4CJI</t>
  </si>
  <si>
    <t>Intellectual property office,india</t>
  </si>
  <si>
    <t>Dr.ch.kalyan chakravarti</t>
  </si>
  <si>
    <t>https://drive.google.com/open?id=1cD-nvUkKghHS_22NQ1cJ-jlCn5Gm2Flt</t>
  </si>
  <si>
    <t>N.V. PAVAN KUMAR</t>
  </si>
  <si>
    <t>IP AWARENESS/TRAINING PROPERTY UNDER</t>
  </si>
  <si>
    <t>DR.CH.KALYAN CHAKRAVARTHY</t>
  </si>
  <si>
    <t>https://drive.google.com/open?id=1P39TxcaJYNVH5sxUyMPon24uWCHmo6Qe</t>
  </si>
  <si>
    <t>Varsha mamidipaka</t>
  </si>
  <si>
    <t>IP awarness/training program</t>
  </si>
  <si>
    <t>Intellrctual property office</t>
  </si>
  <si>
    <t>Dr. kalyan chakravarthy</t>
  </si>
  <si>
    <t>https://drive.google.com/open?id=1CXij0NCjjlHixbFN2sf5gEXDE3wvUNSd</t>
  </si>
  <si>
    <t>IP awareness/Training program</t>
  </si>
  <si>
    <t>C Kalyan chakravarthy</t>
  </si>
  <si>
    <t>https://drive.google.com/open?id=1pUeLcOiE1mkVTh4yivLyyXGlkX3NswyC</t>
  </si>
  <si>
    <t>Introduction to Cloud Identity</t>
  </si>
  <si>
    <t>https://drive.google.com/open?id=1HE_sU7ihsjFY9Zn7HSqOddJpEYLzlZUs</t>
  </si>
  <si>
    <t>KILLI SARATHKUMAR</t>
  </si>
  <si>
    <t>20331A0584</t>
  </si>
  <si>
    <t>https://drive.google.com/open?id=19V65fDAsmzYsKtW_7ul6jlT-GZPbdWXF</t>
  </si>
  <si>
    <t>sarathramkilli2003@gmail.com</t>
  </si>
  <si>
    <t xml:space="preserve">Nadimpalli Lakshmi Jyothsna </t>
  </si>
  <si>
    <t xml:space="preserve">20331A05C1 </t>
  </si>
  <si>
    <t>https://drive.google.com/open?id=1-aRoU-1z9hogdqcWkPsTaYGqXpYYH-WD</t>
  </si>
  <si>
    <t>nljyothsna828@gmail.com</t>
  </si>
  <si>
    <t>madeshsandy75204@gmail.com</t>
  </si>
  <si>
    <t xml:space="preserve">K. V. Madesh </t>
  </si>
  <si>
    <t>18331A0581</t>
  </si>
  <si>
    <t>Youth for rural reconstruction campaign</t>
  </si>
  <si>
    <t>Boddavalasa</t>
  </si>
  <si>
    <t>https://drive.google.com/open?id=1tCFSDUGZcL96PWWWsBS3guVCHlFkThUP</t>
  </si>
  <si>
    <t xml:space="preserve">Vignan's institute of engineering for women </t>
  </si>
  <si>
    <t xml:space="preserve">1 hour </t>
  </si>
  <si>
    <t>https://drive.google.com/open?id=1djJ7yt9jsVHRgtdQVcYef5dfrx7mU5yA</t>
  </si>
  <si>
    <t>Sai Gayathri Latchipatula</t>
  </si>
  <si>
    <t>18331A0587</t>
  </si>
  <si>
    <t>Android application development</t>
  </si>
  <si>
    <t>Apssdc</t>
  </si>
  <si>
    <t>Nageswar Rao</t>
  </si>
  <si>
    <t>https://drive.google.com/open?id=1ELPYEE3rpdtKRQRpwVSO-bZmIYuc3FF8</t>
  </si>
  <si>
    <t>latchipatulasaigayathri@gmail.com</t>
  </si>
  <si>
    <t>Advancded Android Application development</t>
  </si>
  <si>
    <t xml:space="preserve">Appsdc </t>
  </si>
  <si>
    <t>nageswara rao</t>
  </si>
  <si>
    <t>https://drive.google.com/open?id=1CHLGWB1XlhaqLC5Og-QimOht_H5MHELK</t>
  </si>
  <si>
    <t>https://drive.google.com/open?id=1FxVftOJQbMTy39xSDZVUrPs4_qt5jlpM</t>
  </si>
  <si>
    <t>Cyber Security essentials</t>
  </si>
  <si>
    <t>no</t>
  </si>
  <si>
    <t>https://drive.google.com/open?id=1RVHBo2QHs2bB2b0WTEiVrErGkm_Wjn46</t>
  </si>
  <si>
    <t>Sai gayathri Latchipatula</t>
  </si>
  <si>
    <t>CCNAv7 introduction to networks</t>
  </si>
  <si>
    <t xml:space="preserve">ravi kiran varma </t>
  </si>
  <si>
    <t>https://drive.google.com/open?id=14afhFOkdnB5rEsja8iGygpazUdl9FQWN</t>
  </si>
  <si>
    <t>CLA Programming essentials in c</t>
  </si>
  <si>
    <t>https://drive.google.com/open?id=1HSQRDFFKCAxJ34V9aVB02tY8b_mh5Dh9</t>
  </si>
  <si>
    <t>sai gayathri Latchipatula</t>
  </si>
  <si>
    <t>Subba Raju KV</t>
  </si>
  <si>
    <t>https://drive.google.com/open?id=1CTAggaGmWTa_Z_oX62ADl7cNoIMHqgFQ</t>
  </si>
  <si>
    <t>https://drive.google.com/open?id=1AuluL-_XdGuyZR-nuyyqwaokcyu_55gy</t>
  </si>
  <si>
    <t xml:space="preserve">MACHARLA VAMSI </t>
  </si>
  <si>
    <t>19331A0596</t>
  </si>
  <si>
    <t>https://drive.google.com/open?id=1kMBBH923ckK6I3mfH4KL2LV9ffHlHMRm</t>
  </si>
  <si>
    <t>vamsimacharla143@gmail.com</t>
  </si>
  <si>
    <t>https://drive.google.com/open?id=1Z3BeLu5D2jBEhJqICjk59kRy88moBjh9</t>
  </si>
  <si>
    <t>NALLURI SAI KIRAN</t>
  </si>
  <si>
    <t>https://drive.google.com/open?id=1QLYz4aGs7sF9ZA1Q_5cIvbLOJuHeUZf1</t>
  </si>
  <si>
    <t xml:space="preserve">Mohammed Aquib Akthar </t>
  </si>
  <si>
    <t>19331A05A6</t>
  </si>
  <si>
    <t>https://drive.google.com/open?id=1WoNqhsPCw6CpuDo8tV4jbAOng5RVqDp9</t>
  </si>
  <si>
    <t>aquibakthar14@gmail.com</t>
  </si>
  <si>
    <t>PALAVALASA DEEPAK</t>
  </si>
  <si>
    <t>19331A05C4</t>
  </si>
  <si>
    <t>https://drive.google.com/open?id=15mXcrJWvc_Bt4LtGjORyDGzgxM4EsoY4</t>
  </si>
  <si>
    <t>palavalasadeepak@gmail.com</t>
  </si>
  <si>
    <t>https://drive.google.com/open?id=16EfPgRXMhvxftfQn2lOB95XlCGLdnHj1</t>
  </si>
  <si>
    <t xml:space="preserve">Nettimi Keerthi </t>
  </si>
  <si>
    <t>20335A0511</t>
  </si>
  <si>
    <t xml:space="preserve">Dr.Ravi Kiran Varma </t>
  </si>
  <si>
    <t>https://drive.google.com/open?id=1MlhW8gSHnaafmgENt7gUTLZuYLkPz40a</t>
  </si>
  <si>
    <t>keerthiu9133@gmail.com</t>
  </si>
  <si>
    <t>https://drive.google.com/open?id=1Y6YqHyGrHgjKDivFxFVQrEd2fN1b3IaP</t>
  </si>
  <si>
    <t>JavaScript Essentials 1</t>
  </si>
  <si>
    <t>K V subbaraju sir</t>
  </si>
  <si>
    <t>https://drive.google.com/open?id=1wvBWGfznbDRSncWTYfakz7XQzgThBQ3U</t>
  </si>
  <si>
    <t>DR. RAVI KIRAN PENAMATSA</t>
  </si>
  <si>
    <t>https://drive.google.com/open?id=1CJkSahOxRFGIAgmyMFhZ18iBkA2ZEaXW</t>
  </si>
  <si>
    <t>nsaikiran2411@gmail.con</t>
  </si>
  <si>
    <t>Kantubhukta Hemanth</t>
  </si>
  <si>
    <t>Introduction to Data Science in Python</t>
  </si>
  <si>
    <t>Christopher Brooks</t>
  </si>
  <si>
    <t>https://drive.google.com/open?id=12JRs-08aahUmAj329P9UjiChzEfdWKGe</t>
  </si>
  <si>
    <t>Manchukonda gopala krishna</t>
  </si>
  <si>
    <t>Cla : programing essential in c</t>
  </si>
  <si>
    <t xml:space="preserve">Dr P.Ravi Kiran Varma </t>
  </si>
  <si>
    <t>https://drive.google.com/open?id=19tADls4tYUolcRWJHAkN1q2J7b-QY1t3</t>
  </si>
  <si>
    <t>https://drive.google.com/open?id=1z5qoRRucviC5eUfLACdXTrCC2XiPEf43</t>
  </si>
  <si>
    <t>cisco code riders</t>
  </si>
  <si>
    <t>Subba Raju K.V</t>
  </si>
  <si>
    <t>https://drive.google.com/open?id=1kgQZksOJJuOYZFWk_hx2Dvn4sjMLW1jW</t>
  </si>
  <si>
    <t>PACHIGOLLA BALAJI</t>
  </si>
  <si>
    <t>19331A05C3</t>
  </si>
  <si>
    <t>SWECHA  ANDHRAPRADESH</t>
  </si>
  <si>
    <t>https://drive.google.com/open?id=1x_BIXTfnRCH2PgNshJvtshZ-vF1cnHZB</t>
  </si>
  <si>
    <t>balajipachigolla2430@gmail.com</t>
  </si>
  <si>
    <t xml:space="preserve">Programing essential in python </t>
  </si>
  <si>
    <t>Dr p.Ravi Kiran Varma</t>
  </si>
  <si>
    <t>https://drive.google.com/open?id=1w51svNPPZ9JiRytz1WU7nE_xHHSjU_JB</t>
  </si>
  <si>
    <t>programming essentials in c</t>
  </si>
  <si>
    <t>https://drive.google.com/open?id=1GfrafME1U_QOAlhJwsNToJboqfRPSHp4</t>
  </si>
  <si>
    <t>Kevyn Collins Thompson</t>
  </si>
  <si>
    <t>https://drive.google.com/open?id=1iTFWknbuv-Orz0HeuZZrVMlM8NrbQbvK</t>
  </si>
  <si>
    <t>YUVA KISHORE KOLLI</t>
  </si>
  <si>
    <t>19331A0581</t>
  </si>
  <si>
    <t>https://drive.google.com/open?id=10BZt10v9yblAm1Vr82KmiZPmyMGzggqm</t>
  </si>
  <si>
    <t>yuvakishorekolli@gmail.com</t>
  </si>
  <si>
    <t>DR. RAVI KIRAN VARMA PENAMATSA</t>
  </si>
  <si>
    <t>https://drive.google.com/open?id=1aAhIJXKJcg63jEHDOs-euj66tdCpv1KB</t>
  </si>
  <si>
    <t>A.I.C.T.E</t>
  </si>
  <si>
    <t>00000</t>
  </si>
  <si>
    <t>https://drive.google.com/open?id=1DPKlngYtFBv-gn6PewUNWPkdHUVNdAf2</t>
  </si>
  <si>
    <t>https://drive.google.com/open?id=12P5taGS3VNCrkubzgD454WjE8no7NCoW</t>
  </si>
  <si>
    <t>PCAP: PROGRAMMING ESSENTIALS IN PYTHON</t>
  </si>
  <si>
    <t>CISCO NETACAD</t>
  </si>
  <si>
    <t>https://drive.google.com/open?id=1kkYs41HZ7ROgyABtcTw9ZexCXJ9l9P1w</t>
  </si>
  <si>
    <t>https://drive.google.com/open?id=1548vIJrcXaAKU8DbaBd2kAOO7ybfsQUr</t>
  </si>
  <si>
    <t>PECHETTI MOHAN SUBHA VARSHITH</t>
  </si>
  <si>
    <t>19331A05C7</t>
  </si>
  <si>
    <t>Problem solving through programming in C</t>
  </si>
  <si>
    <t>IIT KHARAGPUR</t>
  </si>
  <si>
    <t>https://drive.google.com/open?id=1LKm_U0qjTvt2Vy-2YOkd3oMmdR_6jwEV</t>
  </si>
  <si>
    <t>subhavarshith@gmail.com</t>
  </si>
  <si>
    <t>Introduction to Tensorflow for AI, ML and Deep Learning</t>
  </si>
  <si>
    <t>Laurence Moroney</t>
  </si>
  <si>
    <t>https://drive.google.com/open?id=1ZDkuxpDmuydRAUI6UerMJ7kyk0zX-Zot</t>
  </si>
  <si>
    <t xml:space="preserve">Dr. Ravi Kiran Varma Penmatsa </t>
  </si>
  <si>
    <t>https://drive.google.com/open?id=1CpjePSXtt5xuBUsxkom5qDLIGk-Cq5v1</t>
  </si>
  <si>
    <t>KALIPINDI SAI MITHILESH</t>
  </si>
  <si>
    <t>19331A0569</t>
  </si>
  <si>
    <t>https://drive.google.com/open?id=1GxEiAhwlH7M4WPN8nPjG2jL38OmW-Aip</t>
  </si>
  <si>
    <t>akhilmithilesh@gmail.com</t>
  </si>
  <si>
    <t>Naik Sampath Srinath</t>
  </si>
  <si>
    <t>Robotic Process Automation Virtual Internship</t>
  </si>
  <si>
    <t>https://drive.google.com/open?id=1fb1kZUsxwv_gjIzVnJtm_GRu7jWNed_G</t>
  </si>
  <si>
    <t>CLA: PROGRAMMING ESSENTIALS IN C</t>
  </si>
  <si>
    <t>https://drive.google.com/open?id=1Jr-CpyZqjSuzXFFXzQdUNUqwCPR9HpU6</t>
  </si>
  <si>
    <t>https://drive.google.com/open?id=1Y3unLXWCV1abqjq6SPZcbe_lXKLILIR-</t>
  </si>
  <si>
    <t>Robotic Process Automation (RPA) Virtual Internship</t>
  </si>
  <si>
    <t>https://drive.google.com/open?id=1S4Em5z-nMBzFWKlFskuJ-_nPet5m_M4S</t>
  </si>
  <si>
    <t>Evolution and Dissemination of IPR and Innovations for Sustainable Development</t>
  </si>
  <si>
    <t>Dadi Institute of Engineering and Technology</t>
  </si>
  <si>
    <t>Dr.P  Bhavya Manjeera, Sri A Krishna Nag, Dr. Ch. S. Naga Prasad, Sri Dadi Ratnakar</t>
  </si>
  <si>
    <t>https://drive.google.com/open?id=1R4S5coAERR4qG2IVl3BQg1QEANI--93h</t>
  </si>
  <si>
    <t>M Beulah Rani</t>
  </si>
  <si>
    <t>https://drive.google.com/open?id=1Zp2HMq8bIGDApT9GqXplHWPkQRD_ai2e</t>
  </si>
  <si>
    <t>JavaScript Essentials</t>
  </si>
  <si>
    <t>K. V. SUBBARAJU</t>
  </si>
  <si>
    <t>https://drive.google.com/open?id=1QpybFFo78HT6QeWgqiPs78lp-G04Jpg2</t>
  </si>
  <si>
    <t>https://drive.google.com/open?id=1amEvwXImyH3bcaeu7GDy9uuAFT36TG3x</t>
  </si>
  <si>
    <t>CCNAV7:INTRODUCTION TO NETWORKS</t>
  </si>
  <si>
    <t>https://drive.google.com/open?id=14cXk2wrx7VZZxUqQoSliellsUgypxFAg</t>
  </si>
  <si>
    <t xml:space="preserve">Jyothirmayi Manapuram </t>
  </si>
  <si>
    <t>https://drive.google.com/open?id=1HS1y5BFVEerGZ1yx3w_TpEWOE03wFjRM</t>
  </si>
  <si>
    <t xml:space="preserve">KAKARLA BHARATH RAMA CHANDRA </t>
  </si>
  <si>
    <t>19331A0567</t>
  </si>
  <si>
    <t>https://drive.google.com/open?id=1nCwzAb98z7Kzk3o9Foobbn8f7AbMw1x7</t>
  </si>
  <si>
    <t>bharath007ram@gmail.com</t>
  </si>
  <si>
    <t xml:space="preserve">IT ESSENTIALS </t>
  </si>
  <si>
    <t>https://drive.google.com/open?id=1rBFlVnV19_h3ThvEP5DSWAuzZ5Bli_Ij</t>
  </si>
  <si>
    <t>Neelam Pavani Lakshmi</t>
  </si>
  <si>
    <t>19331A05C1</t>
  </si>
  <si>
    <t>Laura Quintana</t>
  </si>
  <si>
    <t>https://drive.google.com/open?id=1akJxeBXukOdkHc5cR4TFmeOLRDmj_MUa</t>
  </si>
  <si>
    <t>npavanilaxmi@gmail.com</t>
  </si>
  <si>
    <t>CCNA - Introduction to Networks</t>
  </si>
  <si>
    <t>https://drive.google.com/open?id=1hlH26mkVkBDFkFrD0mdnoPFP7bJ0is_4</t>
  </si>
  <si>
    <t>https://drive.google.com/open?id=1LEH77-nKZJTi4PBW_o0jYDoIyGF8H53S</t>
  </si>
  <si>
    <t xml:space="preserve">K V Subba Raju </t>
  </si>
  <si>
    <t>https://drive.google.com/open?id=1oHrNHV5gNJLeZA9ppSQE99B_0eJNovnj</t>
  </si>
  <si>
    <t>CLA: PROGRAMMING ESSEANTIALS IN C</t>
  </si>
  <si>
    <t>https://drive.google.com/open?id=1EAGo3cBpw2keFupRs8BKPHMGfatEfJUj</t>
  </si>
  <si>
    <t>karri.vinewth24@gmail.com</t>
  </si>
  <si>
    <t>CLA:PROGRAMMING IN ESSENTIALS IN C</t>
  </si>
  <si>
    <t>https://drive.google.com/open?id=1zMNPgg9j84z6uRdbIPFw0qSUbVrxEsbO</t>
  </si>
  <si>
    <t>Nagaraboina Kirite</t>
  </si>
  <si>
    <t>19331A05B3</t>
  </si>
  <si>
    <t>Program essentials in python</t>
  </si>
  <si>
    <t>Dr.RAVI KIRAN VARMA PENMATSA</t>
  </si>
  <si>
    <t>https://drive.google.com/open?id=18QnewLJVWXyf6lGWFYYpgvsXMn4_nf1S</t>
  </si>
  <si>
    <t>kiriteyashu@gmail.com</t>
  </si>
  <si>
    <t>https://drive.google.com/open?id=1vkeRx0gJxal0hzZxOnuyVrbQnGHiChV4</t>
  </si>
  <si>
    <t>Programming Data structures and algorithms using python</t>
  </si>
  <si>
    <t>NPTEL(Chennai Mathematical Institute)</t>
  </si>
  <si>
    <t>8 week</t>
  </si>
  <si>
    <t>https://drive.google.com/open?id=1Gb7Nfru58Dk2IrLm1JQhSTZz5m2MmvUL</t>
  </si>
  <si>
    <t>INDRANI KOTTEDA</t>
  </si>
  <si>
    <t>19331A0586</t>
  </si>
  <si>
    <t>https://drive.google.com/open?id=1-Ha61281VtYuV0U9RABnOwwuxVxhaiUy</t>
  </si>
  <si>
    <t>indranikotteda@gmail.com</t>
  </si>
  <si>
    <t>https://drive.google.com/open?id=1o85vjFTkZS5qb0LP1KndqjFs-dMC1N-K</t>
  </si>
  <si>
    <t xml:space="preserve">RPA: ROBOTIC PROCESS AND AUTOMATION </t>
  </si>
  <si>
    <t>3 montha</t>
  </si>
  <si>
    <t>https://drive.google.com/open?id=1XgvJ51Pkeyws4fvV5FhfV7xzcMjyJ3QH</t>
  </si>
  <si>
    <t xml:space="preserve"> IT ESSENTIALS</t>
  </si>
  <si>
    <t>K.V.SUBBA RAJU</t>
  </si>
  <si>
    <t>https://drive.google.com/open?id=1V2gvwEd88Ag2uVOdEOBGhdnPItnPHJBh</t>
  </si>
  <si>
    <t>AICTE RPA Blueprism university</t>
  </si>
  <si>
    <t>https://drive.google.com/open?id=1ZzOJB7gPzVFItugqFdfXUyyoEf5kS1iM</t>
  </si>
  <si>
    <t>KLA WORKSHOP ON AI AND HPC IN SEMICONDUCTOR MANUFACTURING</t>
  </si>
  <si>
    <t>KLA and IIT MADRAS</t>
  </si>
  <si>
    <t>Pradeep Ramachandran</t>
  </si>
  <si>
    <t>https://drive.google.com/open?id=1iknMzwGXmQK4AjJuE47wqGZX-b9iZ9eB</t>
  </si>
  <si>
    <t>Communication skills</t>
  </si>
  <si>
    <t>TCS ION digital learning hub</t>
  </si>
  <si>
    <t>iON digital learning hub</t>
  </si>
  <si>
    <t>https://drive.google.com/open?id=1JdaAHZMpaiOEBJk8YegcdwRle6ViSNQL</t>
  </si>
  <si>
    <t>Coursera, UNIVERSITY OF MICHIGAN</t>
  </si>
  <si>
    <t>https://drive.google.com/open?id=1QdHNOiPVj8VbxmJwJr5g0vWju7LHVDGL</t>
  </si>
  <si>
    <t>DR.SUVARNA KUMAR GOGULA</t>
  </si>
  <si>
    <t>https://drive.google.com/open?id=1SjHMHOe0DQRWBFdxWh6mbrYP55CWn60c</t>
  </si>
  <si>
    <t>https://drive.google.com/open?id=1MeCQFws3kHbDNKD1slhG6uGNnQAa8LWv</t>
  </si>
  <si>
    <t>https://drive.google.com/open?id=1oRb3f5nCfV0tvHRewwqOTRCJYRS4RaLg</t>
  </si>
  <si>
    <t>KARUMOJU NEHAL PRAVEEN</t>
  </si>
  <si>
    <t>19331A0576</t>
  </si>
  <si>
    <t>Programming, Data Structures and Algorithms using Python</t>
  </si>
  <si>
    <t>IIT MADRAS</t>
  </si>
  <si>
    <t>8 WEEKS</t>
  </si>
  <si>
    <t>https://drive.google.com/open?id=1CpvKw_3hknGMUxhnCIsJD79inwFJJbbx</t>
  </si>
  <si>
    <t>nehalpraveen@gmail.com</t>
  </si>
  <si>
    <t>DR.RAVI KIRAN VARMA</t>
  </si>
  <si>
    <t>https://drive.google.com/open?id=1G7oXudX-OxKPsHjZDrVBGTGNFv-4Usj-</t>
  </si>
  <si>
    <t>Swecha Andhra Pradesh</t>
  </si>
  <si>
    <t>https://drive.google.com/open?id=1ue-ux8Cpjtu4KvYKQh2r03W6M6lNHp9b</t>
  </si>
  <si>
    <t>GDG DevFest India 2021</t>
  </si>
  <si>
    <t>Google Developer Groups</t>
  </si>
  <si>
    <t>DevFest</t>
  </si>
  <si>
    <t>https://drive.google.com/open?id=12qsknqS2SNHy_xr2hKOg16otFzDmHOej</t>
  </si>
  <si>
    <t>JAVASCRIPT ESSENTIALS 1(JSE)</t>
  </si>
  <si>
    <t>DR P RAVIKIRAN VARMA</t>
  </si>
  <si>
    <t>https://drive.google.com/open?id=1vutIWhfOwdRfQ_ad619peG1ZfRi2IfU9</t>
  </si>
  <si>
    <t>Dr.P. Ravi Kiran Varma</t>
  </si>
  <si>
    <t>https://drive.google.com/open?id=1KSZE_rox8II1PB3uxYxYq82IX5PYnzvw</t>
  </si>
  <si>
    <t>https://drive.google.com/open?id=11QhyvruSzCeSLgqVqS5k-y5T050SAqNf</t>
  </si>
  <si>
    <t xml:space="preserve">BHARATH RAMA CHANDRA KAKARLA </t>
  </si>
  <si>
    <t>https://drive.google.com/open?id=1Y_QzlCZhWrboyRNdbSArYQtARtyEwo5A</t>
  </si>
  <si>
    <t>INMOVIDU</t>
  </si>
  <si>
    <t>https://drive.google.com/open?id=1XYELkk9hhc-ZUcVhi1i7iXuEDI80zcoG</t>
  </si>
  <si>
    <t>Sunkari Chitra Deepika</t>
  </si>
  <si>
    <t>19331A05G5</t>
  </si>
  <si>
    <t>PCAP:Programming Essentials in Python</t>
  </si>
  <si>
    <t>Python Institute</t>
  </si>
  <si>
    <t>M.Beulah Rani</t>
  </si>
  <si>
    <t>https://drive.google.com/open?id=1EocVnEM9sP_w7DoBDygmQvxjO9-2YpFL</t>
  </si>
  <si>
    <t>chitradeepika3124@gmail.com</t>
  </si>
  <si>
    <t>Code Riders</t>
  </si>
  <si>
    <t>https://drive.google.com/open?id=1-BdXQbkyt0RmGAEsTOC7ZoBj8xF4SQ5V</t>
  </si>
  <si>
    <t>907th Rank for Scoring 212/212 in CodeKaze</t>
  </si>
  <si>
    <t>Coding Ninjas</t>
  </si>
  <si>
    <t>https://drive.google.com/open?id=1RZ0uCy-_nL0lmgck8ElNmvYXhR14G5m9</t>
  </si>
  <si>
    <t xml:space="preserve">Communication skills </t>
  </si>
  <si>
    <t xml:space="preserve">TCS iON digital </t>
  </si>
  <si>
    <t xml:space="preserve">iON digital learning hub </t>
  </si>
  <si>
    <t>https://drive.google.com/open?id=1OqHB01rDg_5MztNpBhx4vizzIR3Mrrbb</t>
  </si>
  <si>
    <t>Pantech Solutions</t>
  </si>
  <si>
    <t>https://drive.google.com/open?id=1hJwllbyWVtiJd0_j6718VVsiFLuqJUgO</t>
  </si>
  <si>
    <t>ANDREW NG</t>
  </si>
  <si>
    <t>https://drive.google.com/open?id=1SjeF4xeORfw9S-CVAsjw1BuXZQYic78r</t>
  </si>
  <si>
    <t>ANJANI ROUTHU</t>
  </si>
  <si>
    <t>20335A0515</t>
  </si>
  <si>
    <t xml:space="preserve">Master Class on Data Science and Analytics </t>
  </si>
  <si>
    <t xml:space="preserve">Pantech e Learning </t>
  </si>
  <si>
    <t>M.Malaiappan</t>
  </si>
  <si>
    <t>https://drive.google.com/open?id=129owwUH0VxCOTk4qz7qOEXMXyAdr4xqS</t>
  </si>
  <si>
    <t>anjanirouthu@gmail.com</t>
  </si>
  <si>
    <t>NDG Linux Unhatched</t>
  </si>
  <si>
    <t>NDG Team</t>
  </si>
  <si>
    <t>https://drive.google.com/open?id=1zITGvXqcKyJIeR_xEGYYSQnNsmJXWmO2</t>
  </si>
  <si>
    <t>Cleared Level-1 in VRSEC National Level Coding Compitition</t>
  </si>
  <si>
    <t>VRSE College</t>
  </si>
  <si>
    <t>https://drive.google.com/open?id=1UAS6rtzj11Z0_SOi12EA_6cFFy9O-tnk</t>
  </si>
  <si>
    <t xml:space="preserve">Mandhapati Jagannadha Rohit Varma </t>
  </si>
  <si>
    <t>Data Structures in C</t>
  </si>
  <si>
    <t xml:space="preserve">Great Learning </t>
  </si>
  <si>
    <t>https://drive.google.com/open?id=1S1YUmxch96HphNIcefpawwLX_YicxyDV</t>
  </si>
  <si>
    <t>https://drive.google.com/open?id=1RLbBR3-ZYduKSq4enoYaoAVpOOa2vTio</t>
  </si>
  <si>
    <t>Uda Devi Sri Naga Sri Varshini</t>
  </si>
  <si>
    <t>19331A05H6</t>
  </si>
  <si>
    <t>AI for Everyone</t>
  </si>
  <si>
    <t>88 %</t>
  </si>
  <si>
    <t>https://drive.google.com/open?id=1YyiymkYA8ZR0D3xZYhxefKHl59n0eyBK</t>
  </si>
  <si>
    <t>udasrivarshini@gmail.com</t>
  </si>
  <si>
    <t>T HARI KRISHNA PRIYA</t>
  </si>
  <si>
    <t>19331A05H4</t>
  </si>
  <si>
    <t>19 hours</t>
  </si>
  <si>
    <t>https://drive.google.com/open?id=1cm2cLKOBYM9aESCauWummU9vxVgExTmL</t>
  </si>
  <si>
    <t>harikpriyatirumalaraju@gmail.com</t>
  </si>
  <si>
    <t>Program essentials in C</t>
  </si>
  <si>
    <t>https://drive.google.com/open?id=1BHw8BjEpBXHUs5R3Kq_-7L745Lzd72vn</t>
  </si>
  <si>
    <t>MACHINE LEARNING MASTER CLASS</t>
  </si>
  <si>
    <t>PANTECH E LEARNING</t>
  </si>
  <si>
    <t>https://drive.google.com/open?id=1kH3l3zXCk_l_dXilXOLFRAaEw7gkjU75</t>
  </si>
  <si>
    <t xml:space="preserve">Machine learning </t>
  </si>
  <si>
    <t xml:space="preserve">Pantech e learning </t>
  </si>
  <si>
    <t>https://drive.google.com/open?id=1VAmVdk47HyNY2jpi1qugrLAwZlTr9mbA</t>
  </si>
  <si>
    <t>CYBER CRIMES AND ITS PREVENTIVE MEASURES</t>
  </si>
  <si>
    <t>UDEMY</t>
  </si>
  <si>
    <t>1.5 HOURS</t>
  </si>
  <si>
    <t>RUPESH MITTAL</t>
  </si>
  <si>
    <t>https://drive.google.com/open?id=1hkrTRHP8Orig-lnkDNuGA2Pr-tRy5NC6</t>
  </si>
  <si>
    <t>https://drive.google.com/open?id=1MIAnbFe51yE4WqB_nOdiK7pMMQE5bTe7</t>
  </si>
  <si>
    <t xml:space="preserve">Piradhi Yaswanth kumar </t>
  </si>
  <si>
    <t>https://drive.google.com/open?id=1ofFzj4EMnMxKmbbteDPXy2h0yhYH_ggR</t>
  </si>
  <si>
    <t>https://drive.google.com/open?id=1RhvjdZan2Y7pOiUtb7Kc2957q8ZfKrn3</t>
  </si>
  <si>
    <t>DR Ravi Kiran Varma</t>
  </si>
  <si>
    <t>https://drive.google.com/open?id=1mPgH4Ti9QNwD0cJ6YxK72lRRrcYcrSWy</t>
  </si>
  <si>
    <t>OpenEDG Python Institute</t>
  </si>
  <si>
    <t>https://drive.google.com/open?id=11QIVXpKl8nmMhftEmPza2woDd24enh_5</t>
  </si>
  <si>
    <t>MOHAN SUBHA VARSHITH PECHETTI</t>
  </si>
  <si>
    <t>https://drive.google.com/open?id=1n0A9ubqNSuB3pXv1q2zM5wRxedFkhCv0</t>
  </si>
  <si>
    <t>https://drive.google.com/open?id=1d1MpZG-dlaB5a1NtwTpdarZaeEvy-E4H</t>
  </si>
  <si>
    <t>Nagaraboina kirite</t>
  </si>
  <si>
    <t>Blue Prism Foundation Training</t>
  </si>
  <si>
    <t>https://drive.google.com/open?id=1DAt7Xk8BpKFTvgjMvZTSIaRNCrx61bzf</t>
  </si>
  <si>
    <t>B.BHANU SAI PRAKASH</t>
  </si>
  <si>
    <t>https://drive.google.com/open?id=1XwiWjy-zHLnZXEvsTIOxWdhJGDD7101c</t>
  </si>
  <si>
    <t>https://drive.google.com/open?id=1Qr7ELUuoKkSBhS6nToTnaYgyoEQ5ajIq</t>
  </si>
  <si>
    <t>SAI CHETANA PRIYA SUREDDI</t>
  </si>
  <si>
    <t>19331A05G7</t>
  </si>
  <si>
    <t>sureddi sai chetana priya</t>
  </si>
  <si>
    <t>2.5 total hours</t>
  </si>
  <si>
    <t>spotflock Education</t>
  </si>
  <si>
    <t>https://drive.google.com/open?id=1D8hNi8Rv2Tgf3-YiALN1Xd7O8OOdDial</t>
  </si>
  <si>
    <t>chetana6006@gmail.com</t>
  </si>
  <si>
    <t>CHAITANYA BHASKAR CHALAPAKA</t>
  </si>
  <si>
    <t>19331A0529</t>
  </si>
  <si>
    <t>Programming, Data Structures And Algorithms Using Python</t>
  </si>
  <si>
    <t>https://drive.google.com/open?id=1NK5yQFx1NfqHhPsGjrgTGh3Kgdt2-Owi</t>
  </si>
  <si>
    <t>chalapakachaitanya20@gmail.com</t>
  </si>
  <si>
    <t>BLUE PRISM</t>
  </si>
  <si>
    <t>https://drive.google.com/open?id=1_SwjQy6YJw3vx9hnyqK5iHdh6LblHU1E</t>
  </si>
  <si>
    <t>BODDU NAGA KARTHIK</t>
  </si>
  <si>
    <t>19331A0521</t>
  </si>
  <si>
    <t>BLUEPRISM</t>
  </si>
  <si>
    <t>https://drive.google.com/open?id=1zlvEVLH_2mPBDTpuAweEV-SLJnBa-y4Q</t>
  </si>
  <si>
    <t>bnagakarthik33@gmail.com</t>
  </si>
  <si>
    <t>JavaScript Essentials(JSE)</t>
  </si>
  <si>
    <t>OPENEDG CIsco</t>
  </si>
  <si>
    <t>Maciek Wichary</t>
  </si>
  <si>
    <t>https://drive.google.com/open?id=18iUj1k1QwIrc-Bv3OneC4hc1Ju8un5b3</t>
  </si>
  <si>
    <t>PCAP:PROGRAMMING ESSENTIALS IN PYHTON</t>
  </si>
  <si>
    <t>https://drive.google.com/open?id=1By7g0uHquXG03VzrPEhz8G2ldN9jVbFx</t>
  </si>
  <si>
    <t>https://drive.google.com/open?id=11SXHwZeXUzo1NM2pMLdOB3iDiz8RqLgK</t>
  </si>
  <si>
    <t>Dr Suvarna Kumar</t>
  </si>
  <si>
    <t>https://drive.google.com/open?id=1QmNHfiGs8pjniPyzsr-2ekX1fmlSn0aF</t>
  </si>
  <si>
    <t>COMMUNICATION SKILLS</t>
  </si>
  <si>
    <t xml:space="preserve">TCS ION </t>
  </si>
  <si>
    <t>https://drive.google.com/open?id=1RHTly3KtLA2VE2Eew85KS4z7m-fNtojh</t>
  </si>
  <si>
    <t xml:space="preserve">Python for data science </t>
  </si>
  <si>
    <t xml:space="preserve">APSSDC </t>
  </si>
  <si>
    <t xml:space="preserve">5 days </t>
  </si>
  <si>
    <t xml:space="preserve">EXCELR Raising Excellence </t>
  </si>
  <si>
    <t>https://drive.google.com/open?id=1Q2n0mXaKlUEeO5M795EX-jFEZ0xSWh68</t>
  </si>
  <si>
    <t>Programming for everybody(Getting started with python))</t>
  </si>
  <si>
    <t>https://drive.google.com/open?id=1vab-aGCM7FyaC7Y0pEaAc_0XZ6-r0OzH</t>
  </si>
  <si>
    <t>KUNCHALA VAMSI</t>
  </si>
  <si>
    <t>19331A0591</t>
  </si>
  <si>
    <t>CERTIFIED</t>
  </si>
  <si>
    <t>https://drive.google.com/open?id=10wwsgCxoHpJHdCKLzaeTEQSxgg5CNVE3</t>
  </si>
  <si>
    <t>vamsikunchala7.2001@gmail.com</t>
  </si>
  <si>
    <t>RAMESH BABU KARRI</t>
  </si>
  <si>
    <t xml:space="preserve">19331A0574 </t>
  </si>
  <si>
    <t>https://drive.google.com/open?id=1wIUsSwoDG72g_RXHE58R2o9-qpLpNGTI</t>
  </si>
  <si>
    <t>karrirameshbabu99@gmail.com</t>
  </si>
  <si>
    <t xml:space="preserve">Programming Essentials in C </t>
  </si>
  <si>
    <t>Dr. RAVI KIRAN VARMA PENMATSA</t>
  </si>
  <si>
    <t>https://drive.google.com/open?id=1XDOI7CzEaovv5Qsf-9dR4dg-xTwYeyQS</t>
  </si>
  <si>
    <t>Kambala Sai Vamsi</t>
  </si>
  <si>
    <t>19331A0571</t>
  </si>
  <si>
    <t xml:space="preserve">Certified </t>
  </si>
  <si>
    <t>P Ravi Kiran Varma</t>
  </si>
  <si>
    <t>https://drive.google.com/open?id=12W-4puaia8y5O-SVRl5fEYhkS4pnLs_z</t>
  </si>
  <si>
    <t>svamsi215@gmail.com</t>
  </si>
  <si>
    <t>https://drive.google.com/open?id=1pDCrLJoGwIM87gnbXmI5m2jpz07EBK06</t>
  </si>
  <si>
    <t>https://drive.google.com/open?id=136Ywux1C_7sFSmnrirrxWLxCBjVfLVU-</t>
  </si>
  <si>
    <t>https://drive.google.com/open?id=1j2mw6sM1IUEEVuUwtVxofYHWaPopJXYe</t>
  </si>
  <si>
    <t>CODERIDERS PYTHON</t>
  </si>
  <si>
    <t>https://drive.google.com/open?id=1Cv8md0gsIP4iKgIIBXwad1WgQdK5ISyw</t>
  </si>
  <si>
    <t>BURA. JANARDHAN YADAV</t>
  </si>
  <si>
    <t>19331A0528</t>
  </si>
  <si>
    <t>Blue prism</t>
  </si>
  <si>
    <t>https://drive.google.com/open?id=1vkRcM-QRFAko2NHrx6_eC4lsaIWkK3j8</t>
  </si>
  <si>
    <t>janardhan.yadav5899@gmail.com</t>
  </si>
  <si>
    <t>Create User Directory and Files with Linux Commands</t>
  </si>
  <si>
    <t>2 weeks</t>
  </si>
  <si>
    <t>David Delsveen</t>
  </si>
  <si>
    <t>https://drive.google.com/open?id=1EeB4cYRC6U7x2-0Kbv6ha-nDZPooXwTp</t>
  </si>
  <si>
    <t>Blueprism</t>
  </si>
  <si>
    <t>https://drive.google.com/open?id=1SJ9A0NDxmmOWkPKCc1throNcPkSYVdj_</t>
  </si>
  <si>
    <t>Mohan Subha Varshith Pechetti</t>
  </si>
  <si>
    <t>https://drive.google.com/open?id=11TXZibIns7mvQ6izHlt9xrZCWbWY4dLF</t>
  </si>
  <si>
    <t>https://drive.google.com/open?id=1pc7N8j3srgy1vhd_haYAPZ9Sex7v_cBA</t>
  </si>
  <si>
    <t>https://drive.google.com/open?id=1YphZpIhw5XLTSe6ao9LoikNjHa6p5MjI</t>
  </si>
  <si>
    <t>https://drive.google.com/open?id=1QMEd_tbSrf51UmCFYiWNxFMhOMr-EEPa</t>
  </si>
  <si>
    <t xml:space="preserve">1month </t>
  </si>
  <si>
    <t xml:space="preserve">Dr. Suvarna Kumar Gogula </t>
  </si>
  <si>
    <t>https://drive.google.com/open?id=1ThfMNbY8oMfSSAkHJAb4oKClNdc8WOmB</t>
  </si>
  <si>
    <t xml:space="preserve">DR. RAVI KIRAN VARMA PENMATSA Instructor </t>
  </si>
  <si>
    <t>https://drive.google.com/open?id=1Dqk1yXEF0cC_FY_5I8sQH2YPtT5Vs37B</t>
  </si>
  <si>
    <t>Karumoju Nehal Praveen</t>
  </si>
  <si>
    <t>Programming for Everybody (Getting Started with python)</t>
  </si>
  <si>
    <t>https://drive.google.com/open?id=1S-sa0bDw6pEogW6V06lra53ivgXymVQC</t>
  </si>
  <si>
    <t>https://drive.google.com/open?id=1i99vuhDdYPsj89C6yFHZwei1q06O4W3V</t>
  </si>
  <si>
    <t>vamsikunchala7.2001@gmail.con</t>
  </si>
  <si>
    <t>https://drive.google.com/open?id=1Y1lRJZRsNM4298cibgP6Hql_QBpJYvFE</t>
  </si>
  <si>
    <t>GOOGLE DEV FEST 2021</t>
  </si>
  <si>
    <t>GOOGLE</t>
  </si>
  <si>
    <t>https://drive.google.com/open?id=1gOUOIFbe2UvCobSidAlwBfxZWRfKWD7j</t>
  </si>
  <si>
    <t>Introduvtio to Networks</t>
  </si>
  <si>
    <t>https://drive.google.com/open?id=11WuTovLGheE5cgLipjVacII_ZKcAysoF</t>
  </si>
  <si>
    <t>MyNEP Quiz 100%</t>
  </si>
  <si>
    <t xml:space="preserve">MyNEP </t>
  </si>
  <si>
    <t>https://drive.google.com/open?id=1z57u__kbU8XZjNGGRTARL__Ij-saq-OH</t>
  </si>
  <si>
    <t>https://drive.google.com/open?id=1JpE2auCKA5RfRKrN-Atrab1tc03vtYcQ</t>
  </si>
  <si>
    <t>https://drive.google.com/open?id=12fXXsfku9UdAKNCQML7Fn_5p4BblfZb7</t>
  </si>
  <si>
    <t>https://drive.google.com/open?id=1mk3sRRKl-NEUYwVS9X0-xDctCGhfWIYG</t>
  </si>
  <si>
    <t xml:space="preserve">Programming Essentials in Python </t>
  </si>
  <si>
    <t xml:space="preserve">Python institute </t>
  </si>
  <si>
    <t>https://drive.google.com/open?id=1G9rmmn-ZjZBxHhNYW_omxjVG_QBcI_y9</t>
  </si>
  <si>
    <t>Nitin Sampath Rohan Bheemavarapu</t>
  </si>
  <si>
    <t>19331A05C2</t>
  </si>
  <si>
    <t>https://drive.google.com/open?id=1BCybOknEJvySE0t-MqPzPrrz4WwQyfn3</t>
  </si>
  <si>
    <t>nitinrohan56@gmail.com</t>
  </si>
  <si>
    <t xml:space="preserve">Saiprasanna Panthina </t>
  </si>
  <si>
    <t>20335A0512</t>
  </si>
  <si>
    <t>https://drive.google.com/open?id=13vbAKJbvhDJ6pI6nKJRAmlH_tsahWg6w</t>
  </si>
  <si>
    <t>saiprasanna.cme@gmail.com</t>
  </si>
  <si>
    <t>Kunchala Vamsi</t>
  </si>
  <si>
    <t>https://drive.google.com/open?id=1SZ7q6TCEa0VsKasa8wOV0mMbNZPpNCAc</t>
  </si>
  <si>
    <t xml:space="preserve">Dr. RAVI KIRAN VARMA PENMATSA </t>
  </si>
  <si>
    <t>https://drive.google.com/open?id=1BvJG3U0KECbQUfsMfSh39YPp73Wk0vZh</t>
  </si>
  <si>
    <t>Master Class on Data Analytics</t>
  </si>
  <si>
    <t>M.Malaiyappan</t>
  </si>
  <si>
    <t>https://drive.google.com/open?id=1E9S8Bj0oVmoqnIhlfxaSKc1SO9r8QuvN</t>
  </si>
  <si>
    <t>https://drive.google.com/open?id=1r6NmrvkSajV7TPwAUetBluDAhQ8b7kTZ</t>
  </si>
  <si>
    <t>M Beluah Rani</t>
  </si>
  <si>
    <t>https://drive.google.com/open?id=1uPpc4heA-EIK7rzabSlGhnvGQL5O_O3D</t>
  </si>
  <si>
    <t xml:space="preserve">CODE RIDERS </t>
  </si>
  <si>
    <t xml:space="preserve">DR . RAVI KIRAN VARMA PENMATSA </t>
  </si>
  <si>
    <t>https://drive.google.com/open?id=1R-0tk38P5_l0xf4FOfM7kOkcGZHOhmeV</t>
  </si>
  <si>
    <t xml:space="preserve">Learn to build a website </t>
  </si>
  <si>
    <t>Skill safari</t>
  </si>
  <si>
    <t xml:space="preserve">Skill safari </t>
  </si>
  <si>
    <t>https://drive.google.com/open?id=1kXYAnzUso7TTIHXPd9lyRpdzk2qnZDMY</t>
  </si>
  <si>
    <t xml:space="preserve">JavaScript Essentials 1 </t>
  </si>
  <si>
    <t>Maciek Wichary VP &amp; CEO, OpenEDG</t>
  </si>
  <si>
    <t>https://drive.google.com/open?id=1mXIiBi4y3Q6cPsF07qC3Th9jyDrqBH-t</t>
  </si>
  <si>
    <t>https://drive.google.com/open?id=167tgrvmCh3hEx8XaP2uVawLDnJXgjKzU</t>
  </si>
  <si>
    <t>https://drive.google.com/open?id=1v1yUcMpygMbM9fjEZqO6HrE7Awotg5LP</t>
  </si>
  <si>
    <t>Cloud Master Class-Discovery Day</t>
  </si>
  <si>
    <t>Future skills prime and AWS</t>
  </si>
  <si>
    <t>Goutham Nanjundaswamy</t>
  </si>
  <si>
    <t>https://drive.google.com/open?id=1J9lJcBtyeEyEQnOt6SpZTHFVaR-J4SFO</t>
  </si>
  <si>
    <t xml:space="preserve">DevFest India </t>
  </si>
  <si>
    <t xml:space="preserve">Google </t>
  </si>
  <si>
    <t>https://drive.google.com/open?id=1sZRpzPyiH0qExz1QzqXGX5rOrZP1-0sV</t>
  </si>
  <si>
    <t>KOTARI SAHITHI</t>
  </si>
  <si>
    <t>19331A0583</t>
  </si>
  <si>
    <t xml:space="preserve">OpenEDG Python Institute </t>
  </si>
  <si>
    <t>https://drive.google.com/open?id=1mGcJmtdKI0e6tX0ijKwkoEth9z6r1EpZ</t>
  </si>
  <si>
    <t>kotarisahithi@gmail.com</t>
  </si>
  <si>
    <t>Introduction to Python by Code Riders</t>
  </si>
  <si>
    <t>https://drive.google.com/open?id=1W1pFFSrqS6-eeHjQR7iDVnkyi9L-7R60</t>
  </si>
  <si>
    <t>https://drive.google.com/open?id=13c7eutRTZ8_H73FZU26Xvs9uZjst_J1b</t>
  </si>
  <si>
    <t>https://drive.google.com/open?id=1c1vqszmBR4WNC79iwuQE8tCSGD2RgYFu</t>
  </si>
  <si>
    <t xml:space="preserve"> Cisco Networking Academy</t>
  </si>
  <si>
    <t>https://drive.google.com/open?id=1uw3vOl4uk5ozK0NLJH4VnV9XJ4awr8JQ</t>
  </si>
  <si>
    <t>CAPGEMINI TECH CHALLENGE</t>
  </si>
  <si>
    <t>CAPGEMINI</t>
  </si>
  <si>
    <t>10days</t>
  </si>
  <si>
    <t>https://drive.google.com/open?id=1hCFBgVRd0S5A6bQiL4Hlvz9ke_hhzfM3</t>
  </si>
  <si>
    <t>CCNAv7:Introduction to Networks</t>
  </si>
  <si>
    <t>https://drive.google.com/open?id=1kzOGPnP1bZon3UB8-XK6StD-4SjhH4ko</t>
  </si>
  <si>
    <t xml:space="preserve">Python Institute </t>
  </si>
  <si>
    <t>Mrs. M. Beulah Rani</t>
  </si>
  <si>
    <t>https://drive.google.com/open?id=159SGl2epRTkON-1gKAs9-GJpTzd7mYQo</t>
  </si>
  <si>
    <t>3/8/0221</t>
  </si>
  <si>
    <t xml:space="preserve">DR RAVI KIRAN VARMA </t>
  </si>
  <si>
    <t>https://drive.google.com/open?id=19xd92YSkvJWCnTC3nVtnoVauqBW7sOrd</t>
  </si>
  <si>
    <t>Cisco Netcad</t>
  </si>
  <si>
    <t>https://drive.google.com/open?id=1eRpMF9ns_UhyCA6QFnqIRKYL6FkaeKvi</t>
  </si>
  <si>
    <t xml:space="preserve">KOTARI SAHITHI </t>
  </si>
  <si>
    <t>https://drive.google.com/open?id=1kwsseXwTrYdsbi_YGRdOdjW2_3V7G7ZU</t>
  </si>
  <si>
    <t>19331a0594</t>
  </si>
  <si>
    <t>6 TECHNOLOGY IN 1 INTRODUCTION : INTERVIEW PREPARATION</t>
  </si>
  <si>
    <t>LEARNMALL</t>
  </si>
  <si>
    <t>6 HOURS</t>
  </si>
  <si>
    <t>https://drive.google.com/open?id=1CZ5qJFLgv3hyoBa0vTnaFk3poGx9RWEv</t>
  </si>
  <si>
    <t>GDG DEVFEST</t>
  </si>
  <si>
    <t>GOOGLE DEVELOPER GROUPS</t>
  </si>
  <si>
    <t>https://drive.google.com/open?id=1ptMty6ndlaqD4-uQQZ4kUeXVqlZThoBw</t>
  </si>
  <si>
    <t xml:space="preserve">KUDA SRAVANI SANDHYA SREE </t>
  </si>
  <si>
    <t>19331A0589</t>
  </si>
  <si>
    <t>2019-2021</t>
  </si>
  <si>
    <t>P.RAVI KIRAM VARMA</t>
  </si>
  <si>
    <t>https://drive.google.com/open?id=1Fk-eF-dHwPdK-isVKUqvXhCwaw3aqPtQ</t>
  </si>
  <si>
    <t>sravanisandhyasree@gmail.com</t>
  </si>
  <si>
    <t>https://drive.google.com/open?id=1sYqyDPGKGnqq3tyBxXiJzgDk6Y8dnLXk</t>
  </si>
  <si>
    <t>NITIN SAMPATH ROHAN ROHAN BHEEMAVARAPU</t>
  </si>
  <si>
    <t>Pcap: Programming essentials in python</t>
  </si>
  <si>
    <t xml:space="preserve">Netcad </t>
  </si>
  <si>
    <t>https://drive.google.com/open?id=1xmSdM3nDHfIkMdMT8PdMg_2GiJ4NLhct</t>
  </si>
  <si>
    <t>https://drive.google.com/open?id=1ZenK_hqLENL2KDPV5sxTLur4Mj5zAyFB</t>
  </si>
  <si>
    <t xml:space="preserve">Clearing level 2 in national level coding </t>
  </si>
  <si>
    <t xml:space="preserve">VEGALAPUDI RAMAKRISHNA SIDDHARTHA ENGINEERING COLLEGE </t>
  </si>
  <si>
    <t>https://drive.google.com/open?id=1ExtAb3ShF6yWfO7pPD0Rwof0ao8GRMIf</t>
  </si>
  <si>
    <t>https://drive.google.com/open?id=1DAEL4LwNlRVMaF7wlnfDKNnjcWDN5TrR</t>
  </si>
  <si>
    <t>NAMBURI NAVYA GEETHIKA</t>
  </si>
  <si>
    <t>19331A05C0</t>
  </si>
  <si>
    <t xml:space="preserve">BLUE PRISM </t>
  </si>
  <si>
    <t>10 WEEEKS</t>
  </si>
  <si>
    <t>https://drive.google.com/open?id=1SlVcE8rGKFud2--_Yqh9LaVFqOwm0HQx</t>
  </si>
  <si>
    <t>namburinavyageethika123@gmail.com</t>
  </si>
  <si>
    <t>10 weekz</t>
  </si>
  <si>
    <t>https://drive.google.com/open?id=1czkLH0A9hlYGxcPJ48_H4vKnkINQ2Gaq</t>
  </si>
  <si>
    <t>DATABASE MANAGEMENT ESSENTIALS</t>
  </si>
  <si>
    <t>MICHAEL MANNINO</t>
  </si>
  <si>
    <t>https://drive.google.com/open?id=1PAVAZVXXGyMyJJTfxGDmbGLQhiNNpPXr</t>
  </si>
  <si>
    <t xml:space="preserve">Master Class on Artificial Intelligence </t>
  </si>
  <si>
    <t>https://drive.google.com/open?id=1HgbIVOcZBSMq2XhWYzfHNp-kee0-_v-T</t>
  </si>
  <si>
    <t>https://drive.google.com/open?id=1RD7j6TrWObr1R4uYHL6EJE56vb3f-7ju</t>
  </si>
  <si>
    <t>Building a Career as an Ethical Hacker</t>
  </si>
  <si>
    <t>Akash Agarwal</t>
  </si>
  <si>
    <t>Akash agarwal</t>
  </si>
  <si>
    <t>https://drive.google.com/open?id=1KXRJr3tWuduefjE2qI5bzRRQOmxmkdEd</t>
  </si>
  <si>
    <t>KUDA SRAVANI SANDHYA SREE</t>
  </si>
  <si>
    <t>ITN</t>
  </si>
  <si>
    <t>https://drive.google.com/open?id=1baCaxgRpu-StZgYCoquu8Bfhsx5ba9_t</t>
  </si>
  <si>
    <t>Python programming</t>
  </si>
  <si>
    <t>My captain</t>
  </si>
  <si>
    <t>MOHAMMAD SAMEERUDDIN</t>
  </si>
  <si>
    <t>https://drive.google.com/open?id=1gT8dpUDYk5NlC5HDx65ZrZxQ8FzsQYgf</t>
  </si>
  <si>
    <t>https://drive.google.com/open?id=106qEdUwNpJoW4vDxpGQzaRXHRHD4YaGm</t>
  </si>
  <si>
    <t xml:space="preserve">Jayanthi lahari katta </t>
  </si>
  <si>
    <t>https://drive.google.com/open?id=1aYDchKBi_Fd8fvIkYaLoTfqb-AiZkQ4U</t>
  </si>
  <si>
    <t xml:space="preserve">GOOGLE CLOUD FUNDAMENTALS </t>
  </si>
  <si>
    <t>GOOGLE CLOUD TRAINING</t>
  </si>
  <si>
    <t>https://drive.google.com/open?id=1Gk9_hZN3bZbtquBEOy98aeWsNdjARYg0</t>
  </si>
  <si>
    <t>PROGRAMMING ESSENTIALS IN C++</t>
  </si>
  <si>
    <t>https://drive.google.com/open?id=1uAFzHIJO6p_JQlRULCTzq34BJNEg-Eox</t>
  </si>
  <si>
    <t>https://drive.google.com/open?id=1DT-qLV0ZYLjE49xcz5iC6H5gLAHCxtFH</t>
  </si>
  <si>
    <t>SRWE</t>
  </si>
  <si>
    <t>P.RAVI KIRAN VARMA SIR</t>
  </si>
  <si>
    <t>https://drive.google.com/open?id=1khTl359AdbJGJSfFUIWlXLQUHZs4u5o4</t>
  </si>
  <si>
    <t>https://drive.google.com/open?id=1W2VNq_eVOrzeF4ZYEQW-8dpshOk8h0vk</t>
  </si>
  <si>
    <t>https://drive.google.com/open?id=1fP0wbMByjU4qMFYJq-9LTJvy3Jlfc5ks</t>
  </si>
  <si>
    <t>https://drive.google.com/open?id=1UTdLN093ULs_opm2gWLhbT4nxxEA7xrK</t>
  </si>
  <si>
    <t>KOMMU ANKITHA</t>
  </si>
  <si>
    <t>19331A0582</t>
  </si>
  <si>
    <t>https://drive.google.com/open?id=1mF47KtsFeQklbLGGpylAcXZy8L4ihMeu</t>
  </si>
  <si>
    <t>kommublessy5@gmail.com</t>
  </si>
  <si>
    <t>CODE RIDERS PYTHON</t>
  </si>
  <si>
    <t>https://drive.google.com/open?id=1CEru8dTh4f7rj9U5F6onvoodMXKKH0LG</t>
  </si>
  <si>
    <t>1 montg</t>
  </si>
  <si>
    <t xml:space="preserve">Mr. Subbaraju </t>
  </si>
  <si>
    <t>https://drive.google.com/open?id=1rMdt-L1CXt6MCuVpkNfkCGb1mZhRY_MH</t>
  </si>
  <si>
    <t>JAHNAVI PATNALA</t>
  </si>
  <si>
    <t>20335A0513</t>
  </si>
  <si>
    <t>M.Malaiapan</t>
  </si>
  <si>
    <t>https://drive.google.com/open?id=1D4GEXH2SAV5VEE4QhU5a0SH1aHjM7GrQ</t>
  </si>
  <si>
    <t>jahnavipatnalaa222@gmail.com</t>
  </si>
  <si>
    <t>Sai Greeshma Pathivada</t>
  </si>
  <si>
    <t>19331A05C6</t>
  </si>
  <si>
    <t>Dr.Suvarna Kumar Gogula</t>
  </si>
  <si>
    <t>https://drive.google.com/open?id=14eXy96fCqreoiYmXDBBIwJdrJh-NT4wc</t>
  </si>
  <si>
    <t>greeshmapathivada29@gmail.com</t>
  </si>
  <si>
    <t>https://drive.google.com/open?id=1AAnZB2oSp-Ha8UK9UYXlq_3Rt2kyjD_4</t>
  </si>
  <si>
    <t>https://drive.google.com/open?id=13zrr5rsPYOON-9ElRKxEmu1OwwEmPLdu</t>
  </si>
  <si>
    <t xml:space="preserve">DR. RAVI KIRAN VARMA </t>
  </si>
  <si>
    <t>https://drive.google.com/open?id=1YFG6xR_-ADfNDfQWwb38Z8FqOFx8Yspl</t>
  </si>
  <si>
    <t>AI-For-INDIA</t>
  </si>
  <si>
    <t>GUVI</t>
  </si>
  <si>
    <t>M.ARUN PRAKASH</t>
  </si>
  <si>
    <t>https://drive.google.com/open?id=1aZy25r6uldi4_6s9jGNYxZkX42rD1DZA</t>
  </si>
  <si>
    <t xml:space="preserve">JAHNAVI PATNALA </t>
  </si>
  <si>
    <t>https://drive.google.com/open?id=1llYo10JQs3t2yqtSU4o1hl2_WS4jzYWJ</t>
  </si>
  <si>
    <t>jahnavipatnala222@gmail.com</t>
  </si>
  <si>
    <t>Pechetti Mohan Subha Varshith</t>
  </si>
  <si>
    <t>NDG Linux Unhatched course</t>
  </si>
  <si>
    <t>The NDG Team</t>
  </si>
  <si>
    <t>https://drive.google.com/open?id=1vfCTXCS2ZNJ8gCEBvF7GD47mHNd239iX</t>
  </si>
  <si>
    <t>Internshala Trainings</t>
  </si>
  <si>
    <t>https://drive.google.com/open?id=1V542U69KICJNdgr5q0GKWubYnUKObulA</t>
  </si>
  <si>
    <t>Data Science</t>
  </si>
  <si>
    <t>1stop</t>
  </si>
  <si>
    <t>Paul Mathew. I</t>
  </si>
  <si>
    <t>https://drive.google.com/open?id=1AP7xsJ5H4n3GlPR2iCv46b_VMVn4We2K</t>
  </si>
  <si>
    <t>DR SUVARNA KUMAR GOGULA</t>
  </si>
  <si>
    <t>https://drive.google.com/open?id=1zwsMr-WEvBo2uXWKf2lvfAxQNjy4bQzK</t>
  </si>
  <si>
    <t xml:space="preserve">BANKAPALLI BHARGAVI </t>
  </si>
  <si>
    <t>https://drive.google.com/open?id=1oTuyRXjsB3JLHEDEgXqa7DYjl56zixIy</t>
  </si>
  <si>
    <t>https://drive.google.com/open?id=1XV-oGvH2CnjBVNBDxsyHLjWaMFSxsivW</t>
  </si>
  <si>
    <t>https://drive.google.com/open?id=1NHsodfni68pTQYL0rmU6U92-wuVN4rm5</t>
  </si>
  <si>
    <t>DR . SUVARNA KUMAR GOGULA</t>
  </si>
  <si>
    <t>https://drive.google.com/open?id=13A3ZGI3-aKzyu4l-RKDu_GzOljxk8Rxp</t>
  </si>
  <si>
    <t xml:space="preserve"> Switching, Routing, and Wireless Essentials</t>
  </si>
  <si>
    <t>https://drive.google.com/open?id=1Bq_0XEtbKimEG2yjQyPsHER_AEGePV_d</t>
  </si>
  <si>
    <t>jayanthilaharikatta@gmail.com</t>
  </si>
  <si>
    <t>M.Malaippan</t>
  </si>
  <si>
    <t>https://drive.google.com/open?id=16zDYjlKxB-E6mF9kyKMC0ZDkEJ7qeviZ</t>
  </si>
  <si>
    <t>NDG Linux Essentials course</t>
  </si>
  <si>
    <t>https://drive.google.com/open?id=1Vh8ABGI71P-aBtCM8owKTl1FjxUNIuag</t>
  </si>
  <si>
    <t>https://drive.google.com/open?id=1GUjw0lg4-4x7waMJncM25HPMl4oXyiFM</t>
  </si>
  <si>
    <t>JAYASRI SAI VENKATA ANGARA</t>
  </si>
  <si>
    <t>https://drive.google.com/open?id=1ckBgqeBk-jk45Jsh7zTPKjezRHSQNEmQ</t>
  </si>
  <si>
    <t>Harshitha Kilari</t>
  </si>
  <si>
    <t>19331A0579</t>
  </si>
  <si>
    <t>https://drive.google.com/open?id=1PSx_mpgKks0HuNg6kc8vqJVi3gk46oHo</t>
  </si>
  <si>
    <t>harshithakilari10@gmail.com</t>
  </si>
  <si>
    <t xml:space="preserve">Mrs. M. Beulah Rani </t>
  </si>
  <si>
    <t>https://drive.google.com/open?id=1xwL2bGI2Bx4EwdOilD1iFgqPIv_loDHd</t>
  </si>
  <si>
    <t>AI for everyone</t>
  </si>
  <si>
    <t>Andrew NG</t>
  </si>
  <si>
    <t>https://drive.google.com/open?id=1y--C6xLPcjEkf1n0bUS-ZYOmGxPounz0</t>
  </si>
  <si>
    <t>Java(Basic)</t>
  </si>
  <si>
    <t>https://drive.google.com/open?id=1Vj3U1DgkrQJDxJWQ_hMPnQtaQpkU7TIJ</t>
  </si>
  <si>
    <t>https://drive.google.com/open?id=15Ogt03ZV1jfFdoBSByeuzZBQQrfcRtDT</t>
  </si>
  <si>
    <t>elurudivyadeepthi216@gmail.com</t>
  </si>
  <si>
    <t>Jayasri sai venkata anagra</t>
  </si>
  <si>
    <t>https://drive.google.com/open?id=18e0vdU2AMtLaA6e223826psRNdrMumqa</t>
  </si>
  <si>
    <t xml:space="preserve">Mohan Subha Varshith Pehetti </t>
  </si>
  <si>
    <t>Charles Severance Clinical Professor, School ofInformation University of Michigan</t>
  </si>
  <si>
    <t>https://drive.google.com/open?id=1p97L5qAnBKl657IDsRyvIgHR-GCY-bLz</t>
  </si>
  <si>
    <t>https://drive.google.com/open?id=1PR40Ymz_OmoQEPznfZeievxc0klmzyUm</t>
  </si>
  <si>
    <t>AICTE Eduskills</t>
  </si>
  <si>
    <t>https://drive.google.com/open?id=1sy3IXloS4hFU6XnPUXON0DFI5Xa-WEJ0</t>
  </si>
  <si>
    <t xml:space="preserve">Blue Prism Associate Developer </t>
  </si>
  <si>
    <t xml:space="preserve">Blue Prism University </t>
  </si>
  <si>
    <t>Mrs. Shoba Rani</t>
  </si>
  <si>
    <t>https://drive.google.com/open?id=1TNyg_nhP-TuaMnKxRlTDVzaCrbMg1A7W</t>
  </si>
  <si>
    <t>https://drive.google.com/open?id=1YWU_dCA5YuTZNpI-8_s2xxirCMjSZ6j_</t>
  </si>
  <si>
    <t>https://drive.google.com/open?id=1RHTPiPKI9-CjzscxP-nDYDLT81tyhwh-</t>
  </si>
  <si>
    <t>https://drive.google.com/open?id=169dTjHD4kNz07CRxjGDEbNPSmTISD66T</t>
  </si>
  <si>
    <t>Nasscom Python</t>
  </si>
  <si>
    <t>Parikh Jain Mentor / Instructor</t>
  </si>
  <si>
    <t>https://drive.google.com/open?id=1kzO8Rkz8zuwzUO5XqHfqdfkxioA1-KzY</t>
  </si>
  <si>
    <t>MAP A THON | FUN WITH PYTHON</t>
  </si>
  <si>
    <t>NAGARAJU</t>
  </si>
  <si>
    <t>https://drive.google.com/open?id=1L_3HsIfcOCTImB53e-nUEKtGCDppT7Pm</t>
  </si>
  <si>
    <t xml:space="preserve">Mohan Subha Varshith Pechetti </t>
  </si>
  <si>
    <t>Python(Basic)</t>
  </si>
  <si>
    <t>https://drive.google.com/open?id=1iVqHCUjmEYvWU-0Nzqjq7zyZZk5dFiT5</t>
  </si>
  <si>
    <t xml:space="preserve">Sunkari Chitra Deepika </t>
  </si>
  <si>
    <t>193315A0G8</t>
  </si>
  <si>
    <t xml:space="preserve">C++ institute </t>
  </si>
  <si>
    <t>https://drive.google.com/open?id=1PMfeCuz1ry2XrzLvU98P5JrmIQBHKsHG</t>
  </si>
  <si>
    <t>LAKKIMSETTI CHANRA SIRISHA</t>
  </si>
  <si>
    <t>APTITUDE BUSTER</t>
  </si>
  <si>
    <t>https://drive.google.com/open?id=1uzVLqon8EB68uEiLLRH3XQi8tyaXd4uV</t>
  </si>
  <si>
    <t>Swecha Bootcamp 2021</t>
  </si>
  <si>
    <t>M VAMSI KRISHNA</t>
  </si>
  <si>
    <t>https://drive.google.com/open?id=1FlNFhq7OpTZ3vFL1u7UCNPi9TdqCX6s_</t>
  </si>
  <si>
    <t>Securing 922nd rank in CodeKaze</t>
  </si>
  <si>
    <t>https://drive.google.com/open?id=15dCKuHgYSYyWdEhK8CrzVV8ekecVY3pQ</t>
  </si>
  <si>
    <t>Hands on workshop on dart programming</t>
  </si>
  <si>
    <t>Dr. V. Nagesh</t>
  </si>
  <si>
    <t>Dr.V.Nagesh</t>
  </si>
  <si>
    <t>https://drive.google.com/open?id=1ZJrkRdsMoUkk9fPkvBW3ThInDIxCiuz6</t>
  </si>
  <si>
    <t>LAKKIMSETTI CAHNDRA SIRISHA</t>
  </si>
  <si>
    <t>DR . RAVI KIRAN VARMA</t>
  </si>
  <si>
    <t>https://drive.google.com/open?id=1ybAw-ahHUjE2vqj887euHhxUAFGVaW2H</t>
  </si>
  <si>
    <t>Sahithi Kotari</t>
  </si>
  <si>
    <t>https://drive.google.com/open?id=1Sb1weKGCly4fo_dv66vvjRUopycy4Nw2</t>
  </si>
  <si>
    <t>APSSDC Team</t>
  </si>
  <si>
    <t>https://drive.google.com/open?id=1OZ7vflVpCncDhDGBOEtNAXDDu-5S5ekD</t>
  </si>
  <si>
    <t>https://drive.google.com/open?id=1p9VrZYzDER5OCCWXBDQkLH3S54PTtGpg</t>
  </si>
  <si>
    <t>Pyhton (Basic)</t>
  </si>
  <si>
    <t>HACKER RANK</t>
  </si>
  <si>
    <t>https://drive.google.com/open?id=1uUNqNBbIOP9Q9-w0fQjDIQ65HGgFGtqU</t>
  </si>
  <si>
    <t>AWS Academy Graduate - AWS Academy Machine Learning</t>
  </si>
  <si>
    <t>https://drive.google.com/open?id=1UlTYPHzRtctmCX2m7SOfcO_gVYDOL7Aa</t>
  </si>
  <si>
    <t>https://drive.google.com/open?id=1wbQtX2jxd2cANVmiM5kcSR2sUp9obZz9</t>
  </si>
  <si>
    <t>SAHITHI KOTARI</t>
  </si>
  <si>
    <t>https://drive.google.com/open?id=18Gym7x1WJGt-D5eG6kCWRckF9bc1U7UT</t>
  </si>
  <si>
    <t>NITIN SAMPATH ROHAN BHEEMAVARAPU</t>
  </si>
  <si>
    <t>2022-2023</t>
  </si>
  <si>
    <t>Raghu engineering college dance competition</t>
  </si>
  <si>
    <t>RAGHU ENGINEERING COLLEGE</t>
  </si>
  <si>
    <t>https://drive.google.com/open?id=14YFIFfv8KmQJ4sk76AtHpP0CSZFUQwa7</t>
  </si>
  <si>
    <t>Problem Solving ( Basic)</t>
  </si>
  <si>
    <t>https://drive.google.com/open?id=1NqFlC7Bath7G7K4zUCxJOED0H4RgXyES</t>
  </si>
  <si>
    <t xml:space="preserve">Python data structures </t>
  </si>
  <si>
    <t>https://drive.google.com/open?id=1QvUwrIQfinKbby4N8Oug9__l3z2KYHaC</t>
  </si>
  <si>
    <t>Kotari Sahithi</t>
  </si>
  <si>
    <t>Group Dance competition</t>
  </si>
  <si>
    <t>https://drive.google.com/open?id=14jyjf351Oy7MTPqFB_6oRWFkjLNaCR0E</t>
  </si>
  <si>
    <t xml:space="preserve">Programming for everybody (getting started with python) </t>
  </si>
  <si>
    <t>https://drive.google.com/open?id=1JdldJvxrurjrw5a4ZytnwSvpbUTbFjlV</t>
  </si>
  <si>
    <t xml:space="preserve">Mrs. Shoba Rani </t>
  </si>
  <si>
    <t>https://drive.google.com/open?id=1TzYUN3fZPNqLeO9BemH5turdTQhzjqh4</t>
  </si>
  <si>
    <t xml:space="preserve">Saiprasanna panthina </t>
  </si>
  <si>
    <t>PCAP:PYTHON</t>
  </si>
  <si>
    <t xml:space="preserve">4 months </t>
  </si>
  <si>
    <t>RAVI KIRAN VARMA PENMATSA</t>
  </si>
  <si>
    <t>https://drive.google.com/open?id=1FTV94cTNn13GYdK2Jt3N9XNczLWPf6E_</t>
  </si>
  <si>
    <t>saiprasanna panthina</t>
  </si>
  <si>
    <t>https://drive.google.com/open?id=1XvhTETicFpQDG3AA1I0cxOQskdIsbw3Q</t>
  </si>
  <si>
    <t>introduction to networks</t>
  </si>
  <si>
    <t>RAVI KIRAN VARMA PANMATSA</t>
  </si>
  <si>
    <t>https://drive.google.com/open?id=1kFIgWEYOOUSIxrRuV4poD4qlMMUgp4sY</t>
  </si>
  <si>
    <t>https://drive.google.com/open?id=19XdtABaX3jcuZ8D_dlD7m8ltI99f_5u3</t>
  </si>
  <si>
    <t>networking essentials</t>
  </si>
  <si>
    <t>https://drive.google.com/open?id=17aECMty8Ykh1imABMLRc4yauXyh1K0S1</t>
  </si>
  <si>
    <t>jackson smith</t>
  </si>
  <si>
    <t>https://drive.google.com/open?id=1LPb_B_9ZcpX5lez3lB2AKrBa_I0x_wOX</t>
  </si>
  <si>
    <t xml:space="preserve">National level coding </t>
  </si>
  <si>
    <t>ELITE coding club of VRSEC</t>
  </si>
  <si>
    <t>D.rajeswara rao</t>
  </si>
  <si>
    <t>https://drive.google.com/open?id=1k7n_qatDD-M5G-N6ZlqOMovIbH4XcNXX</t>
  </si>
  <si>
    <t>MODALAVALASA SAI PRASANNA</t>
  </si>
  <si>
    <t>19331A05A5</t>
  </si>
  <si>
    <t>ALL INDIA COUNCIL FOR TECHNICAL EDUCATION(AICTE)</t>
  </si>
  <si>
    <t>https://drive.google.com/open?id=1NWzPObzKHYQ_0DokV9wtmaLGJJH8hjY8</t>
  </si>
  <si>
    <t>prasanna260402@gmail.com</t>
  </si>
  <si>
    <t>k.sobha rani</t>
  </si>
  <si>
    <t>https://drive.google.com/open?id=1RRfbtJTy6_Bglbrf_-xqsBhLPsl6uwew</t>
  </si>
  <si>
    <t>https://drive.google.com/open?id=1KjMhfI3dI2IWAxzA0nZOSpek2nIf51ve</t>
  </si>
  <si>
    <t>blueprism</t>
  </si>
  <si>
    <t>k. sobha rani</t>
  </si>
  <si>
    <t>https://drive.google.com/open?id=1a8gpXBDpjnwNaVsTdW79gXLKEPw8MtQ_</t>
  </si>
  <si>
    <t>https://drive.google.com/open?id=1M6V4dGHHi8qC_Sys-2t-WMNpyJI_LoM-</t>
  </si>
  <si>
    <t>k .sobha rani</t>
  </si>
  <si>
    <t>https://drive.google.com/open?id=1v1OUZxCRTv7sFBktWqpQ-luET0fe5raQ</t>
  </si>
  <si>
    <t>INTRODUCTION TO IOT</t>
  </si>
  <si>
    <t>CICSO NETWORKING ACADEMY</t>
  </si>
  <si>
    <t>GENERIC  INSTRUCTOR</t>
  </si>
  <si>
    <t>https://drive.google.com/open?id=1PmbpsiK5wYUODljWx_XHdW3O5guPVLSg</t>
  </si>
  <si>
    <t>Advanced  Personality Development</t>
  </si>
  <si>
    <t xml:space="preserve">Bizgurukul </t>
  </si>
  <si>
    <t>2 years</t>
  </si>
  <si>
    <t>Ritwiz tawari</t>
  </si>
  <si>
    <t>https://drive.google.com/open?id=1KhUAvJ7GnsCHyB7LCfH3uOQzTldBgVug</t>
  </si>
  <si>
    <t>GENERIC INSTRUCTOR</t>
  </si>
  <si>
    <t>https://drive.google.com/open?id=1kQ_-LrrMKKFhNjfkDPJ9sxZ0ye6KtTa_</t>
  </si>
  <si>
    <t>COMPUTER VISION</t>
  </si>
  <si>
    <t>P.B.SHANMATHI</t>
  </si>
  <si>
    <t>M.K.JEEVARAJAN</t>
  </si>
  <si>
    <t>https://drive.google.com/open?id=13c0317dTTT_G9Aioeak_JG5nZSDoosaG</t>
  </si>
  <si>
    <t>Mohammed Daraksha Anjum</t>
  </si>
  <si>
    <t>19331A05A7</t>
  </si>
  <si>
    <t xml:space="preserve">10 Weeks </t>
  </si>
  <si>
    <t>https://drive.google.com/open?id=1Pe6DhHJnLX5NM3lyjJYfxv-dMh0EuIuB</t>
  </si>
  <si>
    <t>darakshaanjummohammed@gmail.com</t>
  </si>
  <si>
    <t>https://drive.google.com/open?id=1cDRa-RDmk-a87QUa6FM--jh3HEjHRYBd</t>
  </si>
  <si>
    <t>https://drive.google.com/open?id=1STR97IF_Gw-P-HLd8Ried7hpAnPzmLM5</t>
  </si>
  <si>
    <t>https://drive.google.com/open?id=1L1sL-r7dACeUt2tFixHn-xVUpqFLhUAO</t>
  </si>
  <si>
    <t>JSE : JAVASCRIPT ESSENTIALS</t>
  </si>
  <si>
    <t>https://drive.google.com/open?id=1nLP-H2HySLdLtWl1_S5m_sLUgbNoktTA</t>
  </si>
  <si>
    <t>https://drive.google.com/open?id=1Dr5HXZiyUSo6GbKnLVw2OMAmLWCxUW5k</t>
  </si>
  <si>
    <t>8 months</t>
  </si>
  <si>
    <t>https://drive.google.com/open?id=1lxYH9mCUDlI_wvX8hFI0onASXt8QqntD</t>
  </si>
  <si>
    <t>CCNAV7: INTRODUCTION TO NETWORKS</t>
  </si>
  <si>
    <t>6 MONTHS</t>
  </si>
  <si>
    <t>https://drive.google.com/open?id=16B5DydRLLXSkLOCgpj_IfC7TLYV4b0bI</t>
  </si>
  <si>
    <t>SWITCHING , ROUTING, AND WIRELESS ESSENTIALS</t>
  </si>
  <si>
    <t>https://drive.google.com/open?id=1qY26c6tfG6fCPQKgLR1pE8AUHcFvR6Q3</t>
  </si>
  <si>
    <t>Python essentials</t>
  </si>
  <si>
    <t>https://drive.google.com/open?id=128dhicZ8DXd4VS3TNr01cbw3DtoZd5Ds</t>
  </si>
  <si>
    <t>DEEP LEARMING AI</t>
  </si>
  <si>
    <t>ANDREW Ng</t>
  </si>
  <si>
    <t>https://drive.google.com/open?id=12Pmxas4wU8x6rn4I_y1sV-A6BCcaNl2R</t>
  </si>
  <si>
    <t>https://drive.google.com/open?id=1tA22NS1u9bFDA6SfpGFiVTBxUi99rcIw</t>
  </si>
  <si>
    <t>JavaScript Essentials 1 (JSE)</t>
  </si>
  <si>
    <t>https://drive.google.com/open?id=1lz5ZUmIHbnbS0rQ9ZF-NKaUW-bZHjPy_</t>
  </si>
  <si>
    <t>Swecha Bootcamp</t>
  </si>
  <si>
    <t>Convener, MVGRGLUG</t>
  </si>
  <si>
    <t>https://drive.google.com/open?id=1gw1VSrglh7CiDIxc9NE6esZW4jxbE0Zn</t>
  </si>
  <si>
    <t>THE WOMEN ROCK-IT PROGRAM</t>
  </si>
  <si>
    <t>SWATHI HANDA,CORIEN VERMAAK</t>
  </si>
  <si>
    <t>https://drive.google.com/open?id=19b12RwjdW5hq1p89UQj2AMplItuHhHQo</t>
  </si>
  <si>
    <t>https://drive.google.com/open?id=1psFi1fr2XlTAMI2W-LnBIBNjnlcSxLlP</t>
  </si>
  <si>
    <t>https://drive.google.com/open?id=1UTrmDq2EktjHaN2yPZ5z1Aix7da28TFd</t>
  </si>
  <si>
    <t>SWITCHING,ROUTING AND WIRELESS ESSENTIALS</t>
  </si>
  <si>
    <t>https://drive.google.com/open?id=12gjE-5rJ5rNlDG2E6uHVqaD_TCBHW5Uw</t>
  </si>
  <si>
    <t>Surisetty Ekta Anusha</t>
  </si>
  <si>
    <t>19331A05G8</t>
  </si>
  <si>
    <t>https://drive.google.com/open?id=1-csxITqbpMe1SlKSzE2T59143PxK708Q</t>
  </si>
  <si>
    <t>ektaanusha16@gmail.com</t>
  </si>
  <si>
    <t>PROBABILITY AND STATISTICS:TO p or not to p?</t>
  </si>
  <si>
    <t>https://drive.google.com/open?id=1z_h0Ya-jhoNp7j2C_wlZyAI0RDhhxU7l</t>
  </si>
  <si>
    <t>WHAT IS DATA SCIENCE?</t>
  </si>
  <si>
    <t>https://drive.google.com/open?id=1lD6DpPrt2_JMbpwrGdYxFIhrjQoLyzL2</t>
  </si>
  <si>
    <t>TECHNICAL SUPPORT FUNDAMENTALS</t>
  </si>
  <si>
    <t>https://drive.google.com/open?id=1u1ve8eOFMSMEp3V2FfourbJ24H204sAT</t>
  </si>
  <si>
    <t xml:space="preserve">Surisetty Ekta Anusha </t>
  </si>
  <si>
    <t>Programming Essentials in c</t>
  </si>
  <si>
    <t>https://drive.google.com/open?id=1AtJzAjUB3NPA5aILhAsyqW4lGdJZAzA8</t>
  </si>
  <si>
    <t>DESIGN THINKING FOR THE GREATER GOOD:INNAVATION IN THE SOCIAL SECTOR</t>
  </si>
  <si>
    <t>JEANNE M.LIEDTKA</t>
  </si>
  <si>
    <t>https://drive.google.com/open?id=1zv8frebJKoWiPg-eLcVnjQDYJfjel4gG</t>
  </si>
  <si>
    <t>Get Connected</t>
  </si>
  <si>
    <t>Laura Quintana, Cisco General Manager</t>
  </si>
  <si>
    <t>https://drive.google.com/open?id=1XVkP5JprFOdksx_-C3SYuz9BgYCc8gZA</t>
  </si>
  <si>
    <t>B.Satya sai kiran</t>
  </si>
  <si>
    <t>19331A0527</t>
  </si>
  <si>
    <t>C language</t>
  </si>
  <si>
    <t>https://drive.google.com/open?id=1SZVHm7PZFNPf4_dAjk2uUrxbTzGxr8iw</t>
  </si>
  <si>
    <t>satyasaikiran2001@gmail.com</t>
  </si>
  <si>
    <t>Suvarna Kumar Sir</t>
  </si>
  <si>
    <t>https://drive.google.com/open?id=1zEmtGCaymLK1NklpG7a6KFV3hGPhGZJQ</t>
  </si>
  <si>
    <t>Suchi smita Mall</t>
  </si>
  <si>
    <t>19331A05G2</t>
  </si>
  <si>
    <t>Best photography contest</t>
  </si>
  <si>
    <t xml:space="preserve">My page my wish(Instagram) </t>
  </si>
  <si>
    <t>Top 1</t>
  </si>
  <si>
    <t>My page my wish</t>
  </si>
  <si>
    <t>https://drive.google.com/open?id=1bbz6s5OgHaZiA-mCHxIj-jlY-d36i4Go</t>
  </si>
  <si>
    <t>suchismita394@gmail.com</t>
  </si>
  <si>
    <t>NDG Team, Cisco</t>
  </si>
  <si>
    <t>https://drive.google.com/open?id=1skIPWDNwOghWPjCUNt019O2Swmqh0zKA</t>
  </si>
  <si>
    <t>Python language</t>
  </si>
  <si>
    <t>Jayasri sai Venkata Angara</t>
  </si>
  <si>
    <t>https://drive.google.com/open?id=12JPhNocGbq9KsNsm4L_SYzfktr6fB9Lr</t>
  </si>
  <si>
    <t>IT Essential</t>
  </si>
  <si>
    <t>https://drive.google.com/open?id=1XiVoRxlkLCwKGTrk3e8Rm8t1ZiQlxtEx</t>
  </si>
  <si>
    <t>M Beulah Rani Madam</t>
  </si>
  <si>
    <t>https://drive.google.com/open?id=1kl7Tyi9YHzBCAKvVAN2BcaPTmQlfgGsl</t>
  </si>
  <si>
    <t>Suchismita Mall</t>
  </si>
  <si>
    <t>Machine Learning &amp;Foss Philosophy</t>
  </si>
  <si>
    <t>Swecha Executive Committee</t>
  </si>
  <si>
    <t>https://drive.google.com/open?id=1h9JMd0u92yoJxvmUIExFANw7ubcori_A</t>
  </si>
  <si>
    <t>Suchi Smita Mall</t>
  </si>
  <si>
    <t>Battle Ground</t>
  </si>
  <si>
    <t>Dance club, Kala Krithi</t>
  </si>
  <si>
    <t>1day</t>
  </si>
  <si>
    <t>Gitam University</t>
  </si>
  <si>
    <t>https://drive.google.com/open?id=1jH-wCgYNlKt9g_OI1AXe19UlDjQia_an</t>
  </si>
  <si>
    <t>https://drive.google.com/open?id=1XwUCVjK4R5x_ZUD3keuijM3-ExCXePp4</t>
  </si>
  <si>
    <t>https://drive.google.com/open?id=1rhaZmNN1Di9esRQeW4H-1xDiSzVBcSFe</t>
  </si>
  <si>
    <t>https://drive.google.com/open?id=17LynHPg0UK1o20Q14tIqN3kjUeSX_lI0</t>
  </si>
  <si>
    <t>4months</t>
  </si>
  <si>
    <t>Beulah Rani Madam</t>
  </si>
  <si>
    <t>https://drive.google.com/open?id=1Nc_U-FHaCsgBqQrPN2FtKXydlcoAX28s</t>
  </si>
  <si>
    <t>Quiz on C programming</t>
  </si>
  <si>
    <t>Pimpri chinchwad college of engineering</t>
  </si>
  <si>
    <t>https://drive.google.com/open?id=14xRbameMklw4aLyQQ7JrvSt-52Quugae</t>
  </si>
  <si>
    <t>BHOGI RAGHU VAMSI</t>
  </si>
  <si>
    <t>19331A0516</t>
  </si>
  <si>
    <t>Programming with python</t>
  </si>
  <si>
    <t>MICHIGAN UNIVERSITY</t>
  </si>
  <si>
    <t>1-2 months</t>
  </si>
  <si>
    <t>P.R.S.NAIDU</t>
  </si>
  <si>
    <t>https://drive.google.com/open?id=1l2S3wk-nKIpQAlQZCT5or_7csqTDpGXp</t>
  </si>
  <si>
    <t>raghuvamsibhogi@gmail.com</t>
  </si>
  <si>
    <t>https://drive.google.com/open?id=1bwDxYdSnyhPYJbt675S5Kc4kfEadm1xf</t>
  </si>
  <si>
    <t>KOTHA DEEKSHITA</t>
  </si>
  <si>
    <t>19331A0584</t>
  </si>
  <si>
    <t>Programming essential in c++</t>
  </si>
  <si>
    <t>https://drive.google.com/open?id=1xL565Nact6QB55tCVkX_qO-d0_mINCH-</t>
  </si>
  <si>
    <t>kothadeekshita0705@gmail.com</t>
  </si>
  <si>
    <t xml:space="preserve">KOTHA DEEKSHITA </t>
  </si>
  <si>
    <t xml:space="preserve">Programming essential in python  </t>
  </si>
  <si>
    <t>https://drive.google.com/open?id=1ktUkecfZfGbwoD9TvKltTqgufWI4dbZS</t>
  </si>
  <si>
    <t>Programming essential in c Date : 14 june 2020</t>
  </si>
  <si>
    <t>https://drive.google.com/open?id=1UDlolzu80pTq_MhZ2K11Solsz3Un_SqJ</t>
  </si>
  <si>
    <t>IT essential  Date : 30 oct 2020</t>
  </si>
  <si>
    <t xml:space="preserve">Dr. Suvarna kumar Gogula </t>
  </si>
  <si>
    <t>https://drive.google.com/open?id=1r9F5ODUNrGagWdjMjK51ioJYFkelb5mD</t>
  </si>
  <si>
    <t>Programming essential in python</t>
  </si>
  <si>
    <t xml:space="preserve">Dr. RAVI VARMA PENMATSA </t>
  </si>
  <si>
    <t>https://drive.google.com/open?id=1biy8tzl68GjuabtE4bV9PHk0by6N9i0_</t>
  </si>
  <si>
    <t>JARJANA SATHVIKA</t>
  </si>
  <si>
    <t>19331A0565</t>
  </si>
  <si>
    <t>https://drive.google.com/open?id=1f5wALKX5fp9UWpX5v_zWG6unCdmzi3Sh</t>
  </si>
  <si>
    <t>sathvikaj777@gmail.com</t>
  </si>
  <si>
    <t xml:space="preserve">Karanam Harika Devi </t>
  </si>
  <si>
    <t>https://drive.google.com/open?id=1B0GSTy8FEzVgLVAm4z4uQsrtDS7e3EJB</t>
  </si>
  <si>
    <t>akirahkaranam2003@gmail.com</t>
  </si>
  <si>
    <t>https://drive.google.com/open?id=1DGykArkT-nQfNpeviTQxJT_N01lK4OnX</t>
  </si>
  <si>
    <t>CCNAv7: Introduction to networks</t>
  </si>
  <si>
    <t>Subba Raju sir</t>
  </si>
  <si>
    <t>https://drive.google.com/open?id=1MklLl14Urp0SUj6I56rG113Vzk4V1J5U</t>
  </si>
  <si>
    <t>https://drive.google.com/open?id=1PgWvUod7adDtfTPxfo1WGWkcmIQff11Q</t>
  </si>
  <si>
    <t xml:space="preserve">siripurapusandhya15@gmail.com </t>
  </si>
  <si>
    <t xml:space="preserve">Ravi kiran </t>
  </si>
  <si>
    <t>https://drive.google.com/open?id=1ejuL9IQ02nbp6L_CyE1ozik91dQL1K6y</t>
  </si>
  <si>
    <t xml:space="preserve">Siripurapu Sandhya </t>
  </si>
  <si>
    <t>Edu kills</t>
  </si>
  <si>
    <t>https://drive.google.com/open?id=1XoNcTTxwOjH8XCLcUydENC-8TTBDI7SR</t>
  </si>
  <si>
    <t>Data Science with python</t>
  </si>
  <si>
    <t>Skillup</t>
  </si>
  <si>
    <t>Krishna kumar</t>
  </si>
  <si>
    <t>https://drive.google.com/open?id=1caOeP4VPH6PeKHMFUV80fsJnu5_n2T_I</t>
  </si>
  <si>
    <t xml:space="preserve">Javascript </t>
  </si>
  <si>
    <t>2 hrs</t>
  </si>
  <si>
    <t>https://drive.google.com/open?id=1qbZgBs9YX6h_yX3Zcx7AmZGy7481gRGT</t>
  </si>
  <si>
    <t>Jayasir sai venkata angara</t>
  </si>
  <si>
    <t>https://drive.google.com/open?id=1PjSkI2saZUTcHCOLqP6obehp6alSqEKw</t>
  </si>
  <si>
    <t xml:space="preserve">13 weeks </t>
  </si>
  <si>
    <t>Dr Suvarna kumar</t>
  </si>
  <si>
    <t>https://drive.google.com/open?id=1I7R5bCc92aKhMbNm83QVA7LtSWwsRV1j</t>
  </si>
  <si>
    <t xml:space="preserve">Java programming </t>
  </si>
  <si>
    <t xml:space="preserve">Great learning </t>
  </si>
  <si>
    <t>4 hrs</t>
  </si>
  <si>
    <t>Srinivas rao</t>
  </si>
  <si>
    <t>https://drive.google.com/open?id=1ErKVwRIFBw08EQjBnOMGoRqts4glazfz</t>
  </si>
  <si>
    <t>Data Structures</t>
  </si>
  <si>
    <t>Great learning</t>
  </si>
  <si>
    <t>Chandra sekhar</t>
  </si>
  <si>
    <t>https://drive.google.com/open?id=1GODi3D5gehEOFn3OPfoG5_cHYcZx_zO9</t>
  </si>
  <si>
    <t>Python for Machine Learning</t>
  </si>
  <si>
    <t>Greay Learning</t>
  </si>
  <si>
    <t>5hrs</t>
  </si>
  <si>
    <t>https://drive.google.com/open?id=1GJcPkoFhnVz-u5jFTADJ3PFc3u9caKui</t>
  </si>
  <si>
    <t>CISCO NetAcad</t>
  </si>
  <si>
    <t>https://drive.google.com/open?id=1LAFC6O5NHP-nhdrMoahCh3lLWUcVfPqq</t>
  </si>
  <si>
    <t>Cisco NetAcad</t>
  </si>
  <si>
    <t>https://drive.google.com/open?id=1pmy3vB64RYTxEc6HY_ZRbtoKMjqijTfL</t>
  </si>
  <si>
    <t>My SQl</t>
  </si>
  <si>
    <t>https://drive.google.com/open?id=1ShV5wKOpP7dziXGX5aNAXuLKrHGmphz_</t>
  </si>
  <si>
    <t>https://drive.google.com/open?id=1ZbFwd9ZocVLnxASnDIs9yHNpexEr9E6G</t>
  </si>
  <si>
    <t>https://drive.google.com/open?id=1eufEcJniwwOz7fBZmFxWLfevwurDHU9q</t>
  </si>
  <si>
    <t>Introduction to Cyber Security</t>
  </si>
  <si>
    <t>Ravi kiran</t>
  </si>
  <si>
    <t>https://drive.google.com/open?id=1Ow6W9kfQC9wcYllmYhEqGkn57eefHrHD</t>
  </si>
  <si>
    <t>Oops in java</t>
  </si>
  <si>
    <t>https://drive.google.com/open?id=1aZGUyyoehvCdJrOegyPYAydhCUACnL5L</t>
  </si>
  <si>
    <t>https://drive.google.com/open?id=1YPu5Jecq9hp9Qq8bFhijaj8QatHbUNLN</t>
  </si>
  <si>
    <t>https://drive.google.com/open?id=1zvBQte_kzBWkKMIUcOEfsv5WhkeItmxZ</t>
  </si>
  <si>
    <t>Intoduction to Machine Learning</t>
  </si>
  <si>
    <t>Great Learning</t>
  </si>
  <si>
    <t xml:space="preserve">B.Sujatha </t>
  </si>
  <si>
    <t>https://drive.google.com/open?id=1Bj7bhVLNiL0AcusGFqknDJZO5a4OR1I2</t>
  </si>
  <si>
    <t xml:space="preserve">HTML </t>
  </si>
  <si>
    <t>4hrs</t>
  </si>
  <si>
    <t>https://drive.google.com/open?id=18vRIz0WAyIBs_03-Z_J3YMFZmycFxZso</t>
  </si>
  <si>
    <t>https://drive.google.com/open?id=1o5L56N-uBJOAn3PnEqLZBrVOOxD7fUe2</t>
  </si>
  <si>
    <t>https://drive.google.com/open?id=1PQfj5MLNmnYdXLSwF_WkAbo76iT3uKMk</t>
  </si>
  <si>
    <t>https://drive.google.com/open?id=1wwWfjnV0lYOC-OQpwDrX9ovAfRpv39hs</t>
  </si>
  <si>
    <t>Palo Alto Beacons</t>
  </si>
  <si>
    <t>https://drive.google.com/open?id=1IQqEGcch-_FnFhJXf6rj18lTL4iImNmK</t>
  </si>
  <si>
    <t>Work Smarter, Not Harder: Time Management for Personal &amp; Professional Productivity</t>
  </si>
  <si>
    <t>https://drive.google.com/open?id=12tvC_N49DvnGCVE204IszR8wxp8hO4Qi</t>
  </si>
  <si>
    <t>The Bits and Bytes of Computer Networking</t>
  </si>
  <si>
    <t>https://drive.google.com/open?id=1ykIfcaq5frJHaMuX0SOdPDuv9eK5Txk7</t>
  </si>
  <si>
    <t>5 weeks</t>
  </si>
  <si>
    <t>https://drive.google.com/open?id=1khlv-1t0-jS96lhrqP-wFxpBzTDEGUL8</t>
  </si>
  <si>
    <t>JavaScipt Essentials 1 (JSE)</t>
  </si>
  <si>
    <t>https://drive.google.com/open?id=108EVeCom5z382Fm1MZ-n5cndHEwzQKZz</t>
  </si>
  <si>
    <t>University of MICHIGAN</t>
  </si>
  <si>
    <t>https://drive.google.com/open?id=1Vex8qYcLrNMxoUbTsHjGMHwgx2IUrYzM</t>
  </si>
  <si>
    <t>SWECHA BOOTCAMP</t>
  </si>
  <si>
    <t>SWECHA AP</t>
  </si>
  <si>
    <t>https://drive.google.com/open?id=1Dh_lyyeLqZe1RfkJ1ihYhUDFZxaEvQ0h</t>
  </si>
  <si>
    <t>Introduction to CSS3</t>
  </si>
  <si>
    <t>https://drive.google.com/open?id=1ixk-k6vRo0JG2WIMWr1EwOkn7JyVdn6H</t>
  </si>
  <si>
    <t>https://drive.google.com/open?id=13wC2qGLJt7vaXnZAdSclX8qWr--17iWb</t>
  </si>
  <si>
    <t>Introduction to Personal Branding</t>
  </si>
  <si>
    <t>University of Virginia</t>
  </si>
  <si>
    <t>https://drive.google.com/open?id=1LJ3IZCpKKbviiUkqp3ffzi_6tp3E3tj5</t>
  </si>
  <si>
    <t>A A S N NISHANTH VARMA P</t>
  </si>
  <si>
    <t>RAISE DIGITAL</t>
  </si>
  <si>
    <t>https://drive.google.com/open?id=146hOyIIiLYzULXFjePNdLpHBeN0ZGuma</t>
  </si>
  <si>
    <t>SAI RISHITHA</t>
  </si>
  <si>
    <t xml:space="preserve">Yale </t>
  </si>
  <si>
    <t>https://drive.google.com/open?id=13lLWrKtGsllXI2lRqI4GErZghjkCGNSQ</t>
  </si>
  <si>
    <t>BluePrism University</t>
  </si>
  <si>
    <t>https://drive.google.com/open?id=1gFPRX37DpaRdjtmNh5oNVtI3Z07X2dTo</t>
  </si>
  <si>
    <t>Arasavilli Eswara Satya Sundara Karthik</t>
  </si>
  <si>
    <t>19331A0509</t>
  </si>
  <si>
    <t>Raise Digital</t>
  </si>
  <si>
    <t>https://drive.google.com/open?id=1cciF3FJR_cNr2iF5TPdeUb67dDUmq1jL</t>
  </si>
  <si>
    <t>aesskarthik09@gmail.com</t>
  </si>
  <si>
    <t>Blue Prism University</t>
  </si>
  <si>
    <t>https://drive.google.com/open?id=1iSqNGW0Hv1rZ3v0PmTxAO0u7hE87Dq6c</t>
  </si>
  <si>
    <t>KV Subba Raju</t>
  </si>
  <si>
    <t>https://drive.google.com/open?id=1qUlCM5SWAzMtHR5AtccK5Nrq0lOB0yCJ</t>
  </si>
  <si>
    <t>https://drive.google.com/open?id=1ReDEg0bDh8WHoCBC_9A1BB8CNqb9GoWM</t>
  </si>
  <si>
    <t>https://drive.google.com/open?id=1r0OT2bkWZ-tvqdAJ4WO2LA9k4kSdAb8N</t>
  </si>
  <si>
    <t>Gorle Haritha</t>
  </si>
  <si>
    <t>19331A0556</t>
  </si>
  <si>
    <t>Jayasri Sai venkata angara</t>
  </si>
  <si>
    <t>https://drive.google.com/open?id=1YW6wDRgpjba6JscGyXHchMLCzpkmC9Fh</t>
  </si>
  <si>
    <t>gorleharitha12@gmail.com</t>
  </si>
  <si>
    <t>https://drive.google.com/open?id=1pEuwWw3qf56IHgsAbYx1PMeZE8c1CuY8</t>
  </si>
  <si>
    <t>https://drive.google.com/open?id=1TvbiIBogmKcp5YCdGl2us8r32rq05W7A</t>
  </si>
  <si>
    <t>https://drive.google.com/open?id=1kWfuR0ZIMMqOop9VYXAujJpFOA1y81xu</t>
  </si>
  <si>
    <t>https://drive.google.com/open?id=1sIi2QJ3ayNlloSZlYQQ9pl-E_9YlMZk3</t>
  </si>
  <si>
    <t>GORLE HARITHA</t>
  </si>
  <si>
    <t>https://drive.google.com/open?id=1yiGOrehxNwFQUf5rmE7UgXNo__GjDuxv</t>
  </si>
  <si>
    <t>SUBBA RAJU KV</t>
  </si>
  <si>
    <t>https://drive.google.com/open?id=1RKSEdI6Vfem6jETNAYdbOJvRSdVYyVYh</t>
  </si>
  <si>
    <t>Gonthini Thanmai Krishna Shri</t>
  </si>
  <si>
    <t>19331A0554</t>
  </si>
  <si>
    <t>IT Essential PC: Hardware and Software</t>
  </si>
  <si>
    <t>https://drive.google.com/open?id=1lrlORQK9pCrpLuyXlTJ_q689dwhBYaBp</t>
  </si>
  <si>
    <t>thanmaikrishnasria@gmail.com</t>
  </si>
  <si>
    <t>1 months</t>
  </si>
  <si>
    <t>https://drive.google.com/open?id=1HSRzIA1We_ziaZnc-xDotqFZT8iFRC4l</t>
  </si>
  <si>
    <t>Red Hat System Administration II (RH134)</t>
  </si>
  <si>
    <t>https://drive.google.com/open?id=1FFqC9FxjP-xR1fXeJnLrOvZYmKr6Tad0</t>
  </si>
  <si>
    <t>Jayasri Sai Venkata Angara</t>
  </si>
  <si>
    <t>https://drive.google.com/open?id=1tkFqoPlFNhko8pnKpOs5tTIogAE9gyXi</t>
  </si>
  <si>
    <t>https://drive.google.com/open?id=1SYoEMJdaSd2UFgniQt03E2QV-ckV0MtL</t>
  </si>
  <si>
    <t>IIT, Roorkee</t>
  </si>
  <si>
    <t>https://drive.google.com/open?id=1RK-Ygwj5rj2-5UYvDyGOTBJMGcbdqVRT</t>
  </si>
  <si>
    <t>Introduction to fundamentals of databases</t>
  </si>
  <si>
    <t>SkillUP</t>
  </si>
  <si>
    <t>Krishna Kumar</t>
  </si>
  <si>
    <t>https://drive.google.com/open?id=1jPB5UmblThKR6deyjeIv2EChM76QiGfr</t>
  </si>
  <si>
    <t>Haritha Gorle</t>
  </si>
  <si>
    <t>Great learning academy</t>
  </si>
  <si>
    <t>https://drive.google.com/open?id=1zqhaGC66ocWEDch55IBjg1xJ5ARI12QI</t>
  </si>
  <si>
    <t>https://drive.google.com/open?id=1JewSrEuWZ1gn8e6MduMvHxnGtvjMgpgp</t>
  </si>
  <si>
    <t>YES 2020</t>
  </si>
  <si>
    <t>AIISEC</t>
  </si>
  <si>
    <t>Meghana Chandani</t>
  </si>
  <si>
    <t>https://drive.google.com/open?id=1Tq_-HBZg9YQ3XkwEerTh37G_CC3rGDdd</t>
  </si>
  <si>
    <t>Introduction to HTML</t>
  </si>
  <si>
    <t>https://drive.google.com/open?id=1dVwTtYti-XH701qEK3YCt9rBCXiqAzeK</t>
  </si>
  <si>
    <t>https://drive.google.com/open?id=1aIru0IW75mtfbwNs1fp3x8mVOvf_pSGt</t>
  </si>
  <si>
    <t>EPAM</t>
  </si>
  <si>
    <t>https://drive.google.com/open?id=1PLqH-vC7zDibCF97m8HnpDnKFgA-kfog</t>
  </si>
  <si>
    <t>Introduction to Artificial Intelligence</t>
  </si>
  <si>
    <t>https://drive.google.com/open?id=1rZqsDbrIhQ-RpIK6o-tdrNWZEk4mjaD_</t>
  </si>
  <si>
    <t>CoMakeIT</t>
  </si>
  <si>
    <t>https://drive.google.com/open?id=1NXvhriLr2hDNOFaLoySiBAWBE8A18cvs</t>
  </si>
  <si>
    <t>CCNAv7:Introduction To Networks</t>
  </si>
  <si>
    <t>https://drive.google.com/open?id=18o2IWIxFFgYg7iX6VFguJeAd8PlyZIr5</t>
  </si>
  <si>
    <t>Robotics Process Automation</t>
  </si>
  <si>
    <t>K Sobha Rani</t>
  </si>
  <si>
    <t>https://drive.google.com/open?id=153qzoAafGFIf2MR0596_xmGLkVIwwXIK</t>
  </si>
  <si>
    <t>Virtusa Neural Hack - Placement</t>
  </si>
  <si>
    <t>https://drive.google.com/open?id=1YtlfhK7lju5pkuuEWikuWdBM_l5C2HXR</t>
  </si>
  <si>
    <t>https://drive.google.com/open?id=1l8KKCHngr_Cjp6qLIVJIMfTCjzqXoLi-</t>
  </si>
  <si>
    <t>https://drive.google.com/open?id=18-a0w47scSsmZJAzorKo9Sn3YYYe_smU</t>
  </si>
  <si>
    <t>Bengaluru</t>
  </si>
  <si>
    <t>https://drive.google.com/open?id=1zVX-SuzGECg7LzbRtMFuZdxD-iQBGGF_</t>
  </si>
  <si>
    <t>https://drive.google.com/open?id=1VxliUCGOODJ1C5PpsB812wypWpNRq2HE</t>
  </si>
  <si>
    <t>https://drive.google.com/open?id=16vJ2c7Sz-n251ixoB4r11aHuR7ZrMQU6</t>
  </si>
  <si>
    <t>https://drive.google.com/open?id=1mrksKbOLasPCDh4N0rELWArGlMLbYDww</t>
  </si>
  <si>
    <t>https://drive.google.com/open?id=1cyON3c8nXK_FYMBZYNBrHQbAuLtneQDw</t>
  </si>
  <si>
    <t>8 LPA</t>
  </si>
  <si>
    <t>B Aruna Kumari</t>
  </si>
  <si>
    <t>https://drive.google.com/open?id=1Y7CwQOW-sBLA3gVYIBbCSY5ESTsRvBH0</t>
  </si>
  <si>
    <t>Self Management Program: SWAYAM</t>
  </si>
  <si>
    <t>Rana Vikram Singh</t>
  </si>
  <si>
    <t>https://drive.google.com/open?id=13W_KfMKAtMPZcPJwQZPsQoP1Kpmi9Piy</t>
  </si>
  <si>
    <t>Robotic Process Automation (RPA)</t>
  </si>
  <si>
    <t xml:space="preserve">Shoba rani </t>
  </si>
  <si>
    <t>https://drive.google.com/open?id=1PwlWdLc9R2t0Bm1RBUbzd8UB74c9oLr6</t>
  </si>
  <si>
    <t>Varada naga praneetha</t>
  </si>
  <si>
    <t>IEEE AI workshop</t>
  </si>
  <si>
    <t>Aadhrita 2020 MVGRCE (A)</t>
  </si>
  <si>
    <t>https://drive.google.com/open?id=1rBvlK5Cs6CruiJFOOc3oHELNe2OD9deI</t>
  </si>
  <si>
    <t>BuildBox</t>
  </si>
  <si>
    <t>https://drive.google.com/open?id=1Re3ETXg6EYKL1HZ88XGXduaiQT58ZEHN</t>
  </si>
  <si>
    <t xml:space="preserve">TAMMINENI RAJASREE INDIRA PRIYADARSHINI </t>
  </si>
  <si>
    <t>13 Weeks</t>
  </si>
  <si>
    <t xml:space="preserve">DR.RAVI KIRAN VARMA </t>
  </si>
  <si>
    <t>https://drive.google.com/open?id=1lZIZa0DWiuVNrpdgeRlkNcS7d9T67-vJ</t>
  </si>
  <si>
    <t>Suvarna Kumar gogula</t>
  </si>
  <si>
    <t>https://drive.google.com/open?id=1joeRaGZh0Bg88TQx_dUIR4-6g5uI1hO7</t>
  </si>
  <si>
    <t>MVGRCE(A)</t>
  </si>
  <si>
    <t>https://drive.google.com/open?id=1ByygAIovsa8t6OBjftlyO5tT8BN8JXZn</t>
  </si>
  <si>
    <t>INTERACTIVE WEB BASED SIMULATIONS FOR BALASWECHA</t>
  </si>
  <si>
    <t>Swecha,Andhra pradesh</t>
  </si>
  <si>
    <t>https://drive.google.com/open?id=1iN-8gjCLXmRGKs2NDVgahHiiVUyw9AXS</t>
  </si>
  <si>
    <t>https://drive.google.com/open?id=1rGdSEQhXZfCqdjWErim_osLsi9Stp5pj</t>
  </si>
  <si>
    <t xml:space="preserve">Cisco - Python Institute </t>
  </si>
  <si>
    <t>https://drive.google.com/open?id=1ekD0b4qp3XybxTahJc485K6qS_-LtcxU</t>
  </si>
  <si>
    <t>https://drive.google.com/open?id=1VhH9RHSPe6ipJxt3uwwTfFpfiD1Xs_qV</t>
  </si>
  <si>
    <t xml:space="preserve">Switching, Routing, and Wireless Essentials </t>
  </si>
  <si>
    <t>https://drive.google.com/open?id=1dWISsaVl14j3GexqAIMJ5vek3GRmqjni</t>
  </si>
  <si>
    <t>SUREDDI DHANA SRI</t>
  </si>
  <si>
    <t>19331A05G6</t>
  </si>
  <si>
    <t>C++ Institute Authorized Academy Program</t>
  </si>
  <si>
    <t>April 2020</t>
  </si>
  <si>
    <t>Mr. M. Beulah Rani</t>
  </si>
  <si>
    <t>https://drive.google.com/open?id=1CfbU3U2s3LLCTNzskQ-YItSAHqr4yDxe</t>
  </si>
  <si>
    <t>dhanasureddi08@gmail.com</t>
  </si>
  <si>
    <t>Suvarna Kumar Gogula</t>
  </si>
  <si>
    <t>https://drive.google.com/open?id=1pyiYu3IzFV0b5zTm0ZZPIuvaFSCnpnII</t>
  </si>
  <si>
    <t>https://drive.google.com/open?id=1jjFuKS_U1QBB36nRW2vjQLkDW9KmooPi</t>
  </si>
  <si>
    <t>https://drive.google.com/open?id=1ybvtsLvs1vXHRO3LPvAh7AidNBwQuReH</t>
  </si>
  <si>
    <t>CCNAv7:Switching,Routing,Wireless Essentials</t>
  </si>
  <si>
    <t>https://drive.google.com/open?id=1W5kKvlDqs8vLsoPz3W8h8keVuORuLU2_</t>
  </si>
  <si>
    <t>https://drive.google.com/open?id=1V6eaTLuWXbe0pKE9BWD-cBNNqL1PGyPj</t>
  </si>
  <si>
    <t>Blue prism University</t>
  </si>
  <si>
    <t>https://drive.google.com/open?id=1wnEDmfkxQOipbytXSLzVnn6Au-utKXCN</t>
  </si>
  <si>
    <t>Subba raju K V</t>
  </si>
  <si>
    <t>https://drive.google.com/open?id=1I9HywU8Eavv9GZbQkP4QRgyhQvXJTAzI</t>
  </si>
  <si>
    <t xml:space="preserve">BODDEPALLI AVINASH </t>
  </si>
  <si>
    <t>19331A0519</t>
  </si>
  <si>
    <t>Oct - dec 2021</t>
  </si>
  <si>
    <t>https://drive.google.com/open?id=15xCcg97E8WrGLBaCJ5Gi5b0T02UzoFmB</t>
  </si>
  <si>
    <t>sb8614464@gmail.com</t>
  </si>
  <si>
    <t>S.Praveen Kumar</t>
  </si>
  <si>
    <t>199331A05F3</t>
  </si>
  <si>
    <t>https://drive.google.com/open?id=1IQjClfd8ZkPZneTdIzdlb5zC80Vhyxct</t>
  </si>
  <si>
    <t>praveenkumarsavarala0000@gmail.com</t>
  </si>
  <si>
    <t>19331A05F3</t>
  </si>
  <si>
    <t>Dr. G.Suvarna Kumar</t>
  </si>
  <si>
    <t>https://drive.google.com/open?id=16TQwR-_pT-P70IKmA0itdGtcZA6xrvP-</t>
  </si>
  <si>
    <t>https://drive.google.com/open?id=16MKzLgAP29mynQq-FQUyJeJhdi7CSMbh</t>
  </si>
  <si>
    <t>Sudha Ratan Kumar</t>
  </si>
  <si>
    <t>19331A05G3</t>
  </si>
  <si>
    <t>Suvarna Kumar</t>
  </si>
  <si>
    <t>https://drive.google.com/open?id=1s1q3iJwJRljWVGMsomMYrbT34s2EfgWE</t>
  </si>
  <si>
    <t>rattankumar2511@gmail.com</t>
  </si>
  <si>
    <t>https://drive.google.com/open?id=11VE8EF2TcDupDFhdvVZ7egUAJyWq4fiz</t>
  </si>
  <si>
    <t>Open EDG</t>
  </si>
  <si>
    <t>https://drive.google.com/open?id=1O4bOjZeWeUQilfgBN521BRHRlG9xmyuk</t>
  </si>
  <si>
    <t>HTML</t>
  </si>
  <si>
    <t>2weeks</t>
  </si>
  <si>
    <t>https://drive.google.com/open?id=1vCUs7KSVqwo8uDNVA6hvfGmjzl2eJ2X5</t>
  </si>
  <si>
    <t>https://drive.google.com/open?id=1RYVtJ7qW3pMKl-zwfNJVKAVgfJUVUROD</t>
  </si>
  <si>
    <t>BODDEPALLI SATYA SAI</t>
  </si>
  <si>
    <t>19331A0520</t>
  </si>
  <si>
    <t>Learn Ethical Hacking from Scratch</t>
  </si>
  <si>
    <t>16 hours</t>
  </si>
  <si>
    <t>Zaid Sabih</t>
  </si>
  <si>
    <t>https://drive.google.com/open?id=1Q0_le8X0OZhsoSybWC37y0Qc0OEwaNai</t>
  </si>
  <si>
    <t>bsatyasai2000@gmail.com</t>
  </si>
  <si>
    <t>Java</t>
  </si>
  <si>
    <t>https://drive.google.com/open?id=1ZckkXRSiQIUcPnkmZtgiDNttXK8i3e8_</t>
  </si>
  <si>
    <t>Kotlin</t>
  </si>
  <si>
    <t>https://drive.google.com/open?id=11FlypJD5h8TqpAKl81rbpOQlRozuDbhK</t>
  </si>
  <si>
    <t>Introduction to Game Development</t>
  </si>
  <si>
    <t>Coursera , Michagan State University</t>
  </si>
  <si>
    <t>https://drive.google.com/open?id=1mh6MI9O29x0iFVBtWKcd6Bq8sETpsS0n</t>
  </si>
  <si>
    <t>Coursera, Michgan State University</t>
  </si>
  <si>
    <t>https://drive.google.com/open?id=1hJ1UkGMZXtezFkARXL2u77tzZJbnRSMG</t>
  </si>
  <si>
    <t>https://drive.google.com/open?id=1eMIbAs5OfvYJrEl5tGrZbmfKE8flQT7g</t>
  </si>
  <si>
    <t>https://drive.google.com/open?id=117WVIxYtppLZTFHlx2d2-qjltMChK5Rv</t>
  </si>
  <si>
    <t>https://drive.google.com/open?id=1os9lQ4H2mDYNu5xczR3JEBSoPtj-q1Ju</t>
  </si>
  <si>
    <t>SURYAVIVEK REDDY SATTI</t>
  </si>
  <si>
    <t>19331A05F1</t>
  </si>
  <si>
    <t>oakspro</t>
  </si>
  <si>
    <t>https://drive.google.com/open?id=1MY2dItq3aeSdJ2A8rdltWm7As87iky2V</t>
  </si>
  <si>
    <t>suryavivek31@gmail.com</t>
  </si>
  <si>
    <t>https://drive.google.com/open?id=1BacZ6GfWS4VS2uRFlhRjMyMUSwM9UQLP</t>
  </si>
  <si>
    <t>eduskills(aicte)</t>
  </si>
  <si>
    <t>https://drive.google.com/open?id=1GUx-0hJDmbEH5sEd_OrxZC6n-AshZzyG</t>
  </si>
  <si>
    <t>c programming</t>
  </si>
  <si>
    <t>cisco (c++ institute)</t>
  </si>
  <si>
    <t>https://drive.google.com/open?id=101-k0PH381QzXuNiktUqxFSgczJL9CAW</t>
  </si>
  <si>
    <t>ccnav7 itn</t>
  </si>
  <si>
    <t>https://drive.google.com/open?id=131UHdCmB6eFo6qIrQ3roRy_4BCDm47TG</t>
  </si>
  <si>
    <t>python</t>
  </si>
  <si>
    <t>cisco (python institute)</t>
  </si>
  <si>
    <t>https://drive.google.com/open?id=12xNTYDHd815Jlm9fkHI6YUdeOB0KizUt</t>
  </si>
  <si>
    <t>it essentials</t>
  </si>
  <si>
    <t>https://drive.google.com/open?id=1UJN-LPUSltU1gRaB958cZUmZK2jUjUsz</t>
  </si>
  <si>
    <t>pcap (python)</t>
  </si>
  <si>
    <t>https://drive.google.com/open?id=1JRAD_nJiZHpvSCFsygRWjlPHLQqTkif4</t>
  </si>
  <si>
    <t>ccnav7 srwe</t>
  </si>
  <si>
    <t>https://drive.google.com/open?id=1DrxLM0APLShL37CfIZfhwjCf7xXy8xm3</t>
  </si>
  <si>
    <t>https://drive.google.com/open?id=13rIliY7PZEFLkXY66UtyIY9S5UkiZvVE</t>
  </si>
  <si>
    <t>Anjular js to devlop apps faster</t>
  </si>
  <si>
    <t>brain o vision</t>
  </si>
  <si>
    <t>dr v nagesh, dr datchana moorthy</t>
  </si>
  <si>
    <t>https://drive.google.com/open?id=1cmKsF311zEr6FwjzklsY5Vk8dDno_izZ</t>
  </si>
  <si>
    <t>vaccation clinical trail volunteer</t>
  </si>
  <si>
    <t>King George Hospital(andhra medical college) andhra pradesh</t>
  </si>
  <si>
    <t>https://drive.google.com/open?id=17PSfjaHhZ5KbvbtyPaY3nWdl-EvvOQwa</t>
  </si>
  <si>
    <t>Programming for everybody(Getting started with python)</t>
  </si>
  <si>
    <t>https://drive.google.com/open?id=1dJ-mtNzklCH5YH8DCIDGDhjgaJotf3e2</t>
  </si>
  <si>
    <t>Programming for Everybody (Getting Started With Python)</t>
  </si>
  <si>
    <t>Dr. P. RAVI KIRAN VARMA</t>
  </si>
  <si>
    <t>https://drive.google.com/open?id=138f6yHa3189UbJCjvrRWd_ALv0cqL-z5</t>
  </si>
  <si>
    <t>https://drive.google.com/open?id=1qLyV67Z_VCCP5lgnAGrE4Sc0D434zQfp</t>
  </si>
  <si>
    <t>PCAP: Programming Essential in Python</t>
  </si>
  <si>
    <t>https://drive.google.com/open?id=1tUoCxPZkEIDAdNpQO-LjCzdyKBTokb0E</t>
  </si>
  <si>
    <t>Jayasri sai venkata angara</t>
  </si>
  <si>
    <t>https://drive.google.com/open?id=1NtUkSihxEWMR5UiOnPGcfwycRv8i3_4z</t>
  </si>
  <si>
    <t>https://drive.google.com/open?id=1b-O47Dbw0uHH-97unxldLdjRjP620YiJ</t>
  </si>
  <si>
    <t>https://drive.google.com/open?id=1dThvNvJWz-h3sXwVhlicx4Xde5EWm02E</t>
  </si>
  <si>
    <t>Dr. P Ravi Kiran Varma</t>
  </si>
  <si>
    <t>https://drive.google.com/open?id=1QopFjGX8KpJX--uXvBx7CnQGM6XwEKOX</t>
  </si>
  <si>
    <t>19 weeks</t>
  </si>
  <si>
    <t>https://drive.google.com/open?id=1gKZccjARjkO78CNl0Xjb6Z_KhakiS7sb</t>
  </si>
  <si>
    <t>1933A0523</t>
  </si>
  <si>
    <t>Subba Raju K. V</t>
  </si>
  <si>
    <t>https://drive.google.com/open?id=1r36h2svKAsiqj6E6ZUbPLbk-HoqQ0E2T</t>
  </si>
  <si>
    <t>https://drive.google.com/open?id=17jF9ZWjbtmcNjd5Qxr6_YY9jirI8T6ln</t>
  </si>
  <si>
    <t xml:space="preserve">MADDALA TARAKESWARA THATU NAIDU </t>
  </si>
  <si>
    <t>https://drive.google.com/open?id=1g_I6gnJz2QcPN7JrjLfzKH2wEYJVcIPY</t>
  </si>
  <si>
    <t>https://drive.google.com/open?id=1cZgcVV4LahskSjC1q9zky_-5Agirb43f</t>
  </si>
  <si>
    <t>https://drive.google.com/open?id=1pD2e9B5Hv9IGNULfeY7i8T5RQQAc-CXA</t>
  </si>
  <si>
    <t>https://drive.google.com/open?id=1tF87yKVJ49i59eexgwgbM07otii8qrm5</t>
  </si>
  <si>
    <t>https://drive.google.com/open?id=1cNm8rfYrdkk4DDv3FWYajsbWscR-t55Q</t>
  </si>
  <si>
    <t>https://drive.google.com/open?id=1Bsea0bCNgDVtdDN1EJHl413Q9UBo-jsl</t>
  </si>
  <si>
    <t>Cisco and Open EDG Python Institute</t>
  </si>
  <si>
    <t>https://drive.google.com/open?id=15GoKHBRzHAmJAnhm2bay_SxWGjdfYtV-</t>
  </si>
  <si>
    <t>Blue Prism RPA Foundation Training</t>
  </si>
  <si>
    <t>125/140</t>
  </si>
  <si>
    <t>K. Sobha Rani</t>
  </si>
  <si>
    <t>https://drive.google.com/open?id=13RECIhsq6O1gBCPoj8XZKTs2umUMjKO8</t>
  </si>
  <si>
    <t>Blue Prism RPA Associate Developer</t>
  </si>
  <si>
    <t>K.Sobha Rani</t>
  </si>
  <si>
    <t>https://drive.google.com/open?id=1B_mNtwIA238pqxj_7i1QWoH4F5DMIfTH</t>
  </si>
  <si>
    <t>CLA: Programming Essentials In C</t>
  </si>
  <si>
    <t>https://drive.google.com/open?id=1rkByFfdIvGmL1Mo1JrwEcUp2vvdGo_fv</t>
  </si>
  <si>
    <t>Palo Alto Networks BEACON</t>
  </si>
  <si>
    <t>https://drive.google.com/open?id=16QSPTmi5d7tGtjMg0rWMqqUDiT0gw9aI</t>
  </si>
  <si>
    <t>Fundamentals of Network Security</t>
  </si>
  <si>
    <t>https://drive.google.com/open?id=1M-PlXv_iyIe-NZYibUywBffqHv_IMFuw</t>
  </si>
  <si>
    <t>Battu Syam</t>
  </si>
  <si>
    <t>https://drive.google.com/open?id=1o63gkeNARg0vlgn5B1xtMvsHhMlkH_sE</t>
  </si>
  <si>
    <t>shyamkumar113131@gmail.com</t>
  </si>
  <si>
    <t>Fundamentals of Cloud Security</t>
  </si>
  <si>
    <t>https://drive.google.com/open?id=12cKxNGzq7BqZblHW8w88_BmTbeLjoEKm</t>
  </si>
  <si>
    <t>Fundamentals of SOC</t>
  </si>
  <si>
    <t>https://drive.google.com/open?id=1rnoDj_3R1iAWUE7VhS_6dYf9d_4Te9hg</t>
  </si>
  <si>
    <t>19331A0514</t>
  </si>
  <si>
    <t>https://drive.google.com/open?id=18JFUrpkP5K37n3q-VBYZg33K5VIeq-NS</t>
  </si>
  <si>
    <t>Switching, Routing and wireless essentials</t>
  </si>
  <si>
    <t>https://drive.google.com/open?id=1qZUmrq_9blNoR5XqvoDA1ZDlVLHX2JZU</t>
  </si>
  <si>
    <t>https://drive.google.com/open?id=1AhrtraA6doa8yzIXt6bSmZSFn4Ia4x4r</t>
  </si>
  <si>
    <t>https://drive.google.com/open?id=1KoHPI-_rgVMVjFnsX89pGfsaNATJ_05U</t>
  </si>
  <si>
    <t>Dr Suvarna Kumar Gogula</t>
  </si>
  <si>
    <t>https://drive.google.com/open?id=1N6w2Osvzhicx1zkq8AH3hUuCIaM5pPPo</t>
  </si>
  <si>
    <t xml:space="preserve">4 weeks </t>
  </si>
  <si>
    <t>Prof. Andrew Neg</t>
  </si>
  <si>
    <t>https://drive.google.com/open?id=1hrqCfJA5AjCyLObjEWAEKbCaDsDxXpo8</t>
  </si>
  <si>
    <t>Work Smarter, Not Harder: Time Management for Personal and Professional Productivity</t>
  </si>
  <si>
    <t>Margret Meloni</t>
  </si>
  <si>
    <t>https://drive.google.com/open?id=1rG4EJ1Xqc-6fR1N43YSCpAQDK6l260v-</t>
  </si>
  <si>
    <t>What is Data Science?</t>
  </si>
  <si>
    <t>Alex Aklson, Poling Lin</t>
  </si>
  <si>
    <t>https://drive.google.com/open?id=1hknPXsRfJdlZwtzV7qvCc7FQEiMuUG3Q</t>
  </si>
  <si>
    <t>Haryana Culture and History</t>
  </si>
  <si>
    <t>Indira Priyadarshini Government Degree College</t>
  </si>
  <si>
    <t>Dr. D.Varalakshmi</t>
  </si>
  <si>
    <t>https://drive.google.com/open?id=1ceV13wAPYZ7S8U9qFZ6lUfAO6y-dF4Du</t>
  </si>
  <si>
    <t>Programming for Everybody ( Getting started with python)</t>
  </si>
  <si>
    <t>https://drive.google.com/open?id=1H3GoFLxf1VSUhJsEW6gQaKHKp4ZMIhts</t>
  </si>
  <si>
    <t>AWS Fundamentals: Going Cloud - Native</t>
  </si>
  <si>
    <t>Allen Goldberg, Morgan Willis, Blaine Sundrud</t>
  </si>
  <si>
    <t>https://drive.google.com/open?id=1ikb4RUMybXGnR6eEBvygdkV4omPEt9s3</t>
  </si>
  <si>
    <t>NYCI and Brain-o-vision</t>
  </si>
  <si>
    <t>Dr.Datchana Moorthy, Dr.V. Nagesh, Ganesh Nag Doodi</t>
  </si>
  <si>
    <t>https://drive.google.com/open?id=1-Vm1czFT2dCA7qK84Ze0_cLoJLs8xjy4</t>
  </si>
  <si>
    <t>https://drive.google.com/open?id=1wnMLJ67bhw6ZTJBz1hgDD6ApPWB6xovl</t>
  </si>
  <si>
    <t>Ganesh Nag Doodi, Dr.V. Nagesh</t>
  </si>
  <si>
    <t>https://drive.google.com/open?id=1h4gd8xoDPYhzzLcf81MY1VwSWPJc25_1</t>
  </si>
  <si>
    <t>Information Security: Context and Introduction</t>
  </si>
  <si>
    <t>Peter Kominsarczuk</t>
  </si>
  <si>
    <t>https://drive.google.com/open?id=1c4QTkDb4JK63IsWzeuGGX2Jq9Swy5QiJ</t>
  </si>
  <si>
    <t>Cybersecurity Roles, Process and Operating System Security</t>
  </si>
  <si>
    <t>Coreen Ryskamp</t>
  </si>
  <si>
    <t>https://drive.google.com/open?id=1siFrthDb3_pp7kC3mZ87xF-pvvmnD2M2</t>
  </si>
  <si>
    <t>ARTIFICIAL INTELLIGENCE CONCEPTS</t>
  </si>
  <si>
    <t>2.5 hours</t>
  </si>
  <si>
    <t xml:space="preserve">Spotflock education </t>
  </si>
  <si>
    <t>https://drive.google.com/open?id=1Q_PzrBMt35JhtEoFNSvcFowFAcCrPUcQ</t>
  </si>
  <si>
    <t>MyNEP Ambassador Certification</t>
  </si>
  <si>
    <t>My NEP</t>
  </si>
  <si>
    <t>https://drive.google.com/open?id=12ywiUkvTvVoa1CJL8hBOP0h8WHblH_7R</t>
  </si>
  <si>
    <t>MyNEP Quiz Compitition</t>
  </si>
  <si>
    <t>MyNEP</t>
  </si>
  <si>
    <t>Dr.D.Rama Krishna</t>
  </si>
  <si>
    <t>https://drive.google.com/open?id=1ApT6gCTPyG2CIbTUaM2tEOzfHSKPrsXI</t>
  </si>
  <si>
    <t xml:space="preserve">SAI CHETANA PRIYA SUREDDI </t>
  </si>
  <si>
    <t>M BEULAH RANI</t>
  </si>
  <si>
    <t>https://drive.google.com/open?id=1eTEOVI-tUQnvrXgy7I6zm130vonFQrQ2</t>
  </si>
  <si>
    <t>https://drive.google.com/open?id=13d9d_cmFiWFIHcwD6TFH_0GvmH1AwEVj</t>
  </si>
  <si>
    <t>https://drive.google.com/open?id=1RUJPgOiFq1v3Pw_6-RrNfw016_pC9UM9</t>
  </si>
  <si>
    <t xml:space="preserve">Boni Pavithra </t>
  </si>
  <si>
    <t>19331A0524</t>
  </si>
  <si>
    <t xml:space="preserve">Blue Prism </t>
  </si>
  <si>
    <t>https://drive.google.com/open?id=1Uygj_Zx7c5k_9E_H3UI2h0xfgUCcTLLW</t>
  </si>
  <si>
    <t>bonipavi99@gmail.com</t>
  </si>
  <si>
    <t xml:space="preserve">Object Oriented Programming for beginners-Using Python </t>
  </si>
  <si>
    <t xml:space="preserve">Bluelime Learning Solutions </t>
  </si>
  <si>
    <t>https://drive.google.com/open?id=1sZ0hN717YUstxVgCWHkgq1WXBajB4SCa</t>
  </si>
  <si>
    <t>V Lalith Madhav</t>
  </si>
  <si>
    <t>19331A05I5</t>
  </si>
  <si>
    <t>https://drive.google.com/open?id=1FRddUgQJR5Ssi501YOywnX7SvMiLmWf9</t>
  </si>
  <si>
    <t>lalithmadhav2002@gmail.com</t>
  </si>
  <si>
    <t>https://drive.google.com/open?id=13GqvZhR0GjnudKQlLUaWPRC8ZekW__Wo</t>
  </si>
  <si>
    <t>V Leonel Richie</t>
  </si>
  <si>
    <t>19331A05J0</t>
  </si>
  <si>
    <t>https://drive.google.com/open?id=1mtPWmo4RB40tP79gPqYcwQ_pNf6hW-sP</t>
  </si>
  <si>
    <t>vleonelrichie18@gmail.com</t>
  </si>
  <si>
    <t>https://drive.google.com/open?id=1GMpwa8QhZ96JVmVPR62-Emwf9SVBrh5m</t>
  </si>
  <si>
    <t>https://drive.google.com/open?id=14zkyBx8zqxv9-jG-BFZrN5J2spuhsHQL</t>
  </si>
  <si>
    <t>V.Ravi Varma</t>
  </si>
  <si>
    <t>19331A05I3</t>
  </si>
  <si>
    <t>https://drive.google.com/open?id=1s1B0fB590BKpc4nzCsLCanEpT1MeJn06</t>
  </si>
  <si>
    <t>ravivarmavatsavai5@gmail.com</t>
  </si>
  <si>
    <t>https://drive.google.com/open?id=1IFH_kXFaXwNCNhmOwIWaihFNC42suIQq</t>
  </si>
  <si>
    <t>Ravi Varma Vatsavai</t>
  </si>
  <si>
    <t>Cisco netcad</t>
  </si>
  <si>
    <t>https://drive.google.com/open?id=1Ie8z_x_bN3lP5mLmT4DoeU37zeDoyfN4</t>
  </si>
  <si>
    <t>https://drive.google.com/open?id=1Y6eamjVYEjuTLoFmYhA6lNvefe8zs8aZ</t>
  </si>
  <si>
    <t xml:space="preserve">PCAP: Programming Essentials in Python </t>
  </si>
  <si>
    <t>Mrs. M. Beaulah Rani</t>
  </si>
  <si>
    <t>https://drive.google.com/open?id=180RMSboh5lb4-TaHJXkYH_G822nzneaf</t>
  </si>
  <si>
    <t>Dr. G. Suvarna Kumar</t>
  </si>
  <si>
    <t>https://drive.google.com/open?id=1dJ9ABhLFZZY0fINtpQ-KcZL5Pd_zQEeB</t>
  </si>
  <si>
    <t>Programming for Everybody( Getting Started with Python)</t>
  </si>
  <si>
    <t>https://drive.google.com/open?id=1GWF5p5wpP-ohlca0k7lNFp4ru0jMfG_i</t>
  </si>
  <si>
    <t>Yelleti Hema Satya</t>
  </si>
  <si>
    <t>19331A05J3</t>
  </si>
  <si>
    <t>https://drive.google.com/open?id=17BIqO0i4s8xisgjb8A4VuaPqEfh2Js4G</t>
  </si>
  <si>
    <t>hemasatyayelleti6126@gmail.com</t>
  </si>
  <si>
    <t xml:space="preserve">Dr. P. Ravi Kiran Varma </t>
  </si>
  <si>
    <t>https://drive.google.com/open?id=1ouRGNBjjHGaP1LLm4rok9WQJhTp011So</t>
  </si>
  <si>
    <t>Programming Fundamentals</t>
  </si>
  <si>
    <t>Andrew D. Hilton, Geneivieve, Anne Bracy</t>
  </si>
  <si>
    <t>https://drive.google.com/open?id=15RwwX6_KXxXLoRwvTt6wBbpQ_vZE6R1b</t>
  </si>
  <si>
    <t xml:space="preserve">Yelleti Hema Satya </t>
  </si>
  <si>
    <t>https://drive.google.com/open?id=1_45txGM6CLdtXy4xP8LAop5_rnW6kK0n</t>
  </si>
  <si>
    <t>yelletihemasatyayelleti6126@gmail.com</t>
  </si>
  <si>
    <t>Cybersecurity and It's Ten Domains</t>
  </si>
  <si>
    <t>Dr. Humanyun Zafar</t>
  </si>
  <si>
    <t>https://drive.google.com/open?id=1L8pSeS7cavXIWpKuEkmB31MABEG4iouJ</t>
  </si>
  <si>
    <t xml:space="preserve">19331A05J3 </t>
  </si>
  <si>
    <t xml:space="preserve">AI for everyone </t>
  </si>
  <si>
    <t>https://drive.google.com/open?id=1NHOakMHiPTu7d2Ll_foajsNzaSk9UZ6j</t>
  </si>
  <si>
    <t>Niveditha Thatimalla</t>
  </si>
  <si>
    <t>EC-Council</t>
  </si>
  <si>
    <t>https://drive.google.com/open?id=1ABPGUFZhR5Cq4KCDU7vGzx-0QyBObNz9</t>
  </si>
  <si>
    <t xml:space="preserve">GDC DevFest </t>
  </si>
  <si>
    <t>https://drive.google.com/open?id=17SD70zzxmpbRm7mVkPV4D36JyOf_2ru1</t>
  </si>
  <si>
    <t>Programming for Everybody(Getting started with python)</t>
  </si>
  <si>
    <t>https://drive.google.com/open?id=1taX9Dra00xlb47uWajmdo51k0m97Is7Q</t>
  </si>
  <si>
    <t>https://drive.google.com/open?id=1eU70EnVBAhaTZR2mdgO1XI9-HQxqetAN</t>
  </si>
  <si>
    <t>https://drive.google.com/open?id=1paflOfQdeW0HYUJZwb_OpYzIzVjrjYdP</t>
  </si>
  <si>
    <t>Mr. Anurag Srivastava</t>
  </si>
  <si>
    <t>https://drive.google.com/open?id=1HDYnFSCSOaAgSKMgg8AAQK9BB0j3J0k6</t>
  </si>
  <si>
    <t>Sanjana Vantaram</t>
  </si>
  <si>
    <t>19331A05E8</t>
  </si>
  <si>
    <t>PCAP : Programming Essentials in Python</t>
  </si>
  <si>
    <t>M. Beulah Rani</t>
  </si>
  <si>
    <t>https://drive.google.com/open?id=1snEOPbpl2j8wbo2kZMcELDwwBRnh-Bey</t>
  </si>
  <si>
    <t>sanjana379cruise@gmail.con</t>
  </si>
  <si>
    <t>CLA : Programming Essentials in C</t>
  </si>
  <si>
    <t>https://drive.google.com/open?id=1brfPSUg7sbiCqO9FsWqg9TWrZovHIO6D</t>
  </si>
  <si>
    <t>venkata surya sailesh kurella</t>
  </si>
  <si>
    <t>Programming essentials in c</t>
  </si>
  <si>
    <t>Dr ravi kiran varma penmatsa</t>
  </si>
  <si>
    <t>https://drive.google.com/open?id=1EeG2EJ5A_SCrDfXnfGKz79dLF7x7UsAP</t>
  </si>
  <si>
    <t xml:space="preserve">KUNDRAPU DIVYA SATYA KUMARI </t>
  </si>
  <si>
    <t>19331A0592</t>
  </si>
  <si>
    <t>https://drive.google.com/open?id=1cXQ296uDPWLgML2NAznoI6xfa23P_AM9</t>
  </si>
  <si>
    <t>satyadivyaa0401@gmail.com</t>
  </si>
  <si>
    <t>CCNAV7: Introduction to Networks</t>
  </si>
  <si>
    <t>https://drive.google.com/open?id=1fxsbZo3r5a0GpNs574f58pv05l1YLK1o</t>
  </si>
  <si>
    <t>Kalla Bhagya Sri</t>
  </si>
  <si>
    <t>19331A0570</t>
  </si>
  <si>
    <t>Internet of things online</t>
  </si>
  <si>
    <t>https://drive.google.com/open?id=1EAN0q6ovuitM-sw5J_yuweXnwwizmNJZ</t>
  </si>
  <si>
    <t>bhagyasrikalla1234@gmail.com</t>
  </si>
  <si>
    <t>national level coading</t>
  </si>
  <si>
    <t>ELITE club</t>
  </si>
  <si>
    <t>https://drive.google.com/open?id=1BaCJd_H-1DAYUg4AfvjdtnF26UnFACPG</t>
  </si>
  <si>
    <t>M.Tanusha</t>
  </si>
  <si>
    <t>19331A0595</t>
  </si>
  <si>
    <t>October-December</t>
  </si>
  <si>
    <t>https://drive.google.com/open?id=1nwQkso_RNFNm-bV_8ziNMYxXJSjt5IJW</t>
  </si>
  <si>
    <t>bhavanimula07@gmail.com</t>
  </si>
  <si>
    <t>Maddila Meghana</t>
  </si>
  <si>
    <t>19331A0598</t>
  </si>
  <si>
    <t>Oct - Dec 2021</t>
  </si>
  <si>
    <t>https://drive.google.com/open?id=1nrenQkmvYHNnITKTHhsFeAgIUo-pH60w</t>
  </si>
  <si>
    <t>meghana.maddila02@gmail.com</t>
  </si>
  <si>
    <t xml:space="preserve">Maddu Bhavana </t>
  </si>
  <si>
    <t>19331A0599</t>
  </si>
  <si>
    <t>Blueprism university</t>
  </si>
  <si>
    <t>Oct-dec 2021</t>
  </si>
  <si>
    <t>https://drive.google.com/open?id=1ttjoVdEy9gXWqPmg_VAfMuPROMfHHC-U</t>
  </si>
  <si>
    <t>bhavanamaddu2002@gmail.com</t>
  </si>
  <si>
    <t>KALLA BHAGYA SRI</t>
  </si>
  <si>
    <t>https://drive.google.com/open?id=1iP8kajmr7HJfr_E5Dmwya35s2VvpktM0</t>
  </si>
  <si>
    <t>Mahanthi Rama</t>
  </si>
  <si>
    <t>19331A05A1</t>
  </si>
  <si>
    <t>https://drive.google.com/open?id=1pt98CLmy0IZQP7OYCI2MpGUy51iodIuy</t>
  </si>
  <si>
    <t>ramamahanthi123@gmail.com</t>
  </si>
  <si>
    <t>https://drive.google.com/open?id=1n1__JVu-uyEyBcDmEDMsx6J1WQO-mqq0</t>
  </si>
  <si>
    <t>Maddu Bhavana</t>
  </si>
  <si>
    <t>https://drive.google.com/open?id=1_n269z69t17QBraObeoGdWWurvdJ69V7</t>
  </si>
  <si>
    <t>Cisco IT essentials</t>
  </si>
  <si>
    <t>https://drive.google.com/open?id=11cHTzUQ_PEmEj4fYMb0QjEAap5RgzF7-</t>
  </si>
  <si>
    <t>code riders 2021</t>
  </si>
  <si>
    <t>Mr.  Anurag Srivastava</t>
  </si>
  <si>
    <t>https://drive.google.com/open?id=1lUm9lxeXywj7bYU5X1CV0zf90bM5touW</t>
  </si>
  <si>
    <t>kalla bhagya sri</t>
  </si>
  <si>
    <t>19331a0570</t>
  </si>
  <si>
    <t>Responsive Web Design</t>
  </si>
  <si>
    <t>FREECODECAMP</t>
  </si>
  <si>
    <t>13DAYS</t>
  </si>
  <si>
    <t>Quincy Larson</t>
  </si>
  <si>
    <t>https://drive.google.com/open?id=1SAT71BD-gy7IA8C7KRsiXw8vaz2OBhnC</t>
  </si>
  <si>
    <t>bhagyasrikalla1234@gmail.co</t>
  </si>
  <si>
    <t>https://drive.google.com/open?id=1bBYODdW8o8YfBO7EGqmSkkCJooh7WEC6</t>
  </si>
  <si>
    <t>KALLA BHAGYA  SRI</t>
  </si>
  <si>
    <t>PYTHON(BASIC)</t>
  </si>
  <si>
    <t>HACKERRANK</t>
  </si>
  <si>
    <t>harishankaran K</t>
  </si>
  <si>
    <t>https://drive.google.com/open?id=13AYnhq7pjbtpAWpYbU4qmDvK6Cjn8KQY</t>
  </si>
  <si>
    <t>Javascript Essentials</t>
  </si>
  <si>
    <t>https://drive.google.com/open?id=1qkc_EZQAzldfdgLB9BxoMaMkqoZ2kq5I</t>
  </si>
  <si>
    <t>https://drive.google.com/open?id=1fjE9hUv7n7KY7cn2YySF4Oe-svzeCpBE</t>
  </si>
  <si>
    <t>Effective Writing</t>
  </si>
  <si>
    <t>Prof. Inderdeep singh</t>
  </si>
  <si>
    <t>https://drive.google.com/open?id=169px9XRUdCEehfRvUiJTyL7XauM-Puy1</t>
  </si>
  <si>
    <t>19331A598</t>
  </si>
  <si>
    <t>Programming Essentials In C</t>
  </si>
  <si>
    <t>C++ Institute</t>
  </si>
  <si>
    <t>https://drive.google.com/open?id=1uYKSQAmXqo10ywEkKWHpI9msvwPVJ_sF</t>
  </si>
  <si>
    <t>https://drive.google.com/open?id=1vzifQ-bclZhSBUrlClgIkosqx3DxZLoh</t>
  </si>
  <si>
    <t>Pantech e Learning</t>
  </si>
  <si>
    <t>https://drive.google.com/open?id=1-4I2cGvtnyMk1_JeG4XTIY2HhUd7WhWd</t>
  </si>
  <si>
    <t>https://drive.google.com/open?id=14PmjMSTaGSIaChxLY9297-K_PrqpTtSe</t>
  </si>
  <si>
    <t>DR. SUVARNA KUMAR GOGULA</t>
  </si>
  <si>
    <t>https://drive.google.com/open?id=1oq9tnibGBhqk70e1y_umMEbVca3RVpNx</t>
  </si>
  <si>
    <t>JavaScript Essentials 1(JSE)</t>
  </si>
  <si>
    <t>https://drive.google.com/open?id=14ji4HBXf412Dv2saBheMWgVE-_CBnkU9</t>
  </si>
  <si>
    <t>Freecodecamp</t>
  </si>
  <si>
    <t>300 hours</t>
  </si>
  <si>
    <t>Quinchy Larson</t>
  </si>
  <si>
    <t>https://drive.google.com/open?id=1ZkacYVurTqaypc4w905D6CCOjZ62NiiB</t>
  </si>
  <si>
    <t>CLA(PROGRAMMING ESSENTIALS IN C)</t>
  </si>
  <si>
    <t>https://drive.google.com/open?id=1CQs5EO7lIY3nh7LXf1rjCJCBYHYmFNLP</t>
  </si>
  <si>
    <t>PCAP: Programming Essentials In Python</t>
  </si>
  <si>
    <t xml:space="preserve">5 months </t>
  </si>
  <si>
    <t>https://drive.google.com/open?id=1gRdBTQlN2B61vp5L2gA37X8ib7oSX0W8</t>
  </si>
  <si>
    <t>The Fundamentals Of Digital Marketing</t>
  </si>
  <si>
    <t>President- Google EMEA</t>
  </si>
  <si>
    <t>https://drive.google.com/open?id=1pfWqDJLjLheo29usiOYkZJorrLW4uIrq</t>
  </si>
  <si>
    <t>https://drive.google.com/open?id=1WBGDIMDiUftNhfauKWKCk4zAG4jaywOt</t>
  </si>
  <si>
    <t>https://drive.google.com/open?id=18_z_55vUm59BNVFX0AAHdZpVLNGkVsUH</t>
  </si>
  <si>
    <t>https://drive.google.com/open?id=11j1wmX0IaP8KIa1h9ZWHanB_F2hPD9BL</t>
  </si>
  <si>
    <t>CodeRiders 2021</t>
  </si>
  <si>
    <t>Mr. Anurag Srivatstava</t>
  </si>
  <si>
    <t>https://drive.google.com/open?id=1qQrBBIjTQ5_A73IKKdqZ5cwpAmWCLBBQ</t>
  </si>
  <si>
    <t>Cisco Networking Academy®</t>
  </si>
  <si>
    <t>https://drive.google.com/open?id=11Yr00awhekJWyJReeYvh1NlmiHqaoqKa</t>
  </si>
  <si>
    <t>The Fundamentals of Digital Marketing</t>
  </si>
  <si>
    <t>President-Google EMEA</t>
  </si>
  <si>
    <t>https://drive.google.com/open?id=1BrwPZJpdj_zr1Y1gIbSGdni_2A3ZG63c</t>
  </si>
  <si>
    <t>Machine Learning Master Class</t>
  </si>
  <si>
    <t>Skill AP (APSSDC)</t>
  </si>
  <si>
    <t>Dr. Ravi Gujjala</t>
  </si>
  <si>
    <t>https://drive.google.com/open?id=1bH8zQ5acU9nPJ-xJ2alrzoUH6ObSrYy8</t>
  </si>
  <si>
    <t>https://drive.google.com/open?id=1JAoDwmnzPFw-zU_fntozDvZkGLVIFGbj</t>
  </si>
  <si>
    <t>CCNAv7:Switching,Routing,and Wireless Essentials</t>
  </si>
  <si>
    <t xml:space="preserve">DR.RAVI KIRAN VARMA PENMATSA </t>
  </si>
  <si>
    <t>https://drive.google.com/open?id=1Ny0VLYR0CDgn-uprceUHcUb_NGbosR2W</t>
  </si>
  <si>
    <t>CODE RIDERS</t>
  </si>
  <si>
    <t>Mr.Anurag Srivastava</t>
  </si>
  <si>
    <t>https://drive.google.com/open?id=1fM3UJLO-Og0hGe1NsXb_uPokRUcuXgCI</t>
  </si>
  <si>
    <t>Technical Support Fundamentals(Google)</t>
  </si>
  <si>
    <t>Courera</t>
  </si>
  <si>
    <t>https://drive.google.com/open?id=1TyJALClqN86-lP8GcVt0-knYi0_Tbfkv</t>
  </si>
  <si>
    <t>Technical Support Fundamentals</t>
  </si>
  <si>
    <t>https://drive.google.com/open?id=1lCm7CZHtE_GSuowVbv7eXyGJSIyVriPs</t>
  </si>
  <si>
    <t>https://drive.google.com/open?id=1wKCK4qjKLyZTeKrZXufV9masu1mLG9CO</t>
  </si>
  <si>
    <t>Skill AP(APSSDC)</t>
  </si>
  <si>
    <t>https://drive.google.com/open?id=1Ljl4EzP8kATL4nyAcyfLqMiNuV0bfiK2</t>
  </si>
  <si>
    <t>https://drive.google.com/open?id=1hCCbdWdlcKryjSK9qLBBBHoZ0CbCcD91</t>
  </si>
  <si>
    <t>https://drive.google.com/open?id=1RNkL3EHH1olGDHDSMzWHJ98YiSC3NmOr</t>
  </si>
  <si>
    <t>https://drive.google.com/open?id=1ce8ftXd0CIeUmNVge1Mroy9vLrlajjFT</t>
  </si>
  <si>
    <t>google EMEA</t>
  </si>
  <si>
    <t>https://drive.google.com/open?id=1rj9xn63HkRq-BJgzZgHhSE1ABsZUoHeM</t>
  </si>
  <si>
    <t>https://drive.google.com/open?id=1CJBsPsi4Mtc_bKYJIBWJQyQH3yXqX6f8</t>
  </si>
  <si>
    <t>Python For Everybody(Specialization)</t>
  </si>
  <si>
    <t>University of Michigan(By Coursera)</t>
  </si>
  <si>
    <t>https://drive.google.com/open?id=1TIC7rZHNZU6MD-QHqtoh3i_iyqz9Hx28</t>
  </si>
  <si>
    <t>18331a05a7@mvgrce.edu.in</t>
  </si>
  <si>
    <t>Google IT Automation with Python Specialization</t>
  </si>
  <si>
    <t>29 Weeks</t>
  </si>
  <si>
    <t>https://drive.google.com/open?id=1-LFn7PcmXIQWpMV6LbdeEcsANKveXTo9</t>
  </si>
  <si>
    <t>IBM AI Engineering</t>
  </si>
  <si>
    <t>https://drive.google.com/open?id=16awzWsVSW6x-uXQz_gNSXT0pJp1ebLvo</t>
  </si>
  <si>
    <t>Deep Learning Specialization</t>
  </si>
  <si>
    <t>17 Weeks</t>
  </si>
  <si>
    <t>https://drive.google.com/open?id=1F0bEQ0NIRcGA9hAz_lnJMgqUTieVjbys</t>
  </si>
  <si>
    <t>https://drive.google.com/open?id=1RmRH9d-znfWB9L3KEO-EuDEVRAiudBDE</t>
  </si>
  <si>
    <t>Machine Learning Specialization</t>
  </si>
  <si>
    <t>25 Weeks</t>
  </si>
  <si>
    <t>https://drive.google.com/open?id=1NlwexNlI5-hIUf2y7wGIhsAvMt8BJJDt</t>
  </si>
  <si>
    <t>Python for Everybody Specialization</t>
  </si>
  <si>
    <t>32 Weeks</t>
  </si>
  <si>
    <t>https://drive.google.com/open?id=1aWdn87-2tElC3hWhZB0tvAKUMOeNeY7x</t>
  </si>
  <si>
    <t>web development with PHP</t>
  </si>
  <si>
    <t>https://drive.google.com/open?id=1TtXiDIB95NPCallip9Obht9tCrK4fGSF</t>
  </si>
  <si>
    <t>web design for everybody specialization</t>
  </si>
  <si>
    <t>2.5 months</t>
  </si>
  <si>
    <t>https://drive.google.com/open?id=1Dhp6qjthgFEOThTQDTfWho_H-WWT44_b</t>
  </si>
  <si>
    <t>https://drive.google.com/open?id=1fi0Z1H19IdAX4JGRgcJSA1UhyaJIif94</t>
  </si>
  <si>
    <t>Applied Data Science with Python(Specialization)</t>
  </si>
  <si>
    <t>https://drive.google.com/open?id=1cAMFTLKCHjWkBV2I-GunXg0YeOIJ-00c</t>
  </si>
  <si>
    <t>Introduction to Data Engineering</t>
  </si>
  <si>
    <t>IBM (Coursera)</t>
  </si>
  <si>
    <t>https://drive.google.com/open?id=1i71iub01sPYIBOcM1Koogh6BbkGyxtuM</t>
  </si>
  <si>
    <t>Improve Your English Communication Skills(Specialization)</t>
  </si>
  <si>
    <t>Georgia Tech(Coursera)</t>
  </si>
  <si>
    <t>https://drive.google.com/open?id=1OeXhP9BX7EjRXA4AybYm8u_PnjA2vZD_</t>
  </si>
  <si>
    <t>Communication Strategies for a Virtual Age</t>
  </si>
  <si>
    <t>university of toronto</t>
  </si>
  <si>
    <t>https://drive.google.com/open?id=1xrvdPblNZdieK7Tl45AKSy8hEruk14kh</t>
  </si>
  <si>
    <t>IBM Data Science(Specialization)</t>
  </si>
  <si>
    <t>IBM(Coursera)</t>
  </si>
  <si>
    <t>https://drive.google.com/open?id=1fKww0SyugKLD3tmwY4Wlsn4glHuSBXmG</t>
  </si>
  <si>
    <t>Introduction to Data Science(Specialization)</t>
  </si>
  <si>
    <t>https://drive.google.com/open?id=1WhM43UDaOxHQY-7GS8YGWIJ5hm16RGGe</t>
  </si>
  <si>
    <t>Deep Learning(Specialization)</t>
  </si>
  <si>
    <t>DeepLearning.AI(Coursera)</t>
  </si>
  <si>
    <t>https://drive.google.com/open?id=1a0W0kLYN6X4c54EQ7RRsH55ywL6cAV93</t>
  </si>
  <si>
    <t>DeepLearning.AI TensorFlow Developer(Specialization)</t>
  </si>
  <si>
    <t>https://drive.google.com/open?id=1h2MA5r0Ck1hOcDIAJNWn-uQu9n7mREza</t>
  </si>
  <si>
    <t>https://drive.google.com/open?id=1ODyqIWUkd6i6dH0w4AFh0zSaFqiFfCxW</t>
  </si>
  <si>
    <t>https://drive.google.com/open?id=1nL8AdyHgv4YausgtW3ZE5zV2xptm94I7</t>
  </si>
  <si>
    <t>https://drive.google.com/open?id=1lLxtMRP2ELaLy5b41reH8OKSLYl15arf</t>
  </si>
  <si>
    <t>https://drive.google.com/open?id=1Nkz5PR1YPhs_TLj1JDtDK297yuCOyOj9</t>
  </si>
  <si>
    <t>15 Hours</t>
  </si>
  <si>
    <t>https://drive.google.com/open?id=1IChILDybsyCgmiy0xTgwZRQRNyD1L1iM</t>
  </si>
  <si>
    <t>https://drive.google.com/open?id=1q2e-Y4xZqdTIYqEXbAuYj3OY0mnStQt2</t>
  </si>
  <si>
    <t>Data structures and Algorithms Specialization</t>
  </si>
  <si>
    <t>https://drive.google.com/open?id=1TLVMJLG3Vte-wTocvZp7D-Nq3kFNHmd-</t>
  </si>
  <si>
    <t>https://drive.google.com/open?id=1iT3aQy7f8kCQcjnxTkXNfUB3IGNLj-sQ</t>
  </si>
  <si>
    <t>Mathematics for Machine Learning Specialization</t>
  </si>
  <si>
    <t>https://drive.google.com/open?id=1MEbN5MWCX2wNv3XIVa6p968qPB2__6Wl</t>
  </si>
  <si>
    <t>AWS Fundamentals Specialization</t>
  </si>
  <si>
    <t>https://drive.google.com/open?id=1wockfBLR9-p_ifH9J_TQPOIruR5HqX3x</t>
  </si>
  <si>
    <t>Java for Android</t>
  </si>
  <si>
    <t>Vanderbilt University</t>
  </si>
  <si>
    <t>https://drive.google.com/open?id=16lL8xJ7ia6XBEqe-syiOCaeqpyReCcQ_</t>
  </si>
  <si>
    <t>Chitikana Spandana</t>
  </si>
  <si>
    <t>Programming for everybody(Getting started with Python)</t>
  </si>
  <si>
    <t>https://drive.google.com/open?id=1ydiGn9-TTGx7T-Txl569YI_sFP3n9J_C</t>
  </si>
  <si>
    <t>https://drive.google.com/open?id=1Rhhs-qPEZEVOUicbNK5xhYO7WNkLgKRA</t>
  </si>
  <si>
    <t>Python data structures</t>
  </si>
  <si>
    <t>https://drive.google.com/open?id=1rq61bT7Bx7y7Xz401NzPLnHS4802-wa8</t>
  </si>
  <si>
    <t>Successful presentation</t>
  </si>
  <si>
    <t>1week</t>
  </si>
  <si>
    <t>https://drive.google.com/open?id=1gH1vW6Sntwpf3ODV0cAlRreSK7Udgp9c</t>
  </si>
  <si>
    <t>https://drive.google.com/open?id=1DUtRjF0FYTBKwAhrHP_jsOTf3dXMYtNp</t>
  </si>
  <si>
    <t>https://drive.google.com/open?id=19I4jWirCiejN_NsQQxeD0QGuWIl4a_6d</t>
  </si>
  <si>
    <t>Applied Data Science</t>
  </si>
  <si>
    <t>https://drive.google.com/open?id=1bsMiDlZDRBWq4-h5hseMgfcMaG09BRWx</t>
  </si>
  <si>
    <t>https://drive.google.com/open?id=1vRieVmaby2W5XuKahptQb6fJno4nR5jr</t>
  </si>
  <si>
    <t>Introduction To HTML</t>
  </si>
  <si>
    <t>https://drive.google.com/open?id=1phbmltLQEK2mR3kTPLZlKXtmJkqUjbKv</t>
  </si>
  <si>
    <t>Testing and Debugging Python</t>
  </si>
  <si>
    <t>https://drive.google.com/open?id=100PDgqWEA8HbqwvaYupWvx8R42Of-o-H</t>
  </si>
  <si>
    <t>Introduction to Cloud Computing</t>
  </si>
  <si>
    <t>https://drive.google.com/open?id=1wEJyme1v4uefj-4pjZ-EKIdLtaioyXwa</t>
  </si>
  <si>
    <t>https://drive.google.com/open?id=1huanhUtI8JvM0vhCehWdEas9XixByueS</t>
  </si>
  <si>
    <t>Machine Learning Foundations: A Case Study Approach</t>
  </si>
  <si>
    <t>https://drive.google.com/open?id=1DyiaPLijpbCG-XVC9VwD49bqqZ2URv9k</t>
  </si>
  <si>
    <t>https://drive.google.com/open?id=1TUyODFuA8SDUk4pmlJD0pYlai6s0PrGx</t>
  </si>
  <si>
    <t>https://drive.google.com/open?id=1OzI_clNZODyIGXGq0gPExTdi8hKCS5BN</t>
  </si>
  <si>
    <t>Programming For Everybody (Getting Started With Python)</t>
  </si>
  <si>
    <t>https://drive.google.com/open?id=1kSiwWkQ34BKq0Ei_9oEe4MLdRbI53C-B</t>
  </si>
  <si>
    <t>Html5- From Basics to Advanced level(2021)</t>
  </si>
  <si>
    <t>3.5 hrs</t>
  </si>
  <si>
    <t>https://drive.google.com/open?id=1Ogss-ENczLrCs4d5vr2tJpBAjtiOg7jg</t>
  </si>
  <si>
    <t>Html and css certification course for beginners</t>
  </si>
  <si>
    <t>4 hours</t>
  </si>
  <si>
    <t>https://drive.google.com/open?id=1EDcPrN2JzsFd4R7QWV2jFMn4R53gDygq</t>
  </si>
  <si>
    <t>A Crash Course in Data Science</t>
  </si>
  <si>
    <t>https://drive.google.com/open?id=1P0l-zn9L90WIfJqqqW8e8-0Dp_7Vc2pg</t>
  </si>
  <si>
    <t>https://drive.google.com/open?id=1ZPfIrmV7dCUeaFjoT2l1nJVDvHUuN3Dx</t>
  </si>
  <si>
    <t>Building Web Applications in PHP</t>
  </si>
  <si>
    <t>https://drive.google.com/open?id=1UQv-1XseNPEtsjbnCm_DGGa2REEN7v9Q</t>
  </si>
  <si>
    <t>Kusuma Patnaik Murahar</t>
  </si>
  <si>
    <t>Business English: Management and Leadership</t>
  </si>
  <si>
    <t>https://drive.google.com/open?id=1dlD-oI48yw-XP-Dlyc2dEHZuFm7ytl5h</t>
  </si>
  <si>
    <t>Fundamentals of Reinforcement Learning</t>
  </si>
  <si>
    <t>https://drive.google.com/open?id=1sYnksARkbBRH36DH4LM5fqEX289sdZyx</t>
  </si>
  <si>
    <t>https://drive.google.com/open?id=1FjXr1Ng9TffXmB4XF1qXNJ2ZIcpbIWnl</t>
  </si>
  <si>
    <t>Introduction to Supply Chain Finance &amp; Blockchain Technology</t>
  </si>
  <si>
    <t>https://drive.google.com/open?id=1D_MqyYU6mykNhb6EVNBTre0c9nh9ypiJ</t>
  </si>
  <si>
    <t>Introduction To Swift Programming</t>
  </si>
  <si>
    <t>https://drive.google.com/open?id=1i8sDJwLtpKbK6AFs-xf4UsDOFGjdbMWl</t>
  </si>
  <si>
    <t>Introduction to the Internet of Things and Embedded Systems</t>
  </si>
  <si>
    <t>https://drive.google.com/open?id=1y1fCL2YVjhAfki385uViUN7wTPMWnbzv</t>
  </si>
  <si>
    <t>https://drive.google.com/open?id=1X1i0BWIEiZUQ6fk01-qqsazvTIQhfUSp</t>
  </si>
  <si>
    <t>https://drive.google.com/open?id=1cocAhpT7zGXy2a1UrnMnHWoY1uvn3s-E</t>
  </si>
  <si>
    <t>Using Databases with Python</t>
  </si>
  <si>
    <t>https://drive.google.com/open?id=1kn2t1IVtdYwTvsCKKJrPPP0afcMDfMAt</t>
  </si>
  <si>
    <t>Saravani Sreepada</t>
  </si>
  <si>
    <t>University of Michagan</t>
  </si>
  <si>
    <t>https://drive.google.com/open?id=1BMaENX90Y4WR0qcOD1aitqdZuLUI3Y_e</t>
  </si>
  <si>
    <t>Using Python to Access Web Data</t>
  </si>
  <si>
    <t>6 weeks of study</t>
  </si>
  <si>
    <t>https://drive.google.com/open?id=1gDbmkgWMEq04Q5zhILe0mPyQGDKe69Rx</t>
  </si>
  <si>
    <t>DeepLearning.AI</t>
  </si>
  <si>
    <t>https://drive.google.com/open?id=1MqwlNBjN4GdPpbDSL5mQ0tolJ7I2sXUI</t>
  </si>
  <si>
    <t>https://drive.google.com/open?id=175hZfT5mALbCnDjklXXHfa7xUoGcLVfa</t>
  </si>
  <si>
    <t>Matlab OnRamp</t>
  </si>
  <si>
    <t>https://drive.google.com/open?id=195bDlEcFeF8Dkc1EwuP4HOHcdR4wl_h6</t>
  </si>
  <si>
    <t>AWS Cloud Computing</t>
  </si>
  <si>
    <t>https://drive.google.com/open?id=1AlUvaHkYa-_TmleSQ5sZqJdmTYWxcgK2</t>
  </si>
  <si>
    <t>Botcha Sai Siddhardha</t>
  </si>
  <si>
    <t>18331A0520</t>
  </si>
  <si>
    <t>https://drive.google.com/open?id=1tl3mhFHOZyf6mgjcf4xPv-7-oHQyLmz5</t>
  </si>
  <si>
    <t>MATHWORKS</t>
  </si>
  <si>
    <t>https://drive.google.com/open?id=1cebBPJw2Cag9Y_PrtgN1o5PEGewL-_M-</t>
  </si>
  <si>
    <t>Learn C++ Course</t>
  </si>
  <si>
    <t>CODECADEMY</t>
  </si>
  <si>
    <t>https://drive.google.com/open?id=1-PetfB6Tp194MjK0e-W1uHlAXhoGA3di</t>
  </si>
  <si>
    <t>https://drive.google.com/open?id=1yW-xpepQVwiCMkNuqsgGvt74qKTyQXq_</t>
  </si>
  <si>
    <t>https://drive.google.com/open?id=18mtx8Qh8QHls3niSfI1jM6LKdhvuuQeL</t>
  </si>
  <si>
    <t>https://drive.google.com/open?id=1msBWVmdG51966EXk0B4Mv4FHLbIxwHRY</t>
  </si>
  <si>
    <t>DEEP LEARNING</t>
  </si>
  <si>
    <t>https://drive.google.com/open?id=112veMJq0xzh0LinE6l_JRL7s4NSz_v9u</t>
  </si>
  <si>
    <t>IBM-DATA SCIENCE</t>
  </si>
  <si>
    <t>https://drive.google.com/open?id=1GkJLAiWs5OCkGJFarEqQDBiY9ZkOQXz3</t>
  </si>
  <si>
    <t>INTRODUCTION OF HTML5</t>
  </si>
  <si>
    <t>https://drive.google.com/open?id=1HbBOBFjpWwJUWbWeFISPsLGnbI5b-Rk6</t>
  </si>
  <si>
    <t>Introduction to Programming with MATLAB</t>
  </si>
  <si>
    <t>9 weeks</t>
  </si>
  <si>
    <t>https://drive.google.com/open?id=192CUUib81oebiH3Uwg1EQpKZbzFPu8ch</t>
  </si>
  <si>
    <t>Coursera | DeepLearning.AI</t>
  </si>
  <si>
    <t>https://drive.google.com/open?id=1K2pP69l4IZpEayf9v7vG7Bc3FFkps-Bh</t>
  </si>
  <si>
    <t>Sharpened Visions: A Poetry Workshop</t>
  </si>
  <si>
    <t>Coursera | California Institute of the Arts</t>
  </si>
  <si>
    <t>https://drive.google.com/open?id=1wePIJtkTPBZxuduivAe0mSpK9IJ6_eEh</t>
  </si>
  <si>
    <t>Coursera | University of Michigan</t>
  </si>
  <si>
    <t>https://drive.google.com/open?id=1OMYU9aO2e5oGVHpE80UbbKtuVvO-SPuR</t>
  </si>
  <si>
    <t>https://drive.google.com/open?id=1Siem2AsY6JCok9s2uwpBm_bmhUkH5mib</t>
  </si>
  <si>
    <t>https://drive.google.com/open?id=14dCAhb9W-sYw6z5Dnv2tUAUHwKPQNhfT</t>
  </si>
  <si>
    <t>https://drive.google.com/open?id=1gvIeJBmIWboglyfy7muQNi943qgd3l6N</t>
  </si>
  <si>
    <t>https://drive.google.com/open?id=1l7KFUu-g2M5J8Qrkjw4GQKVPhWKr5RYW</t>
  </si>
  <si>
    <t>Coursera | University of London</t>
  </si>
  <si>
    <t>https://drive.google.com/open?id=1z8tJnoJolWBpv8YcnfnaZzeDb5Xdm8zZ</t>
  </si>
  <si>
    <t>Responsive Website Basics: Code with HTML, CSS, and JavaScript</t>
  </si>
  <si>
    <t>https://drive.google.com/open?id=1uMYoubfB8v7-pspQFMkVvPtH4JmIEAP6</t>
  </si>
  <si>
    <t>Coursera | IBM</t>
  </si>
  <si>
    <t>https://drive.google.com/open?id=1-F0i1lHRs4e9kzsaOJlVkCKSC8lyLuhr</t>
  </si>
  <si>
    <t>Tools for Data Science</t>
  </si>
  <si>
    <t>https://drive.google.com/open?id=1qZo9Dc2rM5HaH96_wJI3ejAwSphAT30F</t>
  </si>
  <si>
    <t>Basics of C Programming for Beginners</t>
  </si>
  <si>
    <t>https://drive.google.com/open?id=1MTeM3Sd0EsoYG10fpWvr0ewCGWgFZwd9</t>
  </si>
  <si>
    <t>https://drive.google.com/open?id=1NziKGpNoGVQBJ--vVPZgARNfKMK01KI1</t>
  </si>
  <si>
    <t>https://drive.google.com/open?id=17Xyl8xQNFxBtNZKVP87TJtmMU77hgaS-</t>
  </si>
  <si>
    <t>mano.benesetti@gmail.comn</t>
  </si>
  <si>
    <t>iamsiddhu007@gmail.com</t>
  </si>
  <si>
    <t>Major Indexing Information:</t>
  </si>
  <si>
    <t>Impact Factor: Yes or No</t>
  </si>
  <si>
    <t>If Yes what is the impact factor</t>
  </si>
  <si>
    <t>What is the source of impact factor: (Example for SCI/SCIE, the source is Clarivate Analytics.
 For Scopus, the source is SJR</t>
  </si>
  <si>
    <t>Author position (1, 2, 3, 4, &gt;4)</t>
  </si>
  <si>
    <t>Is college name appear in the paper?</t>
  </si>
  <si>
    <t xml:space="preserve">Conference Name </t>
  </si>
  <si>
    <t>Scopus Indexed or Not</t>
  </si>
  <si>
    <t>How many authors</t>
  </si>
  <si>
    <t>Author Position (1, 2, 3, 4, &gt;4)</t>
  </si>
  <si>
    <t>Any financial support received from college or not</t>
  </si>
  <si>
    <t>Attach copy of application and sanction</t>
  </si>
  <si>
    <t>Stipend payed by the company to student</t>
  </si>
  <si>
    <t>Platform or Organization from whom certificate is issued</t>
  </si>
  <si>
    <t>Seminar/Conference/Webinar/Workshop</t>
  </si>
  <si>
    <t>How many days</t>
  </si>
  <si>
    <t>National or International</t>
  </si>
  <si>
    <t>Event is free to participate or paid</t>
  </si>
  <si>
    <t>If paid: Amount sanctioned by college/paid by the student</t>
  </si>
  <si>
    <t>Offered by</t>
  </si>
  <si>
    <t>Attach Proof: Registration email, Certificate or Score card</t>
  </si>
  <si>
    <t>Acheivement</t>
  </si>
  <si>
    <t>Issuing Authority (Institure name)</t>
  </si>
  <si>
    <t>Attach proof: An email from the student or scanned copy of the admission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</si>
</sst>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m/d/yyyy"/>
  </numFmts>
  <fonts count="37">
    <font>
      <sz val="10.0"/>
      <color rgb="FF000000"/>
      <name val="Arial"/>
      <scheme val="minor"/>
    </font>
    <font>
      <b/>
      <sz val="14.0"/>
      <color theme="0"/>
      <name val="Times New Roman"/>
    </font>
    <font/>
    <font>
      <color theme="1"/>
      <name val="Arial"/>
      <scheme val="minor"/>
    </font>
    <font>
      <b/>
      <sz val="10.0"/>
      <color rgb="FFFFFFFF"/>
      <name val="Times New Roman"/>
    </font>
    <font>
      <b/>
      <sz val="10.0"/>
      <color theme="1"/>
      <name val="Times New Roman"/>
    </font>
    <font>
      <b/>
      <sz val="10.0"/>
      <color rgb="FF000000"/>
      <name val="Times New Roman"/>
    </font>
    <font>
      <sz val="11.0"/>
      <color rgb="FF000000"/>
      <name val="Inconsolata"/>
    </font>
    <font>
      <b/>
      <color theme="1"/>
      <name val="Arial"/>
      <scheme val="minor"/>
    </font>
    <font>
      <b/>
      <color rgb="FFFFFFFF"/>
      <name val="Arial"/>
      <scheme val="minor"/>
    </font>
    <font>
      <b/>
      <u/>
      <color rgb="FF0000FF"/>
    </font>
    <font>
      <b/>
      <u/>
      <sz val="10.0"/>
      <color rgb="FF0000FF"/>
      <name val="Times New Roman"/>
    </font>
    <font>
      <b/>
      <color theme="1"/>
      <name val="Times New Roman"/>
    </font>
    <font>
      <b/>
      <u/>
      <color rgb="FF0000FF"/>
      <name val="Times New Roman"/>
    </font>
    <font>
      <u/>
      <color rgb="FF0000FF"/>
    </font>
    <font>
      <b/>
      <u/>
      <color rgb="FF0000FF"/>
      <name val="Times New Roman"/>
    </font>
    <font>
      <b/>
      <color theme="1"/>
      <name val="Arial"/>
    </font>
    <font>
      <b/>
      <u/>
      <color rgb="FF0000FF"/>
    </font>
    <font>
      <b/>
      <sz val="12.0"/>
      <color rgb="FFFFFFFF"/>
      <name val="Calibri"/>
    </font>
    <font>
      <b/>
      <sz val="12.0"/>
      <color rgb="FFFFFFFF"/>
      <name val="Arial"/>
    </font>
    <font>
      <b/>
      <u/>
      <color rgb="FF0000FF"/>
    </font>
    <font>
      <b/>
      <u/>
      <color rgb="FF0000FF"/>
    </font>
    <font>
      <b/>
      <u/>
      <color rgb="FF0000FF"/>
    </font>
    <font>
      <b/>
      <u/>
      <color rgb="FF0000FF"/>
    </font>
    <font>
      <b/>
      <u/>
      <color rgb="FF0000FF"/>
    </font>
    <font>
      <b/>
      <u/>
      <color rgb="FF0000FF"/>
    </font>
    <font>
      <b/>
      <sz val="11.0"/>
      <color rgb="FFFFFFFF"/>
      <name val="Calibri"/>
    </font>
    <font>
      <b/>
      <u/>
      <color rgb="FF0000FF"/>
    </font>
    <font>
      <b/>
      <u/>
      <color rgb="FF0000FF"/>
    </font>
    <font>
      <b/>
      <u/>
      <sz val="10.0"/>
      <color rgb="FF0000FF"/>
      <name val="Times New Roman"/>
    </font>
    <font>
      <b/>
      <u/>
      <sz val="10.0"/>
      <color rgb="FF0000FF"/>
      <name val="Times New Roman"/>
    </font>
    <font>
      <b/>
      <u/>
      <color rgb="FF0000FF"/>
    </font>
    <font>
      <b/>
      <u/>
      <color rgb="FF0000FF"/>
    </font>
    <font>
      <b/>
      <u/>
      <color rgb="FF0000FF"/>
    </font>
    <font>
      <b/>
      <color rgb="FFFFFFFF"/>
      <name val="Arial"/>
    </font>
    <font>
      <b/>
      <color theme="0"/>
      <name val="Arial"/>
      <scheme val="minor"/>
    </font>
    <font>
      <b/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</fills>
  <borders count="7">
    <border/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4" fillId="2" fontId="4" numFmtId="0" xfId="0" applyAlignment="1" applyBorder="1" applyFont="1">
      <alignment readingOrder="0" vertical="center"/>
    </xf>
    <xf borderId="4" fillId="2" fontId="4" numFmtId="0" xfId="0" applyAlignment="1" applyBorder="1" applyFont="1">
      <alignment horizontal="center" readingOrder="0" vertical="center"/>
    </xf>
    <xf borderId="1" fillId="3" fontId="4" numFmtId="0" xfId="0" applyAlignment="1" applyBorder="1" applyFill="1" applyFont="1">
      <alignment readingOrder="0" vertical="center"/>
    </xf>
    <xf borderId="5" fillId="0" fontId="5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vertical="center"/>
    </xf>
    <xf borderId="6" fillId="4" fontId="6" numFmtId="0" xfId="0" applyAlignment="1" applyBorder="1" applyFill="1" applyFont="1">
      <alignment horizontal="center" vertical="center"/>
    </xf>
    <xf borderId="0" fillId="4" fontId="7" numFmtId="0" xfId="0" applyAlignment="1" applyFont="1">
      <alignment horizontal="center" vertical="center"/>
    </xf>
    <xf borderId="0" fillId="0" fontId="8" numFmtId="0" xfId="0" applyAlignment="1" applyFont="1">
      <alignment vertical="center"/>
    </xf>
    <xf borderId="0" fillId="4" fontId="6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4" fillId="3" fontId="4" numFmtId="0" xfId="0" applyAlignment="1" applyBorder="1" applyFont="1">
      <alignment horizontal="left" vertical="center"/>
    </xf>
    <xf borderId="4" fillId="3" fontId="4" numFmtId="0" xfId="0" applyAlignment="1" applyBorder="1" applyFont="1">
      <alignment horizontal="left" readingOrder="0" vertical="center"/>
    </xf>
    <xf borderId="4" fillId="3" fontId="9" numFmtId="0" xfId="0" applyAlignment="1" applyBorder="1" applyFont="1">
      <alignment horizontal="center" vertical="center"/>
    </xf>
    <xf borderId="4" fillId="3" fontId="9" numFmtId="0" xfId="0" applyAlignment="1" applyBorder="1" applyFont="1">
      <alignment horizontal="center" readingOrder="0" vertical="center"/>
    </xf>
    <xf borderId="0" fillId="0" fontId="5" numFmtId="164" xfId="0" applyAlignment="1" applyFont="1" applyNumberFormat="1">
      <alignment horizontal="left" readingOrder="0" vertical="center"/>
    </xf>
    <xf borderId="0" fillId="0" fontId="5" numFmtId="0" xfId="0" applyAlignment="1" applyFont="1">
      <alignment horizontal="left" readingOrder="0" vertical="center"/>
    </xf>
    <xf borderId="0" fillId="0" fontId="5" numFmtId="0" xfId="0" applyAlignment="1" applyFont="1">
      <alignment horizontal="left" vertical="center"/>
    </xf>
    <xf borderId="0" fillId="0" fontId="8" numFmtId="0" xfId="0" applyFont="1"/>
    <xf borderId="0" fillId="0" fontId="8" numFmtId="0" xfId="0" applyAlignment="1" applyFont="1">
      <alignment readingOrder="0"/>
    </xf>
    <xf borderId="0" fillId="0" fontId="8" numFmtId="14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5" numFmtId="14" xfId="0" applyAlignment="1" applyFont="1" applyNumberFormat="1">
      <alignment horizontal="left" readingOrder="0" vertical="center"/>
    </xf>
    <xf borderId="0" fillId="0" fontId="11" numFmtId="0" xfId="0" applyAlignment="1" applyFont="1">
      <alignment horizontal="left" readingOrder="0" vertical="center"/>
    </xf>
    <xf borderId="0" fillId="0" fontId="12" numFmtId="164" xfId="0" applyAlignment="1" applyFont="1" applyNumberFormat="1">
      <alignment horizontal="left" readingOrder="0" vertical="center"/>
    </xf>
    <xf borderId="0" fillId="0" fontId="12" numFmtId="0" xfId="0" applyAlignment="1" applyFont="1">
      <alignment horizontal="left" readingOrder="0" vertical="center"/>
    </xf>
    <xf borderId="0" fillId="0" fontId="12" numFmtId="0" xfId="0" applyAlignment="1" applyFont="1">
      <alignment horizontal="left" vertical="center"/>
    </xf>
    <xf borderId="0" fillId="0" fontId="12" numFmtId="14" xfId="0" applyAlignment="1" applyFont="1" applyNumberFormat="1">
      <alignment horizontal="left" readingOrder="0" vertical="center"/>
    </xf>
    <xf borderId="0" fillId="0" fontId="13" numFmtId="0" xfId="0" applyAlignment="1" applyFont="1">
      <alignment horizontal="left" readingOrder="0" vertical="center"/>
    </xf>
    <xf quotePrefix="1" borderId="0" fillId="0" fontId="12" numFmtId="0" xfId="0" applyAlignment="1" applyFont="1">
      <alignment horizontal="left" readingOrder="0" vertical="center"/>
    </xf>
    <xf borderId="0" fillId="0" fontId="8" numFmtId="0" xfId="0" applyAlignment="1" applyFont="1">
      <alignment horizontal="left" vertical="center"/>
    </xf>
    <xf borderId="0" fillId="0" fontId="3" numFmtId="0" xfId="0" applyAlignment="1" applyFont="1">
      <alignment readingOrder="0"/>
    </xf>
    <xf borderId="0" fillId="0" fontId="3" numFmtId="14" xfId="0" applyAlignment="1" applyFont="1" applyNumberFormat="1">
      <alignment readingOrder="0"/>
    </xf>
    <xf borderId="0" fillId="0" fontId="14" numFmtId="0" xfId="0" applyAlignment="1" applyFont="1">
      <alignment readingOrder="0"/>
    </xf>
    <xf borderId="0" fillId="0" fontId="12" numFmtId="9" xfId="0" applyAlignment="1" applyFont="1" applyNumberFormat="1">
      <alignment horizontal="left" readingOrder="0" vertical="center"/>
    </xf>
    <xf borderId="0" fillId="0" fontId="12" numFmtId="10" xfId="0" applyAlignment="1" applyFont="1" applyNumberFormat="1">
      <alignment horizontal="left" readingOrder="0" vertical="center"/>
    </xf>
    <xf borderId="0" fillId="0" fontId="12" numFmtId="164" xfId="0" applyAlignment="1" applyFont="1" applyNumberFormat="1">
      <alignment readingOrder="0" vertical="center"/>
    </xf>
    <xf borderId="0" fillId="0" fontId="12" numFmtId="0" xfId="0" applyAlignment="1" applyFont="1">
      <alignment readingOrder="0" vertical="center"/>
    </xf>
    <xf borderId="0" fillId="0" fontId="12" numFmtId="0" xfId="0" applyAlignment="1" applyFont="1">
      <alignment vertical="center"/>
    </xf>
    <xf borderId="0" fillId="0" fontId="12" numFmtId="164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2" numFmtId="0" xfId="0" applyFont="1"/>
    <xf borderId="0" fillId="0" fontId="12" numFmtId="14" xfId="0" applyAlignment="1" applyFont="1" applyNumberFormat="1">
      <alignment readingOrder="0"/>
    </xf>
    <xf borderId="0" fillId="0" fontId="12" numFmtId="9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9" xfId="0" applyAlignment="1" applyFont="1" applyNumberFormat="1">
      <alignment readingOrder="0"/>
    </xf>
    <xf borderId="0" fillId="0" fontId="3" numFmtId="10" xfId="0" applyAlignment="1" applyFont="1" applyNumberFormat="1">
      <alignment readingOrder="0"/>
    </xf>
    <xf quotePrefix="1" borderId="0" fillId="0" fontId="3" numFmtId="0" xfId="0" applyAlignment="1" applyFont="1">
      <alignment readingOrder="0"/>
    </xf>
    <xf borderId="6" fillId="0" fontId="16" numFmtId="0" xfId="0" applyAlignment="1" applyBorder="1" applyFont="1">
      <alignment horizontal="right"/>
    </xf>
    <xf borderId="0" fillId="0" fontId="8" numFmtId="164" xfId="0" applyAlignment="1" applyFont="1" applyNumberFormat="1">
      <alignment readingOrder="0"/>
    </xf>
    <xf borderId="0" fillId="0" fontId="8" numFmtId="165" xfId="0" applyAlignment="1" applyFont="1" applyNumberFormat="1">
      <alignment readingOrder="0"/>
    </xf>
    <xf borderId="0" fillId="0" fontId="8" numFmtId="0" xfId="0" applyAlignment="1" applyFont="1">
      <alignment horizontal="center" readingOrder="0" vertical="center"/>
    </xf>
    <xf borderId="0" fillId="0" fontId="8" numFmtId="165" xfId="0" applyAlignment="1" applyFont="1" applyNumberFormat="1">
      <alignment horizontal="center" readingOrder="0" vertical="center"/>
    </xf>
    <xf borderId="0" fillId="0" fontId="17" numFmtId="0" xfId="0" applyAlignment="1" applyFont="1">
      <alignment horizontal="center" readingOrder="0" vertical="center"/>
    </xf>
    <xf borderId="0" fillId="0" fontId="16" numFmtId="0" xfId="0" applyAlignment="1" applyFont="1">
      <alignment horizontal="right"/>
    </xf>
    <xf borderId="4" fillId="3" fontId="9" numFmtId="0" xfId="0" applyAlignment="1" applyBorder="1" applyFont="1">
      <alignment horizontal="left" vertical="center"/>
    </xf>
    <xf borderId="4" fillId="3" fontId="18" numFmtId="0" xfId="0" applyAlignment="1" applyBorder="1" applyFont="1">
      <alignment horizontal="left" readingOrder="0" shrinkToFit="0" vertical="center" wrapText="0"/>
    </xf>
    <xf borderId="4" fillId="3" fontId="19" numFmtId="0" xfId="0" applyAlignment="1" applyBorder="1" applyFont="1">
      <alignment horizontal="left" readingOrder="0" shrinkToFit="0" vertical="center" wrapText="0"/>
    </xf>
    <xf borderId="0" fillId="0" fontId="8" numFmtId="0" xfId="0" applyAlignment="1" applyFont="1">
      <alignment horizontal="left" vertical="center"/>
    </xf>
    <xf borderId="4" fillId="2" fontId="19" numFmtId="0" xfId="0" applyAlignment="1" applyBorder="1" applyFont="1">
      <alignment readingOrder="0" vertical="center"/>
    </xf>
    <xf borderId="4" fillId="2" fontId="18" numFmtId="0" xfId="0" applyAlignment="1" applyBorder="1" applyFont="1">
      <alignment readingOrder="0" vertical="center"/>
    </xf>
    <xf borderId="4" fillId="2" fontId="19" numFmtId="0" xfId="0" applyAlignment="1" applyBorder="1" applyFont="1">
      <alignment horizontal="left" readingOrder="0" vertical="center"/>
    </xf>
    <xf borderId="0" fillId="0" fontId="8" numFmtId="0" xfId="0" applyAlignment="1" applyFont="1">
      <alignment readingOrder="0" vertical="center"/>
    </xf>
    <xf borderId="4" fillId="2" fontId="18" numFmtId="0" xfId="0" applyAlignment="1" applyBorder="1" applyFont="1">
      <alignment horizontal="left" readingOrder="0" vertical="center"/>
    </xf>
    <xf borderId="4" fillId="3" fontId="9" numFmtId="0" xfId="0" applyAlignment="1" applyBorder="1" applyFont="1">
      <alignment horizontal="left" readingOrder="0" vertical="center"/>
    </xf>
    <xf borderId="0" fillId="5" fontId="8" numFmtId="0" xfId="0" applyAlignment="1" applyFill="1" applyFont="1">
      <alignment horizontal="left" vertical="center"/>
    </xf>
    <xf borderId="0" fillId="5" fontId="8" numFmtId="14" xfId="0" applyAlignment="1" applyFont="1" applyNumberFormat="1">
      <alignment horizontal="left" vertical="center"/>
    </xf>
    <xf borderId="0" fillId="5" fontId="20" numFmtId="0" xfId="0" applyAlignment="1" applyFont="1">
      <alignment horizontal="left" vertical="center"/>
    </xf>
    <xf borderId="0" fillId="5" fontId="8" numFmtId="0" xfId="0" applyAlignment="1" applyFont="1">
      <alignment vertical="center"/>
    </xf>
    <xf borderId="0" fillId="6" fontId="8" numFmtId="0" xfId="0" applyAlignment="1" applyFill="1" applyFont="1">
      <alignment horizontal="left" vertical="center"/>
    </xf>
    <xf borderId="0" fillId="6" fontId="8" numFmtId="14" xfId="0" applyAlignment="1" applyFont="1" applyNumberFormat="1">
      <alignment horizontal="left" vertical="center"/>
    </xf>
    <xf borderId="0" fillId="6" fontId="21" numFmtId="0" xfId="0" applyAlignment="1" applyFont="1">
      <alignment horizontal="left" vertical="center"/>
    </xf>
    <xf borderId="0" fillId="6" fontId="8" numFmtId="0" xfId="0" applyAlignment="1" applyFont="1">
      <alignment vertical="center"/>
    </xf>
    <xf borderId="0" fillId="5" fontId="8" numFmtId="14" xfId="0" applyAlignment="1" applyFont="1" applyNumberFormat="1">
      <alignment vertical="center"/>
    </xf>
    <xf borderId="0" fillId="5" fontId="22" numFmtId="0" xfId="0" applyAlignment="1" applyFont="1">
      <alignment vertical="center"/>
    </xf>
    <xf borderId="0" fillId="7" fontId="8" numFmtId="0" xfId="0" applyAlignment="1" applyFill="1" applyFont="1">
      <alignment vertical="center"/>
    </xf>
    <xf borderId="0" fillId="7" fontId="8" numFmtId="14" xfId="0" applyAlignment="1" applyFont="1" applyNumberFormat="1">
      <alignment vertical="center"/>
    </xf>
    <xf borderId="0" fillId="7" fontId="23" numFmtId="0" xfId="0" applyAlignment="1" applyFont="1">
      <alignment vertical="center"/>
    </xf>
    <xf borderId="0" fillId="6" fontId="8" numFmtId="14" xfId="0" applyAlignment="1" applyFont="1" applyNumberFormat="1">
      <alignment vertical="center"/>
    </xf>
    <xf borderId="0" fillId="6" fontId="24" numFmtId="0" xfId="0" applyAlignment="1" applyFont="1">
      <alignment vertical="center"/>
    </xf>
    <xf borderId="0" fillId="0" fontId="8" numFmtId="14" xfId="0" applyAlignment="1" applyFont="1" applyNumberFormat="1">
      <alignment vertical="center"/>
    </xf>
    <xf borderId="0" fillId="0" fontId="25" numFmtId="0" xfId="0" applyAlignment="1" applyFont="1">
      <alignment vertical="center"/>
    </xf>
    <xf borderId="4" fillId="2" fontId="26" numFmtId="0" xfId="0" applyAlignment="1" applyBorder="1" applyFont="1">
      <alignment readingOrder="0" vertical="center"/>
    </xf>
    <xf borderId="4" fillId="2" fontId="26" numFmtId="0" xfId="0" applyAlignment="1" applyBorder="1" applyFont="1">
      <alignment readingOrder="0" shrinkToFit="0" vertical="center" wrapText="1"/>
    </xf>
    <xf borderId="0" fillId="5" fontId="8" numFmtId="0" xfId="0" applyAlignment="1" applyFont="1">
      <alignment shrinkToFit="0" vertical="center" wrapText="1"/>
    </xf>
    <xf borderId="0" fillId="5" fontId="8" numFmtId="165" xfId="0" applyAlignment="1" applyFont="1" applyNumberFormat="1">
      <alignment vertical="center"/>
    </xf>
    <xf borderId="0" fillId="5" fontId="8" numFmtId="9" xfId="0" applyAlignment="1" applyFont="1" applyNumberFormat="1">
      <alignment vertical="center"/>
    </xf>
    <xf borderId="0" fillId="6" fontId="8" numFmtId="0" xfId="0" applyAlignment="1" applyFont="1">
      <alignment shrinkToFit="0" vertical="center" wrapText="1"/>
    </xf>
    <xf borderId="0" fillId="6" fontId="8" numFmtId="165" xfId="0" applyAlignment="1" applyFont="1" applyNumberFormat="1">
      <alignment vertical="center"/>
    </xf>
    <xf borderId="0" fillId="6" fontId="8" numFmtId="9" xfId="0" applyAlignment="1" applyFont="1" applyNumberFormat="1">
      <alignment vertical="center"/>
    </xf>
    <xf borderId="0" fillId="4" fontId="8" numFmtId="0" xfId="0" applyAlignment="1" applyFont="1">
      <alignment vertical="center"/>
    </xf>
    <xf borderId="0" fillId="4" fontId="8" numFmtId="0" xfId="0" applyAlignment="1" applyFont="1">
      <alignment shrinkToFit="0" vertical="center" wrapText="1"/>
    </xf>
    <xf borderId="0" fillId="4" fontId="8" numFmtId="165" xfId="0" applyAlignment="1" applyFont="1" applyNumberFormat="1">
      <alignment vertical="center"/>
    </xf>
    <xf borderId="0" fillId="4" fontId="8" numFmtId="14" xfId="0" applyAlignment="1" applyFont="1" applyNumberFormat="1">
      <alignment vertical="center"/>
    </xf>
    <xf borderId="0" fillId="4" fontId="8" numFmtId="9" xfId="0" applyAlignment="1" applyFont="1" applyNumberFormat="1">
      <alignment vertical="center"/>
    </xf>
    <xf borderId="0" fillId="4" fontId="27" numFmtId="0" xfId="0" applyAlignment="1" applyFont="1">
      <alignment vertical="center"/>
    </xf>
    <xf borderId="0" fillId="8" fontId="8" numFmtId="0" xfId="0" applyAlignment="1" applyFill="1" applyFont="1">
      <alignment vertical="center"/>
    </xf>
    <xf borderId="0" fillId="8" fontId="8" numFmtId="0" xfId="0" applyAlignment="1" applyFont="1">
      <alignment shrinkToFit="0" vertical="center" wrapText="1"/>
    </xf>
    <xf borderId="0" fillId="8" fontId="8" numFmtId="165" xfId="0" applyAlignment="1" applyFont="1" applyNumberFormat="1">
      <alignment vertical="center"/>
    </xf>
    <xf borderId="0" fillId="8" fontId="8" numFmtId="14" xfId="0" applyAlignment="1" applyFont="1" applyNumberFormat="1">
      <alignment vertical="center"/>
    </xf>
    <xf borderId="0" fillId="8" fontId="8" numFmtId="9" xfId="0" applyAlignment="1" applyFont="1" applyNumberFormat="1">
      <alignment vertical="center"/>
    </xf>
    <xf borderId="0" fillId="8" fontId="28" numFmtId="0" xfId="0" applyAlignment="1" applyFont="1">
      <alignment vertical="center"/>
    </xf>
    <xf borderId="0" fillId="4" fontId="3" numFmtId="0" xfId="0" applyFont="1"/>
    <xf borderId="0" fillId="5" fontId="5" numFmtId="0" xfId="0" applyAlignment="1" applyFont="1">
      <alignment horizontal="left" vertical="center"/>
    </xf>
    <xf borderId="0" fillId="5" fontId="5" numFmtId="14" xfId="0" applyAlignment="1" applyFont="1" applyNumberFormat="1">
      <alignment horizontal="left" vertical="center"/>
    </xf>
    <xf borderId="0" fillId="5" fontId="29" numFmtId="0" xfId="0" applyAlignment="1" applyFont="1">
      <alignment horizontal="left" vertical="center"/>
    </xf>
    <xf borderId="0" fillId="0" fontId="5" numFmtId="14" xfId="0" applyAlignment="1" applyFont="1" applyNumberFormat="1">
      <alignment horizontal="left" vertical="center"/>
    </xf>
    <xf borderId="0" fillId="0" fontId="30" numFmtId="0" xfId="0" applyAlignment="1" applyFont="1">
      <alignment horizontal="left" vertical="center"/>
    </xf>
    <xf borderId="0" fillId="0" fontId="8" numFmtId="14" xfId="0" applyAlignment="1" applyFont="1" applyNumberFormat="1">
      <alignment horizontal="left" vertical="center"/>
    </xf>
    <xf borderId="0" fillId="0" fontId="31" numFmtId="0" xfId="0" applyAlignment="1" applyFont="1">
      <alignment horizontal="left" vertical="center"/>
    </xf>
    <xf borderId="4" fillId="3" fontId="18" numFmtId="0" xfId="0" applyAlignment="1" applyBorder="1" applyFont="1">
      <alignment readingOrder="0" vertical="center"/>
    </xf>
    <xf borderId="0" fillId="0" fontId="8" numFmtId="165" xfId="0" applyAlignment="1" applyFont="1" applyNumberFormat="1">
      <alignment vertical="center"/>
    </xf>
    <xf borderId="4" fillId="3" fontId="18" numFmtId="0" xfId="0" applyAlignment="1" applyBorder="1" applyFont="1">
      <alignment horizontal="left" readingOrder="0" shrinkToFit="0" vertical="center" wrapText="1"/>
    </xf>
    <xf borderId="4" fillId="3" fontId="18" numFmtId="0" xfId="0" applyAlignment="1" applyBorder="1" applyFont="1">
      <alignment horizontal="left" readingOrder="0" vertical="center"/>
    </xf>
    <xf borderId="0" fillId="5" fontId="8" numFmtId="0" xfId="0" applyAlignment="1" applyFont="1">
      <alignment horizontal="left" shrinkToFit="0" vertical="center" wrapText="1"/>
    </xf>
    <xf borderId="0" fillId="0" fontId="8" numFmtId="0" xfId="0" applyAlignment="1" applyFont="1">
      <alignment horizontal="left" shrinkToFit="0" vertical="center" wrapText="1"/>
    </xf>
    <xf borderId="0" fillId="0" fontId="8" numFmtId="0" xfId="0" applyAlignment="1" applyFont="1">
      <alignment shrinkToFit="0" vertical="center" wrapText="1"/>
    </xf>
    <xf borderId="4" fillId="3" fontId="18" numFmtId="0" xfId="0" applyAlignment="1" applyBorder="1" applyFont="1">
      <alignment horizontal="center" readingOrder="0" vertical="center"/>
    </xf>
    <xf borderId="0" fillId="5" fontId="8" numFmtId="0" xfId="0" applyAlignment="1" applyFont="1">
      <alignment horizontal="center" vertical="center"/>
    </xf>
    <xf borderId="0" fillId="5" fontId="8" numFmtId="14" xfId="0" applyAlignment="1" applyFont="1" applyNumberFormat="1">
      <alignment horizontal="center" vertical="center"/>
    </xf>
    <xf borderId="0" fillId="5" fontId="32" numFmtId="0" xfId="0" applyAlignment="1" applyFont="1">
      <alignment horizontal="center" vertical="center"/>
    </xf>
    <xf borderId="0" fillId="0" fontId="8" numFmtId="14" xfId="0" applyAlignment="1" applyFont="1" applyNumberFormat="1">
      <alignment horizontal="center" vertical="center"/>
    </xf>
    <xf borderId="0" fillId="0" fontId="33" numFmtId="0" xfId="0" applyAlignment="1" applyFont="1">
      <alignment horizontal="center" vertical="center"/>
    </xf>
    <xf borderId="0" fillId="3" fontId="34" numFmtId="0" xfId="0" applyAlignment="1" applyFont="1">
      <alignment horizontal="center" vertical="center"/>
    </xf>
    <xf borderId="6" fillId="3" fontId="34" numFmtId="0" xfId="0" applyAlignment="1" applyBorder="1" applyFont="1">
      <alignment horizontal="center" vertical="center"/>
    </xf>
    <xf borderId="4" fillId="2" fontId="9" numFmtId="0" xfId="0" applyAlignment="1" applyBorder="1" applyFont="1">
      <alignment readingOrder="0" vertical="center"/>
    </xf>
    <xf borderId="0" fillId="3" fontId="9" numFmtId="0" xfId="0" applyAlignment="1" applyFont="1">
      <alignment readingOrder="0"/>
    </xf>
    <xf borderId="0" fillId="3" fontId="9" numFmtId="0" xfId="0" applyAlignment="1" applyFont="1">
      <alignment readingOrder="0" vertical="center"/>
    </xf>
    <xf borderId="0" fillId="3" fontId="35" numFmtId="0" xfId="0" applyAlignment="1" applyFont="1">
      <alignment horizontal="left" readingOrder="0" vertical="center"/>
    </xf>
    <xf borderId="0" fillId="0" fontId="8" numFmtId="0" xfId="0" applyAlignment="1" applyFont="1">
      <alignment horizontal="left"/>
    </xf>
    <xf borderId="0" fillId="5" fontId="8" numFmtId="0" xfId="0" applyAlignment="1" applyFont="1">
      <alignment horizontal="left"/>
    </xf>
    <xf borderId="0" fillId="0" fontId="8" numFmtId="14" xfId="0" applyAlignment="1" applyFont="1" applyNumberFormat="1">
      <alignment horizontal="left"/>
    </xf>
    <xf borderId="0" fillId="0" fontId="3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3" Type="http://schemas.openxmlformats.org/officeDocument/2006/relationships/worksheet" Target="worksheets/sheet20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drive.google.com/open?id=1RJuokXaS3doZU8nzhvmSWD7IgeoPV_x4" TargetMode="External"/><Relationship Id="rId391" Type="http://schemas.openxmlformats.org/officeDocument/2006/relationships/hyperlink" Target="https://drive.google.com/open?id=1ZQNdDhW7QVnMU3V3fNKSjWx8KRbBE20y" TargetMode="External"/><Relationship Id="rId390" Type="http://schemas.openxmlformats.org/officeDocument/2006/relationships/hyperlink" Target="https://drive.google.com/open?id=1yN5JNH56TE1t4RD3Q3mNwVCDsSXRiUpQ" TargetMode="External"/><Relationship Id="rId1" Type="http://schemas.openxmlformats.org/officeDocument/2006/relationships/hyperlink" Target="https://drive.google.com/open?id=1FDgWJRLG-0YmUX-Ho8W9BzIF5VOe8920" TargetMode="External"/><Relationship Id="rId2" Type="http://schemas.openxmlformats.org/officeDocument/2006/relationships/hyperlink" Target="https://drive.google.com/open?id=16hFTXxdc9QEZmhVAzu2w4tuF05DhDNfC" TargetMode="External"/><Relationship Id="rId3" Type="http://schemas.openxmlformats.org/officeDocument/2006/relationships/hyperlink" Target="https://drive.google.com/open?id=1GzSlloib5_ZjM3U8BaXAS0iZVY4Qvefl" TargetMode="External"/><Relationship Id="rId4" Type="http://schemas.openxmlformats.org/officeDocument/2006/relationships/hyperlink" Target="https://drive.google.com/open?id=1gn3ikCIhs-dev83eRRxjViW8zJF-T-k7" TargetMode="External"/><Relationship Id="rId9" Type="http://schemas.openxmlformats.org/officeDocument/2006/relationships/hyperlink" Target="https://drive.google.com/open?id=1Pe0T8pWf12QdeQ2l38yTmPICsIyeZbQy" TargetMode="External"/><Relationship Id="rId385" Type="http://schemas.openxmlformats.org/officeDocument/2006/relationships/hyperlink" Target="https://drive.google.com/open?id=1nPbHAHelH1Rzus_6GXDSVERUuLB1-m_y" TargetMode="External"/><Relationship Id="rId384" Type="http://schemas.openxmlformats.org/officeDocument/2006/relationships/hyperlink" Target="https://drive.google.com/open?id=1gSqponAO_29zt3P0egTKxJUtj0kBDxM5" TargetMode="External"/><Relationship Id="rId383" Type="http://schemas.openxmlformats.org/officeDocument/2006/relationships/hyperlink" Target="https://drive.google.com/open?id=1EEn3-aKrMe4UR2gUR2znSArjTP68kM0u" TargetMode="External"/><Relationship Id="rId382" Type="http://schemas.openxmlformats.org/officeDocument/2006/relationships/hyperlink" Target="https://drive.google.com/open?id=18ppfmiEPyncUUVBWULW5JrOKj_WdGpMZ" TargetMode="External"/><Relationship Id="rId5" Type="http://schemas.openxmlformats.org/officeDocument/2006/relationships/hyperlink" Target="https://drive.google.com/open?id=1ifa6yjOXG4TtdUNUSfZBrITLDK4L2_f0" TargetMode="External"/><Relationship Id="rId389" Type="http://schemas.openxmlformats.org/officeDocument/2006/relationships/hyperlink" Target="https://drive.google.com/open?id=1gsrEmS1hLfncbXA-rvRGaO_R2PbZQppF" TargetMode="External"/><Relationship Id="rId6" Type="http://schemas.openxmlformats.org/officeDocument/2006/relationships/hyperlink" Target="https://drive.google.com/open?id=1nOXIgsmw_1iZ20dMcolXCnFpxNh3geu6" TargetMode="External"/><Relationship Id="rId388" Type="http://schemas.openxmlformats.org/officeDocument/2006/relationships/hyperlink" Target="https://drive.google.com/open?id=1jkM9Pz_-gM1Q-WaB6KkKawPZ14FeI4li" TargetMode="External"/><Relationship Id="rId7" Type="http://schemas.openxmlformats.org/officeDocument/2006/relationships/hyperlink" Target="https://drive.google.com/open?id=1afo59aMa85woopBPrtJmp_56u-PY7HTs" TargetMode="External"/><Relationship Id="rId387" Type="http://schemas.openxmlformats.org/officeDocument/2006/relationships/hyperlink" Target="https://drive.google.com/open?id=1NpMNOiwnBkrEYraqidO1Z-98GkhJaxhJ" TargetMode="External"/><Relationship Id="rId8" Type="http://schemas.openxmlformats.org/officeDocument/2006/relationships/hyperlink" Target="https://drive.google.com/open?id=1QmIkUIxHvdzBAcki1wIXRP47a-PU77Kk" TargetMode="External"/><Relationship Id="rId386" Type="http://schemas.openxmlformats.org/officeDocument/2006/relationships/hyperlink" Target="https://drive.google.com/open?id=1_zRhbWe-ZIATBTKnt5Wrb3e5ad6h5zy4" TargetMode="External"/><Relationship Id="rId381" Type="http://schemas.openxmlformats.org/officeDocument/2006/relationships/hyperlink" Target="https://drive.google.com/open?id=1yGuzfZwmMNrNPTASHcdU8xTj7U-OG277" TargetMode="External"/><Relationship Id="rId380" Type="http://schemas.openxmlformats.org/officeDocument/2006/relationships/hyperlink" Target="https://drive.google.com/open?id=1DkiGuPWNrrJ17ziZzyj9FJD6S56uqueV" TargetMode="External"/><Relationship Id="rId379" Type="http://schemas.openxmlformats.org/officeDocument/2006/relationships/hyperlink" Target="https://drive.google.com/open?id=1aUFVkujqx_v1nB1Enlhrf5_3ygCp9yAP" TargetMode="External"/><Relationship Id="rId374" Type="http://schemas.openxmlformats.org/officeDocument/2006/relationships/hyperlink" Target="https://drive.google.com/open?id=1ZG1YYMjQ4TXCkBaoZqizj2_VmRSfoIKO" TargetMode="External"/><Relationship Id="rId373" Type="http://schemas.openxmlformats.org/officeDocument/2006/relationships/hyperlink" Target="https://drive.google.com/open?id=1L-6Rmu3CgF-8_Se78N5N2LfPSpaEXXgt" TargetMode="External"/><Relationship Id="rId372" Type="http://schemas.openxmlformats.org/officeDocument/2006/relationships/hyperlink" Target="https://drive.google.com/open?id=1nARL6r93gj8v1ZcpPA2aTvnZZw4YZEE2" TargetMode="External"/><Relationship Id="rId371" Type="http://schemas.openxmlformats.org/officeDocument/2006/relationships/hyperlink" Target="https://drive.google.com/open?id=1bmxenqMP3W4gpKKmI_TSTLICeQwEwlpP" TargetMode="External"/><Relationship Id="rId378" Type="http://schemas.openxmlformats.org/officeDocument/2006/relationships/hyperlink" Target="https://drive.google.com/open?id=14qjDpxA_-qxw3L62ORAV10i6-yrPoJ82" TargetMode="External"/><Relationship Id="rId377" Type="http://schemas.openxmlformats.org/officeDocument/2006/relationships/hyperlink" Target="https://drive.google.com/open?id=1ZP05LU2PnFrGBLhaKojrsGTwG9mpwlyI" TargetMode="External"/><Relationship Id="rId376" Type="http://schemas.openxmlformats.org/officeDocument/2006/relationships/hyperlink" Target="https://drive.google.com/open?id=1TA671kxGBe6lEKNctxZgT38P8oIqNMJb" TargetMode="External"/><Relationship Id="rId375" Type="http://schemas.openxmlformats.org/officeDocument/2006/relationships/hyperlink" Target="https://drive.google.com/open?id=1mXWQ22tEBum6Qeqx3u3J2UDzE1iF6z0M" TargetMode="External"/><Relationship Id="rId396" Type="http://schemas.openxmlformats.org/officeDocument/2006/relationships/hyperlink" Target="https://drive.google.com/open?id=1C_pOOqVb4BweyXOmoWqjvKoBG_jRZya9" TargetMode="External"/><Relationship Id="rId395" Type="http://schemas.openxmlformats.org/officeDocument/2006/relationships/hyperlink" Target="https://drive.google.com/open?id=1IIBfarkDFsZ9NAt0KrRtpOVyEgmB92Za" TargetMode="External"/><Relationship Id="rId394" Type="http://schemas.openxmlformats.org/officeDocument/2006/relationships/hyperlink" Target="https://drive.google.com/open?id=1KaG8ifl87vZVdinj78aAvxxBCvmdzON0" TargetMode="External"/><Relationship Id="rId393" Type="http://schemas.openxmlformats.org/officeDocument/2006/relationships/hyperlink" Target="https://drive.google.com/open?id=1oBQG3ddsVRj9xP203FS0eowppN38tU9h" TargetMode="External"/><Relationship Id="rId399" Type="http://schemas.openxmlformats.org/officeDocument/2006/relationships/hyperlink" Target="https://drive.google.com/open?id=1jMO4xex9aLpQ4Gd4CThhIclPonr9dDQn" TargetMode="External"/><Relationship Id="rId398" Type="http://schemas.openxmlformats.org/officeDocument/2006/relationships/hyperlink" Target="https://drive.google.com/open?id=1DSJt6tFJ4O2jHUYmy6vh-Xa-G0Ke0L7V" TargetMode="External"/><Relationship Id="rId397" Type="http://schemas.openxmlformats.org/officeDocument/2006/relationships/hyperlink" Target="https://drive.google.com/open?id=1_MKGKDwRsGQXTZXyb1XI02-gZj3wRvhZ" TargetMode="External"/><Relationship Id="rId1730" Type="http://schemas.openxmlformats.org/officeDocument/2006/relationships/hyperlink" Target="https://drive.google.com/open?id=1IChILDybsyCgmiy0xTgwZRQRNyD1L1iM" TargetMode="External"/><Relationship Id="rId1731" Type="http://schemas.openxmlformats.org/officeDocument/2006/relationships/hyperlink" Target="https://drive.google.com/open?id=1q2e-Y4xZqdTIYqEXbAuYj3OY0mnStQt2" TargetMode="External"/><Relationship Id="rId1732" Type="http://schemas.openxmlformats.org/officeDocument/2006/relationships/hyperlink" Target="https://drive.google.com/open?id=1TLVMJLG3Vte-wTocvZp7D-Nq3kFNHmd-" TargetMode="External"/><Relationship Id="rId1733" Type="http://schemas.openxmlformats.org/officeDocument/2006/relationships/hyperlink" Target="https://drive.google.com/open?id=1iT3aQy7f8kCQcjnxTkXNfUB3IGNLj-sQ" TargetMode="External"/><Relationship Id="rId1734" Type="http://schemas.openxmlformats.org/officeDocument/2006/relationships/hyperlink" Target="https://drive.google.com/open?id=1MEbN5MWCX2wNv3XIVa6p968qPB2__6Wl" TargetMode="External"/><Relationship Id="rId1735" Type="http://schemas.openxmlformats.org/officeDocument/2006/relationships/hyperlink" Target="https://drive.google.com/open?id=1wockfBLR9-p_ifH9J_TQPOIruR5HqX3x" TargetMode="External"/><Relationship Id="rId1736" Type="http://schemas.openxmlformats.org/officeDocument/2006/relationships/hyperlink" Target="https://drive.google.com/open?id=16lL8xJ7ia6XBEqe-syiOCaeqpyReCcQ_" TargetMode="External"/><Relationship Id="rId1737" Type="http://schemas.openxmlformats.org/officeDocument/2006/relationships/hyperlink" Target="https://drive.google.com/open?id=1ydiGn9-TTGx7T-Txl569YI_sFP3n9J_C" TargetMode="External"/><Relationship Id="rId1738" Type="http://schemas.openxmlformats.org/officeDocument/2006/relationships/hyperlink" Target="https://drive.google.com/open?id=1Rhhs-qPEZEVOUicbNK5xhYO7WNkLgKRA" TargetMode="External"/><Relationship Id="rId1739" Type="http://schemas.openxmlformats.org/officeDocument/2006/relationships/hyperlink" Target="https://drive.google.com/open?id=1rq61bT7Bx7y7Xz401NzPLnHS4802-wa8" TargetMode="External"/><Relationship Id="rId1720" Type="http://schemas.openxmlformats.org/officeDocument/2006/relationships/hyperlink" Target="https://drive.google.com/open?id=1OeXhP9BX7EjRXA4AybYm8u_PnjA2vZD_" TargetMode="External"/><Relationship Id="rId1721" Type="http://schemas.openxmlformats.org/officeDocument/2006/relationships/hyperlink" Target="https://drive.google.com/open?id=1xrvdPblNZdieK7Tl45AKSy8hEruk14kh" TargetMode="External"/><Relationship Id="rId1722" Type="http://schemas.openxmlformats.org/officeDocument/2006/relationships/hyperlink" Target="https://drive.google.com/open?id=1fKww0SyugKLD3tmwY4Wlsn4glHuSBXmG" TargetMode="External"/><Relationship Id="rId1723" Type="http://schemas.openxmlformats.org/officeDocument/2006/relationships/hyperlink" Target="https://drive.google.com/open?id=1WhM43UDaOxHQY-7GS8YGWIJ5hm16RGGe" TargetMode="External"/><Relationship Id="rId1724" Type="http://schemas.openxmlformats.org/officeDocument/2006/relationships/hyperlink" Target="https://drive.google.com/open?id=1a0W0kLYN6X4c54EQ7RRsH55ywL6cAV93" TargetMode="External"/><Relationship Id="rId1725" Type="http://schemas.openxmlformats.org/officeDocument/2006/relationships/hyperlink" Target="https://drive.google.com/open?id=1h2MA5r0Ck1hOcDIAJNWn-uQu9n7mREza" TargetMode="External"/><Relationship Id="rId1726" Type="http://schemas.openxmlformats.org/officeDocument/2006/relationships/hyperlink" Target="https://drive.google.com/open?id=1ODyqIWUkd6i6dH0w4AFh0zSaFqiFfCxW" TargetMode="External"/><Relationship Id="rId1727" Type="http://schemas.openxmlformats.org/officeDocument/2006/relationships/hyperlink" Target="https://drive.google.com/open?id=1nL8AdyHgv4YausgtW3ZE5zV2xptm94I7" TargetMode="External"/><Relationship Id="rId1728" Type="http://schemas.openxmlformats.org/officeDocument/2006/relationships/hyperlink" Target="https://drive.google.com/open?id=1lLxtMRP2ELaLy5b41reH8OKSLYl15arf" TargetMode="External"/><Relationship Id="rId1729" Type="http://schemas.openxmlformats.org/officeDocument/2006/relationships/hyperlink" Target="https://drive.google.com/open?id=1Nkz5PR1YPhs_TLj1JDtDK297yuCOyOj9" TargetMode="External"/><Relationship Id="rId1752" Type="http://schemas.openxmlformats.org/officeDocument/2006/relationships/hyperlink" Target="https://drive.google.com/open?id=1kSiwWkQ34BKq0Ei_9oEe4MLdRbI53C-B" TargetMode="External"/><Relationship Id="rId1753" Type="http://schemas.openxmlformats.org/officeDocument/2006/relationships/hyperlink" Target="https://drive.google.com/open?id=1Ogss-ENczLrCs4d5vr2tJpBAjtiOg7jg" TargetMode="External"/><Relationship Id="rId1754" Type="http://schemas.openxmlformats.org/officeDocument/2006/relationships/hyperlink" Target="https://drive.google.com/open?id=1EDcPrN2JzsFd4R7QWV2jFMn4R53gDygq" TargetMode="External"/><Relationship Id="rId1755" Type="http://schemas.openxmlformats.org/officeDocument/2006/relationships/hyperlink" Target="https://drive.google.com/open?id=1P0l-zn9L90WIfJqqqW8e8-0Dp_7Vc2pg" TargetMode="External"/><Relationship Id="rId1756" Type="http://schemas.openxmlformats.org/officeDocument/2006/relationships/hyperlink" Target="https://drive.google.com/open?id=1ZPfIrmV7dCUeaFjoT2l1nJVDvHUuN3Dx" TargetMode="External"/><Relationship Id="rId1757" Type="http://schemas.openxmlformats.org/officeDocument/2006/relationships/hyperlink" Target="https://drive.google.com/open?id=1UQv-1XseNPEtsjbnCm_DGGa2REEN7v9Q" TargetMode="External"/><Relationship Id="rId1758" Type="http://schemas.openxmlformats.org/officeDocument/2006/relationships/hyperlink" Target="https://drive.google.com/open?id=1dlD-oI48yw-XP-Dlyc2dEHZuFm7ytl5h" TargetMode="External"/><Relationship Id="rId1759" Type="http://schemas.openxmlformats.org/officeDocument/2006/relationships/hyperlink" Target="https://drive.google.com/open?id=1sYnksARkbBRH36DH4LM5fqEX289sdZyx" TargetMode="External"/><Relationship Id="rId808" Type="http://schemas.openxmlformats.org/officeDocument/2006/relationships/hyperlink" Target="https://drive.google.com/open?id=18CSIBf0DwDGccDZjuZgC5i44VXJQgrE0" TargetMode="External"/><Relationship Id="rId807" Type="http://schemas.openxmlformats.org/officeDocument/2006/relationships/hyperlink" Target="https://drive.google.com/open?id=1_fR-LdhuKTTzZxiOKp3PDnIv3EijWFWW" TargetMode="External"/><Relationship Id="rId806" Type="http://schemas.openxmlformats.org/officeDocument/2006/relationships/hyperlink" Target="https://drive.google.com/open?id=1Ra_1aYRguclV2sJfGLJG3mjP_04GJuSP" TargetMode="External"/><Relationship Id="rId805" Type="http://schemas.openxmlformats.org/officeDocument/2006/relationships/hyperlink" Target="https://drive.google.com/open?id=1lJpU6p4HauFCn44XN7EJcAWZpal2R1b5" TargetMode="External"/><Relationship Id="rId809" Type="http://schemas.openxmlformats.org/officeDocument/2006/relationships/hyperlink" Target="https://drive.google.com/open?id=1jJoTU4sgyRGXMbpfu72l4atFy68iFGgx" TargetMode="External"/><Relationship Id="rId800" Type="http://schemas.openxmlformats.org/officeDocument/2006/relationships/hyperlink" Target="https://drive.google.com/open?id=1-Kh2b0Mccdp5ibZVzDcX7rSa2CN-NJG8" TargetMode="External"/><Relationship Id="rId804" Type="http://schemas.openxmlformats.org/officeDocument/2006/relationships/hyperlink" Target="https://drive.google.com/open?id=12RL8c1eDxOxloOcL-nQ5Q8_yqlWmTs1j" TargetMode="External"/><Relationship Id="rId803" Type="http://schemas.openxmlformats.org/officeDocument/2006/relationships/hyperlink" Target="https://drive.google.com/open?id=1BKGViztp3IVXKGp0QsPQ8GzQD5egv4tn" TargetMode="External"/><Relationship Id="rId802" Type="http://schemas.openxmlformats.org/officeDocument/2006/relationships/hyperlink" Target="https://drive.google.com/open?id=1hPn17VP27yhvydDTY9traLQ1wHwZmrox" TargetMode="External"/><Relationship Id="rId801" Type="http://schemas.openxmlformats.org/officeDocument/2006/relationships/hyperlink" Target="https://drive.google.com/open?id=1LY1yS5lHsPfg_pPppzxlb8enwNd2sr7N" TargetMode="External"/><Relationship Id="rId1750" Type="http://schemas.openxmlformats.org/officeDocument/2006/relationships/hyperlink" Target="https://drive.google.com/open?id=1TUyODFuA8SDUk4pmlJD0pYlai6s0PrGx" TargetMode="External"/><Relationship Id="rId1751" Type="http://schemas.openxmlformats.org/officeDocument/2006/relationships/hyperlink" Target="https://drive.google.com/open?id=1OzI_clNZODyIGXGq0gPExTdi8hKCS5BN" TargetMode="External"/><Relationship Id="rId1741" Type="http://schemas.openxmlformats.org/officeDocument/2006/relationships/hyperlink" Target="https://drive.google.com/open?id=1DUtRjF0FYTBKwAhrHP_jsOTf3dXMYtNp" TargetMode="External"/><Relationship Id="rId1742" Type="http://schemas.openxmlformats.org/officeDocument/2006/relationships/hyperlink" Target="https://drive.google.com/open?id=19I4jWirCiejN_NsQQxeD0QGuWIl4a_6d" TargetMode="External"/><Relationship Id="rId1743" Type="http://schemas.openxmlformats.org/officeDocument/2006/relationships/hyperlink" Target="https://drive.google.com/open?id=1bsMiDlZDRBWq4-h5hseMgfcMaG09BRWx" TargetMode="External"/><Relationship Id="rId1744" Type="http://schemas.openxmlformats.org/officeDocument/2006/relationships/hyperlink" Target="https://drive.google.com/open?id=1vRieVmaby2W5XuKahptQb6fJno4nR5jr" TargetMode="External"/><Relationship Id="rId1745" Type="http://schemas.openxmlformats.org/officeDocument/2006/relationships/hyperlink" Target="https://drive.google.com/open?id=1phbmltLQEK2mR3kTPLZlKXtmJkqUjbKv" TargetMode="External"/><Relationship Id="rId1746" Type="http://schemas.openxmlformats.org/officeDocument/2006/relationships/hyperlink" Target="https://drive.google.com/open?id=100PDgqWEA8HbqwvaYupWvx8R42Of-o-H" TargetMode="External"/><Relationship Id="rId1747" Type="http://schemas.openxmlformats.org/officeDocument/2006/relationships/hyperlink" Target="https://drive.google.com/open?id=1wEJyme1v4uefj-4pjZ-EKIdLtaioyXwa" TargetMode="External"/><Relationship Id="rId1748" Type="http://schemas.openxmlformats.org/officeDocument/2006/relationships/hyperlink" Target="https://drive.google.com/open?id=1huanhUtI8JvM0vhCehWdEas9XixByueS" TargetMode="External"/><Relationship Id="rId1749" Type="http://schemas.openxmlformats.org/officeDocument/2006/relationships/hyperlink" Target="https://drive.google.com/open?id=1DyiaPLijpbCG-XVC9VwD49bqqZ2URv9k" TargetMode="External"/><Relationship Id="rId1740" Type="http://schemas.openxmlformats.org/officeDocument/2006/relationships/hyperlink" Target="https://drive.google.com/open?id=1gH1vW6Sntwpf3ODV0cAlRreSK7Udgp9c" TargetMode="External"/><Relationship Id="rId1710" Type="http://schemas.openxmlformats.org/officeDocument/2006/relationships/hyperlink" Target="https://drive.google.com/open?id=16awzWsVSW6x-uXQz_gNSXT0pJp1ebLvo" TargetMode="External"/><Relationship Id="rId1711" Type="http://schemas.openxmlformats.org/officeDocument/2006/relationships/hyperlink" Target="https://drive.google.com/open?id=1F0bEQ0NIRcGA9hAz_lnJMgqUTieVjbys" TargetMode="External"/><Relationship Id="rId1712" Type="http://schemas.openxmlformats.org/officeDocument/2006/relationships/hyperlink" Target="https://drive.google.com/open?id=1RmRH9d-znfWB9L3KEO-EuDEVRAiudBDE" TargetMode="External"/><Relationship Id="rId1713" Type="http://schemas.openxmlformats.org/officeDocument/2006/relationships/hyperlink" Target="https://drive.google.com/open?id=1NlwexNlI5-hIUf2y7wGIhsAvMt8BJJDt" TargetMode="External"/><Relationship Id="rId1714" Type="http://schemas.openxmlformats.org/officeDocument/2006/relationships/hyperlink" Target="https://drive.google.com/open?id=1aWdn87-2tElC3hWhZB0tvAKUMOeNeY7x" TargetMode="External"/><Relationship Id="rId1715" Type="http://schemas.openxmlformats.org/officeDocument/2006/relationships/hyperlink" Target="https://drive.google.com/open?id=1TtXiDIB95NPCallip9Obht9tCrK4fGSF" TargetMode="External"/><Relationship Id="rId1716" Type="http://schemas.openxmlformats.org/officeDocument/2006/relationships/hyperlink" Target="https://drive.google.com/open?id=1Dhp6qjthgFEOThTQDTfWho_H-WWT44_b" TargetMode="External"/><Relationship Id="rId1717" Type="http://schemas.openxmlformats.org/officeDocument/2006/relationships/hyperlink" Target="https://drive.google.com/open?id=1fi0Z1H19IdAX4JGRgcJSA1UhyaJIif94" TargetMode="External"/><Relationship Id="rId1718" Type="http://schemas.openxmlformats.org/officeDocument/2006/relationships/hyperlink" Target="https://drive.google.com/open?id=1cAMFTLKCHjWkBV2I-GunXg0YeOIJ-00c" TargetMode="External"/><Relationship Id="rId1719" Type="http://schemas.openxmlformats.org/officeDocument/2006/relationships/hyperlink" Target="https://drive.google.com/open?id=1i71iub01sPYIBOcM1Koogh6BbkGyxtuM" TargetMode="External"/><Relationship Id="rId1700" Type="http://schemas.openxmlformats.org/officeDocument/2006/relationships/hyperlink" Target="https://drive.google.com/open?id=1wKCK4qjKLyZTeKrZXufV9masu1mLG9CO" TargetMode="External"/><Relationship Id="rId1701" Type="http://schemas.openxmlformats.org/officeDocument/2006/relationships/hyperlink" Target="https://drive.google.com/open?id=1Ljl4EzP8kATL4nyAcyfLqMiNuV0bfiK2" TargetMode="External"/><Relationship Id="rId1702" Type="http://schemas.openxmlformats.org/officeDocument/2006/relationships/hyperlink" Target="https://drive.google.com/open?id=1hCCbdWdlcKryjSK9qLBBBHoZ0CbCcD91" TargetMode="External"/><Relationship Id="rId1703" Type="http://schemas.openxmlformats.org/officeDocument/2006/relationships/hyperlink" Target="https://drive.google.com/open?id=1RNkL3EHH1olGDHDSMzWHJ98YiSC3NmOr" TargetMode="External"/><Relationship Id="rId1704" Type="http://schemas.openxmlformats.org/officeDocument/2006/relationships/hyperlink" Target="https://drive.google.com/open?id=1ce8ftXd0CIeUmNVge1Mroy9vLrlajjFT" TargetMode="External"/><Relationship Id="rId1705" Type="http://schemas.openxmlformats.org/officeDocument/2006/relationships/hyperlink" Target="https://drive.google.com/open?id=1rj9xn63HkRq-BJgzZgHhSE1ABsZUoHeM" TargetMode="External"/><Relationship Id="rId1706" Type="http://schemas.openxmlformats.org/officeDocument/2006/relationships/hyperlink" Target="https://drive.google.com/open?id=1CJBsPsi4Mtc_bKYJIBWJQyQH3yXqX6f8" TargetMode="External"/><Relationship Id="rId1707" Type="http://schemas.openxmlformats.org/officeDocument/2006/relationships/hyperlink" Target="https://drive.google.com/open?id=1TIC7rZHNZU6MD-QHqtoh3i_iyqz9Hx28" TargetMode="External"/><Relationship Id="rId1708" Type="http://schemas.openxmlformats.org/officeDocument/2006/relationships/hyperlink" Target="https://drive.google.com/open?id=1TIC7rZHNZU6MD-QHqtoh3i_iyqz9Hx28" TargetMode="External"/><Relationship Id="rId1709" Type="http://schemas.openxmlformats.org/officeDocument/2006/relationships/hyperlink" Target="https://drive.google.com/open?id=1-LFn7PcmXIQWpMV6LbdeEcsANKveXTo9" TargetMode="External"/><Relationship Id="rId40" Type="http://schemas.openxmlformats.org/officeDocument/2006/relationships/hyperlink" Target="https://drive.google.com/open?id=17F5rPbYSDTPITykm_JNA5_0jp_oZ9XnU" TargetMode="External"/><Relationship Id="rId1334" Type="http://schemas.openxmlformats.org/officeDocument/2006/relationships/hyperlink" Target="https://drive.google.com/open?id=1CEru8dTh4f7rj9U5F6onvoodMXKKH0LG" TargetMode="External"/><Relationship Id="rId1335" Type="http://schemas.openxmlformats.org/officeDocument/2006/relationships/hyperlink" Target="https://drive.google.com/open?id=1rMdt-L1CXt6MCuVpkNfkCGb1mZhRY_MH" TargetMode="External"/><Relationship Id="rId42" Type="http://schemas.openxmlformats.org/officeDocument/2006/relationships/hyperlink" Target="https://drive.google.com/open?id=1e27Wps8S69r38ou72yivHyRDm3jqGar8" TargetMode="External"/><Relationship Id="rId1336" Type="http://schemas.openxmlformats.org/officeDocument/2006/relationships/hyperlink" Target="https://drive.google.com/open?id=1D4GEXH2SAV5VEE4QhU5a0SH1aHjM7GrQ" TargetMode="External"/><Relationship Id="rId41" Type="http://schemas.openxmlformats.org/officeDocument/2006/relationships/hyperlink" Target="https://drive.google.com/open?id=1gwdqE6sXsNJcPK7gyGzJeWLjYnJvNtJD" TargetMode="External"/><Relationship Id="rId1337" Type="http://schemas.openxmlformats.org/officeDocument/2006/relationships/hyperlink" Target="https://drive.google.com/open?id=14eXy96fCqreoiYmXDBBIwJdrJh-NT4wc" TargetMode="External"/><Relationship Id="rId44" Type="http://schemas.openxmlformats.org/officeDocument/2006/relationships/hyperlink" Target="https://drive.google.com/open?id=10uhrouQE2aJzqQfW3d72BRVy0pAyt6B0" TargetMode="External"/><Relationship Id="rId1338" Type="http://schemas.openxmlformats.org/officeDocument/2006/relationships/hyperlink" Target="https://drive.google.com/open?id=1AAnZB2oSp-Ha8UK9UYXlq_3Rt2kyjD_4" TargetMode="External"/><Relationship Id="rId43" Type="http://schemas.openxmlformats.org/officeDocument/2006/relationships/hyperlink" Target="https://drive.google.com/open?id=1B4eqhT6xtlTOUszrwY6nfoBTshlHSD4l" TargetMode="External"/><Relationship Id="rId1339" Type="http://schemas.openxmlformats.org/officeDocument/2006/relationships/hyperlink" Target="https://drive.google.com/open?id=13zrr5rsPYOON-9ElRKxEmu1OwwEmPLdu" TargetMode="External"/><Relationship Id="rId46" Type="http://schemas.openxmlformats.org/officeDocument/2006/relationships/hyperlink" Target="https://drive.google.com/open?id=1sfxhRoYOsW8VWhJuHLcbG3HvHaFmXux_" TargetMode="External"/><Relationship Id="rId45" Type="http://schemas.openxmlformats.org/officeDocument/2006/relationships/hyperlink" Target="https://drive.google.com/open?id=1Mac7rF7rgHOPwkrJYolg2b5WVbaFmM4I" TargetMode="External"/><Relationship Id="rId745" Type="http://schemas.openxmlformats.org/officeDocument/2006/relationships/hyperlink" Target="https://drive.google.com/open?id=1lielZ9SCE8IidGkSQqOF6wsdXvjIU3iV" TargetMode="External"/><Relationship Id="rId744" Type="http://schemas.openxmlformats.org/officeDocument/2006/relationships/hyperlink" Target="https://drive.google.com/open?id=164PkLKDM0UG_ADq-iyJk3eLt2LeK4efP" TargetMode="External"/><Relationship Id="rId743" Type="http://schemas.openxmlformats.org/officeDocument/2006/relationships/hyperlink" Target="https://drive.google.com/open?id=1b_sBzr_AVYvGHgUPUw4RBFGXzGbjNYxw" TargetMode="External"/><Relationship Id="rId742" Type="http://schemas.openxmlformats.org/officeDocument/2006/relationships/hyperlink" Target="https://drive.google.com/open?id=1JJuiFEf9tPTTCoSLFcd05jYGhtg__3XX" TargetMode="External"/><Relationship Id="rId749" Type="http://schemas.openxmlformats.org/officeDocument/2006/relationships/hyperlink" Target="https://drive.google.com/open?id=1OtVz7NJkJOxhAlctniZAXLM5rkioRXHd" TargetMode="External"/><Relationship Id="rId748" Type="http://schemas.openxmlformats.org/officeDocument/2006/relationships/hyperlink" Target="https://drive.google.com/open?id=1sDjV3n0ZaZV91dbGI3HkFjaboiqhhNg-" TargetMode="External"/><Relationship Id="rId747" Type="http://schemas.openxmlformats.org/officeDocument/2006/relationships/hyperlink" Target="https://drive.google.com/open?id=1zjAe8X2zfPzNCJ-qrVbm0yKxYzq2Ms1A" TargetMode="External"/><Relationship Id="rId746" Type="http://schemas.openxmlformats.org/officeDocument/2006/relationships/hyperlink" Target="https://drive.google.com/open?id=10PSNFfo7CjwjQLY7Gx8EcRI6qf5g1DH5" TargetMode="External"/><Relationship Id="rId48" Type="http://schemas.openxmlformats.org/officeDocument/2006/relationships/hyperlink" Target="https://drive.google.com/open?id=1cIMtORVa3wnEsp897bTMvo0w3xH7ckoV" TargetMode="External"/><Relationship Id="rId47" Type="http://schemas.openxmlformats.org/officeDocument/2006/relationships/hyperlink" Target="https://drive.google.com/open?id=1KqskbhHVrDUN2HojQEHtK5JZwT3Tmxoz" TargetMode="External"/><Relationship Id="rId49" Type="http://schemas.openxmlformats.org/officeDocument/2006/relationships/hyperlink" Target="https://drive.google.com/open?id=1u3KBvWfE8m3AhT0STmxwE86UySa-Bsr1" TargetMode="External"/><Relationship Id="rId741" Type="http://schemas.openxmlformats.org/officeDocument/2006/relationships/hyperlink" Target="https://drive.google.com/open?id=12CWg_r8JF53cf3Baygsp9xmHsKumoWl6" TargetMode="External"/><Relationship Id="rId1330" Type="http://schemas.openxmlformats.org/officeDocument/2006/relationships/hyperlink" Target="https://drive.google.com/open?id=1W2VNq_eVOrzeF4ZYEQW-8dpshOk8h0vk" TargetMode="External"/><Relationship Id="rId740" Type="http://schemas.openxmlformats.org/officeDocument/2006/relationships/hyperlink" Target="https://drive.google.com/open?id=18DQ-a_SgSwwQNnJR71iVduvkRog5eD4i" TargetMode="External"/><Relationship Id="rId1331" Type="http://schemas.openxmlformats.org/officeDocument/2006/relationships/hyperlink" Target="https://drive.google.com/open?id=1fP0wbMByjU4qMFYJq-9LTJvy3Jlfc5ks" TargetMode="External"/><Relationship Id="rId1332" Type="http://schemas.openxmlformats.org/officeDocument/2006/relationships/hyperlink" Target="https://drive.google.com/open?id=1UTdLN093ULs_opm2gWLhbT4nxxEA7xrK" TargetMode="External"/><Relationship Id="rId1333" Type="http://schemas.openxmlformats.org/officeDocument/2006/relationships/hyperlink" Target="https://drive.google.com/open?id=1mF47KtsFeQklbLGGpylAcXZy8L4ihMeu" TargetMode="External"/><Relationship Id="rId1323" Type="http://schemas.openxmlformats.org/officeDocument/2006/relationships/hyperlink" Target="https://drive.google.com/open?id=1gT8dpUDYk5NlC5HDx65ZrZxQ8FzsQYgf" TargetMode="External"/><Relationship Id="rId1324" Type="http://schemas.openxmlformats.org/officeDocument/2006/relationships/hyperlink" Target="https://drive.google.com/open?id=106qEdUwNpJoW4vDxpGQzaRXHRHD4YaGm" TargetMode="External"/><Relationship Id="rId31" Type="http://schemas.openxmlformats.org/officeDocument/2006/relationships/hyperlink" Target="https://drive.google.com/open?id=1Kwci2O8yMxhrJdcfh3GEfc9JIKNlizun" TargetMode="External"/><Relationship Id="rId1325" Type="http://schemas.openxmlformats.org/officeDocument/2006/relationships/hyperlink" Target="https://drive.google.com/open?id=1aYDchKBi_Fd8fvIkYaLoTfqb-AiZkQ4U" TargetMode="External"/><Relationship Id="rId30" Type="http://schemas.openxmlformats.org/officeDocument/2006/relationships/hyperlink" Target="https://drive.google.com/open?id=1JdfIuSWEbOy-mVPSaH9DMtIU1XBJuDkC" TargetMode="External"/><Relationship Id="rId1326" Type="http://schemas.openxmlformats.org/officeDocument/2006/relationships/hyperlink" Target="https://drive.google.com/open?id=1Gk9_hZN3bZbtquBEOy98aeWsNdjARYg0" TargetMode="External"/><Relationship Id="rId33" Type="http://schemas.openxmlformats.org/officeDocument/2006/relationships/hyperlink" Target="https://drive.google.com/open?id=1RxQJURGeMsrUZuJpXuO9L3e9voYAgdDo" TargetMode="External"/><Relationship Id="rId1327" Type="http://schemas.openxmlformats.org/officeDocument/2006/relationships/hyperlink" Target="https://drive.google.com/open?id=1uAFzHIJO6p_JQlRULCTzq34BJNEg-Eox" TargetMode="External"/><Relationship Id="rId32" Type="http://schemas.openxmlformats.org/officeDocument/2006/relationships/hyperlink" Target="https://drive.google.com/open?id=1BEZt90cEEdzOA0qkKyqNAyG_fheG72hZ" TargetMode="External"/><Relationship Id="rId1328" Type="http://schemas.openxmlformats.org/officeDocument/2006/relationships/hyperlink" Target="https://drive.google.com/open?id=1DT-qLV0ZYLjE49xcz5iC6H5gLAHCxtFH" TargetMode="External"/><Relationship Id="rId35" Type="http://schemas.openxmlformats.org/officeDocument/2006/relationships/hyperlink" Target="https://drive.google.com/open?id=1MvkXMoGjwziiWPG0OmXyCZDmkQEV6b6_" TargetMode="External"/><Relationship Id="rId1329" Type="http://schemas.openxmlformats.org/officeDocument/2006/relationships/hyperlink" Target="https://drive.google.com/open?id=1khTl359AdbJGJSfFUIWlXLQUHZs4u5o4" TargetMode="External"/><Relationship Id="rId34" Type="http://schemas.openxmlformats.org/officeDocument/2006/relationships/hyperlink" Target="https://drive.google.com/open?id=1mgQJ7PVKKoZmV-qGrfd_y3l9_VsLB2Xd" TargetMode="External"/><Relationship Id="rId739" Type="http://schemas.openxmlformats.org/officeDocument/2006/relationships/hyperlink" Target="https://drive.google.com/open?id=1VBFzDwiftdcDb4NNTOQzmJZ83ltxNxGZ" TargetMode="External"/><Relationship Id="rId734" Type="http://schemas.openxmlformats.org/officeDocument/2006/relationships/hyperlink" Target="https://drive.google.com/open?id=1Z1JVlWAsHNb0NSCqusVw79G3BCC4Y88H" TargetMode="External"/><Relationship Id="rId733" Type="http://schemas.openxmlformats.org/officeDocument/2006/relationships/hyperlink" Target="https://drive.google.com/open?id=1YFVlenXh3kc0nHj0cl5g9MGId9HzR25u" TargetMode="External"/><Relationship Id="rId732" Type="http://schemas.openxmlformats.org/officeDocument/2006/relationships/hyperlink" Target="https://drive.google.com/open?id=18rsWLMQxRgogo3XfG981SyQXesg61x9O" TargetMode="External"/><Relationship Id="rId731" Type="http://schemas.openxmlformats.org/officeDocument/2006/relationships/hyperlink" Target="https://drive.google.com/open?id=18oE2vDGu9afNUFdwWn5qMx4nqei6-7E9" TargetMode="External"/><Relationship Id="rId738" Type="http://schemas.openxmlformats.org/officeDocument/2006/relationships/hyperlink" Target="https://drive.google.com/open?id=1f6QUzmNI0NAK3xQ4rBtytOxYcgP1jjNk" TargetMode="External"/><Relationship Id="rId737" Type="http://schemas.openxmlformats.org/officeDocument/2006/relationships/hyperlink" Target="https://drive.google.com/open?id=1exrzR0Tq1AAGjjixli_wHi2BLmsP9l2J" TargetMode="External"/><Relationship Id="rId736" Type="http://schemas.openxmlformats.org/officeDocument/2006/relationships/hyperlink" Target="https://drive.google.com/open?id=1g39anyffvpUh0R9NdOuTGXraa6W7E7g-" TargetMode="External"/><Relationship Id="rId735" Type="http://schemas.openxmlformats.org/officeDocument/2006/relationships/hyperlink" Target="https://drive.google.com/open?id=1cqxllut2Fduqdqm6ZeBOazCpG_Pq87iB" TargetMode="External"/><Relationship Id="rId37" Type="http://schemas.openxmlformats.org/officeDocument/2006/relationships/hyperlink" Target="https://drive.google.com/open?id=1VnotBEkB8oNas5leG5dtem61RtWiI3Ml" TargetMode="External"/><Relationship Id="rId36" Type="http://schemas.openxmlformats.org/officeDocument/2006/relationships/hyperlink" Target="https://drive.google.com/open?id=1a0rY2N1aRx84OJCd0TO_zTJMfUd5I30t" TargetMode="External"/><Relationship Id="rId39" Type="http://schemas.openxmlformats.org/officeDocument/2006/relationships/hyperlink" Target="https://drive.google.com/open?id=14eo9gXW8eOYIUYK44iYmyknAgotMtBCt" TargetMode="External"/><Relationship Id="rId38" Type="http://schemas.openxmlformats.org/officeDocument/2006/relationships/hyperlink" Target="https://drive.google.com/open?id=1t2RW8Ou2_Z21Ub-FmXX3n8O8MdXYovhZ" TargetMode="External"/><Relationship Id="rId730" Type="http://schemas.openxmlformats.org/officeDocument/2006/relationships/hyperlink" Target="https://drive.google.com/open?id=1Jbbts9ceS-YQiXZrGgp3WKwz8lNH1LZO" TargetMode="External"/><Relationship Id="rId1320" Type="http://schemas.openxmlformats.org/officeDocument/2006/relationships/hyperlink" Target="https://drive.google.com/open?id=1RD7j6TrWObr1R4uYHL6EJE56vb3f-7ju" TargetMode="External"/><Relationship Id="rId1321" Type="http://schemas.openxmlformats.org/officeDocument/2006/relationships/hyperlink" Target="https://drive.google.com/open?id=1KXRJr3tWuduefjE2qI5bzRRQOmxmkdEd" TargetMode="External"/><Relationship Id="rId1322" Type="http://schemas.openxmlformats.org/officeDocument/2006/relationships/hyperlink" Target="https://drive.google.com/open?id=1baCaxgRpu-StZgYCoquu8Bfhsx5ba9_t" TargetMode="External"/><Relationship Id="rId1356" Type="http://schemas.openxmlformats.org/officeDocument/2006/relationships/hyperlink" Target="https://drive.google.com/open?id=1PSx_mpgKks0HuNg6kc8vqJVi3gk46oHo" TargetMode="External"/><Relationship Id="rId1357" Type="http://schemas.openxmlformats.org/officeDocument/2006/relationships/hyperlink" Target="https://drive.google.com/open?id=1xwL2bGI2Bx4EwdOilD1iFgqPIv_loDHd" TargetMode="External"/><Relationship Id="rId20" Type="http://schemas.openxmlformats.org/officeDocument/2006/relationships/hyperlink" Target="https://drive.google.com/open?id=1PjR39K2HwkwQPNZ5t-nniB3dOKXMOnAs" TargetMode="External"/><Relationship Id="rId1358" Type="http://schemas.openxmlformats.org/officeDocument/2006/relationships/hyperlink" Target="https://drive.google.com/open?id=1y--C6xLPcjEkf1n0bUS-ZYOmGxPounz0" TargetMode="External"/><Relationship Id="rId1359" Type="http://schemas.openxmlformats.org/officeDocument/2006/relationships/hyperlink" Target="https://drive.google.com/open?id=1Vj3U1DgkrQJDxJWQ_hMPnQtaQpkU7TIJ" TargetMode="External"/><Relationship Id="rId22" Type="http://schemas.openxmlformats.org/officeDocument/2006/relationships/hyperlink" Target="https://drive.google.com/open?id=1lmrb71Nm-41_5xPCanOYRZqI2qrZVI5Q" TargetMode="External"/><Relationship Id="rId21" Type="http://schemas.openxmlformats.org/officeDocument/2006/relationships/hyperlink" Target="https://drive.google.com/open?id=1c_dom1yBEfrg7AcSOQr54fVgwxMKaGJK" TargetMode="External"/><Relationship Id="rId24" Type="http://schemas.openxmlformats.org/officeDocument/2006/relationships/hyperlink" Target="https://drive.google.com/open?id=18tBNcfZaqHL51fcmdpFuOp4AHku-Sq8d" TargetMode="External"/><Relationship Id="rId23" Type="http://schemas.openxmlformats.org/officeDocument/2006/relationships/hyperlink" Target="https://drive.google.com/open?id=1QIXtVuPtDJ-tn8Cng1QKSSt3CNyRaikQ" TargetMode="External"/><Relationship Id="rId767" Type="http://schemas.openxmlformats.org/officeDocument/2006/relationships/hyperlink" Target="https://drive.google.com/open?id=136LdQUNtmF9QaTM1zTx2W11doFVWTOLE" TargetMode="External"/><Relationship Id="rId766" Type="http://schemas.openxmlformats.org/officeDocument/2006/relationships/hyperlink" Target="https://drive.google.com/open?id=10QvYm-wuVcxAqSNrdtWB0ZlUg8veOEdU" TargetMode="External"/><Relationship Id="rId765" Type="http://schemas.openxmlformats.org/officeDocument/2006/relationships/hyperlink" Target="https://drive.google.com/open?id=1hPgl68HaJ-zzV1WqFQtYWNEhmfy5PCLs" TargetMode="External"/><Relationship Id="rId764" Type="http://schemas.openxmlformats.org/officeDocument/2006/relationships/hyperlink" Target="https://drive.google.com/open?id=1-VEYMCW3l0PXFEtYFpD3jldSLz6PLv8l" TargetMode="External"/><Relationship Id="rId769" Type="http://schemas.openxmlformats.org/officeDocument/2006/relationships/hyperlink" Target="https://drive.google.com/open?id=1KuNBmpMZS_uA0_73kYuTsGnKJkSaxJNR" TargetMode="External"/><Relationship Id="rId768" Type="http://schemas.openxmlformats.org/officeDocument/2006/relationships/hyperlink" Target="https://drive.google.com/open?id=16K0OjAGBT3DmHR5mzjJrBu_od50A5jWJ" TargetMode="External"/><Relationship Id="rId26" Type="http://schemas.openxmlformats.org/officeDocument/2006/relationships/hyperlink" Target="https://drive.google.com/open?id=1QPnvEQXm9CbOANLie0JsDZIWVPyOyVKW" TargetMode="External"/><Relationship Id="rId25" Type="http://schemas.openxmlformats.org/officeDocument/2006/relationships/hyperlink" Target="https://drive.google.com/open?id=1KMcNy8oz1aK5J5G9aU2Se0gUADC6l5Ra" TargetMode="External"/><Relationship Id="rId28" Type="http://schemas.openxmlformats.org/officeDocument/2006/relationships/hyperlink" Target="https://drive.google.com/open?id=1pFZMSg0U5JTeBIAvD-st02kTb3uFM-8Z" TargetMode="External"/><Relationship Id="rId1350" Type="http://schemas.openxmlformats.org/officeDocument/2006/relationships/hyperlink" Target="https://drive.google.com/open?id=13A3ZGI3-aKzyu4l-RKDu_GzOljxk8Rxp" TargetMode="External"/><Relationship Id="rId27" Type="http://schemas.openxmlformats.org/officeDocument/2006/relationships/hyperlink" Target="https://drive.google.com/open?id=18nREiU1AqlhbNSEtT3q_qfWZ3kD-lLE5" TargetMode="External"/><Relationship Id="rId1351" Type="http://schemas.openxmlformats.org/officeDocument/2006/relationships/hyperlink" Target="https://drive.google.com/open?id=1Bq_0XEtbKimEG2yjQyPsHER_AEGePV_d" TargetMode="External"/><Relationship Id="rId763" Type="http://schemas.openxmlformats.org/officeDocument/2006/relationships/hyperlink" Target="https://drive.google.com/open?id=1BoUN3WLMggs9Bm6YOfMVjkHpYDJ16YUP" TargetMode="External"/><Relationship Id="rId1352" Type="http://schemas.openxmlformats.org/officeDocument/2006/relationships/hyperlink" Target="https://drive.google.com/open?id=16zDYjlKxB-E6mF9kyKMC0ZDkEJ7qeviZ" TargetMode="External"/><Relationship Id="rId29" Type="http://schemas.openxmlformats.org/officeDocument/2006/relationships/hyperlink" Target="https://drive.google.com/open?id=1A27DXNoiss-Gco3r7lf4BKFY1X0B1UjN" TargetMode="External"/><Relationship Id="rId762" Type="http://schemas.openxmlformats.org/officeDocument/2006/relationships/hyperlink" Target="https://drive.google.com/open?id=12Aw9JBnVJ5rWOQ2L_VqcpXMWITfO6AgA" TargetMode="External"/><Relationship Id="rId1353" Type="http://schemas.openxmlformats.org/officeDocument/2006/relationships/hyperlink" Target="https://drive.google.com/open?id=1Vh8ABGI71P-aBtCM8owKTl1FjxUNIuag" TargetMode="External"/><Relationship Id="rId761" Type="http://schemas.openxmlformats.org/officeDocument/2006/relationships/hyperlink" Target="https://drive.google.com/open?id=134P2I3pD2SS-W20-g3ud9BmBsVEiO2FR" TargetMode="External"/><Relationship Id="rId1354" Type="http://schemas.openxmlformats.org/officeDocument/2006/relationships/hyperlink" Target="https://drive.google.com/open?id=1GUjw0lg4-4x7waMJncM25HPMl4oXyiFM" TargetMode="External"/><Relationship Id="rId760" Type="http://schemas.openxmlformats.org/officeDocument/2006/relationships/hyperlink" Target="https://drive.google.com/open?id=17NyakmZ6ZsZ83DGgRdjSksxJJRHvzLvv" TargetMode="External"/><Relationship Id="rId1355" Type="http://schemas.openxmlformats.org/officeDocument/2006/relationships/hyperlink" Target="https://drive.google.com/open?id=1ckBgqeBk-jk45Jsh7zTPKjezRHSQNEmQ" TargetMode="External"/><Relationship Id="rId1345" Type="http://schemas.openxmlformats.org/officeDocument/2006/relationships/hyperlink" Target="https://drive.google.com/open?id=1AP7xsJ5H4n3GlPR2iCv46b_VMVn4We2K" TargetMode="External"/><Relationship Id="rId1346" Type="http://schemas.openxmlformats.org/officeDocument/2006/relationships/hyperlink" Target="https://drive.google.com/open?id=1zwsMr-WEvBo2uXWKf2lvfAxQNjy4bQzK" TargetMode="External"/><Relationship Id="rId1347" Type="http://schemas.openxmlformats.org/officeDocument/2006/relationships/hyperlink" Target="https://drive.google.com/open?id=1oTuyRXjsB3JLHEDEgXqa7DYjl56zixIy" TargetMode="External"/><Relationship Id="rId1348" Type="http://schemas.openxmlformats.org/officeDocument/2006/relationships/hyperlink" Target="https://drive.google.com/open?id=1XV-oGvH2CnjBVNBDxsyHLjWaMFSxsivW" TargetMode="External"/><Relationship Id="rId11" Type="http://schemas.openxmlformats.org/officeDocument/2006/relationships/hyperlink" Target="https://drive.google.com/open?id=1-v8R8caNSpd9aQqqGDaTIf13ETG7x4f_" TargetMode="External"/><Relationship Id="rId1349" Type="http://schemas.openxmlformats.org/officeDocument/2006/relationships/hyperlink" Target="https://drive.google.com/open?id=1NHsodfni68pTQYL0rmU6U92-wuVN4rm5" TargetMode="External"/><Relationship Id="rId10" Type="http://schemas.openxmlformats.org/officeDocument/2006/relationships/hyperlink" Target="https://drive.google.com/open?id=1W3oS3s45iTQmlMEJQi1z29zqvH6WU2Oe" TargetMode="External"/><Relationship Id="rId13" Type="http://schemas.openxmlformats.org/officeDocument/2006/relationships/hyperlink" Target="https://drive.google.com/open?id=1dK_D_RDE24bPlmDiUo1YrkdeeNUXFGV-" TargetMode="External"/><Relationship Id="rId12" Type="http://schemas.openxmlformats.org/officeDocument/2006/relationships/hyperlink" Target="https://drive.google.com/open?id=1RgZ80kmSdlvQtzc3UJScqGgKGkzKnbfI" TargetMode="External"/><Relationship Id="rId756" Type="http://schemas.openxmlformats.org/officeDocument/2006/relationships/hyperlink" Target="https://drive.google.com/open?id=15fShLSYa95M1CMx2QjXwiLnXqFK26po5" TargetMode="External"/><Relationship Id="rId755" Type="http://schemas.openxmlformats.org/officeDocument/2006/relationships/hyperlink" Target="https://drive.google.com/open?id=18j-pZ12BOZQwFqc_2u-9vRh6F7tBoz_M" TargetMode="External"/><Relationship Id="rId754" Type="http://schemas.openxmlformats.org/officeDocument/2006/relationships/hyperlink" Target="https://drive.google.com/open?id=1aq0xsrL_B-iQeN4e4rF3P7OQXUecsNFJ" TargetMode="External"/><Relationship Id="rId753" Type="http://schemas.openxmlformats.org/officeDocument/2006/relationships/hyperlink" Target="https://drive.google.com/open?id=1l7eoNt7hRn6fxUZXYc909qxPbl4HUAbA" TargetMode="External"/><Relationship Id="rId759" Type="http://schemas.openxmlformats.org/officeDocument/2006/relationships/hyperlink" Target="https://drive.google.com/open?id=12U8nlGkFFj4wHZie88BUI6ywlqI9YugT" TargetMode="External"/><Relationship Id="rId758" Type="http://schemas.openxmlformats.org/officeDocument/2006/relationships/hyperlink" Target="https://drive.google.com/open?id=1P_SDynCHaaW72tBwCIbXv8UEO8NUopEk" TargetMode="External"/><Relationship Id="rId757" Type="http://schemas.openxmlformats.org/officeDocument/2006/relationships/hyperlink" Target="https://drive.google.com/open?id=1nZEMt24baX0onTXz2Liyrd92-XxHFnF0" TargetMode="External"/><Relationship Id="rId15" Type="http://schemas.openxmlformats.org/officeDocument/2006/relationships/hyperlink" Target="https://drive.google.com/open?id=1uuWNhUbL1MBPVA0Q1VgPjVpSFZOEDzao" TargetMode="External"/><Relationship Id="rId14" Type="http://schemas.openxmlformats.org/officeDocument/2006/relationships/hyperlink" Target="https://drive.google.com/open?id=1TYqCMYsPfhi8HRht_jC-sxycUMe9HGFz" TargetMode="External"/><Relationship Id="rId17" Type="http://schemas.openxmlformats.org/officeDocument/2006/relationships/hyperlink" Target="https://drive.google.com/open?id=1LoHF43KbwnVo_okD5d4L7957XnqQvQmj" TargetMode="External"/><Relationship Id="rId16" Type="http://schemas.openxmlformats.org/officeDocument/2006/relationships/hyperlink" Target="https://drive.google.com/open?id=1uAFAwt3dYk4mRC_UPUBn5AW5Zxo56IkM" TargetMode="External"/><Relationship Id="rId1340" Type="http://schemas.openxmlformats.org/officeDocument/2006/relationships/hyperlink" Target="https://drive.google.com/open?id=1YFG6xR_-ADfNDfQWwb38Z8FqOFx8Yspl" TargetMode="External"/><Relationship Id="rId19" Type="http://schemas.openxmlformats.org/officeDocument/2006/relationships/hyperlink" Target="https://drive.google.com/open?id=14_kjEFWXuvWr-8EVjs6NZleSOjYppHsb" TargetMode="External"/><Relationship Id="rId752" Type="http://schemas.openxmlformats.org/officeDocument/2006/relationships/hyperlink" Target="https://drive.google.com/open?id=1Cf5Nc45YCsAU9q1zOQiHHUx4XaxKGJuX" TargetMode="External"/><Relationship Id="rId1341" Type="http://schemas.openxmlformats.org/officeDocument/2006/relationships/hyperlink" Target="https://drive.google.com/open?id=1aZy25r6uldi4_6s9jGNYxZkX42rD1DZA" TargetMode="External"/><Relationship Id="rId18" Type="http://schemas.openxmlformats.org/officeDocument/2006/relationships/hyperlink" Target="https://drive.google.com/open?id=1qg0PxyqcGhx6JTmOlDsBiPQ91aW-JAjo" TargetMode="External"/><Relationship Id="rId751" Type="http://schemas.openxmlformats.org/officeDocument/2006/relationships/hyperlink" Target="https://drive.google.com/open?id=1FPX2QrZLTvGZfjzHUBavNjiV9l1kTGPq" TargetMode="External"/><Relationship Id="rId1342" Type="http://schemas.openxmlformats.org/officeDocument/2006/relationships/hyperlink" Target="https://drive.google.com/open?id=1llYo10JQs3t2yqtSU4o1hl2_WS4jzYWJ" TargetMode="External"/><Relationship Id="rId750" Type="http://schemas.openxmlformats.org/officeDocument/2006/relationships/hyperlink" Target="https://drive.google.com/open?id=1sDwciOtEuxq5IPhQZaT5VEoNzXGiQgdN" TargetMode="External"/><Relationship Id="rId1343" Type="http://schemas.openxmlformats.org/officeDocument/2006/relationships/hyperlink" Target="https://drive.google.com/open?id=1vfCTXCS2ZNJ8gCEBvF7GD47mHNd239iX" TargetMode="External"/><Relationship Id="rId1344" Type="http://schemas.openxmlformats.org/officeDocument/2006/relationships/hyperlink" Target="https://drive.google.com/open?id=1V542U69KICJNdgr5q0GKWubYnUKObulA" TargetMode="External"/><Relationship Id="rId84" Type="http://schemas.openxmlformats.org/officeDocument/2006/relationships/hyperlink" Target="https://drive.google.com/open?id=1hifjuFihTXKbIiF-5nCra9V0PPc36URt" TargetMode="External"/><Relationship Id="rId1774" Type="http://schemas.openxmlformats.org/officeDocument/2006/relationships/hyperlink" Target="https://drive.google.com/open?id=1tl3mhFHOZyf6mgjcf4xPv-7-oHQyLmz5" TargetMode="External"/><Relationship Id="rId83" Type="http://schemas.openxmlformats.org/officeDocument/2006/relationships/hyperlink" Target="https://drive.google.com/open?id=1qLwO9j6QWJqkrVFTFe1r7bBOvBWyxMrR" TargetMode="External"/><Relationship Id="rId1775" Type="http://schemas.openxmlformats.org/officeDocument/2006/relationships/hyperlink" Target="https://drive.google.com/open?id=1cebBPJw2Cag9Y_PrtgN1o5PEGewL-_M-" TargetMode="External"/><Relationship Id="rId86" Type="http://schemas.openxmlformats.org/officeDocument/2006/relationships/hyperlink" Target="https://drive.google.com/open?id=1y5dyz-4_Rx96Ob2UHhlEn0uTeO_arITJ" TargetMode="External"/><Relationship Id="rId1776" Type="http://schemas.openxmlformats.org/officeDocument/2006/relationships/hyperlink" Target="https://drive.google.com/open?id=1-PetfB6Tp194MjK0e-W1uHlAXhoGA3di" TargetMode="External"/><Relationship Id="rId85" Type="http://schemas.openxmlformats.org/officeDocument/2006/relationships/hyperlink" Target="https://drive.google.com/open?id=1xi_3_KryNHfhuwsF0rmwH-Qd-mqYuTLU" TargetMode="External"/><Relationship Id="rId1777" Type="http://schemas.openxmlformats.org/officeDocument/2006/relationships/hyperlink" Target="https://drive.google.com/open?id=1yW-xpepQVwiCMkNuqsgGvt74qKTyQXq_" TargetMode="External"/><Relationship Id="rId88" Type="http://schemas.openxmlformats.org/officeDocument/2006/relationships/hyperlink" Target="https://drive.google.com/open?id=11rW9SYSxFKwYAVVe4rjhiUeQzmiKRoi5" TargetMode="External"/><Relationship Id="rId1778" Type="http://schemas.openxmlformats.org/officeDocument/2006/relationships/hyperlink" Target="https://drive.google.com/open?id=18mtx8Qh8QHls3niSfI1jM6LKdhvuuQeL" TargetMode="External"/><Relationship Id="rId87" Type="http://schemas.openxmlformats.org/officeDocument/2006/relationships/hyperlink" Target="https://drive.google.com/open?id=1GoETtWDzIgW_oAaP0040Hr6PSwh-t3GB" TargetMode="External"/><Relationship Id="rId1779" Type="http://schemas.openxmlformats.org/officeDocument/2006/relationships/hyperlink" Target="https://drive.google.com/open?id=1msBWVmdG51966EXk0B4Mv4FHLbIxwHRY" TargetMode="External"/><Relationship Id="rId89" Type="http://schemas.openxmlformats.org/officeDocument/2006/relationships/hyperlink" Target="https://drive.google.com/open?id=1FbWAOVoOljNV934Luz8kVJsk5CN-9IFP" TargetMode="External"/><Relationship Id="rId709" Type="http://schemas.openxmlformats.org/officeDocument/2006/relationships/hyperlink" Target="https://drive.google.com/open?id=1WPfUXhW8cLHgHZxkW5IogO5j-ks-Ep7U" TargetMode="External"/><Relationship Id="rId708" Type="http://schemas.openxmlformats.org/officeDocument/2006/relationships/hyperlink" Target="https://drive.google.com/open?id=1f5fkYcbl5lPC1KzM9l4IKPF55533wJ9L" TargetMode="External"/><Relationship Id="rId707" Type="http://schemas.openxmlformats.org/officeDocument/2006/relationships/hyperlink" Target="https://drive.google.com/open?id=1_hWaWfnrw-tMxz7sGcU2vpEumtEmhwt6" TargetMode="External"/><Relationship Id="rId706" Type="http://schemas.openxmlformats.org/officeDocument/2006/relationships/hyperlink" Target="https://drive.google.com/open?id=1wRDnWjVgTMxaH-hngAwYfoHXbiKKZt70" TargetMode="External"/><Relationship Id="rId80" Type="http://schemas.openxmlformats.org/officeDocument/2006/relationships/hyperlink" Target="https://drive.google.com/open?id=1lCQIP6NcvtwOI3Qp-ygztSrRYNle8Fno" TargetMode="External"/><Relationship Id="rId82" Type="http://schemas.openxmlformats.org/officeDocument/2006/relationships/hyperlink" Target="https://drive.google.com/open?id=1rWOtnSib5pNevDKPrBsgqUJemwthqMRE" TargetMode="External"/><Relationship Id="rId81" Type="http://schemas.openxmlformats.org/officeDocument/2006/relationships/hyperlink" Target="https://drive.google.com/open?id=1jyPW79fPV6fSlK6LANHzYP9sopxjR-lO" TargetMode="External"/><Relationship Id="rId701" Type="http://schemas.openxmlformats.org/officeDocument/2006/relationships/hyperlink" Target="https://drive.google.com/open?id=1R2LLLsbXQwIwW4V-BCvJ1JlshXZWl59-" TargetMode="External"/><Relationship Id="rId700" Type="http://schemas.openxmlformats.org/officeDocument/2006/relationships/hyperlink" Target="https://drive.google.com/open?id=1A2vochcJvGrHoDWXY64uTyxO0dapzj9a" TargetMode="External"/><Relationship Id="rId705" Type="http://schemas.openxmlformats.org/officeDocument/2006/relationships/hyperlink" Target="https://drive.google.com/open?id=11oFg23t3ZKMD-lJrDa5C7OpBFpQ9H73T" TargetMode="External"/><Relationship Id="rId704" Type="http://schemas.openxmlformats.org/officeDocument/2006/relationships/hyperlink" Target="https://drive.google.com/open?id=1ozV6zBev14iz3yyNal7hj2QhlxhgFLV6" TargetMode="External"/><Relationship Id="rId703" Type="http://schemas.openxmlformats.org/officeDocument/2006/relationships/hyperlink" Target="https://drive.google.com/open?id=1YRzFQEBgsDlYrmKJpQZK7rihv1Ts_b0I" TargetMode="External"/><Relationship Id="rId702" Type="http://schemas.openxmlformats.org/officeDocument/2006/relationships/hyperlink" Target="https://drive.google.com/open?id=1s2j7xWnBz1z6TvxUo2Crr6p7f5ZN-w9u" TargetMode="External"/><Relationship Id="rId1770" Type="http://schemas.openxmlformats.org/officeDocument/2006/relationships/hyperlink" Target="https://drive.google.com/open?id=1MqwlNBjN4GdPpbDSL5mQ0tolJ7I2sXUI" TargetMode="External"/><Relationship Id="rId1771" Type="http://schemas.openxmlformats.org/officeDocument/2006/relationships/hyperlink" Target="https://drive.google.com/open?id=175hZfT5mALbCnDjklXXHfa7xUoGcLVfa" TargetMode="External"/><Relationship Id="rId1772" Type="http://schemas.openxmlformats.org/officeDocument/2006/relationships/hyperlink" Target="https://drive.google.com/open?id=195bDlEcFeF8Dkc1EwuP4HOHcdR4wl_h6" TargetMode="External"/><Relationship Id="rId1773" Type="http://schemas.openxmlformats.org/officeDocument/2006/relationships/hyperlink" Target="https://drive.google.com/open?id=1AlUvaHkYa-_TmleSQ5sZqJdmTYWxcgK2" TargetMode="External"/><Relationship Id="rId73" Type="http://schemas.openxmlformats.org/officeDocument/2006/relationships/hyperlink" Target="https://drive.google.com/open?id=1nCmT-2MVzYJ2cSjKXQ-RXQr60oPUlD_K" TargetMode="External"/><Relationship Id="rId1763" Type="http://schemas.openxmlformats.org/officeDocument/2006/relationships/hyperlink" Target="https://drive.google.com/open?id=1y1fCL2YVjhAfki385uViUN7wTPMWnbzv" TargetMode="External"/><Relationship Id="rId72" Type="http://schemas.openxmlformats.org/officeDocument/2006/relationships/hyperlink" Target="https://drive.google.com/open?id=1Eri7YtVm9NkUJ8-580CvasGTHTCxPe_F" TargetMode="External"/><Relationship Id="rId1764" Type="http://schemas.openxmlformats.org/officeDocument/2006/relationships/hyperlink" Target="https://drive.google.com/open?id=1X1i0BWIEiZUQ6fk01-qqsazvTIQhfUSp" TargetMode="External"/><Relationship Id="rId75" Type="http://schemas.openxmlformats.org/officeDocument/2006/relationships/hyperlink" Target="https://drive.google.com/open?id=1rz9AnQm86uagR_pAMig6v7gRhPmsjPD5" TargetMode="External"/><Relationship Id="rId1765" Type="http://schemas.openxmlformats.org/officeDocument/2006/relationships/hyperlink" Target="https://drive.google.com/open?id=1cocAhpT7zGXy2a1UrnMnHWoY1uvn3s-E" TargetMode="External"/><Relationship Id="rId74" Type="http://schemas.openxmlformats.org/officeDocument/2006/relationships/hyperlink" Target="https://drive.google.com/open?id=1piWHs3Y2Ya4_4oUq9AiKaWdJA4SIpaiH" TargetMode="External"/><Relationship Id="rId1766" Type="http://schemas.openxmlformats.org/officeDocument/2006/relationships/hyperlink" Target="https://drive.google.com/open?id=1kn2t1IVtdYwTvsCKKJrPPP0afcMDfMAt" TargetMode="External"/><Relationship Id="rId77" Type="http://schemas.openxmlformats.org/officeDocument/2006/relationships/hyperlink" Target="https://drive.google.com/open?id=1ERO6TVwxYl1AFWaNaYPJyUygy_Alj8rw" TargetMode="External"/><Relationship Id="rId1767" Type="http://schemas.openxmlformats.org/officeDocument/2006/relationships/hyperlink" Target="https://drive.google.com/open?id=1BMaENX90Y4WR0qcOD1aitqdZuLUI3Y_e" TargetMode="External"/><Relationship Id="rId76" Type="http://schemas.openxmlformats.org/officeDocument/2006/relationships/hyperlink" Target="https://drive.google.com/open?id=1L1Qo1Mxhgikalx904HBgg4GAs8INbe9I" TargetMode="External"/><Relationship Id="rId1768" Type="http://schemas.openxmlformats.org/officeDocument/2006/relationships/hyperlink" Target="https://drive.google.com/open?id=1gDbmkgWMEq04Q5zhILe0mPyQGDKe69Rx" TargetMode="External"/><Relationship Id="rId79" Type="http://schemas.openxmlformats.org/officeDocument/2006/relationships/hyperlink" Target="https://drive.google.com/open?id=10hLmuCevcj4rym65LtXH_pBpFzZsdz2h" TargetMode="External"/><Relationship Id="rId1769" Type="http://schemas.openxmlformats.org/officeDocument/2006/relationships/hyperlink" Target="http://deeplearning.ai" TargetMode="External"/><Relationship Id="rId78" Type="http://schemas.openxmlformats.org/officeDocument/2006/relationships/hyperlink" Target="https://drive.google.com/open?id=1_fCZDqKNIBX0w3m-dkaM6PGiYSEGIZC1" TargetMode="External"/><Relationship Id="rId71" Type="http://schemas.openxmlformats.org/officeDocument/2006/relationships/hyperlink" Target="https://drive.google.com/open?id=1bymUP6eHfxlufPNEm_LBn01j8OdUH3ZD" TargetMode="External"/><Relationship Id="rId70" Type="http://schemas.openxmlformats.org/officeDocument/2006/relationships/hyperlink" Target="https://drive.google.com/open?id=1DJ2JnCvQr30lA7e1yMtsehGcovvjzUil" TargetMode="External"/><Relationship Id="rId1760" Type="http://schemas.openxmlformats.org/officeDocument/2006/relationships/hyperlink" Target="https://drive.google.com/open?id=1FjXr1Ng9TffXmB4XF1qXNJ2ZIcpbIWnl" TargetMode="External"/><Relationship Id="rId1761" Type="http://schemas.openxmlformats.org/officeDocument/2006/relationships/hyperlink" Target="https://drive.google.com/open?id=1D_MqyYU6mykNhb6EVNBTre0c9nh9ypiJ" TargetMode="External"/><Relationship Id="rId1762" Type="http://schemas.openxmlformats.org/officeDocument/2006/relationships/hyperlink" Target="https://drive.google.com/open?id=1i8sDJwLtpKbK6AFs-xf4UsDOFGjdbMWl" TargetMode="External"/><Relationship Id="rId62" Type="http://schemas.openxmlformats.org/officeDocument/2006/relationships/hyperlink" Target="https://drive.google.com/open?id=1nfPh1Cv_7Q_0fIvYBaESrOMN0havByVR" TargetMode="External"/><Relationship Id="rId1312" Type="http://schemas.openxmlformats.org/officeDocument/2006/relationships/hyperlink" Target="https://drive.google.com/open?id=1xmSdM3nDHfIkMdMT8PdMg_2GiJ4NLhct" TargetMode="External"/><Relationship Id="rId1796" Type="http://schemas.openxmlformats.org/officeDocument/2006/relationships/hyperlink" Target="https://drive.google.com/open?id=1NziKGpNoGVQBJ--vVPZgARNfKMK01KI1" TargetMode="External"/><Relationship Id="rId61" Type="http://schemas.openxmlformats.org/officeDocument/2006/relationships/hyperlink" Target="https://drive.google.com/open?id=1TygJTBULgKD7q8GeQR5toar9zOHjDVEh" TargetMode="External"/><Relationship Id="rId1313" Type="http://schemas.openxmlformats.org/officeDocument/2006/relationships/hyperlink" Target="https://drive.google.com/open?id=1ZenK_hqLENL2KDPV5sxTLur4Mj5zAyFB" TargetMode="External"/><Relationship Id="rId1797" Type="http://schemas.openxmlformats.org/officeDocument/2006/relationships/hyperlink" Target="https://drive.google.com/open?id=17Xyl8xQNFxBtNZKVP87TJtmMU77hgaS-" TargetMode="External"/><Relationship Id="rId64" Type="http://schemas.openxmlformats.org/officeDocument/2006/relationships/hyperlink" Target="https://drive.google.com/open?id=19o5Qm4OqpYUbu8u3Ot2KY7B0CHQfQKNe" TargetMode="External"/><Relationship Id="rId1314" Type="http://schemas.openxmlformats.org/officeDocument/2006/relationships/hyperlink" Target="https://drive.google.com/open?id=1ExtAb3ShF6yWfO7pPD0Rwof0ao8GRMIf" TargetMode="External"/><Relationship Id="rId1798" Type="http://schemas.openxmlformats.org/officeDocument/2006/relationships/hyperlink" Target="https://drive.google.com/open?id=1-LFn7PcmXIQWpMV6LbdeEcsANKveXTo9" TargetMode="External"/><Relationship Id="rId63" Type="http://schemas.openxmlformats.org/officeDocument/2006/relationships/hyperlink" Target="https://drive.google.com/open?id=1cXf0pIBBC1kOVLsyX-_DetYOgp09YzA_" TargetMode="External"/><Relationship Id="rId1315" Type="http://schemas.openxmlformats.org/officeDocument/2006/relationships/hyperlink" Target="https://drive.google.com/open?id=1DAEL4LwNlRVMaF7wlnfDKNnjcWDN5TrR" TargetMode="External"/><Relationship Id="rId1799" Type="http://schemas.openxmlformats.org/officeDocument/2006/relationships/hyperlink" Target="https://drive.google.com/open?id=16awzWsVSW6x-uXQz_gNSXT0pJp1ebLvo" TargetMode="External"/><Relationship Id="rId66" Type="http://schemas.openxmlformats.org/officeDocument/2006/relationships/hyperlink" Target="https://drive.google.com/open?id=18-E87WQWNLxgSe6O5CdCHwihnb5pegwi" TargetMode="External"/><Relationship Id="rId1316" Type="http://schemas.openxmlformats.org/officeDocument/2006/relationships/hyperlink" Target="https://drive.google.com/open?id=1SlVcE8rGKFud2--_Yqh9LaVFqOwm0HQx" TargetMode="External"/><Relationship Id="rId65" Type="http://schemas.openxmlformats.org/officeDocument/2006/relationships/hyperlink" Target="https://drive.google.com/open?id=1XowCNI-6kjv_bJYJ1OROc-hXPvbArvwA" TargetMode="External"/><Relationship Id="rId1317" Type="http://schemas.openxmlformats.org/officeDocument/2006/relationships/hyperlink" Target="https://drive.google.com/open?id=1czkLH0A9hlYGxcPJ48_H4vKnkINQ2Gaq" TargetMode="External"/><Relationship Id="rId68" Type="http://schemas.openxmlformats.org/officeDocument/2006/relationships/hyperlink" Target="https://drive.google.com/open?id=1ScZ7IOZPdhhfDJUXPF-CMEI1xDbJyAAv" TargetMode="External"/><Relationship Id="rId1318" Type="http://schemas.openxmlformats.org/officeDocument/2006/relationships/hyperlink" Target="https://drive.google.com/open?id=1PAVAZVXXGyMyJJTfxGDmbGLQhiNNpPXr" TargetMode="External"/><Relationship Id="rId67" Type="http://schemas.openxmlformats.org/officeDocument/2006/relationships/hyperlink" Target="https://drive.google.com/open?id=1G4WFlSvqJ_jZjUheUgUalNNZL1kQmzhN" TargetMode="External"/><Relationship Id="rId1319" Type="http://schemas.openxmlformats.org/officeDocument/2006/relationships/hyperlink" Target="https://drive.google.com/open?id=1HgbIVOcZBSMq2XhWYzfHNp-kee0-_v-T" TargetMode="External"/><Relationship Id="rId729" Type="http://schemas.openxmlformats.org/officeDocument/2006/relationships/hyperlink" Target="https://drive.google.com/open?id=1ANx1BaRz1AoBB0EdoUoNP7vJe5AVsnVV" TargetMode="External"/><Relationship Id="rId728" Type="http://schemas.openxmlformats.org/officeDocument/2006/relationships/hyperlink" Target="https://drive.google.com/open?id=1Wawjw-L04QCVpBY0em0_Y1SQLmOVcqrO" TargetMode="External"/><Relationship Id="rId60" Type="http://schemas.openxmlformats.org/officeDocument/2006/relationships/hyperlink" Target="https://drive.google.com/open?id=1o97LtgjQqJ36vf4k-pOxjw_spMpmlq0J" TargetMode="External"/><Relationship Id="rId723" Type="http://schemas.openxmlformats.org/officeDocument/2006/relationships/hyperlink" Target="https://drive.google.com/open?id=1alC3TptgmchgQ0Ov9CEIfYpn5FubFyJL" TargetMode="External"/><Relationship Id="rId722" Type="http://schemas.openxmlformats.org/officeDocument/2006/relationships/hyperlink" Target="https://drive.google.com/open?id=1EJO0XC5P_pLAqOf-2Q8rbY0TxHWpxzxX" TargetMode="External"/><Relationship Id="rId721" Type="http://schemas.openxmlformats.org/officeDocument/2006/relationships/hyperlink" Target="https://drive.google.com/open?id=1zNDTOJTa-loY2JzE0YC6MTK-athBsanK" TargetMode="External"/><Relationship Id="rId720" Type="http://schemas.openxmlformats.org/officeDocument/2006/relationships/hyperlink" Target="https://drive.google.com/open?id=1rUsvBUcqTc4pCRFgLI6clp8DLaNqSU2s" TargetMode="External"/><Relationship Id="rId727" Type="http://schemas.openxmlformats.org/officeDocument/2006/relationships/hyperlink" Target="https://drive.google.com/open?id=1R7MqIRs3YZOruWBtAqBzwhgUzbDpw4tb" TargetMode="External"/><Relationship Id="rId726" Type="http://schemas.openxmlformats.org/officeDocument/2006/relationships/hyperlink" Target="https://drive.google.com/open?id=1oaGjs8hJ2R12P4G98dW9kU2e-yGO4_xl" TargetMode="External"/><Relationship Id="rId725" Type="http://schemas.openxmlformats.org/officeDocument/2006/relationships/hyperlink" Target="https://drive.google.com/open?id=1MyCa2fivlqQ7bcs1S2McWuvIsY-7DS9G" TargetMode="External"/><Relationship Id="rId724" Type="http://schemas.openxmlformats.org/officeDocument/2006/relationships/hyperlink" Target="https://drive.google.com/open?id=1QtbtvLWTBhNXZvDVypiun7FhSG7Wn0YN" TargetMode="External"/><Relationship Id="rId69" Type="http://schemas.openxmlformats.org/officeDocument/2006/relationships/hyperlink" Target="https://drive.google.com/open?id=1302qP7fBAPWTJKjCTBqpo-demIxhqNXY" TargetMode="External"/><Relationship Id="rId1790" Type="http://schemas.openxmlformats.org/officeDocument/2006/relationships/hyperlink" Target="https://drive.google.com/open?id=1l7KFUu-g2M5J8Qrkjw4GQKVPhWKr5RYW" TargetMode="External"/><Relationship Id="rId1791" Type="http://schemas.openxmlformats.org/officeDocument/2006/relationships/hyperlink" Target="https://drive.google.com/open?id=1z8tJnoJolWBpv8YcnfnaZzeDb5Xdm8zZ" TargetMode="External"/><Relationship Id="rId1792" Type="http://schemas.openxmlformats.org/officeDocument/2006/relationships/hyperlink" Target="https://drive.google.com/open?id=1uMYoubfB8v7-pspQFMkVvPtH4JmIEAP6" TargetMode="External"/><Relationship Id="rId1793" Type="http://schemas.openxmlformats.org/officeDocument/2006/relationships/hyperlink" Target="https://drive.google.com/open?id=1-F0i1lHRs4e9kzsaOJlVkCKSC8lyLuhr" TargetMode="External"/><Relationship Id="rId1310" Type="http://schemas.openxmlformats.org/officeDocument/2006/relationships/hyperlink" Target="https://drive.google.com/open?id=1Fk-eF-dHwPdK-isVKUqvXhCwaw3aqPtQ" TargetMode="External"/><Relationship Id="rId1794" Type="http://schemas.openxmlformats.org/officeDocument/2006/relationships/hyperlink" Target="https://drive.google.com/open?id=1qZo9Dc2rM5HaH96_wJI3ejAwSphAT30F" TargetMode="External"/><Relationship Id="rId1311" Type="http://schemas.openxmlformats.org/officeDocument/2006/relationships/hyperlink" Target="https://drive.google.com/open?id=1sYqyDPGKGnqq3tyBxXiJzgDk6Y8dnLXk" TargetMode="External"/><Relationship Id="rId1795" Type="http://schemas.openxmlformats.org/officeDocument/2006/relationships/hyperlink" Target="https://drive.google.com/open?id=1MTeM3Sd0EsoYG10fpWvr0ewCGWgFZwd9" TargetMode="External"/><Relationship Id="rId51" Type="http://schemas.openxmlformats.org/officeDocument/2006/relationships/hyperlink" Target="https://drive.google.com/open?id=1TQNt9O5qvayRmvqgmj3pkfr5flOfdDtl" TargetMode="External"/><Relationship Id="rId1301" Type="http://schemas.openxmlformats.org/officeDocument/2006/relationships/hyperlink" Target="https://drive.google.com/open?id=1uw3vOl4uk5ozK0NLJH4VnV9XJ4awr8JQ" TargetMode="External"/><Relationship Id="rId1785" Type="http://schemas.openxmlformats.org/officeDocument/2006/relationships/hyperlink" Target="https://drive.google.com/open?id=1wePIJtkTPBZxuduivAe0mSpK9IJ6_eEh" TargetMode="External"/><Relationship Id="rId50" Type="http://schemas.openxmlformats.org/officeDocument/2006/relationships/hyperlink" Target="https://drive.google.com/open?id=1kdGC3HxK8cyPhg5MkQpXA8YVXgwBKdYF" TargetMode="External"/><Relationship Id="rId1302" Type="http://schemas.openxmlformats.org/officeDocument/2006/relationships/hyperlink" Target="https://drive.google.com/open?id=1hCFBgVRd0S5A6bQiL4Hlvz9ke_hhzfM3" TargetMode="External"/><Relationship Id="rId1786" Type="http://schemas.openxmlformats.org/officeDocument/2006/relationships/hyperlink" Target="https://drive.google.com/open?id=1OMYU9aO2e5oGVHpE80UbbKtuVvO-SPuR" TargetMode="External"/><Relationship Id="rId53" Type="http://schemas.openxmlformats.org/officeDocument/2006/relationships/hyperlink" Target="https://drive.google.com/open?id=1oq2V-UqMhKBxHOEtz1AKdg2zDHkd5tBq" TargetMode="External"/><Relationship Id="rId1303" Type="http://schemas.openxmlformats.org/officeDocument/2006/relationships/hyperlink" Target="https://drive.google.com/open?id=1kzOGPnP1bZon3UB8-XK6StD-4SjhH4ko" TargetMode="External"/><Relationship Id="rId1787" Type="http://schemas.openxmlformats.org/officeDocument/2006/relationships/hyperlink" Target="https://drive.google.com/open?id=1Siem2AsY6JCok9s2uwpBm_bmhUkH5mib" TargetMode="External"/><Relationship Id="rId52" Type="http://schemas.openxmlformats.org/officeDocument/2006/relationships/hyperlink" Target="https://drive.google.com/open?id=1mtbP1QQNgrt8Quklkt73D96IAgRWsd43" TargetMode="External"/><Relationship Id="rId1304" Type="http://schemas.openxmlformats.org/officeDocument/2006/relationships/hyperlink" Target="https://drive.google.com/open?id=159SGl2epRTkON-1gKAs9-GJpTzd7mYQo" TargetMode="External"/><Relationship Id="rId1788" Type="http://schemas.openxmlformats.org/officeDocument/2006/relationships/hyperlink" Target="https://drive.google.com/open?id=14dCAhb9W-sYw6z5Dnv2tUAUHwKPQNhfT" TargetMode="External"/><Relationship Id="rId55" Type="http://schemas.openxmlformats.org/officeDocument/2006/relationships/hyperlink" Target="https://drive.google.com/open?id=1ig_8iP1h4iycn08YAtmzeVSpDUbm7gtY" TargetMode="External"/><Relationship Id="rId1305" Type="http://schemas.openxmlformats.org/officeDocument/2006/relationships/hyperlink" Target="https://drive.google.com/open?id=19xd92YSkvJWCnTC3nVtnoVauqBW7sOrd" TargetMode="External"/><Relationship Id="rId1789" Type="http://schemas.openxmlformats.org/officeDocument/2006/relationships/hyperlink" Target="https://drive.google.com/open?id=1gvIeJBmIWboglyfy7muQNi943qgd3l6N" TargetMode="External"/><Relationship Id="rId54" Type="http://schemas.openxmlformats.org/officeDocument/2006/relationships/hyperlink" Target="https://drive.google.com/open?id=13TAkbd6WvVwYJiXluYi4yvFFwTDCz6uT" TargetMode="External"/><Relationship Id="rId1306" Type="http://schemas.openxmlformats.org/officeDocument/2006/relationships/hyperlink" Target="https://drive.google.com/open?id=1eRpMF9ns_UhyCA6QFnqIRKYL6FkaeKvi" TargetMode="External"/><Relationship Id="rId57" Type="http://schemas.openxmlformats.org/officeDocument/2006/relationships/hyperlink" Target="https://drive.google.com/open?id=1Jb6MGZ2hFrOwp_ZbSYhLyHoB_QRaMyRJ" TargetMode="External"/><Relationship Id="rId1307" Type="http://schemas.openxmlformats.org/officeDocument/2006/relationships/hyperlink" Target="https://drive.google.com/open?id=1kwsseXwTrYdsbi_YGRdOdjW2_3V7G7ZU" TargetMode="External"/><Relationship Id="rId56" Type="http://schemas.openxmlformats.org/officeDocument/2006/relationships/hyperlink" Target="https://drive.google.com/open?id=1FEcFbJNoMZeOSZ2XRUcnIxmPYpN1mJKR" TargetMode="External"/><Relationship Id="rId1308" Type="http://schemas.openxmlformats.org/officeDocument/2006/relationships/hyperlink" Target="https://drive.google.com/open?id=1CZ5qJFLgv3hyoBa0vTnaFk3poGx9RWEv" TargetMode="External"/><Relationship Id="rId1309" Type="http://schemas.openxmlformats.org/officeDocument/2006/relationships/hyperlink" Target="https://drive.google.com/open?id=1ptMty6ndlaqD4-uQQZ4kUeXVqlZThoBw" TargetMode="External"/><Relationship Id="rId719" Type="http://schemas.openxmlformats.org/officeDocument/2006/relationships/hyperlink" Target="https://drive.google.com/open?id=1pWjhSz02aRPeh3Gu2nw87YrCPDMuAnNn" TargetMode="External"/><Relationship Id="rId718" Type="http://schemas.openxmlformats.org/officeDocument/2006/relationships/hyperlink" Target="https://drive.google.com/open?id=1rABfJUKRpSqleWAVpC2T3MOprLuyLyPa" TargetMode="External"/><Relationship Id="rId717" Type="http://schemas.openxmlformats.org/officeDocument/2006/relationships/hyperlink" Target="https://drive.google.com/open?id=1qmWYkZ9uNISCKdJ2kUyd6rPe1yQQrs8m" TargetMode="External"/><Relationship Id="rId712" Type="http://schemas.openxmlformats.org/officeDocument/2006/relationships/hyperlink" Target="https://drive.google.com/open?id=1InkIWNhqHwMI_EK22-4sYbdW-AcASCU3" TargetMode="External"/><Relationship Id="rId711" Type="http://schemas.openxmlformats.org/officeDocument/2006/relationships/hyperlink" Target="https://drive.google.com/open?id=1gFA1lCu4rHLk8s0vfQ6Wa3HEML6MLnnW" TargetMode="External"/><Relationship Id="rId710" Type="http://schemas.openxmlformats.org/officeDocument/2006/relationships/hyperlink" Target="https://drive.google.com/open?id=1fgv5CvK18243Ysu4UJmQrd7eBoTRVQvp" TargetMode="External"/><Relationship Id="rId716" Type="http://schemas.openxmlformats.org/officeDocument/2006/relationships/hyperlink" Target="https://drive.google.com/open?id=12zEjCujEAx38R7Mcz3Q5dj-Y8ZmURofK" TargetMode="External"/><Relationship Id="rId715" Type="http://schemas.openxmlformats.org/officeDocument/2006/relationships/hyperlink" Target="https://drive.google.com/open?id=1u7wm-N97PPXgI3ost1CrXrVe66wKvBsJ" TargetMode="External"/><Relationship Id="rId714" Type="http://schemas.openxmlformats.org/officeDocument/2006/relationships/hyperlink" Target="https://drive.google.com/open?id=12XH5RrfL2FOuXr7u4fG9Rx1Bs1pYuF3w" TargetMode="External"/><Relationship Id="rId713" Type="http://schemas.openxmlformats.org/officeDocument/2006/relationships/hyperlink" Target="https://drive.google.com/open?id=1f_6RyJdXXACjMWev8ca0hIqydzsrtWcs" TargetMode="External"/><Relationship Id="rId59" Type="http://schemas.openxmlformats.org/officeDocument/2006/relationships/hyperlink" Target="https://drive.google.com/open?id=12y2JfnPITi1EgRwDeBbP2weo5du5Dfw_" TargetMode="External"/><Relationship Id="rId58" Type="http://schemas.openxmlformats.org/officeDocument/2006/relationships/hyperlink" Target="https://drive.google.com/open?id=1ePQdQjmHPiagxHQtHPNkmgkhs0CpKRVk" TargetMode="External"/><Relationship Id="rId1780" Type="http://schemas.openxmlformats.org/officeDocument/2006/relationships/hyperlink" Target="https://drive.google.com/open?id=112veMJq0xzh0LinE6l_JRL7s4NSz_v9u" TargetMode="External"/><Relationship Id="rId1781" Type="http://schemas.openxmlformats.org/officeDocument/2006/relationships/hyperlink" Target="https://drive.google.com/open?id=1GkJLAiWs5OCkGJFarEqQDBiY9ZkOQXz3" TargetMode="External"/><Relationship Id="rId1782" Type="http://schemas.openxmlformats.org/officeDocument/2006/relationships/hyperlink" Target="https://drive.google.com/open?id=1HbBOBFjpWwJUWbWeFISPsLGnbI5b-Rk6" TargetMode="External"/><Relationship Id="rId1783" Type="http://schemas.openxmlformats.org/officeDocument/2006/relationships/hyperlink" Target="https://drive.google.com/open?id=192CUUib81oebiH3Uwg1EQpKZbzFPu8ch" TargetMode="External"/><Relationship Id="rId1300" Type="http://schemas.openxmlformats.org/officeDocument/2006/relationships/hyperlink" Target="https://drive.google.com/open?id=1c1vqszmBR4WNC79iwuQE8tCSGD2RgYFu" TargetMode="External"/><Relationship Id="rId1784" Type="http://schemas.openxmlformats.org/officeDocument/2006/relationships/hyperlink" Target="https://drive.google.com/open?id=1K2pP69l4IZpEayf9v7vG7Bc3FFkps-Bh" TargetMode="External"/><Relationship Id="rId349" Type="http://schemas.openxmlformats.org/officeDocument/2006/relationships/hyperlink" Target="https://drive.google.com/open?id=18ZGvBLENRDpnFtEk8pa5vgpH8LovCSxW" TargetMode="External"/><Relationship Id="rId348" Type="http://schemas.openxmlformats.org/officeDocument/2006/relationships/hyperlink" Target="https://drive.google.com/open?id=1eqRDfKf6TAFamnY0kDJLrMwUjrnB1G6L" TargetMode="External"/><Relationship Id="rId347" Type="http://schemas.openxmlformats.org/officeDocument/2006/relationships/hyperlink" Target="https://drive.google.com/open?id=1lwiSYH1TMda63duErMfjJzJNHJ3lznq7" TargetMode="External"/><Relationship Id="rId346" Type="http://schemas.openxmlformats.org/officeDocument/2006/relationships/hyperlink" Target="https://drive.google.com/open?id=1Qkly311R7TArLslRUrk4QxzeuF6u8THT" TargetMode="External"/><Relationship Id="rId341" Type="http://schemas.openxmlformats.org/officeDocument/2006/relationships/hyperlink" Target="https://drive.google.com/open?id=1DWHd-7ka-ee46X0CkP17v6AZjHeQ7aA7" TargetMode="External"/><Relationship Id="rId340" Type="http://schemas.openxmlformats.org/officeDocument/2006/relationships/hyperlink" Target="https://drive.google.com/open?id=1-SvlkiljJgizcW340DsSkgyrIk5El_Fs" TargetMode="External"/><Relationship Id="rId345" Type="http://schemas.openxmlformats.org/officeDocument/2006/relationships/hyperlink" Target="https://drive.google.com/open?id=1KKoUmR5Osd9B5_nwo1qlelMAibn-9ZoZ" TargetMode="External"/><Relationship Id="rId344" Type="http://schemas.openxmlformats.org/officeDocument/2006/relationships/hyperlink" Target="https://drive.google.com/open?id=12-80y08be4n2P68It-eHdVNU-Tzf5XWU" TargetMode="External"/><Relationship Id="rId343" Type="http://schemas.openxmlformats.org/officeDocument/2006/relationships/hyperlink" Target="https://drive.google.com/open?id=17N3BeMW8Hmh9A0Hdl076geARXIkgtdJg" TargetMode="External"/><Relationship Id="rId342" Type="http://schemas.openxmlformats.org/officeDocument/2006/relationships/hyperlink" Target="https://drive.google.com/open?id=1AeoCf75DFmus-547YYjYZdDtYHiUXCrr" TargetMode="External"/><Relationship Id="rId338" Type="http://schemas.openxmlformats.org/officeDocument/2006/relationships/hyperlink" Target="https://drive.google.com/open?id=1PGe_YhDZ1SXbP36ChnZ2JAqpqC42knJJ" TargetMode="External"/><Relationship Id="rId337" Type="http://schemas.openxmlformats.org/officeDocument/2006/relationships/hyperlink" Target="https://drive.google.com/open?id=1-SoacEr93mcC-8vYxjGNQEffwQCJoh-c" TargetMode="External"/><Relationship Id="rId336" Type="http://schemas.openxmlformats.org/officeDocument/2006/relationships/hyperlink" Target="https://drive.google.com/open?id=1TE7yeZAMwFyhxq-xeNKV41D9Sw_m3tKg" TargetMode="External"/><Relationship Id="rId335" Type="http://schemas.openxmlformats.org/officeDocument/2006/relationships/hyperlink" Target="https://drive.google.com/open?id=1SWhau6BZsYrQW2m8wvGigOczG7S684k8" TargetMode="External"/><Relationship Id="rId339" Type="http://schemas.openxmlformats.org/officeDocument/2006/relationships/hyperlink" Target="https://drive.google.com/open?id=1wwftrjGcCgXc829tPDxaqXf_VUtsK_MT" TargetMode="External"/><Relationship Id="rId330" Type="http://schemas.openxmlformats.org/officeDocument/2006/relationships/hyperlink" Target="https://drive.google.com/open?id=1GSySQ9XWzPG4_CT4scF7g4D8a1w0HNVg" TargetMode="External"/><Relationship Id="rId334" Type="http://schemas.openxmlformats.org/officeDocument/2006/relationships/hyperlink" Target="https://drive.google.com/open?id=1fIttXo-0e7AW-B6zZWeKtI9UqK1Vr7U-" TargetMode="External"/><Relationship Id="rId333" Type="http://schemas.openxmlformats.org/officeDocument/2006/relationships/hyperlink" Target="https://drive.google.com/open?id=1MlxCiiHa-jCKLhW0mp25BWHjk-pxLFWX" TargetMode="External"/><Relationship Id="rId332" Type="http://schemas.openxmlformats.org/officeDocument/2006/relationships/hyperlink" Target="https://drive.google.com/open?id=1iMgoMdOng_18ssDd4lHi-8f00MaO0xdx" TargetMode="External"/><Relationship Id="rId331" Type="http://schemas.openxmlformats.org/officeDocument/2006/relationships/hyperlink" Target="https://drive.google.com/open?id=1saIgyXhIKHIP0qj41JYjjetOKWSi9XTp" TargetMode="External"/><Relationship Id="rId370" Type="http://schemas.openxmlformats.org/officeDocument/2006/relationships/hyperlink" Target="https://drive.google.com/open?id=1CgkJja-xS0LqyyIfSu4y9kgIUYuvt0gx" TargetMode="External"/><Relationship Id="rId369" Type="http://schemas.openxmlformats.org/officeDocument/2006/relationships/hyperlink" Target="https://drive.google.com/open?id=1aFiyWg3nKicVjRiTTKmWpmr6wrfEAy7Y" TargetMode="External"/><Relationship Id="rId368" Type="http://schemas.openxmlformats.org/officeDocument/2006/relationships/hyperlink" Target="https://drive.google.com/open?id=10ICl2iGnFmohHhEghsK1kCY2vbKE3S4V" TargetMode="External"/><Relationship Id="rId363" Type="http://schemas.openxmlformats.org/officeDocument/2006/relationships/hyperlink" Target="https://drive.google.com/open?id=1Sa0mof6HF9WoRTINJHjV102SRQUn-hmg" TargetMode="External"/><Relationship Id="rId362" Type="http://schemas.openxmlformats.org/officeDocument/2006/relationships/hyperlink" Target="https://drive.google.com/open?id=14K6nY5Zmu7aYFBOqjAHAjykSQh084Liz" TargetMode="External"/><Relationship Id="rId361" Type="http://schemas.openxmlformats.org/officeDocument/2006/relationships/hyperlink" Target="https://drive.google.com/open?id=1qXwc475uw5BmiNnSXgm_E1KoedXTkkgW" TargetMode="External"/><Relationship Id="rId360" Type="http://schemas.openxmlformats.org/officeDocument/2006/relationships/hyperlink" Target="https://drive.google.com/open?id=1tEBdOaI5D-hDwEhnzhVTlujb8AifOd6E" TargetMode="External"/><Relationship Id="rId367" Type="http://schemas.openxmlformats.org/officeDocument/2006/relationships/hyperlink" Target="https://drive.google.com/open?id=1P1eIRxNbNnIakpXu7ay-bcjoV6kb1-qp" TargetMode="External"/><Relationship Id="rId366" Type="http://schemas.openxmlformats.org/officeDocument/2006/relationships/hyperlink" Target="https://drive.google.com/open?id=1WWEp-QqOIqYjBMhmUKbPZ36vniwhr2Av" TargetMode="External"/><Relationship Id="rId365" Type="http://schemas.openxmlformats.org/officeDocument/2006/relationships/hyperlink" Target="https://drive.google.com/open?id=12i9WYJZrumjVke4Oq75AvPlAIc806ql5" TargetMode="External"/><Relationship Id="rId364" Type="http://schemas.openxmlformats.org/officeDocument/2006/relationships/hyperlink" Target="https://drive.google.com/open?id=1GUfl4mlnXROBrfPau_24WDQdpP5kWsjX" TargetMode="External"/><Relationship Id="rId95" Type="http://schemas.openxmlformats.org/officeDocument/2006/relationships/hyperlink" Target="https://drive.google.com/open?id=1yr0kBqoZsc_zc9qQEBxEHDJokNdQsJKu" TargetMode="External"/><Relationship Id="rId94" Type="http://schemas.openxmlformats.org/officeDocument/2006/relationships/hyperlink" Target="https://drive.google.com/open?id=1cPx_WF0s9doUfM1_GkZe3bOU5GdjrSt5" TargetMode="External"/><Relationship Id="rId97" Type="http://schemas.openxmlformats.org/officeDocument/2006/relationships/hyperlink" Target="https://drive.google.com/open?id=1snLSTDItYM6XqrV7D2RDPUr_OFCaKzBn" TargetMode="External"/><Relationship Id="rId96" Type="http://schemas.openxmlformats.org/officeDocument/2006/relationships/hyperlink" Target="https://drive.google.com/open?id=1iHQ_OzGdGwvuj_6h5n4_UoHjYIdeFruP" TargetMode="External"/><Relationship Id="rId99" Type="http://schemas.openxmlformats.org/officeDocument/2006/relationships/hyperlink" Target="https://drive.google.com/open?id=17WoFN9WMB3spWhb84feUEwJqfHh35LmO" TargetMode="External"/><Relationship Id="rId98" Type="http://schemas.openxmlformats.org/officeDocument/2006/relationships/hyperlink" Target="https://drive.google.com/open?id=1DXcdXzCkOcbyhBhLXOKT4jhAX9XdM3_G" TargetMode="External"/><Relationship Id="rId91" Type="http://schemas.openxmlformats.org/officeDocument/2006/relationships/hyperlink" Target="https://drive.google.com/open?id=1nv45MlqTCMcGUrLqupfue2-EpTWrTG8c" TargetMode="External"/><Relationship Id="rId90" Type="http://schemas.openxmlformats.org/officeDocument/2006/relationships/hyperlink" Target="https://drive.google.com/open?id=1QJRz-EbuXy_d6ZWpHTsrEjjdIKElpk0-" TargetMode="External"/><Relationship Id="rId93" Type="http://schemas.openxmlformats.org/officeDocument/2006/relationships/hyperlink" Target="https://drive.google.com/open?id=1CeOQ59qmlzNyT1Esv4h5TV6_GBYNxX3G" TargetMode="External"/><Relationship Id="rId92" Type="http://schemas.openxmlformats.org/officeDocument/2006/relationships/hyperlink" Target="https://drive.google.com/open?id=1x3HYhUw40jhSMb8RRJ3qW95BZmPslygK" TargetMode="External"/><Relationship Id="rId359" Type="http://schemas.openxmlformats.org/officeDocument/2006/relationships/hyperlink" Target="https://drive.google.com/open?id=1b10yQQiqJa5x-8VGCPcRG_CInB4HWbui" TargetMode="External"/><Relationship Id="rId358" Type="http://schemas.openxmlformats.org/officeDocument/2006/relationships/hyperlink" Target="https://drive.google.com/open?id=1OtmRwww0kHx5VNyzxRZUw9VdnrJnpqf0" TargetMode="External"/><Relationship Id="rId357" Type="http://schemas.openxmlformats.org/officeDocument/2006/relationships/hyperlink" Target="https://drive.google.com/open?id=19Vnr-yfir3mSMfja5hULLq4nv1UtLUFs" TargetMode="External"/><Relationship Id="rId352" Type="http://schemas.openxmlformats.org/officeDocument/2006/relationships/hyperlink" Target="https://drive.google.com/open?id=1WrZ6G5U0Tk1c9ooBvCrvbKrBvHPNs9mF" TargetMode="External"/><Relationship Id="rId351" Type="http://schemas.openxmlformats.org/officeDocument/2006/relationships/hyperlink" Target="https://drive.google.com/open?id=1L9wjC6vG7nuYvjdimem2IuS0Bw1r4G8G" TargetMode="External"/><Relationship Id="rId350" Type="http://schemas.openxmlformats.org/officeDocument/2006/relationships/hyperlink" Target="https://drive.google.com/open?id=1YYL7ajowjC05hE-1lr9jnWEK3HxBaqXe" TargetMode="External"/><Relationship Id="rId356" Type="http://schemas.openxmlformats.org/officeDocument/2006/relationships/hyperlink" Target="https://drive.google.com/open?id=1d3CJEwqnnG0DPf8lZ3jX3U-orHJ8_B2K" TargetMode="External"/><Relationship Id="rId355" Type="http://schemas.openxmlformats.org/officeDocument/2006/relationships/hyperlink" Target="https://drive.google.com/open?id=1ruTJxLfRD91bBKO3FXzsuBZ404E4nE-J" TargetMode="External"/><Relationship Id="rId354" Type="http://schemas.openxmlformats.org/officeDocument/2006/relationships/hyperlink" Target="https://drive.google.com/open?id=15XHduGDa7PgoZDaYpRg4GrCbAe0JtMuG" TargetMode="External"/><Relationship Id="rId353" Type="http://schemas.openxmlformats.org/officeDocument/2006/relationships/hyperlink" Target="https://drive.google.com/open?id=1-zCDceZm8HrT2MI98eNitL7FcvuByl22" TargetMode="External"/><Relationship Id="rId1378" Type="http://schemas.openxmlformats.org/officeDocument/2006/relationships/hyperlink" Target="https://drive.google.com/open?id=1Sb1weKGCly4fo_dv66vvjRUopycy4Nw2" TargetMode="External"/><Relationship Id="rId1379" Type="http://schemas.openxmlformats.org/officeDocument/2006/relationships/hyperlink" Target="https://drive.google.com/open?id=1OZ7vflVpCncDhDGBOEtNAXDDu-5S5ekD" TargetMode="External"/><Relationship Id="rId305" Type="http://schemas.openxmlformats.org/officeDocument/2006/relationships/hyperlink" Target="https://drive.google.com/open?id=1fr51ofb1W2cxRhP0PDjYmOEyIGpYgfmd" TargetMode="External"/><Relationship Id="rId789" Type="http://schemas.openxmlformats.org/officeDocument/2006/relationships/hyperlink" Target="https://drive.google.com/open?id=1hBqV4sg4Pw3O_UkYZNPEOc25dVaFCQ2c" TargetMode="External"/><Relationship Id="rId304" Type="http://schemas.openxmlformats.org/officeDocument/2006/relationships/hyperlink" Target="https://drive.google.com/open?id=1XD6n55u4083weBmzcpH610mjDGhsoYfd" TargetMode="External"/><Relationship Id="rId788" Type="http://schemas.openxmlformats.org/officeDocument/2006/relationships/hyperlink" Target="https://drive.google.com/open?id=1xHB7KlbUemK4WT97QXCv1wmS6wBM8Ib9" TargetMode="External"/><Relationship Id="rId303" Type="http://schemas.openxmlformats.org/officeDocument/2006/relationships/hyperlink" Target="https://drive.google.com/open?id=1MX5GaLHjFSuq5PDC4RNThxuwL5EraFCr" TargetMode="External"/><Relationship Id="rId787" Type="http://schemas.openxmlformats.org/officeDocument/2006/relationships/hyperlink" Target="http://1stop.ai" TargetMode="External"/><Relationship Id="rId302" Type="http://schemas.openxmlformats.org/officeDocument/2006/relationships/hyperlink" Target="https://drive.google.com/open?id=1usRNj28J-Yv6kinZKevnEFcpZdFjXnlv" TargetMode="External"/><Relationship Id="rId786" Type="http://schemas.openxmlformats.org/officeDocument/2006/relationships/hyperlink" Target="https://drive.google.com/open?id=1K7re4F4sjorGSy4xdqaaQ9iR-eljFBmp" TargetMode="External"/><Relationship Id="rId309" Type="http://schemas.openxmlformats.org/officeDocument/2006/relationships/hyperlink" Target="https://drive.google.com/open?id=1jXktun-HZQccdZTo1gydXxzOLTvv5CnM" TargetMode="External"/><Relationship Id="rId308" Type="http://schemas.openxmlformats.org/officeDocument/2006/relationships/hyperlink" Target="https://drive.google.com/open?id=1J6jQbfJk6dWBsUdK5PdL31TlD2H8n1mi" TargetMode="External"/><Relationship Id="rId307" Type="http://schemas.openxmlformats.org/officeDocument/2006/relationships/hyperlink" Target="https://drive.google.com/open?id=1CGoEV-2e8V_Lk7tS14KxSr7ESQ8kcu19" TargetMode="External"/><Relationship Id="rId306" Type="http://schemas.openxmlformats.org/officeDocument/2006/relationships/hyperlink" Target="https://drive.google.com/open?id=1DYVycUg39LYXa1MTaM-5hZYiPhY52zHM" TargetMode="External"/><Relationship Id="rId781" Type="http://schemas.openxmlformats.org/officeDocument/2006/relationships/hyperlink" Target="https://drive.google.com/open?id=1Dj1IHiJpi9Lf7RMiYSSBntVBnyCoemGO" TargetMode="External"/><Relationship Id="rId1370" Type="http://schemas.openxmlformats.org/officeDocument/2006/relationships/hyperlink" Target="https://drive.google.com/open?id=1L_3HsIfcOCTImB53e-nUEKtGCDppT7Pm" TargetMode="External"/><Relationship Id="rId780" Type="http://schemas.openxmlformats.org/officeDocument/2006/relationships/hyperlink" Target="https://drive.google.com/open?id=17si7cirUmJndpGWo3GtEYCMGrK38dDoV" TargetMode="External"/><Relationship Id="rId1371" Type="http://schemas.openxmlformats.org/officeDocument/2006/relationships/hyperlink" Target="https://drive.google.com/open?id=1iVqHCUjmEYvWU-0Nzqjq7zyZZk5dFiT5" TargetMode="External"/><Relationship Id="rId1372" Type="http://schemas.openxmlformats.org/officeDocument/2006/relationships/hyperlink" Target="https://drive.google.com/open?id=1PMfeCuz1ry2XrzLvU98P5JrmIQBHKsHG" TargetMode="External"/><Relationship Id="rId1373" Type="http://schemas.openxmlformats.org/officeDocument/2006/relationships/hyperlink" Target="https://drive.google.com/open?id=1uzVLqon8EB68uEiLLRH3XQi8tyaXd4uV" TargetMode="External"/><Relationship Id="rId301" Type="http://schemas.openxmlformats.org/officeDocument/2006/relationships/hyperlink" Target="https://drive.google.com/open?id=1a01qIrRTj6Es2vSmI86QnjWKufkpZF5_" TargetMode="External"/><Relationship Id="rId785" Type="http://schemas.openxmlformats.org/officeDocument/2006/relationships/hyperlink" Target="https://drive.google.com/open?id=135lffPeuyEr33WeMtI8SWpmgcErped5g" TargetMode="External"/><Relationship Id="rId1374" Type="http://schemas.openxmlformats.org/officeDocument/2006/relationships/hyperlink" Target="https://drive.google.com/open?id=1FlNFhq7OpTZ3vFL1u7UCNPi9TdqCX6s_" TargetMode="External"/><Relationship Id="rId300" Type="http://schemas.openxmlformats.org/officeDocument/2006/relationships/hyperlink" Target="https://drive.google.com/open?id=1lkOA7apObZaQGPC_yRymnEcyRs5JFC-y" TargetMode="External"/><Relationship Id="rId784" Type="http://schemas.openxmlformats.org/officeDocument/2006/relationships/hyperlink" Target="http://1stop.ai" TargetMode="External"/><Relationship Id="rId1375" Type="http://schemas.openxmlformats.org/officeDocument/2006/relationships/hyperlink" Target="https://drive.google.com/open?id=15dCKuHgYSYyWdEhK8CrzVV8ekecVY3pQ" TargetMode="External"/><Relationship Id="rId783" Type="http://schemas.openxmlformats.org/officeDocument/2006/relationships/hyperlink" Target="https://drive.google.com/open?id=1QhCd4X2faGs2frmeSijuspb-SsA1hgvh" TargetMode="External"/><Relationship Id="rId1376" Type="http://schemas.openxmlformats.org/officeDocument/2006/relationships/hyperlink" Target="https://drive.google.com/open?id=1ZJrkRdsMoUkk9fPkvBW3ThInDIxCiuz6" TargetMode="External"/><Relationship Id="rId782" Type="http://schemas.openxmlformats.org/officeDocument/2006/relationships/hyperlink" Target="https://drive.google.com/open?id=12oZBqNOCdGscf-2Q9CeT0JV9-npaxoEZ" TargetMode="External"/><Relationship Id="rId1377" Type="http://schemas.openxmlformats.org/officeDocument/2006/relationships/hyperlink" Target="https://drive.google.com/open?id=1ybAw-ahHUjE2vqj887euHhxUAFGVaW2H" TargetMode="External"/><Relationship Id="rId1367" Type="http://schemas.openxmlformats.org/officeDocument/2006/relationships/hyperlink" Target="https://drive.google.com/open?id=1RHTPiPKI9-CjzscxP-nDYDLT81tyhwh-" TargetMode="External"/><Relationship Id="rId1368" Type="http://schemas.openxmlformats.org/officeDocument/2006/relationships/hyperlink" Target="https://drive.google.com/open?id=169dTjHD4kNz07CRxjGDEbNPSmTISD66T" TargetMode="External"/><Relationship Id="rId1369" Type="http://schemas.openxmlformats.org/officeDocument/2006/relationships/hyperlink" Target="https://drive.google.com/open?id=1kzO8Rkz8zuwzUO5XqHfqdfkxioA1-KzY" TargetMode="External"/><Relationship Id="rId778" Type="http://schemas.openxmlformats.org/officeDocument/2006/relationships/hyperlink" Target="https://drive.google.com/open?id=16PngkmY2MrkDIn-g-e6sl8BNXl8J7Lpi" TargetMode="External"/><Relationship Id="rId777" Type="http://schemas.openxmlformats.org/officeDocument/2006/relationships/hyperlink" Target="https://drive.google.com/open?id=1gb03XodkHPhoZhmWCb4BYT9_AYiuwvXC" TargetMode="External"/><Relationship Id="rId776" Type="http://schemas.openxmlformats.org/officeDocument/2006/relationships/hyperlink" Target="https://drive.google.com/open?id=1kUCKamDQvSydly64EJmnG0x75hW8ZcJl" TargetMode="External"/><Relationship Id="rId775" Type="http://schemas.openxmlformats.org/officeDocument/2006/relationships/hyperlink" Target="https://drive.google.com/open?id=1Q_mxllZmRvTLTbcdP2WbjAIWSoLVVgED" TargetMode="External"/><Relationship Id="rId779" Type="http://schemas.openxmlformats.org/officeDocument/2006/relationships/hyperlink" Target="https://drive.google.com/open?id=1qG4yKD0AhX79KjzGNKXGiMINRg-6-e_d" TargetMode="External"/><Relationship Id="rId770" Type="http://schemas.openxmlformats.org/officeDocument/2006/relationships/hyperlink" Target="https://drive.google.com/open?id=1kAHHiXHPPzDaVNvKd1i1qugvelPnBGd5" TargetMode="External"/><Relationship Id="rId1360" Type="http://schemas.openxmlformats.org/officeDocument/2006/relationships/hyperlink" Target="https://drive.google.com/open?id=15Ogt03ZV1jfFdoBSByeuzZBQQrfcRtDT" TargetMode="External"/><Relationship Id="rId1361" Type="http://schemas.openxmlformats.org/officeDocument/2006/relationships/hyperlink" Target="https://drive.google.com/open?id=18e0vdU2AMtLaA6e223826psRNdrMumqa" TargetMode="External"/><Relationship Id="rId1362" Type="http://schemas.openxmlformats.org/officeDocument/2006/relationships/hyperlink" Target="https://drive.google.com/open?id=1p97L5qAnBKl657IDsRyvIgHR-GCY-bLz" TargetMode="External"/><Relationship Id="rId774" Type="http://schemas.openxmlformats.org/officeDocument/2006/relationships/hyperlink" Target="https://drive.google.com/open?id=16gk4EJQdxCN0zUM15j7dKfdYYeYJjiMQ" TargetMode="External"/><Relationship Id="rId1363" Type="http://schemas.openxmlformats.org/officeDocument/2006/relationships/hyperlink" Target="https://drive.google.com/open?id=1PR40Ymz_OmoQEPznfZeievxc0klmzyUm" TargetMode="External"/><Relationship Id="rId773" Type="http://schemas.openxmlformats.org/officeDocument/2006/relationships/hyperlink" Target="https://drive.google.com/open?id=1kB2dETgK9HrOxigXiDFEsWXGRNUPqNBB" TargetMode="External"/><Relationship Id="rId1364" Type="http://schemas.openxmlformats.org/officeDocument/2006/relationships/hyperlink" Target="https://drive.google.com/open?id=1sy3IXloS4hFU6XnPUXON0DFI5Xa-WEJ0" TargetMode="External"/><Relationship Id="rId772" Type="http://schemas.openxmlformats.org/officeDocument/2006/relationships/hyperlink" Target="https://drive.google.com/open?id=1UdFcBbraR4eMfq9v89NSg0Rw00m1jrLa" TargetMode="External"/><Relationship Id="rId1365" Type="http://schemas.openxmlformats.org/officeDocument/2006/relationships/hyperlink" Target="https://drive.google.com/open?id=1TNyg_nhP-TuaMnKxRlTDVzaCrbMg1A7W" TargetMode="External"/><Relationship Id="rId771" Type="http://schemas.openxmlformats.org/officeDocument/2006/relationships/hyperlink" Target="https://drive.google.com/open?id=1jwEjX1eg1cjLCJcQyUFV20AYaopM1Rj_" TargetMode="External"/><Relationship Id="rId1366" Type="http://schemas.openxmlformats.org/officeDocument/2006/relationships/hyperlink" Target="https://drive.google.com/open?id=1YWU_dCA5YuTZNpI-8_s2xxirCMjSZ6j_" TargetMode="External"/><Relationship Id="rId327" Type="http://schemas.openxmlformats.org/officeDocument/2006/relationships/hyperlink" Target="https://drive.google.com/open?id=1EmvpTa5j_6na-7NvTE7ZmRtnvUJ1ecxS" TargetMode="External"/><Relationship Id="rId326" Type="http://schemas.openxmlformats.org/officeDocument/2006/relationships/hyperlink" Target="https://drive.google.com/open?id=1OD_4ylnlGP-3KVccawhDmymp_XieJ2JT" TargetMode="External"/><Relationship Id="rId325" Type="http://schemas.openxmlformats.org/officeDocument/2006/relationships/hyperlink" Target="https://drive.google.com/open?id=1XYSKZ49HqIeghBbtItkh5MlLKQtpA4P9" TargetMode="External"/><Relationship Id="rId324" Type="http://schemas.openxmlformats.org/officeDocument/2006/relationships/hyperlink" Target="https://drive.google.com/open?id=1fppRokg8O_ztDJx0mkm7EqY01BpPMsrL" TargetMode="External"/><Relationship Id="rId329" Type="http://schemas.openxmlformats.org/officeDocument/2006/relationships/hyperlink" Target="https://drive.google.com/open?id=1VRlGOrW3Zj480S4jLzaknk543AyUWlZD" TargetMode="External"/><Relationship Id="rId1390" Type="http://schemas.openxmlformats.org/officeDocument/2006/relationships/hyperlink" Target="https://drive.google.com/open?id=1TzYUN3fZPNqLeO9BemH5turdTQhzjqh4" TargetMode="External"/><Relationship Id="rId328" Type="http://schemas.openxmlformats.org/officeDocument/2006/relationships/hyperlink" Target="https://drive.google.com/open?id=1_6uI5I0pLhwAN-tYYgmJI22WJ1ACcGYu" TargetMode="External"/><Relationship Id="rId1391" Type="http://schemas.openxmlformats.org/officeDocument/2006/relationships/hyperlink" Target="https://drive.google.com/open?id=1FTV94cTNn13GYdK2Jt3N9XNczLWPf6E_" TargetMode="External"/><Relationship Id="rId1392" Type="http://schemas.openxmlformats.org/officeDocument/2006/relationships/hyperlink" Target="https://drive.google.com/open?id=1XvhTETicFpQDG3AA1I0cxOQskdIsbw3Q" TargetMode="External"/><Relationship Id="rId1393" Type="http://schemas.openxmlformats.org/officeDocument/2006/relationships/hyperlink" Target="https://drive.google.com/open?id=1kFIgWEYOOUSIxrRuV4poD4qlMMUgp4sY" TargetMode="External"/><Relationship Id="rId1394" Type="http://schemas.openxmlformats.org/officeDocument/2006/relationships/hyperlink" Target="https://drive.google.com/open?id=19XdtABaX3jcuZ8D_dlD7m8ltI99f_5u3" TargetMode="External"/><Relationship Id="rId1395" Type="http://schemas.openxmlformats.org/officeDocument/2006/relationships/hyperlink" Target="https://drive.google.com/open?id=17aECMty8Ykh1imABMLRc4yauXyh1K0S1" TargetMode="External"/><Relationship Id="rId323" Type="http://schemas.openxmlformats.org/officeDocument/2006/relationships/hyperlink" Target="https://drive.google.com/open?id=1GHLPz2KKWtbbMW9wN7c_o4y2rt_PJ1IG" TargetMode="External"/><Relationship Id="rId1396" Type="http://schemas.openxmlformats.org/officeDocument/2006/relationships/hyperlink" Target="https://drive.google.com/open?id=1LPb_B_9ZcpX5lez3lB2AKrBa_I0x_wOX" TargetMode="External"/><Relationship Id="rId322" Type="http://schemas.openxmlformats.org/officeDocument/2006/relationships/hyperlink" Target="https://drive.google.com/open?id=1St4ALTYPjBjD_fwPzqO2wiDh4k_BcGAm" TargetMode="External"/><Relationship Id="rId1397" Type="http://schemas.openxmlformats.org/officeDocument/2006/relationships/hyperlink" Target="https://drive.google.com/open?id=1k7n_qatDD-M5G-N6ZlqOMovIbH4XcNXX" TargetMode="External"/><Relationship Id="rId321" Type="http://schemas.openxmlformats.org/officeDocument/2006/relationships/hyperlink" Target="https://drive.google.com/open?id=1MiDY-YLGQZZKBUxNOYnsMV3T58qcYnWx" TargetMode="External"/><Relationship Id="rId1398" Type="http://schemas.openxmlformats.org/officeDocument/2006/relationships/hyperlink" Target="https://drive.google.com/open?id=1NWzPObzKHYQ_0DokV9wtmaLGJJH8hjY8" TargetMode="External"/><Relationship Id="rId320" Type="http://schemas.openxmlformats.org/officeDocument/2006/relationships/hyperlink" Target="https://drive.google.com/open?id=1uiOk2DJDaRpvDEfg1RYv1Q7VzJqGW4l0" TargetMode="External"/><Relationship Id="rId1399" Type="http://schemas.openxmlformats.org/officeDocument/2006/relationships/hyperlink" Target="https://drive.google.com/open?id=1RRfbtJTy6_Bglbrf_-xqsBhLPsl6uwew" TargetMode="External"/><Relationship Id="rId1389" Type="http://schemas.openxmlformats.org/officeDocument/2006/relationships/hyperlink" Target="https://drive.google.com/open?id=1JdldJvxrurjrw5a4ZytnwSvpbUTbFjlV" TargetMode="External"/><Relationship Id="rId316" Type="http://schemas.openxmlformats.org/officeDocument/2006/relationships/hyperlink" Target="https://drive.google.com/open?id=16HY80oc6HtCuuvj5JewUNCelUtFbxbkg" TargetMode="External"/><Relationship Id="rId315" Type="http://schemas.openxmlformats.org/officeDocument/2006/relationships/hyperlink" Target="https://drive.google.com/open?id=1wwqvYj7G8Hq9WXoUmmD6Idk6NYqHxAoX" TargetMode="External"/><Relationship Id="rId799" Type="http://schemas.openxmlformats.org/officeDocument/2006/relationships/hyperlink" Target="https://drive.google.com/open?id=1x1vPPgHRokfeWxX4IGrK3rtEMoNuxZ4y" TargetMode="External"/><Relationship Id="rId314" Type="http://schemas.openxmlformats.org/officeDocument/2006/relationships/hyperlink" Target="https://drive.google.com/open?id=1DhXoFA1w4UZTLOmDgJtSJ8eYXX20ozee" TargetMode="External"/><Relationship Id="rId798" Type="http://schemas.openxmlformats.org/officeDocument/2006/relationships/hyperlink" Target="https://drive.google.com/open?id=1-2XRNFWqoYlC4fMcw_b0gR2AoUtJrEB5" TargetMode="External"/><Relationship Id="rId313" Type="http://schemas.openxmlformats.org/officeDocument/2006/relationships/hyperlink" Target="https://drive.google.com/open?id=1uTGVtRaRxKQKLb_Ehjblj80sg5F5loWs" TargetMode="External"/><Relationship Id="rId797" Type="http://schemas.openxmlformats.org/officeDocument/2006/relationships/hyperlink" Target="https://drive.google.com/open?id=14M2s0Yb5IrkGYbOl1tHOF2UOlYrDb6lf" TargetMode="External"/><Relationship Id="rId319" Type="http://schemas.openxmlformats.org/officeDocument/2006/relationships/hyperlink" Target="https://drive.google.com/open?id=1ZeIF1osrfps_pQKFLERPH1SofXyLhKVp" TargetMode="External"/><Relationship Id="rId318" Type="http://schemas.openxmlformats.org/officeDocument/2006/relationships/hyperlink" Target="https://drive.google.com/open?id=1cxNgSdtZCgxXJy14XYM9W6ctcNxeemck" TargetMode="External"/><Relationship Id="rId317" Type="http://schemas.openxmlformats.org/officeDocument/2006/relationships/hyperlink" Target="https://drive.google.com/open?id=1HEFFnq8T2crffT5UhOJ7A7csKpf6EYKP" TargetMode="External"/><Relationship Id="rId1380" Type="http://schemas.openxmlformats.org/officeDocument/2006/relationships/hyperlink" Target="https://drive.google.com/open?id=1p9VrZYzDER5OCCWXBDQkLH3S54PTtGpg" TargetMode="External"/><Relationship Id="rId792" Type="http://schemas.openxmlformats.org/officeDocument/2006/relationships/hyperlink" Target="https://drive.google.com/open?id=1z5KkDpjCjsM7cmCqgb6ch6Zw6xDrHH7K" TargetMode="External"/><Relationship Id="rId1381" Type="http://schemas.openxmlformats.org/officeDocument/2006/relationships/hyperlink" Target="https://drive.google.com/open?id=1uUNqNBbIOP9Q9-w0fQjDIQ65HGgFGtqU" TargetMode="External"/><Relationship Id="rId791" Type="http://schemas.openxmlformats.org/officeDocument/2006/relationships/hyperlink" Target="https://drive.google.com/open?id=12IpAFvbUR9zj0mziUqWU7AgiiGFeWJDn" TargetMode="External"/><Relationship Id="rId1382" Type="http://schemas.openxmlformats.org/officeDocument/2006/relationships/hyperlink" Target="https://drive.google.com/open?id=1UlTYPHzRtctmCX2m7SOfcO_gVYDOL7Aa" TargetMode="External"/><Relationship Id="rId790" Type="http://schemas.openxmlformats.org/officeDocument/2006/relationships/hyperlink" Target="https://drive.google.com/open?id=1egre4J8ROMfoWUd7u6ooYPskcd26Yji0" TargetMode="External"/><Relationship Id="rId1383" Type="http://schemas.openxmlformats.org/officeDocument/2006/relationships/hyperlink" Target="https://drive.google.com/open?id=1wbQtX2jxd2cANVmiM5kcSR2sUp9obZz9" TargetMode="External"/><Relationship Id="rId1384" Type="http://schemas.openxmlformats.org/officeDocument/2006/relationships/hyperlink" Target="https://drive.google.com/open?id=18Gym7x1WJGt-D5eG6kCWRckF9bc1U7UT" TargetMode="External"/><Relationship Id="rId312" Type="http://schemas.openxmlformats.org/officeDocument/2006/relationships/hyperlink" Target="https://drive.google.com/open?id=12g2wjrfUifDh3Gx7TlgWMhP8oc4dxI9d" TargetMode="External"/><Relationship Id="rId796" Type="http://schemas.openxmlformats.org/officeDocument/2006/relationships/hyperlink" Target="https://drive.google.com/open?id=1SITLo59BA2g6jPYZieToe5GLnG9g9zbO" TargetMode="External"/><Relationship Id="rId1385" Type="http://schemas.openxmlformats.org/officeDocument/2006/relationships/hyperlink" Target="https://drive.google.com/open?id=14YFIFfv8KmQJ4sk76AtHpP0CSZFUQwa7" TargetMode="External"/><Relationship Id="rId311" Type="http://schemas.openxmlformats.org/officeDocument/2006/relationships/hyperlink" Target="https://drive.google.com/open?id=1n27dXeSQi_XbyI0Qxh545-88cmtBtSqd" TargetMode="External"/><Relationship Id="rId795" Type="http://schemas.openxmlformats.org/officeDocument/2006/relationships/hyperlink" Target="https://drive.google.com/open?id=1v01EIsd16wQQu_jl1eRzigztb8ixsaaB" TargetMode="External"/><Relationship Id="rId1386" Type="http://schemas.openxmlformats.org/officeDocument/2006/relationships/hyperlink" Target="https://drive.google.com/open?id=1NqFlC7Bath7G7K4zUCxJOED0H4RgXyES" TargetMode="External"/><Relationship Id="rId310" Type="http://schemas.openxmlformats.org/officeDocument/2006/relationships/hyperlink" Target="https://drive.google.com/open?id=14_zULZ6Hd6xjm0n-EZCNgOfM0U3palZz" TargetMode="External"/><Relationship Id="rId794" Type="http://schemas.openxmlformats.org/officeDocument/2006/relationships/hyperlink" Target="https://drive.google.com/open?id=1tjRps7JVzvJ4U_8NLhIsGXmohocnwFRC" TargetMode="External"/><Relationship Id="rId1387" Type="http://schemas.openxmlformats.org/officeDocument/2006/relationships/hyperlink" Target="https://drive.google.com/open?id=1QvUwrIQfinKbby4N8Oug9__l3z2KYHaC" TargetMode="External"/><Relationship Id="rId793" Type="http://schemas.openxmlformats.org/officeDocument/2006/relationships/hyperlink" Target="https://drive.google.com/open?id=1dxsEMUXbJMfkH09yBl3V1nbaVPYmlu0q" TargetMode="External"/><Relationship Id="rId1388" Type="http://schemas.openxmlformats.org/officeDocument/2006/relationships/hyperlink" Target="https://drive.google.com/open?id=14jyjf351Oy7MTPqFB_6oRWFkjLNaCR0E" TargetMode="External"/><Relationship Id="rId297" Type="http://schemas.openxmlformats.org/officeDocument/2006/relationships/hyperlink" Target="https://drive.google.com/open?id=17IrdOrM5riUDlK7k5Np6O4fQSFI_YiLU" TargetMode="External"/><Relationship Id="rId296" Type="http://schemas.openxmlformats.org/officeDocument/2006/relationships/hyperlink" Target="https://drive.google.com/open?id=16YuOgPrHQn_L_0OMIhQ71G9-Q5oVq_75" TargetMode="External"/><Relationship Id="rId295" Type="http://schemas.openxmlformats.org/officeDocument/2006/relationships/hyperlink" Target="https://drive.google.com/open?id=1ZF9MwusSUKSs-S0c6iZa-SxEZTgYzEi5" TargetMode="External"/><Relationship Id="rId294" Type="http://schemas.openxmlformats.org/officeDocument/2006/relationships/hyperlink" Target="https://drive.google.com/open?id=1Nir40EKmnh1bKY3MAizZPSeaLrKAGV1h" TargetMode="External"/><Relationship Id="rId299" Type="http://schemas.openxmlformats.org/officeDocument/2006/relationships/hyperlink" Target="https://drive.google.com/open?id=16XuY4EmUqK2kjZQKWp85qX6PVR4EofpK" TargetMode="External"/><Relationship Id="rId298" Type="http://schemas.openxmlformats.org/officeDocument/2006/relationships/hyperlink" Target="https://drive.google.com/open?id=1wr-9g-h1nNPln7TH18Vd8LrJ__ulov_d" TargetMode="External"/><Relationship Id="rId271" Type="http://schemas.openxmlformats.org/officeDocument/2006/relationships/hyperlink" Target="https://drive.google.com/open?id=1cOOeFbzfVa259sAWKf5ChvDZd0ox5haj" TargetMode="External"/><Relationship Id="rId270" Type="http://schemas.openxmlformats.org/officeDocument/2006/relationships/hyperlink" Target="https://drive.google.com/open?id=1Xw2oJAu2cW0rAc9TPYjclklox-UbSYzd" TargetMode="External"/><Relationship Id="rId269" Type="http://schemas.openxmlformats.org/officeDocument/2006/relationships/hyperlink" Target="https://drive.google.com/open?id=1UBOwEJ9I9SCa4QjFoguP6K2cUsxIiAtY" TargetMode="External"/><Relationship Id="rId264" Type="http://schemas.openxmlformats.org/officeDocument/2006/relationships/hyperlink" Target="https://drive.google.com/open?id=1ma_stHfWBNm3aii_BEU928E9YL2sHdt2" TargetMode="External"/><Relationship Id="rId263" Type="http://schemas.openxmlformats.org/officeDocument/2006/relationships/hyperlink" Target="https://drive.google.com/open?id=1jBcezeHcAVh8Ra03iYZ5Gb6UyE3hDAEu" TargetMode="External"/><Relationship Id="rId262" Type="http://schemas.openxmlformats.org/officeDocument/2006/relationships/hyperlink" Target="https://drive.google.com/open?id=1UUOc2bc6eY3QzSTHXsUfbAZ3XLFm1tgt" TargetMode="External"/><Relationship Id="rId261" Type="http://schemas.openxmlformats.org/officeDocument/2006/relationships/hyperlink" Target="https://drive.google.com/open?id=1iwLu_bWwmWVWWsS1xqwK7HIQDR5WiX5h" TargetMode="External"/><Relationship Id="rId268" Type="http://schemas.openxmlformats.org/officeDocument/2006/relationships/hyperlink" Target="https://drive.google.com/open?id=1M75Zuz94mobCB2u7SAfxI6p_Ap3Wqno0" TargetMode="External"/><Relationship Id="rId267" Type="http://schemas.openxmlformats.org/officeDocument/2006/relationships/hyperlink" Target="https://drive.google.com/open?id=1uKBfJz5WRxQys5M72Brb5OK10qcss7FK" TargetMode="External"/><Relationship Id="rId266" Type="http://schemas.openxmlformats.org/officeDocument/2006/relationships/hyperlink" Target="https://drive.google.com/open?id=1MECCJigW9kZNViIwA4VPXhY5cUjsAjyS" TargetMode="External"/><Relationship Id="rId265" Type="http://schemas.openxmlformats.org/officeDocument/2006/relationships/hyperlink" Target="https://drive.google.com/open?id=1Dzwq6M6F0MneFVTbr_uNPH4It9kXbuBR" TargetMode="External"/><Relationship Id="rId260" Type="http://schemas.openxmlformats.org/officeDocument/2006/relationships/hyperlink" Target="https://drive.google.com/open?id=1xgPDjIIWtlF8N_AbDktqiqkbj0DwF7lD" TargetMode="External"/><Relationship Id="rId259" Type="http://schemas.openxmlformats.org/officeDocument/2006/relationships/hyperlink" Target="https://drive.google.com/open?id=1LhLl8wf-mab2ISMydvdASHJw2x8W0HOp" TargetMode="External"/><Relationship Id="rId258" Type="http://schemas.openxmlformats.org/officeDocument/2006/relationships/hyperlink" Target="https://drive.google.com/open?id=1yH6xTcHoOf9YKgRhzLt1vsdSEVe9vBnF" TargetMode="External"/><Relationship Id="rId253" Type="http://schemas.openxmlformats.org/officeDocument/2006/relationships/hyperlink" Target="https://drive.google.com/open?id=1a7_i4mBy91rc-1wnj7fXUZe2lgdZ_dUp" TargetMode="External"/><Relationship Id="rId252" Type="http://schemas.openxmlformats.org/officeDocument/2006/relationships/hyperlink" Target="https://drive.google.com/open?id=12xA8tdA87ytI4YDWfbXDbBh_21lGhlC6" TargetMode="External"/><Relationship Id="rId251" Type="http://schemas.openxmlformats.org/officeDocument/2006/relationships/hyperlink" Target="https://drive.google.com/open?id=17Z1Pj0_3s3CNdVQcwfvjW-EQpt6p9MI8" TargetMode="External"/><Relationship Id="rId250" Type="http://schemas.openxmlformats.org/officeDocument/2006/relationships/hyperlink" Target="https://drive.google.com/open?id=1mdMxQKViLW6ytSLD-Vbdi4e36jaHSc9u" TargetMode="External"/><Relationship Id="rId257" Type="http://schemas.openxmlformats.org/officeDocument/2006/relationships/hyperlink" Target="https://drive.google.com/open?id=1UCYsFcfdCkQbSjAfAGs7hvKdplw9pvJo" TargetMode="External"/><Relationship Id="rId256" Type="http://schemas.openxmlformats.org/officeDocument/2006/relationships/hyperlink" Target="https://drive.google.com/open?id=1cj6KMrfRUN35LIBGgAZrYmyvlNpJT8rK" TargetMode="External"/><Relationship Id="rId255" Type="http://schemas.openxmlformats.org/officeDocument/2006/relationships/hyperlink" Target="https://drive.google.com/open?id=1lxAJST8TXOy3XcL_6b_yYdnKszShgTct" TargetMode="External"/><Relationship Id="rId254" Type="http://schemas.openxmlformats.org/officeDocument/2006/relationships/hyperlink" Target="https://drive.google.com/open?id=1QnUhsVy-V9By4eiuivhfai7KsnOFOEpg" TargetMode="External"/><Relationship Id="rId293" Type="http://schemas.openxmlformats.org/officeDocument/2006/relationships/hyperlink" Target="https://drive.google.com/open?id=10DIYGLHZ9tYfI1fQ5KChqCTvurgWNlZo" TargetMode="External"/><Relationship Id="rId292" Type="http://schemas.openxmlformats.org/officeDocument/2006/relationships/hyperlink" Target="https://drive.google.com/open?id=1nRDBC7pTdfCiYyaiOh-weXyRCKy4G_dh" TargetMode="External"/><Relationship Id="rId291" Type="http://schemas.openxmlformats.org/officeDocument/2006/relationships/hyperlink" Target="https://drive.google.com/open?id=13SNgW7VupL2K7SWxmqQnnrjTaqBBbZcq" TargetMode="External"/><Relationship Id="rId290" Type="http://schemas.openxmlformats.org/officeDocument/2006/relationships/hyperlink" Target="https://drive.google.com/open?id=1jdJWtZhz8H41QJNUaf5RtjX52LNo8Api" TargetMode="External"/><Relationship Id="rId286" Type="http://schemas.openxmlformats.org/officeDocument/2006/relationships/hyperlink" Target="https://drive.google.com/open?id=1nMcjeDp3LFt1z1cRZug48GyfV1fbyZTG" TargetMode="External"/><Relationship Id="rId285" Type="http://schemas.openxmlformats.org/officeDocument/2006/relationships/hyperlink" Target="https://drive.google.com/open?id=1Rgp9RcpL0amYzwFCwfvoSHP8-_qz7L8J" TargetMode="External"/><Relationship Id="rId284" Type="http://schemas.openxmlformats.org/officeDocument/2006/relationships/hyperlink" Target="https://drive.google.com/open?id=1C1cf7JpQvnbLHJbkSl_GcfXU09Em_cL1" TargetMode="External"/><Relationship Id="rId283" Type="http://schemas.openxmlformats.org/officeDocument/2006/relationships/hyperlink" Target="https://drive.google.com/open?id=1pnUEp9JInySqXlPxfO-l_p6EtXy4QLJb" TargetMode="External"/><Relationship Id="rId289" Type="http://schemas.openxmlformats.org/officeDocument/2006/relationships/hyperlink" Target="https://drive.google.com/open?id=1vZ6h6NmWY4HXvyOSIHu-uiERHOWH-pa3" TargetMode="External"/><Relationship Id="rId288" Type="http://schemas.openxmlformats.org/officeDocument/2006/relationships/hyperlink" Target="https://drive.google.com/open?id=1lEpwiKvCdwRIeNr-XYFINLTXzsZygfTe" TargetMode="External"/><Relationship Id="rId287" Type="http://schemas.openxmlformats.org/officeDocument/2006/relationships/hyperlink" Target="https://drive.google.com/open?id=1_x0w13DUxgU5mRVbSDHa4RMMIgT0_CiY" TargetMode="External"/><Relationship Id="rId282" Type="http://schemas.openxmlformats.org/officeDocument/2006/relationships/hyperlink" Target="https://drive.google.com/open?id=1w-IsasqP3t24jS8fpAoDARXoUNdVPN0Y" TargetMode="External"/><Relationship Id="rId281" Type="http://schemas.openxmlformats.org/officeDocument/2006/relationships/hyperlink" Target="https://drive.google.com/open?id=1eVFF13KuKupbFEOlXh1v8SIRQmQg4b71" TargetMode="External"/><Relationship Id="rId280" Type="http://schemas.openxmlformats.org/officeDocument/2006/relationships/hyperlink" Target="https://drive.google.com/open?id=1mDHA3t9wZzaCRSYZW_V_mQyWBk9Pz8ex" TargetMode="External"/><Relationship Id="rId275" Type="http://schemas.openxmlformats.org/officeDocument/2006/relationships/hyperlink" Target="https://drive.google.com/open?id=1JlXIlbw3LU4pvglwII582towmfSEFhKP" TargetMode="External"/><Relationship Id="rId274" Type="http://schemas.openxmlformats.org/officeDocument/2006/relationships/hyperlink" Target="https://drive.google.com/open?id=1ZdqbZz3jeUF3M_MYrqnTTtzHJAcp2G98" TargetMode="External"/><Relationship Id="rId273" Type="http://schemas.openxmlformats.org/officeDocument/2006/relationships/hyperlink" Target="https://drive.google.com/open?id=1GJg-pY3JFa2WpVzh2cHEFtzk64MkRwv4" TargetMode="External"/><Relationship Id="rId272" Type="http://schemas.openxmlformats.org/officeDocument/2006/relationships/hyperlink" Target="https://drive.google.com/open?id=1gtaQNNyKbecMF1hVt0kUst-Ow5gy0n_U" TargetMode="External"/><Relationship Id="rId279" Type="http://schemas.openxmlformats.org/officeDocument/2006/relationships/hyperlink" Target="https://drive.google.com/open?id=1GfiUIYmtc5lHuKVXjJFvcD_dMpiJydpn" TargetMode="External"/><Relationship Id="rId278" Type="http://schemas.openxmlformats.org/officeDocument/2006/relationships/hyperlink" Target="https://drive.google.com/open?id=15V76iEt4CxmdQlVon3hNfEC99jdl_76T" TargetMode="External"/><Relationship Id="rId277" Type="http://schemas.openxmlformats.org/officeDocument/2006/relationships/hyperlink" Target="https://drive.google.com/open?id=1xOtwg-_8p-fxQ4Pa_pf12b4F16TkwHwQ" TargetMode="External"/><Relationship Id="rId276" Type="http://schemas.openxmlformats.org/officeDocument/2006/relationships/hyperlink" Target="https://drive.google.com/open?id=1QcqfuFaHa6H053vRvriHTe-x9DfBwCd5" TargetMode="External"/><Relationship Id="rId1851" Type="http://schemas.openxmlformats.org/officeDocument/2006/relationships/hyperlink" Target="https://drive.google.com/open?id=1i8sDJwLtpKbK6AFs-xf4UsDOFGjdbMWl" TargetMode="External"/><Relationship Id="rId1852" Type="http://schemas.openxmlformats.org/officeDocument/2006/relationships/hyperlink" Target="https://drive.google.com/open?id=1y1fCL2YVjhAfki385uViUN7wTPMWnbzv" TargetMode="External"/><Relationship Id="rId1853" Type="http://schemas.openxmlformats.org/officeDocument/2006/relationships/hyperlink" Target="https://drive.google.com/open?id=1X1i0BWIEiZUQ6fk01-qqsazvTIQhfUSp" TargetMode="External"/><Relationship Id="rId1854" Type="http://schemas.openxmlformats.org/officeDocument/2006/relationships/hyperlink" Target="https://drive.google.com/open?id=1cocAhpT7zGXy2a1UrnMnHWoY1uvn3s-E" TargetMode="External"/><Relationship Id="rId1855" Type="http://schemas.openxmlformats.org/officeDocument/2006/relationships/hyperlink" Target="https://drive.google.com/open?id=1kn2t1IVtdYwTvsCKKJrPPP0afcMDfMAt" TargetMode="External"/><Relationship Id="rId1856" Type="http://schemas.openxmlformats.org/officeDocument/2006/relationships/hyperlink" Target="https://drive.google.com/open?id=1BMaENX90Y4WR0qcOD1aitqdZuLUI3Y_e" TargetMode="External"/><Relationship Id="rId1857" Type="http://schemas.openxmlformats.org/officeDocument/2006/relationships/hyperlink" Target="https://drive.google.com/open?id=1gDbmkgWMEq04Q5zhILe0mPyQGDKe69Rx" TargetMode="External"/><Relationship Id="rId1858" Type="http://schemas.openxmlformats.org/officeDocument/2006/relationships/hyperlink" Target="http://deeplearning.ai" TargetMode="External"/><Relationship Id="rId1859" Type="http://schemas.openxmlformats.org/officeDocument/2006/relationships/hyperlink" Target="https://drive.google.com/open?id=1MqwlNBjN4GdPpbDSL5mQ0tolJ7I2sXUI" TargetMode="External"/><Relationship Id="rId1850" Type="http://schemas.openxmlformats.org/officeDocument/2006/relationships/hyperlink" Target="https://drive.google.com/open?id=1D_MqyYU6mykNhb6EVNBTre0c9nh9ypiJ" TargetMode="External"/><Relationship Id="rId1840" Type="http://schemas.openxmlformats.org/officeDocument/2006/relationships/hyperlink" Target="https://drive.google.com/open?id=1OzI_clNZODyIGXGq0gPExTdi8hKCS5BN" TargetMode="External"/><Relationship Id="rId1841" Type="http://schemas.openxmlformats.org/officeDocument/2006/relationships/hyperlink" Target="https://drive.google.com/open?id=1kSiwWkQ34BKq0Ei_9oEe4MLdRbI53C-B" TargetMode="External"/><Relationship Id="rId1842" Type="http://schemas.openxmlformats.org/officeDocument/2006/relationships/hyperlink" Target="https://drive.google.com/open?id=1Ogss-ENczLrCs4d5vr2tJpBAjtiOg7jg" TargetMode="External"/><Relationship Id="rId1843" Type="http://schemas.openxmlformats.org/officeDocument/2006/relationships/hyperlink" Target="https://drive.google.com/open?id=1EDcPrN2JzsFd4R7QWV2jFMn4R53gDygq" TargetMode="External"/><Relationship Id="rId1844" Type="http://schemas.openxmlformats.org/officeDocument/2006/relationships/hyperlink" Target="https://drive.google.com/open?id=1P0l-zn9L90WIfJqqqW8e8-0Dp_7Vc2pg" TargetMode="External"/><Relationship Id="rId1845" Type="http://schemas.openxmlformats.org/officeDocument/2006/relationships/hyperlink" Target="https://drive.google.com/open?id=1ZPfIrmV7dCUeaFjoT2l1nJVDvHUuN3Dx" TargetMode="External"/><Relationship Id="rId1846" Type="http://schemas.openxmlformats.org/officeDocument/2006/relationships/hyperlink" Target="https://drive.google.com/open?id=1UQv-1XseNPEtsjbnCm_DGGa2REEN7v9Q" TargetMode="External"/><Relationship Id="rId1847" Type="http://schemas.openxmlformats.org/officeDocument/2006/relationships/hyperlink" Target="https://drive.google.com/open?id=1dlD-oI48yw-XP-Dlyc2dEHZuFm7ytl5h" TargetMode="External"/><Relationship Id="rId1848" Type="http://schemas.openxmlformats.org/officeDocument/2006/relationships/hyperlink" Target="https://drive.google.com/open?id=1sYnksARkbBRH36DH4LM5fqEX289sdZyx" TargetMode="External"/><Relationship Id="rId1849" Type="http://schemas.openxmlformats.org/officeDocument/2006/relationships/hyperlink" Target="https://drive.google.com/open?id=1FjXr1Ng9TffXmB4XF1qXNJ2ZIcpbIWnl" TargetMode="External"/><Relationship Id="rId1873" Type="http://schemas.openxmlformats.org/officeDocument/2006/relationships/hyperlink" Target="https://drive.google.com/open?id=1K2pP69l4IZpEayf9v7vG7Bc3FFkps-Bh" TargetMode="External"/><Relationship Id="rId1874" Type="http://schemas.openxmlformats.org/officeDocument/2006/relationships/hyperlink" Target="https://drive.google.com/open?id=1wePIJtkTPBZxuduivAe0mSpK9IJ6_eEh" TargetMode="External"/><Relationship Id="rId1875" Type="http://schemas.openxmlformats.org/officeDocument/2006/relationships/hyperlink" Target="https://drive.google.com/open?id=1OMYU9aO2e5oGVHpE80UbbKtuVvO-SPuR" TargetMode="External"/><Relationship Id="rId1876" Type="http://schemas.openxmlformats.org/officeDocument/2006/relationships/hyperlink" Target="https://drive.google.com/open?id=1Siem2AsY6JCok9s2uwpBm_bmhUkH5mib" TargetMode="External"/><Relationship Id="rId1877" Type="http://schemas.openxmlformats.org/officeDocument/2006/relationships/hyperlink" Target="https://drive.google.com/open?id=14dCAhb9W-sYw6z5Dnv2tUAUHwKPQNhfT" TargetMode="External"/><Relationship Id="rId1878" Type="http://schemas.openxmlformats.org/officeDocument/2006/relationships/hyperlink" Target="https://drive.google.com/open?id=1gvIeJBmIWboglyfy7muQNi943qgd3l6N" TargetMode="External"/><Relationship Id="rId1879" Type="http://schemas.openxmlformats.org/officeDocument/2006/relationships/hyperlink" Target="https://drive.google.com/open?id=1l7KFUu-g2M5J8Qrkjw4GQKVPhWKr5RYW" TargetMode="External"/><Relationship Id="rId1870" Type="http://schemas.openxmlformats.org/officeDocument/2006/relationships/hyperlink" Target="https://drive.google.com/open?id=1GkJLAiWs5OCkGJFarEqQDBiY9ZkOQXz3" TargetMode="External"/><Relationship Id="rId1871" Type="http://schemas.openxmlformats.org/officeDocument/2006/relationships/hyperlink" Target="https://drive.google.com/open?id=1HbBOBFjpWwJUWbWeFISPsLGnbI5b-Rk6" TargetMode="External"/><Relationship Id="rId1872" Type="http://schemas.openxmlformats.org/officeDocument/2006/relationships/hyperlink" Target="https://drive.google.com/open?id=192CUUib81oebiH3Uwg1EQpKZbzFPu8ch" TargetMode="External"/><Relationship Id="rId1862" Type="http://schemas.openxmlformats.org/officeDocument/2006/relationships/hyperlink" Target="https://drive.google.com/open?id=1AlUvaHkYa-_TmleSQ5sZqJdmTYWxcgK2" TargetMode="External"/><Relationship Id="rId1863" Type="http://schemas.openxmlformats.org/officeDocument/2006/relationships/hyperlink" Target="https://drive.google.com/open?id=1tl3mhFHOZyf6mgjcf4xPv-7-oHQyLmz5" TargetMode="External"/><Relationship Id="rId1864" Type="http://schemas.openxmlformats.org/officeDocument/2006/relationships/hyperlink" Target="https://drive.google.com/open?id=1cebBPJw2Cag9Y_PrtgN1o5PEGewL-_M-" TargetMode="External"/><Relationship Id="rId1865" Type="http://schemas.openxmlformats.org/officeDocument/2006/relationships/hyperlink" Target="https://drive.google.com/open?id=1-PetfB6Tp194MjK0e-W1uHlAXhoGA3di" TargetMode="External"/><Relationship Id="rId1866" Type="http://schemas.openxmlformats.org/officeDocument/2006/relationships/hyperlink" Target="https://drive.google.com/open?id=1yW-xpepQVwiCMkNuqsgGvt74qKTyQXq_" TargetMode="External"/><Relationship Id="rId1867" Type="http://schemas.openxmlformats.org/officeDocument/2006/relationships/hyperlink" Target="https://drive.google.com/open?id=18mtx8Qh8QHls3niSfI1jM6LKdhvuuQeL" TargetMode="External"/><Relationship Id="rId1868" Type="http://schemas.openxmlformats.org/officeDocument/2006/relationships/hyperlink" Target="https://drive.google.com/open?id=1msBWVmdG51966EXk0B4Mv4FHLbIxwHRY" TargetMode="External"/><Relationship Id="rId1869" Type="http://schemas.openxmlformats.org/officeDocument/2006/relationships/hyperlink" Target="https://drive.google.com/open?id=112veMJq0xzh0LinE6l_JRL7s4NSz_v9u" TargetMode="External"/><Relationship Id="rId1860" Type="http://schemas.openxmlformats.org/officeDocument/2006/relationships/hyperlink" Target="https://drive.google.com/open?id=175hZfT5mALbCnDjklXXHfa7xUoGcLVfa" TargetMode="External"/><Relationship Id="rId1861" Type="http://schemas.openxmlformats.org/officeDocument/2006/relationships/hyperlink" Target="https://drive.google.com/open?id=195bDlEcFeF8Dkc1EwuP4HOHcdR4wl_h6" TargetMode="External"/><Relationship Id="rId1810" Type="http://schemas.openxmlformats.org/officeDocument/2006/relationships/hyperlink" Target="https://drive.google.com/open?id=1xrvdPblNZdieK7Tl45AKSy8hEruk14kh" TargetMode="External"/><Relationship Id="rId1811" Type="http://schemas.openxmlformats.org/officeDocument/2006/relationships/hyperlink" Target="https://drive.google.com/open?id=1fKww0SyugKLD3tmwY4Wlsn4glHuSBXmG" TargetMode="External"/><Relationship Id="rId1812" Type="http://schemas.openxmlformats.org/officeDocument/2006/relationships/hyperlink" Target="https://drive.google.com/open?id=1WhM43UDaOxHQY-7GS8YGWIJ5hm16RGGe" TargetMode="External"/><Relationship Id="rId1813" Type="http://schemas.openxmlformats.org/officeDocument/2006/relationships/hyperlink" Target="https://drive.google.com/open?id=1a0W0kLYN6X4c54EQ7RRsH55ywL6cAV93" TargetMode="External"/><Relationship Id="rId1814" Type="http://schemas.openxmlformats.org/officeDocument/2006/relationships/hyperlink" Target="https://drive.google.com/open?id=1h2MA5r0Ck1hOcDIAJNWn-uQu9n7mREza" TargetMode="External"/><Relationship Id="rId1815" Type="http://schemas.openxmlformats.org/officeDocument/2006/relationships/hyperlink" Target="https://drive.google.com/open?id=1ODyqIWUkd6i6dH0w4AFh0zSaFqiFfCxW" TargetMode="External"/><Relationship Id="rId1816" Type="http://schemas.openxmlformats.org/officeDocument/2006/relationships/hyperlink" Target="https://drive.google.com/open?id=1nL8AdyHgv4YausgtW3ZE5zV2xptm94I7" TargetMode="External"/><Relationship Id="rId1817" Type="http://schemas.openxmlformats.org/officeDocument/2006/relationships/hyperlink" Target="https://drive.google.com/open?id=1lLxtMRP2ELaLy5b41reH8OKSLYl15arf" TargetMode="External"/><Relationship Id="rId1818" Type="http://schemas.openxmlformats.org/officeDocument/2006/relationships/hyperlink" Target="https://drive.google.com/open?id=1Nkz5PR1YPhs_TLj1JDtDK297yuCOyOj9" TargetMode="External"/><Relationship Id="rId1819" Type="http://schemas.openxmlformats.org/officeDocument/2006/relationships/hyperlink" Target="https://drive.google.com/open?id=1IChILDybsyCgmiy0xTgwZRQRNyD1L1iM" TargetMode="External"/><Relationship Id="rId1800" Type="http://schemas.openxmlformats.org/officeDocument/2006/relationships/hyperlink" Target="https://drive.google.com/open?id=1F0bEQ0NIRcGA9hAz_lnJMgqUTieVjbys" TargetMode="External"/><Relationship Id="rId1801" Type="http://schemas.openxmlformats.org/officeDocument/2006/relationships/hyperlink" Target="https://drive.google.com/open?id=1RmRH9d-znfWB9L3KEO-EuDEVRAiudBDE" TargetMode="External"/><Relationship Id="rId1802" Type="http://schemas.openxmlformats.org/officeDocument/2006/relationships/hyperlink" Target="https://drive.google.com/open?id=1NlwexNlI5-hIUf2y7wGIhsAvMt8BJJDt" TargetMode="External"/><Relationship Id="rId1803" Type="http://schemas.openxmlformats.org/officeDocument/2006/relationships/hyperlink" Target="https://drive.google.com/open?id=1aWdn87-2tElC3hWhZB0tvAKUMOeNeY7x" TargetMode="External"/><Relationship Id="rId1804" Type="http://schemas.openxmlformats.org/officeDocument/2006/relationships/hyperlink" Target="https://drive.google.com/open?id=1TtXiDIB95NPCallip9Obht9tCrK4fGSF" TargetMode="External"/><Relationship Id="rId1805" Type="http://schemas.openxmlformats.org/officeDocument/2006/relationships/hyperlink" Target="https://drive.google.com/open?id=1Dhp6qjthgFEOThTQDTfWho_H-WWT44_b" TargetMode="External"/><Relationship Id="rId1806" Type="http://schemas.openxmlformats.org/officeDocument/2006/relationships/hyperlink" Target="https://drive.google.com/open?id=1fi0Z1H19IdAX4JGRgcJSA1UhyaJIif94" TargetMode="External"/><Relationship Id="rId1807" Type="http://schemas.openxmlformats.org/officeDocument/2006/relationships/hyperlink" Target="https://drive.google.com/open?id=1cAMFTLKCHjWkBV2I-GunXg0YeOIJ-00c" TargetMode="External"/><Relationship Id="rId1808" Type="http://schemas.openxmlformats.org/officeDocument/2006/relationships/hyperlink" Target="https://drive.google.com/open?id=1i71iub01sPYIBOcM1Koogh6BbkGyxtuM" TargetMode="External"/><Relationship Id="rId1809" Type="http://schemas.openxmlformats.org/officeDocument/2006/relationships/hyperlink" Target="https://drive.google.com/open?id=1OeXhP9BX7EjRXA4AybYm8u_PnjA2vZD_" TargetMode="External"/><Relationship Id="rId1830" Type="http://schemas.openxmlformats.org/officeDocument/2006/relationships/hyperlink" Target="https://drive.google.com/open?id=1DUtRjF0FYTBKwAhrHP_jsOTf3dXMYtNp" TargetMode="External"/><Relationship Id="rId1831" Type="http://schemas.openxmlformats.org/officeDocument/2006/relationships/hyperlink" Target="https://drive.google.com/open?id=19I4jWirCiejN_NsQQxeD0QGuWIl4a_6d" TargetMode="External"/><Relationship Id="rId1832" Type="http://schemas.openxmlformats.org/officeDocument/2006/relationships/hyperlink" Target="https://drive.google.com/open?id=1bsMiDlZDRBWq4-h5hseMgfcMaG09BRWx" TargetMode="External"/><Relationship Id="rId1833" Type="http://schemas.openxmlformats.org/officeDocument/2006/relationships/hyperlink" Target="https://drive.google.com/open?id=1vRieVmaby2W5XuKahptQb6fJno4nR5jr" TargetMode="External"/><Relationship Id="rId1834" Type="http://schemas.openxmlformats.org/officeDocument/2006/relationships/hyperlink" Target="https://drive.google.com/open?id=1phbmltLQEK2mR3kTPLZlKXtmJkqUjbKv" TargetMode="External"/><Relationship Id="rId1835" Type="http://schemas.openxmlformats.org/officeDocument/2006/relationships/hyperlink" Target="https://drive.google.com/open?id=100PDgqWEA8HbqwvaYupWvx8R42Of-o-H" TargetMode="External"/><Relationship Id="rId1836" Type="http://schemas.openxmlformats.org/officeDocument/2006/relationships/hyperlink" Target="https://drive.google.com/open?id=1wEJyme1v4uefj-4pjZ-EKIdLtaioyXwa" TargetMode="External"/><Relationship Id="rId1837" Type="http://schemas.openxmlformats.org/officeDocument/2006/relationships/hyperlink" Target="https://drive.google.com/open?id=1huanhUtI8JvM0vhCehWdEas9XixByueS" TargetMode="External"/><Relationship Id="rId1838" Type="http://schemas.openxmlformats.org/officeDocument/2006/relationships/hyperlink" Target="https://drive.google.com/open?id=1DyiaPLijpbCG-XVC9VwD49bqqZ2URv9k" TargetMode="External"/><Relationship Id="rId1839" Type="http://schemas.openxmlformats.org/officeDocument/2006/relationships/hyperlink" Target="https://drive.google.com/open?id=1TUyODFuA8SDUk4pmlJD0pYlai6s0PrGx" TargetMode="External"/><Relationship Id="rId1820" Type="http://schemas.openxmlformats.org/officeDocument/2006/relationships/hyperlink" Target="https://drive.google.com/open?id=1q2e-Y4xZqdTIYqEXbAuYj3OY0mnStQt2" TargetMode="External"/><Relationship Id="rId1821" Type="http://schemas.openxmlformats.org/officeDocument/2006/relationships/hyperlink" Target="https://drive.google.com/open?id=1TLVMJLG3Vte-wTocvZp7D-Nq3kFNHmd-" TargetMode="External"/><Relationship Id="rId1822" Type="http://schemas.openxmlformats.org/officeDocument/2006/relationships/hyperlink" Target="https://drive.google.com/open?id=1iT3aQy7f8kCQcjnxTkXNfUB3IGNLj-sQ" TargetMode="External"/><Relationship Id="rId1823" Type="http://schemas.openxmlformats.org/officeDocument/2006/relationships/hyperlink" Target="https://drive.google.com/open?id=1MEbN5MWCX2wNv3XIVa6p968qPB2__6Wl" TargetMode="External"/><Relationship Id="rId1824" Type="http://schemas.openxmlformats.org/officeDocument/2006/relationships/hyperlink" Target="https://drive.google.com/open?id=1wockfBLR9-p_ifH9J_TQPOIruR5HqX3x" TargetMode="External"/><Relationship Id="rId1825" Type="http://schemas.openxmlformats.org/officeDocument/2006/relationships/hyperlink" Target="https://drive.google.com/open?id=16lL8xJ7ia6XBEqe-syiOCaeqpyReCcQ_" TargetMode="External"/><Relationship Id="rId1826" Type="http://schemas.openxmlformats.org/officeDocument/2006/relationships/hyperlink" Target="https://drive.google.com/open?id=1ydiGn9-TTGx7T-Txl569YI_sFP3n9J_C" TargetMode="External"/><Relationship Id="rId1827" Type="http://schemas.openxmlformats.org/officeDocument/2006/relationships/hyperlink" Target="https://drive.google.com/open?id=1Rhhs-qPEZEVOUicbNK5xhYO7WNkLgKRA" TargetMode="External"/><Relationship Id="rId1828" Type="http://schemas.openxmlformats.org/officeDocument/2006/relationships/hyperlink" Target="https://drive.google.com/open?id=1rq61bT7Bx7y7Xz401NzPLnHS4802-wa8" TargetMode="External"/><Relationship Id="rId1829" Type="http://schemas.openxmlformats.org/officeDocument/2006/relationships/hyperlink" Target="https://drive.google.com/open?id=1gH1vW6Sntwpf3ODV0cAlRreSK7Udgp9c" TargetMode="External"/><Relationship Id="rId1455" Type="http://schemas.openxmlformats.org/officeDocument/2006/relationships/hyperlink" Target="https://drive.google.com/open?id=1B0GSTy8FEzVgLVAm4z4uQsrtDS7e3EJB" TargetMode="External"/><Relationship Id="rId1456" Type="http://schemas.openxmlformats.org/officeDocument/2006/relationships/hyperlink" Target="https://drive.google.com/open?id=1DGykArkT-nQfNpeviTQxJT_N01lK4OnX" TargetMode="External"/><Relationship Id="rId1457" Type="http://schemas.openxmlformats.org/officeDocument/2006/relationships/hyperlink" Target="https://drive.google.com/open?id=1MklLl14Urp0SUj6I56rG113Vzk4V1J5U" TargetMode="External"/><Relationship Id="rId1458" Type="http://schemas.openxmlformats.org/officeDocument/2006/relationships/hyperlink" Target="https://drive.google.com/open?id=1PgWvUod7adDtfTPxfo1WGWkcmIQff11Q" TargetMode="External"/><Relationship Id="rId1459" Type="http://schemas.openxmlformats.org/officeDocument/2006/relationships/hyperlink" Target="https://drive.google.com/open?id=1ejuL9IQ02nbp6L_CyE1ozik91dQL1K6y" TargetMode="External"/><Relationship Id="rId629" Type="http://schemas.openxmlformats.org/officeDocument/2006/relationships/hyperlink" Target="https://drive.google.com/open?id=134UiPRoXaCxJnCMdOhg1Gql8_3OtEd_z" TargetMode="External"/><Relationship Id="rId624" Type="http://schemas.openxmlformats.org/officeDocument/2006/relationships/hyperlink" Target="https://drive.google.com/open?id=1snsrBX1UnEHDW1ZYLbuttCJHV_PROQ0g" TargetMode="External"/><Relationship Id="rId623" Type="http://schemas.openxmlformats.org/officeDocument/2006/relationships/hyperlink" Target="https://drive.google.com/open?id=1LlmpZ_qnGbwpVaiBXux7TglB4Rh5Ters" TargetMode="External"/><Relationship Id="rId622" Type="http://schemas.openxmlformats.org/officeDocument/2006/relationships/hyperlink" Target="https://drive.google.com/open?id=1WKQ6Zat4I6cv91_KTvrVBOEV6xr2MpY5" TargetMode="External"/><Relationship Id="rId621" Type="http://schemas.openxmlformats.org/officeDocument/2006/relationships/hyperlink" Target="https://drive.google.com/open?id=1uYuYXkdEWryncIHec1p4qelhklqO9KIq" TargetMode="External"/><Relationship Id="rId628" Type="http://schemas.openxmlformats.org/officeDocument/2006/relationships/hyperlink" Target="https://drive.google.com/open?id=1TIANKWZqybsJ4s54dnDKxsWmd6fSGmzv" TargetMode="External"/><Relationship Id="rId627" Type="http://schemas.openxmlformats.org/officeDocument/2006/relationships/hyperlink" Target="https://drive.google.com/open?id=18LI4k02AlcJkQR7kYxO2sU6TvLjZRnR2" TargetMode="External"/><Relationship Id="rId626" Type="http://schemas.openxmlformats.org/officeDocument/2006/relationships/hyperlink" Target="https://drive.google.com/open?id=1Gwih3gqGq6Q54ZAYZdM5T7GpIxCh4skf" TargetMode="External"/><Relationship Id="rId625" Type="http://schemas.openxmlformats.org/officeDocument/2006/relationships/hyperlink" Target="https://drive.google.com/open?id=1UtdWvpvtlF3ujQ68A99h3BMwzhOk8LTf" TargetMode="External"/><Relationship Id="rId1450" Type="http://schemas.openxmlformats.org/officeDocument/2006/relationships/hyperlink" Target="https://drive.google.com/open?id=1ktUkecfZfGbwoD9TvKltTqgufWI4dbZS" TargetMode="External"/><Relationship Id="rId620" Type="http://schemas.openxmlformats.org/officeDocument/2006/relationships/hyperlink" Target="https://drive.google.com/open?id=12vI9Z20YOFsMeRIFDcYp1nDbnAFwzEYW" TargetMode="External"/><Relationship Id="rId1451" Type="http://schemas.openxmlformats.org/officeDocument/2006/relationships/hyperlink" Target="https://drive.google.com/open?id=1UDlolzu80pTq_MhZ2K11Solsz3Un_SqJ" TargetMode="External"/><Relationship Id="rId1452" Type="http://schemas.openxmlformats.org/officeDocument/2006/relationships/hyperlink" Target="https://drive.google.com/open?id=1r9F5ODUNrGagWdjMjK51ioJYFkelb5mD" TargetMode="External"/><Relationship Id="rId1453" Type="http://schemas.openxmlformats.org/officeDocument/2006/relationships/hyperlink" Target="https://drive.google.com/open?id=1biy8tzl68GjuabtE4bV9PHk0by6N9i0_" TargetMode="External"/><Relationship Id="rId1454" Type="http://schemas.openxmlformats.org/officeDocument/2006/relationships/hyperlink" Target="https://drive.google.com/open?id=1f5wALKX5fp9UWpX5v_zWG6unCdmzi3Sh" TargetMode="External"/><Relationship Id="rId1444" Type="http://schemas.openxmlformats.org/officeDocument/2006/relationships/hyperlink" Target="https://drive.google.com/open?id=17LynHPg0UK1o20Q14tIqN3kjUeSX_lI0" TargetMode="External"/><Relationship Id="rId1445" Type="http://schemas.openxmlformats.org/officeDocument/2006/relationships/hyperlink" Target="https://drive.google.com/open?id=1Nc_U-FHaCsgBqQrPN2FtKXydlcoAX28s" TargetMode="External"/><Relationship Id="rId1446" Type="http://schemas.openxmlformats.org/officeDocument/2006/relationships/hyperlink" Target="https://drive.google.com/open?id=14xRbameMklw4aLyQQ7JrvSt-52Quugae" TargetMode="External"/><Relationship Id="rId1447" Type="http://schemas.openxmlformats.org/officeDocument/2006/relationships/hyperlink" Target="https://drive.google.com/open?id=1l2S3wk-nKIpQAlQZCT5or_7csqTDpGXp" TargetMode="External"/><Relationship Id="rId1448" Type="http://schemas.openxmlformats.org/officeDocument/2006/relationships/hyperlink" Target="https://drive.google.com/open?id=1bwDxYdSnyhPYJbt675S5Kc4kfEadm1xf" TargetMode="External"/><Relationship Id="rId1449" Type="http://schemas.openxmlformats.org/officeDocument/2006/relationships/hyperlink" Target="https://drive.google.com/open?id=1xL565Nact6QB55tCVkX_qO-d0_mINCH-" TargetMode="External"/><Relationship Id="rId619" Type="http://schemas.openxmlformats.org/officeDocument/2006/relationships/hyperlink" Target="https://drive.google.com/open?id=1YXipXLsc-4Z-v_4cuaF6acWtj_t6PegX" TargetMode="External"/><Relationship Id="rId618" Type="http://schemas.openxmlformats.org/officeDocument/2006/relationships/hyperlink" Target="https://drive.google.com/open?id=1idI9O8jYBlqxO8yVanfpu18hvzSMfcj_" TargetMode="External"/><Relationship Id="rId613" Type="http://schemas.openxmlformats.org/officeDocument/2006/relationships/hyperlink" Target="https://drive.google.com/open?id=1NQc3uCU_vybJQ93r1wFSyFbEWe15DgTn" TargetMode="External"/><Relationship Id="rId612" Type="http://schemas.openxmlformats.org/officeDocument/2006/relationships/hyperlink" Target="https://drive.google.com/open?id=1KZYZ-Lb9-WgsfgcK-Baipk7HTxVfU9w-" TargetMode="External"/><Relationship Id="rId611" Type="http://schemas.openxmlformats.org/officeDocument/2006/relationships/hyperlink" Target="https://drive.google.com/open?id=149E4ROiJYHPw5OBN0KsGUY5hFPqL8gfC" TargetMode="External"/><Relationship Id="rId610" Type="http://schemas.openxmlformats.org/officeDocument/2006/relationships/hyperlink" Target="https://drive.google.com/open?id=1ST4b8Hp_jhQRMiO7hFlz-QG0wtYMcjcr" TargetMode="External"/><Relationship Id="rId617" Type="http://schemas.openxmlformats.org/officeDocument/2006/relationships/hyperlink" Target="https://drive.google.com/open?id=1lDoQoKhSD4BIbKrcvBDXhksloXGEnkvG" TargetMode="External"/><Relationship Id="rId616" Type="http://schemas.openxmlformats.org/officeDocument/2006/relationships/hyperlink" Target="https://drive.google.com/open?id=15zLmiPTwGlB263x4Rbuxp5ft-FbLEaKg" TargetMode="External"/><Relationship Id="rId615" Type="http://schemas.openxmlformats.org/officeDocument/2006/relationships/hyperlink" Target="https://drive.google.com/open?id=1iOl5zk8jwAhdEaC20sFGrBDFkqGX_xRy" TargetMode="External"/><Relationship Id="rId614" Type="http://schemas.openxmlformats.org/officeDocument/2006/relationships/hyperlink" Target="https://drive.google.com/open?id=1GZ6HmXd0Z96Lgo4uEZ3qL3WT5kxQ6Pde" TargetMode="External"/><Relationship Id="rId1440" Type="http://schemas.openxmlformats.org/officeDocument/2006/relationships/hyperlink" Target="https://drive.google.com/open?id=1h9JMd0u92yoJxvmUIExFANw7ubcori_A" TargetMode="External"/><Relationship Id="rId1441" Type="http://schemas.openxmlformats.org/officeDocument/2006/relationships/hyperlink" Target="https://drive.google.com/open?id=1jH-wCgYNlKt9g_OI1AXe19UlDjQia_an" TargetMode="External"/><Relationship Id="rId1442" Type="http://schemas.openxmlformats.org/officeDocument/2006/relationships/hyperlink" Target="https://drive.google.com/open?id=1XwUCVjK4R5x_ZUD3keuijM3-ExCXePp4" TargetMode="External"/><Relationship Id="rId1443" Type="http://schemas.openxmlformats.org/officeDocument/2006/relationships/hyperlink" Target="https://drive.google.com/open?id=1rhaZmNN1Di9esRQeW4H-1xDiSzVBcSFe" TargetMode="External"/><Relationship Id="rId1477" Type="http://schemas.openxmlformats.org/officeDocument/2006/relationships/hyperlink" Target="https://drive.google.com/open?id=1Bj7bhVLNiL0AcusGFqknDJZO5a4OR1I2" TargetMode="External"/><Relationship Id="rId1478" Type="http://schemas.openxmlformats.org/officeDocument/2006/relationships/hyperlink" Target="https://drive.google.com/open?id=18vRIz0WAyIBs_03-Z_J3YMFZmycFxZso" TargetMode="External"/><Relationship Id="rId1479" Type="http://schemas.openxmlformats.org/officeDocument/2006/relationships/hyperlink" Target="https://drive.google.com/open?id=1o5L56N-uBJOAn3PnEqLZBrVOOxD7fUe2" TargetMode="External"/><Relationship Id="rId646" Type="http://schemas.openxmlformats.org/officeDocument/2006/relationships/hyperlink" Target="https://drive.google.com/open?id=1oGd0TgPMSs2_aUaC7MhhXkTdYXkrrSp8" TargetMode="External"/><Relationship Id="rId645" Type="http://schemas.openxmlformats.org/officeDocument/2006/relationships/hyperlink" Target="https://drive.google.com/open?id=1mn0SSjIJN5TMndifLbcIyvt7Gn7ZzLDt" TargetMode="External"/><Relationship Id="rId644" Type="http://schemas.openxmlformats.org/officeDocument/2006/relationships/hyperlink" Target="https://drive.google.com/open?id=1fjnwkCATs7XldWAR7MZNuQUb05pDdhNb" TargetMode="External"/><Relationship Id="rId643" Type="http://schemas.openxmlformats.org/officeDocument/2006/relationships/hyperlink" Target="https://drive.google.com/open?id=1mupstIOV7geibVsKyebzZh5v-A2TfVam" TargetMode="External"/><Relationship Id="rId649" Type="http://schemas.openxmlformats.org/officeDocument/2006/relationships/hyperlink" Target="https://drive.google.com/open?id=1gKXf64OaYsX91n6YGp_dwGAQ9rb5W9na" TargetMode="External"/><Relationship Id="rId648" Type="http://schemas.openxmlformats.org/officeDocument/2006/relationships/hyperlink" Target="https://drive.google.com/open?id=107KWl7vHy4JvgbFp97Q2TqLetMA7I7ZT" TargetMode="External"/><Relationship Id="rId647" Type="http://schemas.openxmlformats.org/officeDocument/2006/relationships/hyperlink" Target="https://drive.google.com/open?id=1KloXdaVGNkXol7VQk2g9ENDnLuu-Zmt5" TargetMode="External"/><Relationship Id="rId1470" Type="http://schemas.openxmlformats.org/officeDocument/2006/relationships/hyperlink" Target="https://drive.google.com/open?id=1ShV5wKOpP7dziXGX5aNAXuLKrHGmphz_" TargetMode="External"/><Relationship Id="rId1471" Type="http://schemas.openxmlformats.org/officeDocument/2006/relationships/hyperlink" Target="https://drive.google.com/open?id=1ZbFwd9ZocVLnxASnDIs9yHNpexEr9E6G" TargetMode="External"/><Relationship Id="rId1472" Type="http://schemas.openxmlformats.org/officeDocument/2006/relationships/hyperlink" Target="https://drive.google.com/open?id=1eufEcJniwwOz7fBZmFxWLfevwurDHU9q" TargetMode="External"/><Relationship Id="rId642" Type="http://schemas.openxmlformats.org/officeDocument/2006/relationships/hyperlink" Target="https://drive.google.com/open?id=1iddx6GiyzoGylhxCDI-E-V5ifL8jy-ki" TargetMode="External"/><Relationship Id="rId1473" Type="http://schemas.openxmlformats.org/officeDocument/2006/relationships/hyperlink" Target="https://drive.google.com/open?id=1Ow6W9kfQC9wcYllmYhEqGkn57eefHrHD" TargetMode="External"/><Relationship Id="rId641" Type="http://schemas.openxmlformats.org/officeDocument/2006/relationships/hyperlink" Target="https://drive.google.com/open?id=1DeZf8Izquo12knJ7xhM8jkqs47vI9VAG" TargetMode="External"/><Relationship Id="rId1474" Type="http://schemas.openxmlformats.org/officeDocument/2006/relationships/hyperlink" Target="https://drive.google.com/open?id=1aZGUyyoehvCdJrOegyPYAydhCUACnL5L" TargetMode="External"/><Relationship Id="rId640" Type="http://schemas.openxmlformats.org/officeDocument/2006/relationships/hyperlink" Target="https://drive.google.com/open?id=1WqlqoKN7RCPaHZu3tKUP64aR1eTIIRms" TargetMode="External"/><Relationship Id="rId1475" Type="http://schemas.openxmlformats.org/officeDocument/2006/relationships/hyperlink" Target="https://drive.google.com/open?id=1YPu5Jecq9hp9Qq8bFhijaj8QatHbUNLN" TargetMode="External"/><Relationship Id="rId1476" Type="http://schemas.openxmlformats.org/officeDocument/2006/relationships/hyperlink" Target="https://drive.google.com/open?id=1zvBQte_kzBWkKMIUcOEfsv5WhkeItmxZ" TargetMode="External"/><Relationship Id="rId1466" Type="http://schemas.openxmlformats.org/officeDocument/2006/relationships/hyperlink" Target="https://drive.google.com/open?id=1GODi3D5gehEOFn3OPfoG5_cHYcZx_zO9" TargetMode="External"/><Relationship Id="rId1467" Type="http://schemas.openxmlformats.org/officeDocument/2006/relationships/hyperlink" Target="https://drive.google.com/open?id=1GJcPkoFhnVz-u5jFTADJ3PFc3u9caKui" TargetMode="External"/><Relationship Id="rId1468" Type="http://schemas.openxmlformats.org/officeDocument/2006/relationships/hyperlink" Target="https://drive.google.com/open?id=1LAFC6O5NHP-nhdrMoahCh3lLWUcVfPqq" TargetMode="External"/><Relationship Id="rId1469" Type="http://schemas.openxmlformats.org/officeDocument/2006/relationships/hyperlink" Target="https://drive.google.com/open?id=1pmy3vB64RYTxEc6HY_ZRbtoKMjqijTfL" TargetMode="External"/><Relationship Id="rId635" Type="http://schemas.openxmlformats.org/officeDocument/2006/relationships/hyperlink" Target="https://drive.google.com/open?id=1lThSYHiqJHzqahEuh_3YUwc0a9q2IBhp" TargetMode="External"/><Relationship Id="rId634" Type="http://schemas.openxmlformats.org/officeDocument/2006/relationships/hyperlink" Target="https://drive.google.com/open?id=1XQxkvsPZxMq63zzQhpUlzZHGT-30Giml" TargetMode="External"/><Relationship Id="rId633" Type="http://schemas.openxmlformats.org/officeDocument/2006/relationships/hyperlink" Target="https://drive.google.com/open?id=1ag8xXp9J_hg2avLex4CCudLV_lqvxbz9" TargetMode="External"/><Relationship Id="rId632" Type="http://schemas.openxmlformats.org/officeDocument/2006/relationships/hyperlink" Target="https://drive.google.com/open?id=19J4nmDFGt6M9WCEJQNAyedpsrJrnPnSO" TargetMode="External"/><Relationship Id="rId639" Type="http://schemas.openxmlformats.org/officeDocument/2006/relationships/hyperlink" Target="https://drive.google.com/open?id=1uTswfh5k6-rIOfPskt7WzSag8mhnF2uE" TargetMode="External"/><Relationship Id="rId638" Type="http://schemas.openxmlformats.org/officeDocument/2006/relationships/hyperlink" Target="https://drive.google.com/open?id=16oKlg_rKMdoqmLF-Q6oHHqpa3u5Ey7al" TargetMode="External"/><Relationship Id="rId637" Type="http://schemas.openxmlformats.org/officeDocument/2006/relationships/hyperlink" Target="https://drive.google.com/open?id=1I6lz0VHdmJ63xafnDKePv1Nz0ganYjql" TargetMode="External"/><Relationship Id="rId636" Type="http://schemas.openxmlformats.org/officeDocument/2006/relationships/hyperlink" Target="https://drive.google.com/open?id=1Ajs9l4X8WbxrWo2002eOfyCA9CGdMv9p" TargetMode="External"/><Relationship Id="rId1460" Type="http://schemas.openxmlformats.org/officeDocument/2006/relationships/hyperlink" Target="https://drive.google.com/open?id=1XoNcTTxwOjH8XCLcUydENC-8TTBDI7SR" TargetMode="External"/><Relationship Id="rId1461" Type="http://schemas.openxmlformats.org/officeDocument/2006/relationships/hyperlink" Target="https://drive.google.com/open?id=1caOeP4VPH6PeKHMFUV80fsJnu5_n2T_I" TargetMode="External"/><Relationship Id="rId631" Type="http://schemas.openxmlformats.org/officeDocument/2006/relationships/hyperlink" Target="https://drive.google.com/open?id=1nHKEpBmLzwDIC7-hYAYMG2_dJItDviPX" TargetMode="External"/><Relationship Id="rId1462" Type="http://schemas.openxmlformats.org/officeDocument/2006/relationships/hyperlink" Target="https://drive.google.com/open?id=1qbZgBs9YX6h_yX3Zcx7AmZGy7481gRGT" TargetMode="External"/><Relationship Id="rId630" Type="http://schemas.openxmlformats.org/officeDocument/2006/relationships/hyperlink" Target="https://drive.google.com/open?id=1Q-7YhkSF7m4wLi3K0CVmURJR9q2aTB2J" TargetMode="External"/><Relationship Id="rId1463" Type="http://schemas.openxmlformats.org/officeDocument/2006/relationships/hyperlink" Target="https://drive.google.com/open?id=1PjSkI2saZUTcHCOLqP6obehp6alSqEKw" TargetMode="External"/><Relationship Id="rId1464" Type="http://schemas.openxmlformats.org/officeDocument/2006/relationships/hyperlink" Target="https://drive.google.com/open?id=1I7R5bCc92aKhMbNm83QVA7LtSWwsRV1j" TargetMode="External"/><Relationship Id="rId1465" Type="http://schemas.openxmlformats.org/officeDocument/2006/relationships/hyperlink" Target="https://drive.google.com/open?id=1ErKVwRIFBw08EQjBnOMGoRqts4glazfz" TargetMode="External"/><Relationship Id="rId1411" Type="http://schemas.openxmlformats.org/officeDocument/2006/relationships/hyperlink" Target="https://drive.google.com/open?id=1L1sL-r7dACeUt2tFixHn-xVUpqFLhUAO" TargetMode="External"/><Relationship Id="rId1412" Type="http://schemas.openxmlformats.org/officeDocument/2006/relationships/hyperlink" Target="https://drive.google.com/open?id=1nLP-H2HySLdLtWl1_S5m_sLUgbNoktTA" TargetMode="External"/><Relationship Id="rId1413" Type="http://schemas.openxmlformats.org/officeDocument/2006/relationships/hyperlink" Target="https://drive.google.com/open?id=1Dr5HXZiyUSo6GbKnLVw2OMAmLWCxUW5k" TargetMode="External"/><Relationship Id="rId1414" Type="http://schemas.openxmlformats.org/officeDocument/2006/relationships/hyperlink" Target="https://drive.google.com/open?id=1lxYH9mCUDlI_wvX8hFI0onASXt8QqntD" TargetMode="External"/><Relationship Id="rId1415" Type="http://schemas.openxmlformats.org/officeDocument/2006/relationships/hyperlink" Target="https://drive.google.com/open?id=16B5DydRLLXSkLOCgpj_IfC7TLYV4b0bI" TargetMode="External"/><Relationship Id="rId1416" Type="http://schemas.openxmlformats.org/officeDocument/2006/relationships/hyperlink" Target="https://drive.google.com/open?id=1qY26c6tfG6fCPQKgLR1pE8AUHcFvR6Q3" TargetMode="External"/><Relationship Id="rId1417" Type="http://schemas.openxmlformats.org/officeDocument/2006/relationships/hyperlink" Target="https://drive.google.com/open?id=128dhicZ8DXd4VS3TNr01cbw3DtoZd5Ds" TargetMode="External"/><Relationship Id="rId1418" Type="http://schemas.openxmlformats.org/officeDocument/2006/relationships/hyperlink" Target="https://drive.google.com/open?id=12Pmxas4wU8x6rn4I_y1sV-A6BCcaNl2R" TargetMode="External"/><Relationship Id="rId1419" Type="http://schemas.openxmlformats.org/officeDocument/2006/relationships/hyperlink" Target="https://drive.google.com/open?id=1tA22NS1u9bFDA6SfpGFiVTBxUi99rcIw" TargetMode="External"/><Relationship Id="rId1410" Type="http://schemas.openxmlformats.org/officeDocument/2006/relationships/hyperlink" Target="https://drive.google.com/open?id=1STR97IF_Gw-P-HLd8Ried7hpAnPzmLM5" TargetMode="External"/><Relationship Id="rId1400" Type="http://schemas.openxmlformats.org/officeDocument/2006/relationships/hyperlink" Target="https://drive.google.com/open?id=1KjMhfI3dI2IWAxzA0nZOSpek2nIf51ve" TargetMode="External"/><Relationship Id="rId1884" Type="http://schemas.openxmlformats.org/officeDocument/2006/relationships/hyperlink" Target="https://drive.google.com/open?id=1MTeM3Sd0EsoYG10fpWvr0ewCGWgFZwd9" TargetMode="External"/><Relationship Id="rId1401" Type="http://schemas.openxmlformats.org/officeDocument/2006/relationships/hyperlink" Target="https://drive.google.com/open?id=1a8gpXBDpjnwNaVsTdW79gXLKEPw8MtQ_" TargetMode="External"/><Relationship Id="rId1885" Type="http://schemas.openxmlformats.org/officeDocument/2006/relationships/hyperlink" Target="https://drive.google.com/open?id=1NziKGpNoGVQBJ--vVPZgARNfKMK01KI1" TargetMode="External"/><Relationship Id="rId1402" Type="http://schemas.openxmlformats.org/officeDocument/2006/relationships/hyperlink" Target="https://drive.google.com/open?id=1M6V4dGHHi8qC_Sys-2t-WMNpyJI_LoM-" TargetMode="External"/><Relationship Id="rId1886" Type="http://schemas.openxmlformats.org/officeDocument/2006/relationships/hyperlink" Target="https://drive.google.com/open?id=17Xyl8xQNFxBtNZKVP87TJtmMU77hgaS-" TargetMode="External"/><Relationship Id="rId1403" Type="http://schemas.openxmlformats.org/officeDocument/2006/relationships/hyperlink" Target="https://drive.google.com/open?id=1v1OUZxCRTv7sFBktWqpQ-luET0fe5raQ" TargetMode="External"/><Relationship Id="rId1887" Type="http://schemas.openxmlformats.org/officeDocument/2006/relationships/drawing" Target="../drawings/drawing2.xml"/><Relationship Id="rId1404" Type="http://schemas.openxmlformats.org/officeDocument/2006/relationships/hyperlink" Target="https://drive.google.com/open?id=1PmbpsiK5wYUODljWx_XHdW3O5guPVLSg" TargetMode="External"/><Relationship Id="rId1405" Type="http://schemas.openxmlformats.org/officeDocument/2006/relationships/hyperlink" Target="https://drive.google.com/open?id=1KhUAvJ7GnsCHyB7LCfH3uOQzTldBgVug" TargetMode="External"/><Relationship Id="rId1406" Type="http://schemas.openxmlformats.org/officeDocument/2006/relationships/hyperlink" Target="https://drive.google.com/open?id=1kQ_-LrrMKKFhNjfkDPJ9sxZ0ye6KtTa_" TargetMode="External"/><Relationship Id="rId1407" Type="http://schemas.openxmlformats.org/officeDocument/2006/relationships/hyperlink" Target="https://drive.google.com/open?id=13c0317dTTT_G9Aioeak_JG5nZSDoosaG" TargetMode="External"/><Relationship Id="rId1408" Type="http://schemas.openxmlformats.org/officeDocument/2006/relationships/hyperlink" Target="https://drive.google.com/open?id=1Pe6DhHJnLX5NM3lyjJYfxv-dMh0EuIuB" TargetMode="External"/><Relationship Id="rId1409" Type="http://schemas.openxmlformats.org/officeDocument/2006/relationships/hyperlink" Target="https://drive.google.com/open?id=1cDRa-RDmk-a87QUa6FM--jh3HEjHRYBd" TargetMode="External"/><Relationship Id="rId1880" Type="http://schemas.openxmlformats.org/officeDocument/2006/relationships/hyperlink" Target="https://drive.google.com/open?id=1z8tJnoJolWBpv8YcnfnaZzeDb5Xdm8zZ" TargetMode="External"/><Relationship Id="rId1881" Type="http://schemas.openxmlformats.org/officeDocument/2006/relationships/hyperlink" Target="https://drive.google.com/open?id=1uMYoubfB8v7-pspQFMkVvPtH4JmIEAP6" TargetMode="External"/><Relationship Id="rId1882" Type="http://schemas.openxmlformats.org/officeDocument/2006/relationships/hyperlink" Target="https://drive.google.com/open?id=1-F0i1lHRs4e9kzsaOJlVkCKSC8lyLuhr" TargetMode="External"/><Relationship Id="rId1883" Type="http://schemas.openxmlformats.org/officeDocument/2006/relationships/hyperlink" Target="https://drive.google.com/open?id=1qZo9Dc2rM5HaH96_wJI3ejAwSphAT30F" TargetMode="External"/><Relationship Id="rId1433" Type="http://schemas.openxmlformats.org/officeDocument/2006/relationships/hyperlink" Target="https://drive.google.com/open?id=1SZVHm7PZFNPf4_dAjk2uUrxbTzGxr8iw" TargetMode="External"/><Relationship Id="rId1434" Type="http://schemas.openxmlformats.org/officeDocument/2006/relationships/hyperlink" Target="https://drive.google.com/open?id=1zEmtGCaymLK1NklpG7a6KFV3hGPhGZJQ" TargetMode="External"/><Relationship Id="rId1435" Type="http://schemas.openxmlformats.org/officeDocument/2006/relationships/hyperlink" Target="https://drive.google.com/open?id=1bbz6s5OgHaZiA-mCHxIj-jlY-d36i4Go" TargetMode="External"/><Relationship Id="rId1436" Type="http://schemas.openxmlformats.org/officeDocument/2006/relationships/hyperlink" Target="https://drive.google.com/open?id=1skIPWDNwOghWPjCUNt019O2Swmqh0zKA" TargetMode="External"/><Relationship Id="rId1437" Type="http://schemas.openxmlformats.org/officeDocument/2006/relationships/hyperlink" Target="https://drive.google.com/open?id=12JPhNocGbq9KsNsm4L_SYzfktr6fB9Lr" TargetMode="External"/><Relationship Id="rId1438" Type="http://schemas.openxmlformats.org/officeDocument/2006/relationships/hyperlink" Target="https://drive.google.com/open?id=1XiVoRxlkLCwKGTrk3e8Rm8t1ZiQlxtEx" TargetMode="External"/><Relationship Id="rId1439" Type="http://schemas.openxmlformats.org/officeDocument/2006/relationships/hyperlink" Target="https://drive.google.com/open?id=1kl7Tyi9YHzBCAKvVAN2BcaPTmQlfgGsl" TargetMode="External"/><Relationship Id="rId609" Type="http://schemas.openxmlformats.org/officeDocument/2006/relationships/hyperlink" Target="https://drive.google.com/open?id=1WPQVCAEf6avo8QyVvfSh5zhD9uLCPNij" TargetMode="External"/><Relationship Id="rId608" Type="http://schemas.openxmlformats.org/officeDocument/2006/relationships/hyperlink" Target="https://drive.google.com/open?id=1VksBdV3ybINuVdznQDBP-Cr4O1vi219V" TargetMode="External"/><Relationship Id="rId607" Type="http://schemas.openxmlformats.org/officeDocument/2006/relationships/hyperlink" Target="https://drive.google.com/open?id=1GYI3beS34UKdwNxyKDCVgA7e5RJ2y8RA" TargetMode="External"/><Relationship Id="rId602" Type="http://schemas.openxmlformats.org/officeDocument/2006/relationships/hyperlink" Target="https://drive.google.com/open?id=1ijOUB7VQ2hNHPGHW72G42Z4NKaQLEOd1" TargetMode="External"/><Relationship Id="rId601" Type="http://schemas.openxmlformats.org/officeDocument/2006/relationships/hyperlink" Target="https://drive.google.com/open?id=1V-ZHoqUtAElJvV2UCSkugzD7cF6D22cX" TargetMode="External"/><Relationship Id="rId600" Type="http://schemas.openxmlformats.org/officeDocument/2006/relationships/hyperlink" Target="https://drive.google.com/open?id=1dclhAY9hOiRHeG2Veptfo-i5Pl2ti7ub" TargetMode="External"/><Relationship Id="rId606" Type="http://schemas.openxmlformats.org/officeDocument/2006/relationships/hyperlink" Target="https://drive.google.com/open?id=1xuoVqr0QMgCsvz5rFTo9SVoMb5UeU67O" TargetMode="External"/><Relationship Id="rId605" Type="http://schemas.openxmlformats.org/officeDocument/2006/relationships/hyperlink" Target="https://drive.google.com/open?id=1jRQLjFUB42L-7lWbY9cFdYdWHXICyjt1" TargetMode="External"/><Relationship Id="rId604" Type="http://schemas.openxmlformats.org/officeDocument/2006/relationships/hyperlink" Target="https://drive.google.com/open?id=1DGq3Z9Hv6wdsfDLdxFHWrkfim1dk2reA" TargetMode="External"/><Relationship Id="rId603" Type="http://schemas.openxmlformats.org/officeDocument/2006/relationships/hyperlink" Target="https://drive.google.com/open?id=1Ag7a8-iLv_jbwDS4g5LMfd_Qm1mYghCP" TargetMode="External"/><Relationship Id="rId1430" Type="http://schemas.openxmlformats.org/officeDocument/2006/relationships/hyperlink" Target="https://drive.google.com/open?id=1AtJzAjUB3NPA5aILhAsyqW4lGdJZAzA8" TargetMode="External"/><Relationship Id="rId1431" Type="http://schemas.openxmlformats.org/officeDocument/2006/relationships/hyperlink" Target="https://drive.google.com/open?id=1zv8frebJKoWiPg-eLcVnjQDYJfjel4gG" TargetMode="External"/><Relationship Id="rId1432" Type="http://schemas.openxmlformats.org/officeDocument/2006/relationships/hyperlink" Target="https://drive.google.com/open?id=1XVkP5JprFOdksx_-C3SYuz9BgYCc8gZA" TargetMode="External"/><Relationship Id="rId1422" Type="http://schemas.openxmlformats.org/officeDocument/2006/relationships/hyperlink" Target="https://drive.google.com/open?id=19b12RwjdW5hq1p89UQj2AMplItuHhHQo" TargetMode="External"/><Relationship Id="rId1423" Type="http://schemas.openxmlformats.org/officeDocument/2006/relationships/hyperlink" Target="https://drive.google.com/open?id=1psFi1fr2XlTAMI2W-LnBIBNjnlcSxLlP" TargetMode="External"/><Relationship Id="rId1424" Type="http://schemas.openxmlformats.org/officeDocument/2006/relationships/hyperlink" Target="https://drive.google.com/open?id=1UTrmDq2EktjHaN2yPZ5z1Aix7da28TFd" TargetMode="External"/><Relationship Id="rId1425" Type="http://schemas.openxmlformats.org/officeDocument/2006/relationships/hyperlink" Target="https://drive.google.com/open?id=12gjE-5rJ5rNlDG2E6uHVqaD_TCBHW5Uw" TargetMode="External"/><Relationship Id="rId1426" Type="http://schemas.openxmlformats.org/officeDocument/2006/relationships/hyperlink" Target="https://drive.google.com/open?id=1-csxITqbpMe1SlKSzE2T59143PxK708Q" TargetMode="External"/><Relationship Id="rId1427" Type="http://schemas.openxmlformats.org/officeDocument/2006/relationships/hyperlink" Target="https://drive.google.com/open?id=1z_h0Ya-jhoNp7j2C_wlZyAI0RDhhxU7l" TargetMode="External"/><Relationship Id="rId1428" Type="http://schemas.openxmlformats.org/officeDocument/2006/relationships/hyperlink" Target="https://drive.google.com/open?id=1lD6DpPrt2_JMbpwrGdYxFIhrjQoLyzL2" TargetMode="External"/><Relationship Id="rId1429" Type="http://schemas.openxmlformats.org/officeDocument/2006/relationships/hyperlink" Target="https://drive.google.com/open?id=1u1ve8eOFMSMEp3V2FfourbJ24H204sAT" TargetMode="External"/><Relationship Id="rId1420" Type="http://schemas.openxmlformats.org/officeDocument/2006/relationships/hyperlink" Target="https://drive.google.com/open?id=1lz5ZUmIHbnbS0rQ9ZF-NKaUW-bZHjPy_" TargetMode="External"/><Relationship Id="rId1421" Type="http://schemas.openxmlformats.org/officeDocument/2006/relationships/hyperlink" Target="https://drive.google.com/open?id=1gw1VSrglh7CiDIxc9NE6esZW4jxbE0Zn" TargetMode="External"/><Relationship Id="rId1059" Type="http://schemas.openxmlformats.org/officeDocument/2006/relationships/hyperlink" Target="https://drive.google.com/open?id=1qbg09HWRvHvWMuQIuQSJ6sD4O5Mao3IC" TargetMode="External"/><Relationship Id="rId228" Type="http://schemas.openxmlformats.org/officeDocument/2006/relationships/hyperlink" Target="https://drive.google.com/open?id=1L8QvenQSbBbS_qby0dpkOU-60lBMdQqT" TargetMode="External"/><Relationship Id="rId227" Type="http://schemas.openxmlformats.org/officeDocument/2006/relationships/hyperlink" Target="https://drive.google.com/open?id=1rNKTlVQ1Mg-UyM2vSMSBZCEV7h0azLbL" TargetMode="External"/><Relationship Id="rId226" Type="http://schemas.openxmlformats.org/officeDocument/2006/relationships/hyperlink" Target="https://drive.google.com/open?id=15fJA4e5vCmqFwiHh6LlpgGNYDCeSn6_o" TargetMode="External"/><Relationship Id="rId225" Type="http://schemas.openxmlformats.org/officeDocument/2006/relationships/hyperlink" Target="https://drive.google.com/open?id=1w0iKuQmyjwGbJ7rYkESG66j1--K7Kw9x" TargetMode="External"/><Relationship Id="rId229" Type="http://schemas.openxmlformats.org/officeDocument/2006/relationships/hyperlink" Target="https://drive.google.com/open?id=1mGpPuvf5TuUWPtLTJqcAplQbHfswZDei" TargetMode="External"/><Relationship Id="rId1050" Type="http://schemas.openxmlformats.org/officeDocument/2006/relationships/hyperlink" Target="https://drive.google.com/open?id=1RiYNFJLyXRcHF4OU9iWJ_kKYyQDAByBf" TargetMode="External"/><Relationship Id="rId220" Type="http://schemas.openxmlformats.org/officeDocument/2006/relationships/hyperlink" Target="https://drive.google.com/open?id=1AmiFS0aMD7bwcYvbhng9RsATTG5f7YaR" TargetMode="External"/><Relationship Id="rId1051" Type="http://schemas.openxmlformats.org/officeDocument/2006/relationships/hyperlink" Target="https://drive.google.com/open?id=1jEjFpyfV984wjTf7K6bTamn6PHOO9whM" TargetMode="External"/><Relationship Id="rId1052" Type="http://schemas.openxmlformats.org/officeDocument/2006/relationships/hyperlink" Target="https://drive.google.com/open?id=1eKMg0MuP3auzH31G2IsRDH1H5c5-rriI" TargetMode="External"/><Relationship Id="rId1053" Type="http://schemas.openxmlformats.org/officeDocument/2006/relationships/hyperlink" Target="https://drive.google.com/open?id=1d53Z83IH6uTnP6_e1rTc7B2rYFvzwbgs" TargetMode="External"/><Relationship Id="rId1054" Type="http://schemas.openxmlformats.org/officeDocument/2006/relationships/hyperlink" Target="https://drive.google.com/open?id=1l0vq1U6sdFw3l4NRBTGo5zxgvr-9dRuI" TargetMode="External"/><Relationship Id="rId224" Type="http://schemas.openxmlformats.org/officeDocument/2006/relationships/hyperlink" Target="https://drive.google.com/open?id=1kKr1bqJud7rueQacoJtL1uRgQoDkwQuk" TargetMode="External"/><Relationship Id="rId1055" Type="http://schemas.openxmlformats.org/officeDocument/2006/relationships/hyperlink" Target="https://drive.google.com/open?id=18qymJHQtd7_s6vxpDGKyC3Av6MtUIRUq" TargetMode="External"/><Relationship Id="rId223" Type="http://schemas.openxmlformats.org/officeDocument/2006/relationships/hyperlink" Target="https://drive.google.com/open?id=1kpORz2olsLac_KiQt0KQ39YxBR7-BvWk" TargetMode="External"/><Relationship Id="rId1056" Type="http://schemas.openxmlformats.org/officeDocument/2006/relationships/hyperlink" Target="https://drive.google.com/open?id=15uViMoGjxNAkEyV4Y1Q8HhaRwq88LVNU" TargetMode="External"/><Relationship Id="rId222" Type="http://schemas.openxmlformats.org/officeDocument/2006/relationships/hyperlink" Target="https://drive.google.com/open?id=1VUHajIfvsA2_Is5Aem3vaPKQ5aK14Pgy" TargetMode="External"/><Relationship Id="rId1057" Type="http://schemas.openxmlformats.org/officeDocument/2006/relationships/hyperlink" Target="https://drive.google.com/open?id=1eU1ODAZjWmC1lWUo_kbTMctGyyaKRRwt" TargetMode="External"/><Relationship Id="rId221" Type="http://schemas.openxmlformats.org/officeDocument/2006/relationships/hyperlink" Target="https://drive.google.com/open?id=1nbfLYFI3vQYDxQ8JKspWb0auP9vnyZst" TargetMode="External"/><Relationship Id="rId1058" Type="http://schemas.openxmlformats.org/officeDocument/2006/relationships/hyperlink" Target="https://drive.google.com/open?id=1FfDpT2xxMiSopeSUAR15TtLoVpZTPc4Q" TargetMode="External"/><Relationship Id="rId1048" Type="http://schemas.openxmlformats.org/officeDocument/2006/relationships/hyperlink" Target="https://drive.google.com/open?id=1fOz66l3-hJZ8uJ9WTF7kYbv6x4urVCfn" TargetMode="External"/><Relationship Id="rId1049" Type="http://schemas.openxmlformats.org/officeDocument/2006/relationships/hyperlink" Target="https://drive.google.com/open?id=1-s6hUkyyPvazo85I9mZCbqlJIFZTi6sR" TargetMode="External"/><Relationship Id="rId217" Type="http://schemas.openxmlformats.org/officeDocument/2006/relationships/hyperlink" Target="https://drive.google.com/open?id=1EfuGEnP_eBHvTjbT1pv_KO0PWBL4P-GW" TargetMode="External"/><Relationship Id="rId216" Type="http://schemas.openxmlformats.org/officeDocument/2006/relationships/hyperlink" Target="https://drive.google.com/open?id=1tzckmNokaVHGruMN6Hc_EC3u6-od9oOJ" TargetMode="External"/><Relationship Id="rId215" Type="http://schemas.openxmlformats.org/officeDocument/2006/relationships/hyperlink" Target="https://drive.google.com/open?id=1o8gU9LI-eJ4hrwHkz7b6V6vX8bc2YFb7" TargetMode="External"/><Relationship Id="rId699" Type="http://schemas.openxmlformats.org/officeDocument/2006/relationships/hyperlink" Target="https://drive.google.com/open?id=1G7RDq0-LLMZyM_EG-AGSwXh3R1SHMW6k" TargetMode="External"/><Relationship Id="rId214" Type="http://schemas.openxmlformats.org/officeDocument/2006/relationships/hyperlink" Target="https://drive.google.com/open?id=1SHO-5VD9JUEPjog22cWO832kaqajphQy" TargetMode="External"/><Relationship Id="rId698" Type="http://schemas.openxmlformats.org/officeDocument/2006/relationships/hyperlink" Target="https://drive.google.com/open?id=1tu1ObCtNEgwaW1ESur34JpG0BxnEKJ4o" TargetMode="External"/><Relationship Id="rId219" Type="http://schemas.openxmlformats.org/officeDocument/2006/relationships/hyperlink" Target="https://drive.google.com/open?id=1piUk9daAxG9HHSX9eiVkZqbXZtLN3M-g" TargetMode="External"/><Relationship Id="rId218" Type="http://schemas.openxmlformats.org/officeDocument/2006/relationships/hyperlink" Target="https://drive.google.com/open?id=1YonZ6olGOZrggM5XjJjW_MC2fOeFo4X9" TargetMode="External"/><Relationship Id="rId693" Type="http://schemas.openxmlformats.org/officeDocument/2006/relationships/hyperlink" Target="https://drive.google.com/open?id=1uVsSqbzOHsEXd8qtejGTUQkuw-oQqRX2" TargetMode="External"/><Relationship Id="rId1040" Type="http://schemas.openxmlformats.org/officeDocument/2006/relationships/hyperlink" Target="https://drive.google.com/open?id=1DdtP4Jce1Hzh89cx91TIYbMBw-Eoyw6i" TargetMode="External"/><Relationship Id="rId692" Type="http://schemas.openxmlformats.org/officeDocument/2006/relationships/hyperlink" Target="https://drive.google.com/open?id=1_gG2F-FhMtSVQC3MCZ-ZTi5aDHgRVFQw" TargetMode="External"/><Relationship Id="rId1041" Type="http://schemas.openxmlformats.org/officeDocument/2006/relationships/hyperlink" Target="https://drive.google.com/open?id=12_srua-2bN288erbcYac-deqxTpCBmIW" TargetMode="External"/><Relationship Id="rId691" Type="http://schemas.openxmlformats.org/officeDocument/2006/relationships/hyperlink" Target="https://drive.google.com/open?id=17IHN36wQEF50A9mml5qyjIR9WamldUwy" TargetMode="External"/><Relationship Id="rId1042" Type="http://schemas.openxmlformats.org/officeDocument/2006/relationships/hyperlink" Target="https://drive.google.com/open?id=1q70iM5ZuSozWqArmkj9LmZgssRwVJcUV" TargetMode="External"/><Relationship Id="rId690" Type="http://schemas.openxmlformats.org/officeDocument/2006/relationships/hyperlink" Target="https://drive.google.com/open?id=1BE7JQdinxMsRNrXWG8ECY6NhXcr3E34U" TargetMode="External"/><Relationship Id="rId1043" Type="http://schemas.openxmlformats.org/officeDocument/2006/relationships/hyperlink" Target="https://drive.google.com/open?id=1W-GEi_AHJJKbI5qy-Xka1C4tkYjzijrv" TargetMode="External"/><Relationship Id="rId213" Type="http://schemas.openxmlformats.org/officeDocument/2006/relationships/hyperlink" Target="https://drive.google.com/open?id=1Xt0pIDVap4OLOIehCGYbKilh3Ncco4Ld" TargetMode="External"/><Relationship Id="rId697" Type="http://schemas.openxmlformats.org/officeDocument/2006/relationships/hyperlink" Target="https://drive.google.com/open?id=1CUBc4XwsGKxtG0Gm3o57OEqgjSf_ux31" TargetMode="External"/><Relationship Id="rId1044" Type="http://schemas.openxmlformats.org/officeDocument/2006/relationships/hyperlink" Target="https://drive.google.com/open?id=1Ezod3LTtx06q8Nryu-0ZbTaoweFYbeQy" TargetMode="External"/><Relationship Id="rId212" Type="http://schemas.openxmlformats.org/officeDocument/2006/relationships/hyperlink" Target="https://drive.google.com/open?id=1VuTH7Tgo0Pk_ScTpkx1b4YGJX5R6P5Zn" TargetMode="External"/><Relationship Id="rId696" Type="http://schemas.openxmlformats.org/officeDocument/2006/relationships/hyperlink" Target="https://drive.google.com/open?id=1akSfmutBOQ2wbe7JeqQbyvifchGO0q9a" TargetMode="External"/><Relationship Id="rId1045" Type="http://schemas.openxmlformats.org/officeDocument/2006/relationships/hyperlink" Target="https://drive.google.com/open?id=1w7Nn7fnaelGzhVWNrJIoFAwtxc99uNTN" TargetMode="External"/><Relationship Id="rId211" Type="http://schemas.openxmlformats.org/officeDocument/2006/relationships/hyperlink" Target="https://drive.google.com/open?id=1byWGeZTZx-0YwRF5T9ijQuTz8yqdfnDb" TargetMode="External"/><Relationship Id="rId695" Type="http://schemas.openxmlformats.org/officeDocument/2006/relationships/hyperlink" Target="https://drive.google.com/open?id=1_y6iGGdoyvfMVY7JXc1BYWAP6GB_1jpL" TargetMode="External"/><Relationship Id="rId1046" Type="http://schemas.openxmlformats.org/officeDocument/2006/relationships/hyperlink" Target="https://drive.google.com/open?id=1RTtyq3k-N2F7MeRaIQQUEPr2Q6jliTEQ" TargetMode="External"/><Relationship Id="rId210" Type="http://schemas.openxmlformats.org/officeDocument/2006/relationships/hyperlink" Target="https://drive.google.com/open?id=1JY06WZOLqu14PhonWHVOlvTMYjZ6411P" TargetMode="External"/><Relationship Id="rId694" Type="http://schemas.openxmlformats.org/officeDocument/2006/relationships/hyperlink" Target="https://drive.google.com/open?id=1QMfaNPYetS7O2Ru9r_pgzrbBQQ9dHwz0" TargetMode="External"/><Relationship Id="rId1047" Type="http://schemas.openxmlformats.org/officeDocument/2006/relationships/hyperlink" Target="https://drive.google.com/open?id=1ZjUgIOn4CrJjrvYAAfjeeemjC-MPDfNq" TargetMode="External"/><Relationship Id="rId249" Type="http://schemas.openxmlformats.org/officeDocument/2006/relationships/hyperlink" Target="https://drive.google.com/open?id=1ng_BFT84CIRQXxhWSzRE95sFg53StfXT" TargetMode="External"/><Relationship Id="rId248" Type="http://schemas.openxmlformats.org/officeDocument/2006/relationships/hyperlink" Target="https://drive.google.com/open?id=1K0hyaMAaPsme28BcbSbWerGiglJgibIZ" TargetMode="External"/><Relationship Id="rId247" Type="http://schemas.openxmlformats.org/officeDocument/2006/relationships/hyperlink" Target="https://drive.google.com/open?id=1zvZKnreh3OXHMk5VhsXTjp2KaWv929to" TargetMode="External"/><Relationship Id="rId1070" Type="http://schemas.openxmlformats.org/officeDocument/2006/relationships/hyperlink" Target="https://drive.google.com/open?id=1FE0_HvNkyx3uHLZDuU658DZshp-63E4t" TargetMode="External"/><Relationship Id="rId1071" Type="http://schemas.openxmlformats.org/officeDocument/2006/relationships/hyperlink" Target="https://drive.google.com/open?id=1RNxNHVErA7ZetNxkkw55UxK_dJZ0frz-" TargetMode="External"/><Relationship Id="rId1072" Type="http://schemas.openxmlformats.org/officeDocument/2006/relationships/hyperlink" Target="https://drive.google.com/open?id=13ZIfIPothsMAgPWvm_xwT_qHdQfFypAW" TargetMode="External"/><Relationship Id="rId242" Type="http://schemas.openxmlformats.org/officeDocument/2006/relationships/hyperlink" Target="https://drive.google.com/open?id=1Xa6M5OzsQg1V9f_t8BfVNYGChbG7C8wf" TargetMode="External"/><Relationship Id="rId1073" Type="http://schemas.openxmlformats.org/officeDocument/2006/relationships/hyperlink" Target="https://drive.google.com/open?id=1m23VxHdX4Zs3AvCLywt75uFllkTGKKTd" TargetMode="External"/><Relationship Id="rId241" Type="http://schemas.openxmlformats.org/officeDocument/2006/relationships/hyperlink" Target="https://drive.google.com/open?id=1IZY82G5m3K69SqYjyhhh8SYU1Lr1Ps6M" TargetMode="External"/><Relationship Id="rId1074" Type="http://schemas.openxmlformats.org/officeDocument/2006/relationships/hyperlink" Target="https://drive.google.com/open?id=18UCOVjctEmUkeWvKSK3EwxxqYBTuhM8l" TargetMode="External"/><Relationship Id="rId240" Type="http://schemas.openxmlformats.org/officeDocument/2006/relationships/hyperlink" Target="https://drive.google.com/open?id=1UW4JMALPhi0QZwc7UJeLomfBEpWwBMSu" TargetMode="External"/><Relationship Id="rId1075" Type="http://schemas.openxmlformats.org/officeDocument/2006/relationships/hyperlink" Target="https://drive.google.com/open?id=1Br9osdp4Z29Y2syRxU08Ud0JMlMK7QRZ" TargetMode="External"/><Relationship Id="rId1076" Type="http://schemas.openxmlformats.org/officeDocument/2006/relationships/hyperlink" Target="https://drive.google.com/open?id=1MifZlr4QTyfjCEJejPJbr5s190TAXprE" TargetMode="External"/><Relationship Id="rId246" Type="http://schemas.openxmlformats.org/officeDocument/2006/relationships/hyperlink" Target="https://drive.google.com/open?id=1-5ulWFAkRwnJeAKm0eIUioBG-oDd3-t6" TargetMode="External"/><Relationship Id="rId1077" Type="http://schemas.openxmlformats.org/officeDocument/2006/relationships/hyperlink" Target="https://drive.google.com/open?id=1j4dQCVh65KHXq89qFXkKzrxq4tCfzD-j" TargetMode="External"/><Relationship Id="rId245" Type="http://schemas.openxmlformats.org/officeDocument/2006/relationships/hyperlink" Target="https://drive.google.com/open?id=1TV9WHLuDDCpqYakrw3vT8Q4B94v1NnqP" TargetMode="External"/><Relationship Id="rId1078" Type="http://schemas.openxmlformats.org/officeDocument/2006/relationships/hyperlink" Target="https://drive.google.com/open?id=1Gk5FuNyOEn3ZKyId4GWfgMUKEX9yMALO" TargetMode="External"/><Relationship Id="rId244" Type="http://schemas.openxmlformats.org/officeDocument/2006/relationships/hyperlink" Target="https://drive.google.com/open?id=1WASeusBpiMpHwN8Tc4olsQAqUnPt0BGt" TargetMode="External"/><Relationship Id="rId1079" Type="http://schemas.openxmlformats.org/officeDocument/2006/relationships/hyperlink" Target="https://drive.google.com/open?id=16FQHEBK1Sq5igP7cNRw9fRLyPnYvM-ms" TargetMode="External"/><Relationship Id="rId243" Type="http://schemas.openxmlformats.org/officeDocument/2006/relationships/hyperlink" Target="https://drive.google.com/open?id=1KVm4N3gzrXfXIagHc0ay7TGiDHr14cyf" TargetMode="External"/><Relationship Id="rId239" Type="http://schemas.openxmlformats.org/officeDocument/2006/relationships/hyperlink" Target="https://drive.google.com/open?id=1b3VHZTk5JSmej9BlE4_egVB0SC9_mGf8" TargetMode="External"/><Relationship Id="rId238" Type="http://schemas.openxmlformats.org/officeDocument/2006/relationships/hyperlink" Target="https://drive.google.com/open?id=1Wm4MnZKWaOo8kn9bpOgiuXGTJuxbVBfo" TargetMode="External"/><Relationship Id="rId237" Type="http://schemas.openxmlformats.org/officeDocument/2006/relationships/hyperlink" Target="https://drive.google.com/open?id=1snuULu0HwVOJ687g5nrp_n5xXeDOBAOD" TargetMode="External"/><Relationship Id="rId236" Type="http://schemas.openxmlformats.org/officeDocument/2006/relationships/hyperlink" Target="https://drive.google.com/open?id=1IqL4FoPNCX1j8hfwDq8zIaDgZf34hk3P" TargetMode="External"/><Relationship Id="rId1060" Type="http://schemas.openxmlformats.org/officeDocument/2006/relationships/hyperlink" Target="https://drive.google.com/open?id=1EvXscih3t8GNcIkdo5_8G4zI0SWazPz8" TargetMode="External"/><Relationship Id="rId1061" Type="http://schemas.openxmlformats.org/officeDocument/2006/relationships/hyperlink" Target="https://drive.google.com/open?id=1RZJGkxLxMIWCLo4siZnkp-f5pBgLSxfj" TargetMode="External"/><Relationship Id="rId231" Type="http://schemas.openxmlformats.org/officeDocument/2006/relationships/hyperlink" Target="https://drive.google.com/open?id=1xXaz0acVeXLlZtQK5bAkaIcj6gP9tmUW" TargetMode="External"/><Relationship Id="rId1062" Type="http://schemas.openxmlformats.org/officeDocument/2006/relationships/hyperlink" Target="https://drive.google.com/open?id=1f94s200c2aJ8-D01M1jsKM_f5UVJQI4P" TargetMode="External"/><Relationship Id="rId230" Type="http://schemas.openxmlformats.org/officeDocument/2006/relationships/hyperlink" Target="https://drive.google.com/open?id=19ICyEx7TvltSMYYTihknjAb2kVuwFTJ0" TargetMode="External"/><Relationship Id="rId1063" Type="http://schemas.openxmlformats.org/officeDocument/2006/relationships/hyperlink" Target="https://drive.google.com/open?id=1PxUOyyuy2MDilQIZtpCG6-BGaxfslHXc" TargetMode="External"/><Relationship Id="rId1064" Type="http://schemas.openxmlformats.org/officeDocument/2006/relationships/hyperlink" Target="https://drive.google.com/open?id=1CDQp-PBZmfOaWRAP94IsgsbraIKHtdWL" TargetMode="External"/><Relationship Id="rId1065" Type="http://schemas.openxmlformats.org/officeDocument/2006/relationships/hyperlink" Target="https://drive.google.com/open?id=1KKGtaq5GZLret3IA_PBGmysy9nnWrfqb" TargetMode="External"/><Relationship Id="rId235" Type="http://schemas.openxmlformats.org/officeDocument/2006/relationships/hyperlink" Target="https://drive.google.com/open?id=1BGZMlDUnSEgkcWuFeTdo9Q6hmkRpWqxk" TargetMode="External"/><Relationship Id="rId1066" Type="http://schemas.openxmlformats.org/officeDocument/2006/relationships/hyperlink" Target="https://drive.google.com/open?id=1V0NQc24We23LH8EhxU-DoWWBxbWP-qw8" TargetMode="External"/><Relationship Id="rId234" Type="http://schemas.openxmlformats.org/officeDocument/2006/relationships/hyperlink" Target="https://drive.google.com/open?id=1ng0Lk9SymFgR_16TJjdbejLvtYazcoUx" TargetMode="External"/><Relationship Id="rId1067" Type="http://schemas.openxmlformats.org/officeDocument/2006/relationships/hyperlink" Target="https://drive.google.com/open?id=1L9EdbAfI7EPrI4X-M6NqXT4KXwvZicpg" TargetMode="External"/><Relationship Id="rId233" Type="http://schemas.openxmlformats.org/officeDocument/2006/relationships/hyperlink" Target="https://drive.google.com/open?id=1lBR2uMs4Crdx2pUdhIF8OqE50WSzxF0M" TargetMode="External"/><Relationship Id="rId1068" Type="http://schemas.openxmlformats.org/officeDocument/2006/relationships/hyperlink" Target="https://drive.google.com/open?id=1CdIhKOLxHMKon7MhlxfbyeqhVil30Pmz" TargetMode="External"/><Relationship Id="rId232" Type="http://schemas.openxmlformats.org/officeDocument/2006/relationships/hyperlink" Target="https://drive.google.com/open?id=1yhkjwAcobRnGlwhZoJOOSTwHDCLEjMxE" TargetMode="External"/><Relationship Id="rId1069" Type="http://schemas.openxmlformats.org/officeDocument/2006/relationships/hyperlink" Target="https://drive.google.com/open?id=1jZqgHUFv77c-1WLKoijFh6ALBy9Ux1It" TargetMode="External"/><Relationship Id="rId1015" Type="http://schemas.openxmlformats.org/officeDocument/2006/relationships/hyperlink" Target="https://drive.google.com/open?id=1wJBg05qypWnDdgAhRK0R2uvkoJeon6rR" TargetMode="External"/><Relationship Id="rId1499" Type="http://schemas.openxmlformats.org/officeDocument/2006/relationships/hyperlink" Target="https://drive.google.com/open?id=1r0OT2bkWZ-tvqdAJ4WO2LA9k4kSdAb8N" TargetMode="External"/><Relationship Id="rId1016" Type="http://schemas.openxmlformats.org/officeDocument/2006/relationships/hyperlink" Target="https://drive.google.com/open?id=1-gJsyg_GwG0B9yU1z85C9j7zOc7dCjCb" TargetMode="External"/><Relationship Id="rId1017" Type="http://schemas.openxmlformats.org/officeDocument/2006/relationships/hyperlink" Target="https://drive.google.com/open?id=11tvcZC2B6NAxoyFWA5BgpbovXc-a3Nv7" TargetMode="External"/><Relationship Id="rId1018" Type="http://schemas.openxmlformats.org/officeDocument/2006/relationships/hyperlink" Target="https://drive.google.com/open?id=1Q123BBUxI1L9zmyqsMZASDg90DO_z1Yz" TargetMode="External"/><Relationship Id="rId1019" Type="http://schemas.openxmlformats.org/officeDocument/2006/relationships/hyperlink" Target="https://drive.google.com/open?id=12rTU4jG8tcrAz8LiJ33uRa8PfNT2Qxpw" TargetMode="External"/><Relationship Id="rId668" Type="http://schemas.openxmlformats.org/officeDocument/2006/relationships/hyperlink" Target="https://drive.google.com/open?id=1ygSpxfiwRrg2HFxEQJvY4dUJ1FceX5cU" TargetMode="External"/><Relationship Id="rId667" Type="http://schemas.openxmlformats.org/officeDocument/2006/relationships/hyperlink" Target="https://drive.google.com/open?id=1iT_54ac8mHt0eNjUvGQm683y9KsMKAtY" TargetMode="External"/><Relationship Id="rId666" Type="http://schemas.openxmlformats.org/officeDocument/2006/relationships/hyperlink" Target="https://drive.google.com/open?id=1_Ond_jtt-d4exjAneB4sKCd2EikihoCK" TargetMode="External"/><Relationship Id="rId665" Type="http://schemas.openxmlformats.org/officeDocument/2006/relationships/hyperlink" Target="https://drive.google.com/open?id=1a5C1fy7ElXVeE8z6o5zy1tZ2Ook-dC0p" TargetMode="External"/><Relationship Id="rId669" Type="http://schemas.openxmlformats.org/officeDocument/2006/relationships/hyperlink" Target="https://drive.google.com/open?id=1dSDVLhcrt7gnGStAc0MGnLY3tlUVTYjV" TargetMode="External"/><Relationship Id="rId1490" Type="http://schemas.openxmlformats.org/officeDocument/2006/relationships/hyperlink" Target="https://drive.google.com/open?id=13wC2qGLJt7vaXnZAdSclX8qWr--17iWb" TargetMode="External"/><Relationship Id="rId660" Type="http://schemas.openxmlformats.org/officeDocument/2006/relationships/hyperlink" Target="https://drive.google.com/open?id=1sGwuj9VRKy0EKAY8yVgQ1Dcof6o5oKcu" TargetMode="External"/><Relationship Id="rId1491" Type="http://schemas.openxmlformats.org/officeDocument/2006/relationships/hyperlink" Target="https://drive.google.com/open?id=1LJ3IZCpKKbviiUkqp3ffzi_6tp3E3tj5" TargetMode="External"/><Relationship Id="rId1492" Type="http://schemas.openxmlformats.org/officeDocument/2006/relationships/hyperlink" Target="https://drive.google.com/open?id=146hOyIIiLYzULXFjePNdLpHBeN0ZGuma" TargetMode="External"/><Relationship Id="rId1493" Type="http://schemas.openxmlformats.org/officeDocument/2006/relationships/hyperlink" Target="https://drive.google.com/open?id=13lLWrKtGsllXI2lRqI4GErZghjkCGNSQ" TargetMode="External"/><Relationship Id="rId1010" Type="http://schemas.openxmlformats.org/officeDocument/2006/relationships/hyperlink" Target="https://drive.google.com/open?id=1mQBFKyhqohX-jOzI2tnPUxJ-CqO5aJpf" TargetMode="External"/><Relationship Id="rId1494" Type="http://schemas.openxmlformats.org/officeDocument/2006/relationships/hyperlink" Target="https://drive.google.com/open?id=1gFPRX37DpaRdjtmNh5oNVtI3Z07X2dTo" TargetMode="External"/><Relationship Id="rId664" Type="http://schemas.openxmlformats.org/officeDocument/2006/relationships/hyperlink" Target="https://drive.google.com/open?id=1Oon8p6ylgk_W4ZWn769axktQh7m85hqJ" TargetMode="External"/><Relationship Id="rId1011" Type="http://schemas.openxmlformats.org/officeDocument/2006/relationships/hyperlink" Target="https://drive.google.com/open?id=1JN1omyDFwhZ6DQdL14ffHMt9A0htX21g" TargetMode="External"/><Relationship Id="rId1495" Type="http://schemas.openxmlformats.org/officeDocument/2006/relationships/hyperlink" Target="https://drive.google.com/open?id=1cciF3FJR_cNr2iF5TPdeUb67dDUmq1jL" TargetMode="External"/><Relationship Id="rId663" Type="http://schemas.openxmlformats.org/officeDocument/2006/relationships/hyperlink" Target="https://drive.google.com/open?id=1TUx6HI9v0Krubux7DA1wOgRCNkWizT7H" TargetMode="External"/><Relationship Id="rId1012" Type="http://schemas.openxmlformats.org/officeDocument/2006/relationships/hyperlink" Target="https://drive.google.com/open?id=1fkfNt3Enmx67ukXQijvhGeQwlv7OqiGp" TargetMode="External"/><Relationship Id="rId1496" Type="http://schemas.openxmlformats.org/officeDocument/2006/relationships/hyperlink" Target="https://drive.google.com/open?id=1iSqNGW0Hv1rZ3v0PmTxAO0u7hE87Dq6c" TargetMode="External"/><Relationship Id="rId662" Type="http://schemas.openxmlformats.org/officeDocument/2006/relationships/hyperlink" Target="https://drive.google.com/open?id=17YaiJ7jsRQYYiWUOAI1WTjDUII1YWA80" TargetMode="External"/><Relationship Id="rId1013" Type="http://schemas.openxmlformats.org/officeDocument/2006/relationships/hyperlink" Target="https://drive.google.com/open?id=1pSs7zzy3eJi0Z95pmNnGfABCvWGgsb_H" TargetMode="External"/><Relationship Id="rId1497" Type="http://schemas.openxmlformats.org/officeDocument/2006/relationships/hyperlink" Target="https://drive.google.com/open?id=1qUlCM5SWAzMtHR5AtccK5Nrq0lOB0yCJ" TargetMode="External"/><Relationship Id="rId661" Type="http://schemas.openxmlformats.org/officeDocument/2006/relationships/hyperlink" Target="https://drive.google.com/open?id=1j1-oZeZS2g_ZOxn2CBPUDerYewVdGTrB" TargetMode="External"/><Relationship Id="rId1014" Type="http://schemas.openxmlformats.org/officeDocument/2006/relationships/hyperlink" Target="https://drive.google.com/open?id=1c5Y8DsJ-mMBKjKfPeXEF0JmLY5yb9AvC" TargetMode="External"/><Relationship Id="rId1498" Type="http://schemas.openxmlformats.org/officeDocument/2006/relationships/hyperlink" Target="https://drive.google.com/open?id=1ReDEg0bDh8WHoCBC_9A1BB8CNqb9GoWM" TargetMode="External"/><Relationship Id="rId1004" Type="http://schemas.openxmlformats.org/officeDocument/2006/relationships/hyperlink" Target="https://drive.google.com/open?id=1Pdt8aypHVSwSzDIWguiP8nWMrEdB33h0" TargetMode="External"/><Relationship Id="rId1488" Type="http://schemas.openxmlformats.org/officeDocument/2006/relationships/hyperlink" Target="https://drive.google.com/open?id=1Dh_lyyeLqZe1RfkJ1ihYhUDFZxaEvQ0h" TargetMode="External"/><Relationship Id="rId1005" Type="http://schemas.openxmlformats.org/officeDocument/2006/relationships/hyperlink" Target="https://drive.google.com/open?id=1iabDeur9k6QrEoaHZHRARPLPCSvizNGq" TargetMode="External"/><Relationship Id="rId1489" Type="http://schemas.openxmlformats.org/officeDocument/2006/relationships/hyperlink" Target="https://drive.google.com/open?id=1ixk-k6vRo0JG2WIMWr1EwOkn7JyVdn6H" TargetMode="External"/><Relationship Id="rId1006" Type="http://schemas.openxmlformats.org/officeDocument/2006/relationships/hyperlink" Target="https://drive.google.com/open?id=16c7c1M1MusHqa3fgQVXKq9D00j0pivXc" TargetMode="External"/><Relationship Id="rId1007" Type="http://schemas.openxmlformats.org/officeDocument/2006/relationships/hyperlink" Target="https://drive.google.com/open?id=1j1w0c2-FZYLuHintyze78-a8_CcCaP0D" TargetMode="External"/><Relationship Id="rId1008" Type="http://schemas.openxmlformats.org/officeDocument/2006/relationships/hyperlink" Target="https://drive.google.com/open?id=1Np-pIt1IdoqAq_K8OBZRls1Bm7DjtjSq" TargetMode="External"/><Relationship Id="rId1009" Type="http://schemas.openxmlformats.org/officeDocument/2006/relationships/hyperlink" Target="https://drive.google.com/open?id=15ob4XbwSyJWO_uug8fiShIJkjG616DJV" TargetMode="External"/><Relationship Id="rId657" Type="http://schemas.openxmlformats.org/officeDocument/2006/relationships/hyperlink" Target="https://drive.google.com/open?id=1kCej-tFd2U_21HOqTq7dkkunOSUkz9PY" TargetMode="External"/><Relationship Id="rId656" Type="http://schemas.openxmlformats.org/officeDocument/2006/relationships/hyperlink" Target="https://drive.google.com/open?id=1R_crjsy8Lbn26MMooTRDEIdrtwv0l2F0" TargetMode="External"/><Relationship Id="rId655" Type="http://schemas.openxmlformats.org/officeDocument/2006/relationships/hyperlink" Target="https://drive.google.com/open?id=1MaIstHqnDkNHBOsPBnH7PCPqV-V-vA3u" TargetMode="External"/><Relationship Id="rId654" Type="http://schemas.openxmlformats.org/officeDocument/2006/relationships/hyperlink" Target="https://drive.google.com/open?id=1gwt9YnCs_Mw_5hdc2VLXTf3wKncfuc6Q" TargetMode="External"/><Relationship Id="rId659" Type="http://schemas.openxmlformats.org/officeDocument/2006/relationships/hyperlink" Target="https://drive.google.com/open?id=1f4IbL3inliT5llRVq8Zb-tsbD5AxG-bz" TargetMode="External"/><Relationship Id="rId658" Type="http://schemas.openxmlformats.org/officeDocument/2006/relationships/hyperlink" Target="https://drive.google.com/open?id=12D6tVmvoLlsK_hHZi7DYhiLtuyKu3-k3" TargetMode="External"/><Relationship Id="rId1480" Type="http://schemas.openxmlformats.org/officeDocument/2006/relationships/hyperlink" Target="https://drive.google.com/open?id=1PQfj5MLNmnYdXLSwF_WkAbo76iT3uKMk" TargetMode="External"/><Relationship Id="rId1481" Type="http://schemas.openxmlformats.org/officeDocument/2006/relationships/hyperlink" Target="https://drive.google.com/open?id=1wwWfjnV0lYOC-OQpwDrX9ovAfRpv39hs" TargetMode="External"/><Relationship Id="rId1482" Type="http://schemas.openxmlformats.org/officeDocument/2006/relationships/hyperlink" Target="https://drive.google.com/open?id=1IQqEGcch-_FnFhJXf6rj18lTL4iImNmK" TargetMode="External"/><Relationship Id="rId1483" Type="http://schemas.openxmlformats.org/officeDocument/2006/relationships/hyperlink" Target="https://drive.google.com/open?id=12tvC_N49DvnGCVE204IszR8wxp8hO4Qi" TargetMode="External"/><Relationship Id="rId653" Type="http://schemas.openxmlformats.org/officeDocument/2006/relationships/hyperlink" Target="https://drive.google.com/open?id=1UH29DWZ7mNJAc3hFq7J6-52l9vH-o75V" TargetMode="External"/><Relationship Id="rId1000" Type="http://schemas.openxmlformats.org/officeDocument/2006/relationships/hyperlink" Target="https://drive.google.com/open?id=1X6ppzp2_RQtZH-sMapbdVUJFv8cshZ_0" TargetMode="External"/><Relationship Id="rId1484" Type="http://schemas.openxmlformats.org/officeDocument/2006/relationships/hyperlink" Target="https://drive.google.com/open?id=1ykIfcaq5frJHaMuX0SOdPDuv9eK5Txk7" TargetMode="External"/><Relationship Id="rId652" Type="http://schemas.openxmlformats.org/officeDocument/2006/relationships/hyperlink" Target="https://drive.google.com/open?id=1hK2pBkdTZDKlPOmiNsZBHAE_l9PK0ReV" TargetMode="External"/><Relationship Id="rId1001" Type="http://schemas.openxmlformats.org/officeDocument/2006/relationships/hyperlink" Target="https://drive.google.com/open?id=1TTKuv1PMBM3byrFdrOA4RuavOgVPs5_j" TargetMode="External"/><Relationship Id="rId1485" Type="http://schemas.openxmlformats.org/officeDocument/2006/relationships/hyperlink" Target="https://drive.google.com/open?id=1khlv-1t0-jS96lhrqP-wFxpBzTDEGUL8" TargetMode="External"/><Relationship Id="rId651" Type="http://schemas.openxmlformats.org/officeDocument/2006/relationships/hyperlink" Target="https://drive.google.com/open?id=1erC_GJzEFzMEUrIt7RCB1gE5rOo1vD_9" TargetMode="External"/><Relationship Id="rId1002" Type="http://schemas.openxmlformats.org/officeDocument/2006/relationships/hyperlink" Target="https://drive.google.com/open?id=1yEpNi0SHGl5qQOLJpWfFDSVrtUwOq4Cb" TargetMode="External"/><Relationship Id="rId1486" Type="http://schemas.openxmlformats.org/officeDocument/2006/relationships/hyperlink" Target="https://drive.google.com/open?id=108EVeCom5z382Fm1MZ-n5cndHEwzQKZz" TargetMode="External"/><Relationship Id="rId650" Type="http://schemas.openxmlformats.org/officeDocument/2006/relationships/hyperlink" Target="https://drive.google.com/open?id=1Sc50u7O2yN6wdOggs836WOqMRMciijHi" TargetMode="External"/><Relationship Id="rId1003" Type="http://schemas.openxmlformats.org/officeDocument/2006/relationships/hyperlink" Target="https://drive.google.com/open?id=1QKPXuKgvVlA0gZbYZnTSSi7gWTbDZr8t" TargetMode="External"/><Relationship Id="rId1487" Type="http://schemas.openxmlformats.org/officeDocument/2006/relationships/hyperlink" Target="https://drive.google.com/open?id=1Vex8qYcLrNMxoUbTsHjGMHwgx2IUrYzM" TargetMode="External"/><Relationship Id="rId1037" Type="http://schemas.openxmlformats.org/officeDocument/2006/relationships/hyperlink" Target="https://drive.google.com/open?id=1D9VJrTOe4CseoWGyhcXBEAT02CSp62P6" TargetMode="External"/><Relationship Id="rId1038" Type="http://schemas.openxmlformats.org/officeDocument/2006/relationships/hyperlink" Target="https://drive.google.com/open?id=1pe3p-2freuWa5Y6VlateFoOG8VVzNEWA" TargetMode="External"/><Relationship Id="rId1039" Type="http://schemas.openxmlformats.org/officeDocument/2006/relationships/hyperlink" Target="https://drive.google.com/open?id=19pm2_Q5iWB3TaA9W5JNLMBYNbUk4cqmc" TargetMode="External"/><Relationship Id="rId206" Type="http://schemas.openxmlformats.org/officeDocument/2006/relationships/hyperlink" Target="https://drive.google.com/open?id=19Ka6YBVza_JMpDFUmAyufew4waw_D5y0" TargetMode="External"/><Relationship Id="rId205" Type="http://schemas.openxmlformats.org/officeDocument/2006/relationships/hyperlink" Target="https://drive.google.com/open?id=1dMNxi_Or7UhKxJPL3YEinENFdowglzpI" TargetMode="External"/><Relationship Id="rId689" Type="http://schemas.openxmlformats.org/officeDocument/2006/relationships/hyperlink" Target="https://drive.google.com/open?id=1MMJqoGur-eMCf_7hAzgs-uyOed9kNdHH" TargetMode="External"/><Relationship Id="rId204" Type="http://schemas.openxmlformats.org/officeDocument/2006/relationships/hyperlink" Target="https://drive.google.com/open?id=1v5U4mH5Q8y5JkinMsVnRQk6Qam2Nz3kX" TargetMode="External"/><Relationship Id="rId688" Type="http://schemas.openxmlformats.org/officeDocument/2006/relationships/hyperlink" Target="https://drive.google.com/open?id=12mLbgSr8BQGMi1V9Ki3S11KzhbWIS1ne" TargetMode="External"/><Relationship Id="rId203" Type="http://schemas.openxmlformats.org/officeDocument/2006/relationships/hyperlink" Target="https://drive.google.com/open?id=1_AmuudImeuAke-60a-pwhO2xVaxGX9rn" TargetMode="External"/><Relationship Id="rId687" Type="http://schemas.openxmlformats.org/officeDocument/2006/relationships/hyperlink" Target="https://drive.google.com/open?id=18tx_x8oqHtl_mYiqbPjDtWxVUocIfhOG" TargetMode="External"/><Relationship Id="rId209" Type="http://schemas.openxmlformats.org/officeDocument/2006/relationships/hyperlink" Target="https://drive.google.com/open?id=1IWEHEfz3lbGYZAmHqbWoBE51TIggD5nL" TargetMode="External"/><Relationship Id="rId208" Type="http://schemas.openxmlformats.org/officeDocument/2006/relationships/hyperlink" Target="https://drive.google.com/open?id=1gXlcLwDfPm-ZNDcW9x18d9Dv5fS8zPdT" TargetMode="External"/><Relationship Id="rId207" Type="http://schemas.openxmlformats.org/officeDocument/2006/relationships/hyperlink" Target="https://drive.google.com/open?id=13C09EPcX1B9VGsXLB2h1XTf93qbuA80k" TargetMode="External"/><Relationship Id="rId682" Type="http://schemas.openxmlformats.org/officeDocument/2006/relationships/hyperlink" Target="https://drive.google.com/open?id=1a3rZb27uIXa2apvbeh2nvyIEJUoZY8CP" TargetMode="External"/><Relationship Id="rId681" Type="http://schemas.openxmlformats.org/officeDocument/2006/relationships/hyperlink" Target="https://drive.google.com/open?id=1hsdS8x6QAkr093ZKVQozx_VW02UX_ciT" TargetMode="External"/><Relationship Id="rId1030" Type="http://schemas.openxmlformats.org/officeDocument/2006/relationships/hyperlink" Target="https://drive.google.com/open?id=1bEEb_67tfTUMaadwqxyH1kLGgXu06L-o" TargetMode="External"/><Relationship Id="rId680" Type="http://schemas.openxmlformats.org/officeDocument/2006/relationships/hyperlink" Target="https://drive.google.com/open?id=1oBsoHCUqyikc8mDOXNplplxNdc8rspMh" TargetMode="External"/><Relationship Id="rId1031" Type="http://schemas.openxmlformats.org/officeDocument/2006/relationships/hyperlink" Target="https://drive.google.com/open?id=1xgzZEYjYgnECYBJzQfcqwASeVfjyLZC-" TargetMode="External"/><Relationship Id="rId1032" Type="http://schemas.openxmlformats.org/officeDocument/2006/relationships/hyperlink" Target="https://drive.google.com/open?id=1JyesfyG9sdretzSNeYQ2p7xsGi1Vlmbs" TargetMode="External"/><Relationship Id="rId202" Type="http://schemas.openxmlformats.org/officeDocument/2006/relationships/hyperlink" Target="https://drive.google.com/open?id=13oDkQ5eszOIASYc_IZHqIC-kEbAMo6TT" TargetMode="External"/><Relationship Id="rId686" Type="http://schemas.openxmlformats.org/officeDocument/2006/relationships/hyperlink" Target="https://drive.google.com/open?id=1DUCmRPc7cYSEu1VOX3CbZFwMrxdmKmBg" TargetMode="External"/><Relationship Id="rId1033" Type="http://schemas.openxmlformats.org/officeDocument/2006/relationships/hyperlink" Target="https://drive.google.com/open?id=1eC1pDXpm6Na2Yw9X6EHoZDI1_VQx9eSV" TargetMode="External"/><Relationship Id="rId201" Type="http://schemas.openxmlformats.org/officeDocument/2006/relationships/hyperlink" Target="https://drive.google.com/open?id=1JDkbWTWW31HZtahRtdxiRWL1l2STgDcF" TargetMode="External"/><Relationship Id="rId685" Type="http://schemas.openxmlformats.org/officeDocument/2006/relationships/hyperlink" Target="https://drive.google.com/open?id=1GcsdzqCzF19-5ITW2e-Qg41q-oUQdwCy" TargetMode="External"/><Relationship Id="rId1034" Type="http://schemas.openxmlformats.org/officeDocument/2006/relationships/hyperlink" Target="https://drive.google.com/open?id=1Yom3pKy4Tkgt9RrqNFbH2LIJ7nyblof1" TargetMode="External"/><Relationship Id="rId200" Type="http://schemas.openxmlformats.org/officeDocument/2006/relationships/hyperlink" Target="https://drive.google.com/open?id=1rafPhd2JGq6PbQEtzK_z-f8bXhTqly8M" TargetMode="External"/><Relationship Id="rId684" Type="http://schemas.openxmlformats.org/officeDocument/2006/relationships/hyperlink" Target="https://drive.google.com/open?id=133E3GUGhxSo-el8Nj3fbCzJgfrKNEtyF" TargetMode="External"/><Relationship Id="rId1035" Type="http://schemas.openxmlformats.org/officeDocument/2006/relationships/hyperlink" Target="https://drive.google.com/open?id=1foONca1k4A6XjEfgyT-fpPpAfD8E744q" TargetMode="External"/><Relationship Id="rId683" Type="http://schemas.openxmlformats.org/officeDocument/2006/relationships/hyperlink" Target="https://drive.google.com/open?id=1RbHsvYG8Vr-xXkN-ACZybU3Su2tqODs8" TargetMode="External"/><Relationship Id="rId1036" Type="http://schemas.openxmlformats.org/officeDocument/2006/relationships/hyperlink" Target="https://drive.google.com/open?id=1UR6VzrlXN7BED6ACISPUMmROl_Ggh1qz" TargetMode="External"/><Relationship Id="rId1026" Type="http://schemas.openxmlformats.org/officeDocument/2006/relationships/hyperlink" Target="https://drive.google.com/open?id=1zG2hfJx1FiAxx-aMGpfLompju4QVYhBE" TargetMode="External"/><Relationship Id="rId1027" Type="http://schemas.openxmlformats.org/officeDocument/2006/relationships/hyperlink" Target="https://drive.google.com/open?id=1S0p5CNARv6AIh0jkY2b963wPxgWr77iY" TargetMode="External"/><Relationship Id="rId1028" Type="http://schemas.openxmlformats.org/officeDocument/2006/relationships/hyperlink" Target="https://drive.google.com/open?id=1syo7UaH687D-JpxJyPvut1j1pK3BMbje" TargetMode="External"/><Relationship Id="rId1029" Type="http://schemas.openxmlformats.org/officeDocument/2006/relationships/hyperlink" Target="https://drive.google.com/open?id=1eAZkMaFzM15aJQj0CiTTAt64qhQxtlMe" TargetMode="External"/><Relationship Id="rId679" Type="http://schemas.openxmlformats.org/officeDocument/2006/relationships/hyperlink" Target="https://drive.google.com/open?id=19GI5qFSQHScSiFk4Ywd1RnR0wG0_hQVG" TargetMode="External"/><Relationship Id="rId678" Type="http://schemas.openxmlformats.org/officeDocument/2006/relationships/hyperlink" Target="https://drive.google.com/open?id=1qP9qZmE22ppsqqe3S3RAkzkCzz1VlT7d" TargetMode="External"/><Relationship Id="rId677" Type="http://schemas.openxmlformats.org/officeDocument/2006/relationships/hyperlink" Target="https://drive.google.com/open?id=1m4BTv5Etd4b2TIO038QhUJcszrtjqWra" TargetMode="External"/><Relationship Id="rId676" Type="http://schemas.openxmlformats.org/officeDocument/2006/relationships/hyperlink" Target="https://drive.google.com/open?id=1pWiCeUui6TF-dBkqKuF1k9wm-ZuQPQmy" TargetMode="External"/><Relationship Id="rId671" Type="http://schemas.openxmlformats.org/officeDocument/2006/relationships/hyperlink" Target="https://drive.google.com/open?id=1ySydhHPSGF509jC_hYDhMEh1dGCh1YnY" TargetMode="External"/><Relationship Id="rId670" Type="http://schemas.openxmlformats.org/officeDocument/2006/relationships/hyperlink" Target="https://drive.google.com/open?id=1ZZA504_CZJJomGE-VQrhHmlKo50Jlrb8" TargetMode="External"/><Relationship Id="rId1020" Type="http://schemas.openxmlformats.org/officeDocument/2006/relationships/hyperlink" Target="https://drive.google.com/open?id=1ph83XLvX3vGd4A97E5ij08uGHbidKf49" TargetMode="External"/><Relationship Id="rId1021" Type="http://schemas.openxmlformats.org/officeDocument/2006/relationships/hyperlink" Target="https://drive.google.com/open?id=1iebwTBXwTYrugaMqKMKl6bj1uGidMTeG" TargetMode="External"/><Relationship Id="rId675" Type="http://schemas.openxmlformats.org/officeDocument/2006/relationships/hyperlink" Target="https://drive.google.com/open?id=1YuVsBrH8JGCYk8UYHg-tqKCJZ8AOJa3k" TargetMode="External"/><Relationship Id="rId1022" Type="http://schemas.openxmlformats.org/officeDocument/2006/relationships/hyperlink" Target="https://drive.google.com/open?id=1Ge4SRokCJY04Io2zfoiUhLhrAKh00_Ga" TargetMode="External"/><Relationship Id="rId674" Type="http://schemas.openxmlformats.org/officeDocument/2006/relationships/hyperlink" Target="https://drive.google.com/open?id=1WU1m7CU_TcognuKDh7Q7HrvZgSOLydXL" TargetMode="External"/><Relationship Id="rId1023" Type="http://schemas.openxmlformats.org/officeDocument/2006/relationships/hyperlink" Target="https://drive.google.com/open?id=1FnC69aIhT2LBAjYSJwvd29MN09KMBmLd" TargetMode="External"/><Relationship Id="rId673" Type="http://schemas.openxmlformats.org/officeDocument/2006/relationships/hyperlink" Target="https://drive.google.com/open?id=1OZDw1MRW-j1Pk_z6DL1I2axO9gKAPHzB" TargetMode="External"/><Relationship Id="rId1024" Type="http://schemas.openxmlformats.org/officeDocument/2006/relationships/hyperlink" Target="https://drive.google.com/open?id=1u5W3xc7M36C7uqNkrMs988SSF17BWLHi" TargetMode="External"/><Relationship Id="rId672" Type="http://schemas.openxmlformats.org/officeDocument/2006/relationships/hyperlink" Target="https://drive.google.com/open?id=1ycpGI9ww9o25WRe9xh6ExTvdOLI-e72k" TargetMode="External"/><Relationship Id="rId1025" Type="http://schemas.openxmlformats.org/officeDocument/2006/relationships/hyperlink" Target="https://drive.google.com/open?id=1sLv63GFElaZzg0tPVD_8qw9BRyVWvQLV" TargetMode="External"/><Relationship Id="rId190" Type="http://schemas.openxmlformats.org/officeDocument/2006/relationships/hyperlink" Target="https://drive.google.com/open?id=1hRUVOirhtpE6w5Buo_hQrdNvEfdzHtBY" TargetMode="External"/><Relationship Id="rId194" Type="http://schemas.openxmlformats.org/officeDocument/2006/relationships/hyperlink" Target="https://drive.google.com/open?id=140nJceU32DcUPhZT_yhidWWeYTPZkYVC" TargetMode="External"/><Relationship Id="rId193" Type="http://schemas.openxmlformats.org/officeDocument/2006/relationships/hyperlink" Target="https://drive.google.com/open?id=1Ya1eh77EFYh1RmxrFdj0Bgk9t3YDTADS" TargetMode="External"/><Relationship Id="rId192" Type="http://schemas.openxmlformats.org/officeDocument/2006/relationships/hyperlink" Target="https://drive.google.com/open?id=1h9YhIgUXtK2rBnqbP6g_f9Dx3QrR_pnD" TargetMode="External"/><Relationship Id="rId191" Type="http://schemas.openxmlformats.org/officeDocument/2006/relationships/hyperlink" Target="https://drive.google.com/open?id=1o80YrSS6nw-p4ji1xpt0DwyY0GaDNIcM" TargetMode="External"/><Relationship Id="rId187" Type="http://schemas.openxmlformats.org/officeDocument/2006/relationships/hyperlink" Target="https://drive.google.com/open?id=1fgbpRkkKznyY-PKI5Dnda_W7Byo0CdFa" TargetMode="External"/><Relationship Id="rId186" Type="http://schemas.openxmlformats.org/officeDocument/2006/relationships/hyperlink" Target="https://drive.google.com/open?id=1rdisy0xDoX3c9uFLxKm_19fszA7Dhi4f" TargetMode="External"/><Relationship Id="rId185" Type="http://schemas.openxmlformats.org/officeDocument/2006/relationships/hyperlink" Target="https://drive.google.com/open?id=1YJN4rRyY1B01XvUq4hn70_L_LIvcg3Kv" TargetMode="External"/><Relationship Id="rId184" Type="http://schemas.openxmlformats.org/officeDocument/2006/relationships/hyperlink" Target="https://drive.google.com/open?id=1lwSOwIwTVqpRGpHUzE0w7n6RB76vPn-L" TargetMode="External"/><Relationship Id="rId189" Type="http://schemas.openxmlformats.org/officeDocument/2006/relationships/hyperlink" Target="https://drive.google.com/open?id=1Q2FKudakYyie6V-kEbVzxtvuNVTgPpRj" TargetMode="External"/><Relationship Id="rId188" Type="http://schemas.openxmlformats.org/officeDocument/2006/relationships/hyperlink" Target="https://drive.google.com/open?id=1tHgTeOmv4x6dEn_N61Fd6rPcGaAfx2RS" TargetMode="External"/><Relationship Id="rId183" Type="http://schemas.openxmlformats.org/officeDocument/2006/relationships/hyperlink" Target="https://drive.google.com/open?id=1rH9_Xv4bqvDtpQ9t64MpU_vTDvA5hrFu" TargetMode="External"/><Relationship Id="rId182" Type="http://schemas.openxmlformats.org/officeDocument/2006/relationships/hyperlink" Target="https://drive.google.com/open?id=1kghyJdNeldS3J2SiTzRELjTjV3CbYhOw" TargetMode="External"/><Relationship Id="rId181" Type="http://schemas.openxmlformats.org/officeDocument/2006/relationships/hyperlink" Target="https://drive.google.com/open?id=1pXi0t5byqcGcH9faXaSFlImJi7ZXoM8S" TargetMode="External"/><Relationship Id="rId180" Type="http://schemas.openxmlformats.org/officeDocument/2006/relationships/hyperlink" Target="https://drive.google.com/open?id=1KSJLjeKsDdThgf6G9SNIh-_WIZEN-1Be" TargetMode="External"/><Relationship Id="rId176" Type="http://schemas.openxmlformats.org/officeDocument/2006/relationships/hyperlink" Target="https://drive.google.com/open?id=1Mty3rxcbLKf2IeeWugKzvR_8RUp42v3Y" TargetMode="External"/><Relationship Id="rId175" Type="http://schemas.openxmlformats.org/officeDocument/2006/relationships/hyperlink" Target="https://drive.google.com/open?id=181GeCtBVogSFrpfprg4RD4Ah_1lWhBn7" TargetMode="External"/><Relationship Id="rId174" Type="http://schemas.openxmlformats.org/officeDocument/2006/relationships/hyperlink" Target="https://drive.google.com/open?id=15xS7hw95edEQiA3Z0-2edZvwijii28YG" TargetMode="External"/><Relationship Id="rId173" Type="http://schemas.openxmlformats.org/officeDocument/2006/relationships/hyperlink" Target="https://drive.google.com/open?id=1p8mCPDMdTmkYsb9TbiBpyzyVeoOg4PP8" TargetMode="External"/><Relationship Id="rId179" Type="http://schemas.openxmlformats.org/officeDocument/2006/relationships/hyperlink" Target="https://drive.google.com/open?id=1ERDbRT7AXsv2WVl9XVABo_pFFLRjA9xp" TargetMode="External"/><Relationship Id="rId178" Type="http://schemas.openxmlformats.org/officeDocument/2006/relationships/hyperlink" Target="https://drive.google.com/open?id=1f0LvrIQaf3gHFF_9bh-qodDIZzGE6k5J" TargetMode="External"/><Relationship Id="rId177" Type="http://schemas.openxmlformats.org/officeDocument/2006/relationships/hyperlink" Target="https://drive.google.com/open?id=12MytZyqxTtur7HDjKk7tzk42J7to-H0B" TargetMode="External"/><Relationship Id="rId198" Type="http://schemas.openxmlformats.org/officeDocument/2006/relationships/hyperlink" Target="https://drive.google.com/open?id=1sBRIOvnXlhUEOwhmWjBi2OIKVVyG4RDh" TargetMode="External"/><Relationship Id="rId197" Type="http://schemas.openxmlformats.org/officeDocument/2006/relationships/hyperlink" Target="https://drive.google.com/open?id=12KkFitX19-ii4YF7cu-Zw7LKTTP6wTY1" TargetMode="External"/><Relationship Id="rId196" Type="http://schemas.openxmlformats.org/officeDocument/2006/relationships/hyperlink" Target="https://drive.google.com/open?id=1VKlnt2b-FZFjBtRvA1PX9qSc4nwCLvid" TargetMode="External"/><Relationship Id="rId195" Type="http://schemas.openxmlformats.org/officeDocument/2006/relationships/hyperlink" Target="https://drive.google.com/open?id=1Yf2zDUoI8_xkNYtSbliWFcbfmxkzIlSp" TargetMode="External"/><Relationship Id="rId199" Type="http://schemas.openxmlformats.org/officeDocument/2006/relationships/hyperlink" Target="https://drive.google.com/open?id=1-7cOBptRB-DD8CcNF69wOnEx9CBw8ZuN" TargetMode="External"/><Relationship Id="rId150" Type="http://schemas.openxmlformats.org/officeDocument/2006/relationships/hyperlink" Target="https://drive.google.com/open?id=1Ubp8_c4h7akiK0B3O4DqW0FOv0a_NPLu" TargetMode="External"/><Relationship Id="rId149" Type="http://schemas.openxmlformats.org/officeDocument/2006/relationships/hyperlink" Target="https://drive.google.com/open?id=15m24HTsvhmCHTfpddNph-bNu08e1k0k_" TargetMode="External"/><Relationship Id="rId148" Type="http://schemas.openxmlformats.org/officeDocument/2006/relationships/hyperlink" Target="https://drive.google.com/open?id=1LdzmjOYq2KIe8nkrqSa5ThZwK1bqixZg" TargetMode="External"/><Relationship Id="rId1090" Type="http://schemas.openxmlformats.org/officeDocument/2006/relationships/hyperlink" Target="https://drive.google.com/open?id=191m4Py2VmJsLXOuKESJH2Y4SC417zdZa" TargetMode="External"/><Relationship Id="rId1091" Type="http://schemas.openxmlformats.org/officeDocument/2006/relationships/hyperlink" Target="https://drive.google.com/open?id=1dum9P0ybRNMtzfRuAqmPvSgnf5YbCylF" TargetMode="External"/><Relationship Id="rId1092" Type="http://schemas.openxmlformats.org/officeDocument/2006/relationships/hyperlink" Target="https://drive.google.com/open?id=1zGU_nScoebuJRKY58U95WF0gjYoSO5rU" TargetMode="External"/><Relationship Id="rId1093" Type="http://schemas.openxmlformats.org/officeDocument/2006/relationships/hyperlink" Target="https://drive.google.com/open?id=1kDF-MB6lGC-Z5LbMtHfLutR5nCFaEE1X" TargetMode="External"/><Relationship Id="rId1094" Type="http://schemas.openxmlformats.org/officeDocument/2006/relationships/hyperlink" Target="https://drive.google.com/open?id=1E5XqRSmk05zWihTMLgZg6Ql9IoaxNiDl" TargetMode="External"/><Relationship Id="rId143" Type="http://schemas.openxmlformats.org/officeDocument/2006/relationships/hyperlink" Target="https://drive.google.com/open?id=1sCRyjn5e_QQuDBpkeNhqnyLnFdCEWrBp" TargetMode="External"/><Relationship Id="rId1095" Type="http://schemas.openxmlformats.org/officeDocument/2006/relationships/hyperlink" Target="https://drive.google.com/open?id=1RitpCA1NL59Cr98CXpUkHL0g0_OdEVqI" TargetMode="External"/><Relationship Id="rId142" Type="http://schemas.openxmlformats.org/officeDocument/2006/relationships/hyperlink" Target="https://drive.google.com/open?id=1_o4CsmjyYrEXDlK98Mo745yDuPAPbOyo" TargetMode="External"/><Relationship Id="rId1096" Type="http://schemas.openxmlformats.org/officeDocument/2006/relationships/hyperlink" Target="https://drive.google.com/open?id=1sdkBp2g2wlH95wnFfXO8E9JBzRju_s2I" TargetMode="External"/><Relationship Id="rId141" Type="http://schemas.openxmlformats.org/officeDocument/2006/relationships/hyperlink" Target="https://drive.google.com/open?id=1GBl0nnG0xx1XN603Yge18K4HSJemYzOJ" TargetMode="External"/><Relationship Id="rId1097" Type="http://schemas.openxmlformats.org/officeDocument/2006/relationships/hyperlink" Target="https://drive.google.com/open?id=1og0LMMSqRPdxLyrHtf_XEsnDTBkDJ4pD" TargetMode="External"/><Relationship Id="rId140" Type="http://schemas.openxmlformats.org/officeDocument/2006/relationships/hyperlink" Target="https://drive.google.com/open?id=1dI8_tPOHSzCb74KkjRi3HCoy2-bfgU5I" TargetMode="External"/><Relationship Id="rId1098" Type="http://schemas.openxmlformats.org/officeDocument/2006/relationships/hyperlink" Target="https://drive.google.com/open?id=1pXQ52xlKblkbSofigaUXkxIeYb6x4PYn" TargetMode="External"/><Relationship Id="rId147" Type="http://schemas.openxmlformats.org/officeDocument/2006/relationships/hyperlink" Target="https://drive.google.com/open?id=1GDwNFQwwbcvfERxsS__5FKPalkASwhN9" TargetMode="External"/><Relationship Id="rId1099" Type="http://schemas.openxmlformats.org/officeDocument/2006/relationships/hyperlink" Target="https://drive.google.com/open?id=1yyjxs7slZUtmGPGTAvILaie_xjyJu5v0" TargetMode="External"/><Relationship Id="rId146" Type="http://schemas.openxmlformats.org/officeDocument/2006/relationships/hyperlink" Target="https://drive.google.com/open?id=1weMVHWhGnk2_8xnEmWSlproEiy_09tE9" TargetMode="External"/><Relationship Id="rId145" Type="http://schemas.openxmlformats.org/officeDocument/2006/relationships/hyperlink" Target="https://drive.google.com/open?id=1njaOo2FQclLRPfdKvfW1gZpxGn7_94Ih" TargetMode="External"/><Relationship Id="rId144" Type="http://schemas.openxmlformats.org/officeDocument/2006/relationships/hyperlink" Target="https://drive.google.com/open?id=1hmBDFEQubi1xdeD9NNZO5E6rwOHsO1Ky" TargetMode="External"/><Relationship Id="rId139" Type="http://schemas.openxmlformats.org/officeDocument/2006/relationships/hyperlink" Target="https://drive.google.com/open?id=13LkRJTs4XF0_4gVHPtBDYYbiBl1B3cT3" TargetMode="External"/><Relationship Id="rId138" Type="http://schemas.openxmlformats.org/officeDocument/2006/relationships/hyperlink" Target="https://drive.google.com/open?id=1OIEpS1he-XvUXsBSIAw6J0qTP92jKwkr" TargetMode="External"/><Relationship Id="rId137" Type="http://schemas.openxmlformats.org/officeDocument/2006/relationships/hyperlink" Target="https://drive.google.com/open?id=1Ypb6w_HDPXntjJUJ4tTBW_VXaSaaBTlB" TargetMode="External"/><Relationship Id="rId1080" Type="http://schemas.openxmlformats.org/officeDocument/2006/relationships/hyperlink" Target="https://drive.google.com/open?id=1TUdexaEHNdOiYPHV3Cha4uQbX5XqPZhW" TargetMode="External"/><Relationship Id="rId1081" Type="http://schemas.openxmlformats.org/officeDocument/2006/relationships/hyperlink" Target="https://drive.google.com/open?id=1pfY5xSV0Jpjkm30jccWxoPYm0rBdu9_6" TargetMode="External"/><Relationship Id="rId1082" Type="http://schemas.openxmlformats.org/officeDocument/2006/relationships/hyperlink" Target="https://drive.google.com/open?id=1Ue1zY6fmjTuNMCQ1eMzNM_hDW5JfeMAS" TargetMode="External"/><Relationship Id="rId1083" Type="http://schemas.openxmlformats.org/officeDocument/2006/relationships/hyperlink" Target="https://drive.google.com/open?id=1vIBeMPhSVPqi4P2p2StgeIVMPCBYCVJX" TargetMode="External"/><Relationship Id="rId132" Type="http://schemas.openxmlformats.org/officeDocument/2006/relationships/hyperlink" Target="https://drive.google.com/open?id=1Y9_qqWpPAcz7k69iFzE4GAdFFfx03ljx" TargetMode="External"/><Relationship Id="rId1084" Type="http://schemas.openxmlformats.org/officeDocument/2006/relationships/hyperlink" Target="https://drive.google.com/open?id=1c29JlK1hYarwHb69KZRXURiOigcjghFZ" TargetMode="External"/><Relationship Id="rId131" Type="http://schemas.openxmlformats.org/officeDocument/2006/relationships/hyperlink" Target="https://drive.google.com/open?id=1u9whwEgeafFtxo1K4e69WtfCHd4-5x7u" TargetMode="External"/><Relationship Id="rId1085" Type="http://schemas.openxmlformats.org/officeDocument/2006/relationships/hyperlink" Target="https://drive.google.com/open?id=1Fq8ntn83IQFZjCmTbG2xuGOFjEVnA7oP" TargetMode="External"/><Relationship Id="rId130" Type="http://schemas.openxmlformats.org/officeDocument/2006/relationships/hyperlink" Target="https://drive.google.com/open?id=1EqVwWxFgPBJOHvjZA0jScf8rURHuLvfM" TargetMode="External"/><Relationship Id="rId1086" Type="http://schemas.openxmlformats.org/officeDocument/2006/relationships/hyperlink" Target="https://drive.google.com/open?id=1DEdRuYekCFhzd1erkA9WdK8eaGdsNCPZ" TargetMode="External"/><Relationship Id="rId1087" Type="http://schemas.openxmlformats.org/officeDocument/2006/relationships/hyperlink" Target="https://drive.google.com/open?id=1DtxFggTTAZr71CIcaovN-iBadE1uZmlF" TargetMode="External"/><Relationship Id="rId136" Type="http://schemas.openxmlformats.org/officeDocument/2006/relationships/hyperlink" Target="https://drive.google.com/open?id=1LuMxZ-WwCiFoEhTdZYsi4aKvomUYNSG1" TargetMode="External"/><Relationship Id="rId1088" Type="http://schemas.openxmlformats.org/officeDocument/2006/relationships/hyperlink" Target="https://drive.google.com/open?id=1kl_yv6lEbe4MkUx-7DDutSvZygUj_uo8" TargetMode="External"/><Relationship Id="rId135" Type="http://schemas.openxmlformats.org/officeDocument/2006/relationships/hyperlink" Target="https://drive.google.com/open?id=1y973qex__okkEKPhMTgBO-JPj-KbUioj" TargetMode="External"/><Relationship Id="rId1089" Type="http://schemas.openxmlformats.org/officeDocument/2006/relationships/hyperlink" Target="https://drive.google.com/open?id=1X5-dMidjBHdOyo90FwgFkdU_7hTrD6iR" TargetMode="External"/><Relationship Id="rId134" Type="http://schemas.openxmlformats.org/officeDocument/2006/relationships/hyperlink" Target="https://drive.google.com/open?id=1f68sWt-5rGKluE20-P2Im7xMMD-04opV" TargetMode="External"/><Relationship Id="rId133" Type="http://schemas.openxmlformats.org/officeDocument/2006/relationships/hyperlink" Target="https://drive.google.com/open?id=1xqCzYUBCGabD8rGLakUdkhtRCClEnZlj" TargetMode="External"/><Relationship Id="rId172" Type="http://schemas.openxmlformats.org/officeDocument/2006/relationships/hyperlink" Target="https://drive.google.com/open?id=1Xptl1fq8dz1QeoTmoamjU_iN5PqHa11t" TargetMode="External"/><Relationship Id="rId171" Type="http://schemas.openxmlformats.org/officeDocument/2006/relationships/hyperlink" Target="https://drive.google.com/open?id=1lz_Bl-sFcaCSf5bLkeZNU00wIlLysyUY" TargetMode="External"/><Relationship Id="rId170" Type="http://schemas.openxmlformats.org/officeDocument/2006/relationships/hyperlink" Target="https://drive.google.com/open?id=1KxtjneWk-xmDymWeFiQvMkzvSpLeO477" TargetMode="External"/><Relationship Id="rId165" Type="http://schemas.openxmlformats.org/officeDocument/2006/relationships/hyperlink" Target="https://drive.google.com/open?id=1W3R9v_hup1LUCJiss5p917DRrA5R7EIv" TargetMode="External"/><Relationship Id="rId164" Type="http://schemas.openxmlformats.org/officeDocument/2006/relationships/hyperlink" Target="https://drive.google.com/open?id=1PZnuH5tSVB26pRmJlwb2FJMFv4qiaUM3" TargetMode="External"/><Relationship Id="rId163" Type="http://schemas.openxmlformats.org/officeDocument/2006/relationships/hyperlink" Target="https://drive.google.com/open?id=157mtY3fc8QYuVIVtyTbeJ4QX-mMTiq2I" TargetMode="External"/><Relationship Id="rId162" Type="http://schemas.openxmlformats.org/officeDocument/2006/relationships/hyperlink" Target="https://drive.google.com/open?id=1MN72QEOBlsJEpBytw8ieoI5Y1fdvvO8B" TargetMode="External"/><Relationship Id="rId169" Type="http://schemas.openxmlformats.org/officeDocument/2006/relationships/hyperlink" Target="https://drive.google.com/open?id=1mmZ91l860Gob8yBSsKcYE-clugg18T9H" TargetMode="External"/><Relationship Id="rId168" Type="http://schemas.openxmlformats.org/officeDocument/2006/relationships/hyperlink" Target="https://drive.google.com/open?id=1gac_Nud4F4G8I9PCCa9D0Btcm3uOxWZQ" TargetMode="External"/><Relationship Id="rId167" Type="http://schemas.openxmlformats.org/officeDocument/2006/relationships/hyperlink" Target="https://drive.google.com/open?id=1Eh1ZtTa1QnOLiqHCU_Xtc1vAhcsYeqNY" TargetMode="External"/><Relationship Id="rId166" Type="http://schemas.openxmlformats.org/officeDocument/2006/relationships/hyperlink" Target="https://drive.google.com/open?id=14fV7fxncmH55U2ozhPZT7Y_pjan6yvMR" TargetMode="External"/><Relationship Id="rId161" Type="http://schemas.openxmlformats.org/officeDocument/2006/relationships/hyperlink" Target="https://drive.google.com/open?id=1wt9s597GXQ644bd2PXLfHEfaSSeztFVo" TargetMode="External"/><Relationship Id="rId160" Type="http://schemas.openxmlformats.org/officeDocument/2006/relationships/hyperlink" Target="https://drive.google.com/open?id=1fSSORdeD8acofYQiHurdHVIzDt6LzyPy" TargetMode="External"/><Relationship Id="rId159" Type="http://schemas.openxmlformats.org/officeDocument/2006/relationships/hyperlink" Target="https://drive.google.com/open?id=11O2rotzNzFdvp3cPl2KcpFSbjJsThz21" TargetMode="External"/><Relationship Id="rId154" Type="http://schemas.openxmlformats.org/officeDocument/2006/relationships/hyperlink" Target="https://drive.google.com/open?id=1Iz5WGeW5_Pf7x4xtRu9jFfSAZJGtPWoT" TargetMode="External"/><Relationship Id="rId153" Type="http://schemas.openxmlformats.org/officeDocument/2006/relationships/hyperlink" Target="https://drive.google.com/open?id=1OI6bpCgYEzw1K9uQUhVrnzdx_wk7OzEw" TargetMode="External"/><Relationship Id="rId152" Type="http://schemas.openxmlformats.org/officeDocument/2006/relationships/hyperlink" Target="https://drive.google.com/open?id=17fDZDgI0IUlTGAQR7Oh1MKbR9td1xQNL" TargetMode="External"/><Relationship Id="rId151" Type="http://schemas.openxmlformats.org/officeDocument/2006/relationships/hyperlink" Target="https://drive.google.com/open?id=1hWZ3IU_hEzghk26-0Zy6EkmUgvGEumIh" TargetMode="External"/><Relationship Id="rId158" Type="http://schemas.openxmlformats.org/officeDocument/2006/relationships/hyperlink" Target="https://drive.google.com/open?id=1DNSPS149gUyqLMTKWt0qSnJScql9abxN" TargetMode="External"/><Relationship Id="rId157" Type="http://schemas.openxmlformats.org/officeDocument/2006/relationships/hyperlink" Target="https://drive.google.com/open?id=1vMGLeUrSR3Dh6GgANjUHAzVvzXnuXo0B" TargetMode="External"/><Relationship Id="rId156" Type="http://schemas.openxmlformats.org/officeDocument/2006/relationships/hyperlink" Target="https://drive.google.com/open?id=1Nr448mqqr1NBrnVWdEOvPsyTfKkRoX6E" TargetMode="External"/><Relationship Id="rId155" Type="http://schemas.openxmlformats.org/officeDocument/2006/relationships/hyperlink" Target="https://drive.google.com/open?id=1L1zMhfxTvNoi-qU4SQcbTr004amwsT8L" TargetMode="External"/><Relationship Id="rId1510" Type="http://schemas.openxmlformats.org/officeDocument/2006/relationships/hyperlink" Target="https://drive.google.com/open?id=1tkFqoPlFNhko8pnKpOs5tTIogAE9gyXi" TargetMode="External"/><Relationship Id="rId1511" Type="http://schemas.openxmlformats.org/officeDocument/2006/relationships/hyperlink" Target="https://drive.google.com/open?id=1SYoEMJdaSd2UFgniQt03E2QV-ckV0MtL" TargetMode="External"/><Relationship Id="rId1512" Type="http://schemas.openxmlformats.org/officeDocument/2006/relationships/hyperlink" Target="https://drive.google.com/open?id=1RK-Ygwj5rj2-5UYvDyGOTBJMGcbdqVRT" TargetMode="External"/><Relationship Id="rId1513" Type="http://schemas.openxmlformats.org/officeDocument/2006/relationships/hyperlink" Target="https://drive.google.com/open?id=1jPB5UmblThKR6deyjeIv2EChM76QiGfr" TargetMode="External"/><Relationship Id="rId1514" Type="http://schemas.openxmlformats.org/officeDocument/2006/relationships/hyperlink" Target="https://drive.google.com/open?id=1zqhaGC66ocWEDch55IBjg1xJ5ARI12QI" TargetMode="External"/><Relationship Id="rId1515" Type="http://schemas.openxmlformats.org/officeDocument/2006/relationships/hyperlink" Target="https://drive.google.com/open?id=1JewSrEuWZ1gn8e6MduMvHxnGtvjMgpgp" TargetMode="External"/><Relationship Id="rId1516" Type="http://schemas.openxmlformats.org/officeDocument/2006/relationships/hyperlink" Target="https://drive.google.com/open?id=1Tq_-HBZg9YQ3XkwEerTh37G_CC3rGDdd" TargetMode="External"/><Relationship Id="rId1517" Type="http://schemas.openxmlformats.org/officeDocument/2006/relationships/hyperlink" Target="https://drive.google.com/open?id=1dVwTtYti-XH701qEK3YCt9rBCXiqAzeK" TargetMode="External"/><Relationship Id="rId1518" Type="http://schemas.openxmlformats.org/officeDocument/2006/relationships/hyperlink" Target="https://drive.google.com/open?id=1aIru0IW75mtfbwNs1fp3x8mVOvf_pSGt" TargetMode="External"/><Relationship Id="rId1519" Type="http://schemas.openxmlformats.org/officeDocument/2006/relationships/hyperlink" Target="https://drive.google.com/open?id=1PLqH-vC7zDibCF97m8HnpDnKFgA-kfog" TargetMode="External"/><Relationship Id="rId1500" Type="http://schemas.openxmlformats.org/officeDocument/2006/relationships/hyperlink" Target="https://drive.google.com/open?id=1YW6wDRgpjba6JscGyXHchMLCzpkmC9Fh" TargetMode="External"/><Relationship Id="rId1501" Type="http://schemas.openxmlformats.org/officeDocument/2006/relationships/hyperlink" Target="https://drive.google.com/open?id=1pEuwWw3qf56IHgsAbYx1PMeZE8c1CuY8" TargetMode="External"/><Relationship Id="rId1502" Type="http://schemas.openxmlformats.org/officeDocument/2006/relationships/hyperlink" Target="https://drive.google.com/open?id=1TvbiIBogmKcp5YCdGl2us8r32rq05W7A" TargetMode="External"/><Relationship Id="rId1503" Type="http://schemas.openxmlformats.org/officeDocument/2006/relationships/hyperlink" Target="https://drive.google.com/open?id=1kWfuR0ZIMMqOop9VYXAujJpFOA1y81xu" TargetMode="External"/><Relationship Id="rId1504" Type="http://schemas.openxmlformats.org/officeDocument/2006/relationships/hyperlink" Target="https://drive.google.com/open?id=1sIi2QJ3ayNlloSZlYQQ9pl-E_9YlMZk3" TargetMode="External"/><Relationship Id="rId1505" Type="http://schemas.openxmlformats.org/officeDocument/2006/relationships/hyperlink" Target="https://drive.google.com/open?id=1yiGOrehxNwFQUf5rmE7UgXNo__GjDuxv" TargetMode="External"/><Relationship Id="rId1506" Type="http://schemas.openxmlformats.org/officeDocument/2006/relationships/hyperlink" Target="https://drive.google.com/open?id=1RKSEdI6Vfem6jETNAYdbOJvRSdVYyVYh" TargetMode="External"/><Relationship Id="rId1507" Type="http://schemas.openxmlformats.org/officeDocument/2006/relationships/hyperlink" Target="https://drive.google.com/open?id=1lrlORQK9pCrpLuyXlTJ_q689dwhBYaBp" TargetMode="External"/><Relationship Id="rId1508" Type="http://schemas.openxmlformats.org/officeDocument/2006/relationships/hyperlink" Target="https://drive.google.com/open?id=1HSRzIA1We_ziaZnc-xDotqFZT8iFRC4l" TargetMode="External"/><Relationship Id="rId1509" Type="http://schemas.openxmlformats.org/officeDocument/2006/relationships/hyperlink" Target="https://drive.google.com/open?id=1FFqC9FxjP-xR1fXeJnLrOvZYmKr6Tad0" TargetMode="External"/><Relationship Id="rId1576" Type="http://schemas.openxmlformats.org/officeDocument/2006/relationships/hyperlink" Target="https://drive.google.com/open?id=1UJN-LPUSltU1gRaB958cZUmZK2jUjUsz" TargetMode="External"/><Relationship Id="rId1577" Type="http://schemas.openxmlformats.org/officeDocument/2006/relationships/hyperlink" Target="https://drive.google.com/open?id=1JRAD_nJiZHpvSCFsygRWjlPHLQqTkif4" TargetMode="External"/><Relationship Id="rId1578" Type="http://schemas.openxmlformats.org/officeDocument/2006/relationships/hyperlink" Target="https://drive.google.com/open?id=1DrxLM0APLShL37CfIZfhwjCf7xXy8xm3" TargetMode="External"/><Relationship Id="rId1579" Type="http://schemas.openxmlformats.org/officeDocument/2006/relationships/hyperlink" Target="https://drive.google.com/open?id=13rIliY7PZEFLkXY66UtyIY9S5UkiZvVE" TargetMode="External"/><Relationship Id="rId509" Type="http://schemas.openxmlformats.org/officeDocument/2006/relationships/hyperlink" Target="https://drive.google.com/open?id=13jDW6BHQVmmW42YSPFBqxRreQFVJWysf" TargetMode="External"/><Relationship Id="rId508" Type="http://schemas.openxmlformats.org/officeDocument/2006/relationships/hyperlink" Target="https://drive.google.com/open?id=1IHDuFGK8kbwPdBAfTzfr3Yms7U5O4m0P" TargetMode="External"/><Relationship Id="rId503" Type="http://schemas.openxmlformats.org/officeDocument/2006/relationships/hyperlink" Target="https://drive.google.com/open?id=149ESPV0oXnCADUJfxkqG3CkaYT08LuIp" TargetMode="External"/><Relationship Id="rId987" Type="http://schemas.openxmlformats.org/officeDocument/2006/relationships/hyperlink" Target="https://drive.google.com/open?id=1zIw39WOTbilnopqS8otfGZVLqjHOITzf" TargetMode="External"/><Relationship Id="rId502" Type="http://schemas.openxmlformats.org/officeDocument/2006/relationships/hyperlink" Target="https://drive.google.com/open?id=1XZPrlwYuQ8RNAX-qNAdMU_fytsLHWrYs" TargetMode="External"/><Relationship Id="rId986" Type="http://schemas.openxmlformats.org/officeDocument/2006/relationships/hyperlink" Target="https://drive.google.com/open?id=1wjZLp-d60u1u4pMLRVmZviNunuo4_dWL" TargetMode="External"/><Relationship Id="rId501" Type="http://schemas.openxmlformats.org/officeDocument/2006/relationships/hyperlink" Target="https://drive.google.com/open?id=1qnoXfzoIm_xbQw2fRc9wW-eeTtUjs97_" TargetMode="External"/><Relationship Id="rId985" Type="http://schemas.openxmlformats.org/officeDocument/2006/relationships/hyperlink" Target="https://drive.google.com/open?id=1T4gMGUJ4XFABiYSCEBCvvtmcUDdii7k5" TargetMode="External"/><Relationship Id="rId500" Type="http://schemas.openxmlformats.org/officeDocument/2006/relationships/hyperlink" Target="https://drive.google.com/open?id=15v-MfMEFmUzEFJ3ZTLKtrm2EVBoDx79w" TargetMode="External"/><Relationship Id="rId984" Type="http://schemas.openxmlformats.org/officeDocument/2006/relationships/hyperlink" Target="https://drive.google.com/open?id=1p7w2l3SFw28Eb0ibzDAddGFhdRzJjgy2" TargetMode="External"/><Relationship Id="rId507" Type="http://schemas.openxmlformats.org/officeDocument/2006/relationships/hyperlink" Target="https://drive.google.com/open?id=1JTnzJnLZbGd66fe_TL_fryOq94tevmAZ" TargetMode="External"/><Relationship Id="rId506" Type="http://schemas.openxmlformats.org/officeDocument/2006/relationships/hyperlink" Target="https://drive.google.com/open?id=1IrAvW02zQnWaBoFjCxeNvfNtAZnO5_n7" TargetMode="External"/><Relationship Id="rId505" Type="http://schemas.openxmlformats.org/officeDocument/2006/relationships/hyperlink" Target="https://drive.google.com/open?id=1tOHKevKif4koHSLOdb0tc4-Ry3FHkosy" TargetMode="External"/><Relationship Id="rId989" Type="http://schemas.openxmlformats.org/officeDocument/2006/relationships/hyperlink" Target="https://drive.google.com/open?id=1BiLv-XLj1k_RULgHrqvPtYN3P8kqC0QZ" TargetMode="External"/><Relationship Id="rId504" Type="http://schemas.openxmlformats.org/officeDocument/2006/relationships/hyperlink" Target="https://drive.google.com/open?id=104yQPZ9U-vypFW9lO_evhFhRF4jQHd61" TargetMode="External"/><Relationship Id="rId988" Type="http://schemas.openxmlformats.org/officeDocument/2006/relationships/hyperlink" Target="https://drive.google.com/open?id=1aoUkZBcN2ML6PLKzMhKZOLGvSduWTyzX" TargetMode="External"/><Relationship Id="rId1570" Type="http://schemas.openxmlformats.org/officeDocument/2006/relationships/hyperlink" Target="https://drive.google.com/open?id=1MY2dItq3aeSdJ2A8rdltWm7As87iky2V" TargetMode="External"/><Relationship Id="rId1571" Type="http://schemas.openxmlformats.org/officeDocument/2006/relationships/hyperlink" Target="https://drive.google.com/open?id=1BacZ6GfWS4VS2uRFlhRjMyMUSwM9UQLP" TargetMode="External"/><Relationship Id="rId983" Type="http://schemas.openxmlformats.org/officeDocument/2006/relationships/hyperlink" Target="https://drive.google.com/open?id=10iRRL6oYzg9D17zZeW0XqU0pOWWcmdi0" TargetMode="External"/><Relationship Id="rId1572" Type="http://schemas.openxmlformats.org/officeDocument/2006/relationships/hyperlink" Target="https://drive.google.com/open?id=1GUx-0hJDmbEH5sEd_OrxZC6n-AshZzyG" TargetMode="External"/><Relationship Id="rId982" Type="http://schemas.openxmlformats.org/officeDocument/2006/relationships/hyperlink" Target="https://drive.google.com/open?id=1AEoFVZCs9R_i8Uv2eghRNXDGCyuNGV0o" TargetMode="External"/><Relationship Id="rId1573" Type="http://schemas.openxmlformats.org/officeDocument/2006/relationships/hyperlink" Target="https://drive.google.com/open?id=101-k0PH381QzXuNiktUqxFSgczJL9CAW" TargetMode="External"/><Relationship Id="rId981" Type="http://schemas.openxmlformats.org/officeDocument/2006/relationships/hyperlink" Target="https://drive.google.com/open?id=10Ku5E62Gd_X9NlW3SyI23bLo1nHVOOTr" TargetMode="External"/><Relationship Id="rId1574" Type="http://schemas.openxmlformats.org/officeDocument/2006/relationships/hyperlink" Target="https://drive.google.com/open?id=131UHdCmB6eFo6qIrQ3roRy_4BCDm47TG" TargetMode="External"/><Relationship Id="rId980" Type="http://schemas.openxmlformats.org/officeDocument/2006/relationships/hyperlink" Target="https://drive.google.com/open?id=1PRE1qe4Sha5GpZbyDT-TrczxIuR5f2Bv" TargetMode="External"/><Relationship Id="rId1575" Type="http://schemas.openxmlformats.org/officeDocument/2006/relationships/hyperlink" Target="https://drive.google.com/open?id=12xNTYDHd815Jlm9fkHI6YUdeOB0KizUt" TargetMode="External"/><Relationship Id="rId1565" Type="http://schemas.openxmlformats.org/officeDocument/2006/relationships/hyperlink" Target="https://drive.google.com/open?id=1mh6MI9O29x0iFVBtWKcd6Bq8sETpsS0n" TargetMode="External"/><Relationship Id="rId1566" Type="http://schemas.openxmlformats.org/officeDocument/2006/relationships/hyperlink" Target="https://drive.google.com/open?id=1hJ1UkGMZXtezFkARXL2u77tzZJbnRSMG" TargetMode="External"/><Relationship Id="rId1567" Type="http://schemas.openxmlformats.org/officeDocument/2006/relationships/hyperlink" Target="https://drive.google.com/open?id=1eMIbAs5OfvYJrEl5tGrZbmfKE8flQT7g" TargetMode="External"/><Relationship Id="rId1568" Type="http://schemas.openxmlformats.org/officeDocument/2006/relationships/hyperlink" Target="https://drive.google.com/open?id=117WVIxYtppLZTFHlx2d2-qjltMChK5Rv" TargetMode="External"/><Relationship Id="rId1569" Type="http://schemas.openxmlformats.org/officeDocument/2006/relationships/hyperlink" Target="https://drive.google.com/open?id=1os9lQ4H2mDYNu5xczR3JEBSoPtj-q1Ju" TargetMode="External"/><Relationship Id="rId976" Type="http://schemas.openxmlformats.org/officeDocument/2006/relationships/hyperlink" Target="https://drive.google.com/open?id=1Nf0dS9oKIfRUR7U6PeBNEFsfkp5dW3Sh" TargetMode="External"/><Relationship Id="rId975" Type="http://schemas.openxmlformats.org/officeDocument/2006/relationships/hyperlink" Target="https://drive.google.com/open?id=1TxqaqLjacyv5BFLhT_3QiJotOsS_nRQa" TargetMode="External"/><Relationship Id="rId974" Type="http://schemas.openxmlformats.org/officeDocument/2006/relationships/hyperlink" Target="https://drive.google.com/open?id=1vLiS16Riy3Hj4jFCZrDTX0Cb76lK2kbJ" TargetMode="External"/><Relationship Id="rId973" Type="http://schemas.openxmlformats.org/officeDocument/2006/relationships/hyperlink" Target="https://drive.google.com/open?id=107vLh-tHpLz0JFCbzy4bv8VfAWSobwvQ" TargetMode="External"/><Relationship Id="rId979" Type="http://schemas.openxmlformats.org/officeDocument/2006/relationships/hyperlink" Target="https://drive.google.com/open?id=1EDQ4Q2i0hjkmh99LPVKvOHUeTL69iJz-" TargetMode="External"/><Relationship Id="rId978" Type="http://schemas.openxmlformats.org/officeDocument/2006/relationships/hyperlink" Target="https://drive.google.com/open?id=1Gi_5ij4VeUVfCmlwcC-fub9ubQUZaqe2" TargetMode="External"/><Relationship Id="rId977" Type="http://schemas.openxmlformats.org/officeDocument/2006/relationships/hyperlink" Target="https://drive.google.com/open?id=15KlORbmmEYat07-YtUl0ZAjbTM255VC9" TargetMode="External"/><Relationship Id="rId1560" Type="http://schemas.openxmlformats.org/officeDocument/2006/relationships/hyperlink" Target="https://drive.google.com/open?id=1vCUs7KSVqwo8uDNVA6hvfGmjzl2eJ2X5" TargetMode="External"/><Relationship Id="rId972" Type="http://schemas.openxmlformats.org/officeDocument/2006/relationships/hyperlink" Target="https://drive.google.com/open?id=1k94jScnUdPRAllKESfy-MISeNFGATh6u" TargetMode="External"/><Relationship Id="rId1561" Type="http://schemas.openxmlformats.org/officeDocument/2006/relationships/hyperlink" Target="https://drive.google.com/open?id=1RYVtJ7qW3pMKl-zwfNJVKAVgfJUVUROD" TargetMode="External"/><Relationship Id="rId971" Type="http://schemas.openxmlformats.org/officeDocument/2006/relationships/hyperlink" Target="https://drive.google.com/open?id=19W1fVIBN315pgzRxfk00KUIixkX4M8-K" TargetMode="External"/><Relationship Id="rId1562" Type="http://schemas.openxmlformats.org/officeDocument/2006/relationships/hyperlink" Target="https://drive.google.com/open?id=1Q0_le8X0OZhsoSybWC37y0Qc0OEwaNai" TargetMode="External"/><Relationship Id="rId970" Type="http://schemas.openxmlformats.org/officeDocument/2006/relationships/hyperlink" Target="https://drive.google.com/open?id=1HhDM8hSHUy6Hc125dGJEBpi8IbmayzsU" TargetMode="External"/><Relationship Id="rId1563" Type="http://schemas.openxmlformats.org/officeDocument/2006/relationships/hyperlink" Target="https://drive.google.com/open?id=1ZckkXRSiQIUcPnkmZtgiDNttXK8i3e8_" TargetMode="External"/><Relationship Id="rId1564" Type="http://schemas.openxmlformats.org/officeDocument/2006/relationships/hyperlink" Target="https://drive.google.com/open?id=11FlypJD5h8TqpAKl81rbpOQlRozuDbhK" TargetMode="External"/><Relationship Id="rId1114" Type="http://schemas.openxmlformats.org/officeDocument/2006/relationships/hyperlink" Target="https://drive.google.com/open?id=1gELbIpdDUVgmmrD4wFp7AgfsDpkZGuio" TargetMode="External"/><Relationship Id="rId1598" Type="http://schemas.openxmlformats.org/officeDocument/2006/relationships/hyperlink" Target="https://drive.google.com/open?id=1Bsea0bCNgDVtdDN1EJHl413Q9UBo-jsl" TargetMode="External"/><Relationship Id="rId1115" Type="http://schemas.openxmlformats.org/officeDocument/2006/relationships/hyperlink" Target="https://drive.google.com/open?id=1qID5BX52jnZtKx535FHOvcM-YdZpLWUB" TargetMode="External"/><Relationship Id="rId1599" Type="http://schemas.openxmlformats.org/officeDocument/2006/relationships/hyperlink" Target="https://drive.google.com/open?id=15GoKHBRzHAmJAnhm2bay_SxWGjdfYtV-" TargetMode="External"/><Relationship Id="rId1116" Type="http://schemas.openxmlformats.org/officeDocument/2006/relationships/hyperlink" Target="https://drive.google.com/open?id=1wGDKh6_IAgs70gC199Ruzn6O_l4R_sjR" TargetMode="External"/><Relationship Id="rId1117" Type="http://schemas.openxmlformats.org/officeDocument/2006/relationships/hyperlink" Target="https://drive.google.com/open?id=1xHihBp9ffEgJqHIj-0yVXJ4us0-ljW7f" TargetMode="External"/><Relationship Id="rId1118" Type="http://schemas.openxmlformats.org/officeDocument/2006/relationships/hyperlink" Target="https://drive.google.com/open?id=1VqEA1AaA1YYsrUB7lhpw7VddimQkfcmN" TargetMode="External"/><Relationship Id="rId1119" Type="http://schemas.openxmlformats.org/officeDocument/2006/relationships/hyperlink" Target="https://drive.google.com/open?id=1bQZN1sdfANiS5a7TIxmGbUcEMHCKl7ad" TargetMode="External"/><Relationship Id="rId525" Type="http://schemas.openxmlformats.org/officeDocument/2006/relationships/hyperlink" Target="https://drive.google.com/open?id=1-YPdD-Vl_sybYqQmOafz3bTBgBWsgVDU" TargetMode="External"/><Relationship Id="rId524" Type="http://schemas.openxmlformats.org/officeDocument/2006/relationships/hyperlink" Target="https://drive.google.com/open?id=1JKiX_JHVCRcuVNSyJyJaAbmdcYd1jhGE" TargetMode="External"/><Relationship Id="rId523" Type="http://schemas.openxmlformats.org/officeDocument/2006/relationships/hyperlink" Target="https://drive.google.com/open?id=1QfD3YoKwUmM276CZ53kxVi9fxuGdfYai" TargetMode="External"/><Relationship Id="rId522" Type="http://schemas.openxmlformats.org/officeDocument/2006/relationships/hyperlink" Target="https://drive.google.com/open?id=13U9yk399AL7BvTvwZ1ytE-le7410_VoI" TargetMode="External"/><Relationship Id="rId529" Type="http://schemas.openxmlformats.org/officeDocument/2006/relationships/hyperlink" Target="https://drive.google.com/open?id=1P8w8GvyxqUANvL9Jmnanhtu3FmIqQJiy" TargetMode="External"/><Relationship Id="rId528" Type="http://schemas.openxmlformats.org/officeDocument/2006/relationships/hyperlink" Target="https://drive.google.com/open?id=1VaUH-A22cfvXSe2NQUv3nyEdsF86eyPR" TargetMode="External"/><Relationship Id="rId527" Type="http://schemas.openxmlformats.org/officeDocument/2006/relationships/hyperlink" Target="https://drive.google.com/open?id=19aeJwC8b5XnMxqmN3pfcrhfeawrRDQwJ" TargetMode="External"/><Relationship Id="rId526" Type="http://schemas.openxmlformats.org/officeDocument/2006/relationships/hyperlink" Target="https://drive.google.com/open?id=1AUlxpqtAYLI6dnxM8-qKO9Qz_T3OjvE4" TargetMode="External"/><Relationship Id="rId1590" Type="http://schemas.openxmlformats.org/officeDocument/2006/relationships/hyperlink" Target="https://drive.google.com/open?id=1gKZccjARjkO78CNl0Xjb6Z_KhakiS7sb" TargetMode="External"/><Relationship Id="rId1591" Type="http://schemas.openxmlformats.org/officeDocument/2006/relationships/hyperlink" Target="https://drive.google.com/open?id=1r36h2svKAsiqj6E6ZUbPLbk-HoqQ0E2T" TargetMode="External"/><Relationship Id="rId1592" Type="http://schemas.openxmlformats.org/officeDocument/2006/relationships/hyperlink" Target="https://drive.google.com/open?id=17jF9ZWjbtmcNjd5Qxr6_YY9jirI8T6ln" TargetMode="External"/><Relationship Id="rId1593" Type="http://schemas.openxmlformats.org/officeDocument/2006/relationships/hyperlink" Target="https://drive.google.com/open?id=1g_I6gnJz2QcPN7JrjLfzKH2wEYJVcIPY" TargetMode="External"/><Relationship Id="rId521" Type="http://schemas.openxmlformats.org/officeDocument/2006/relationships/hyperlink" Target="https://drive.google.com/open?id=1yXWfjkTzVJACdP3CmygqEhe8TFipaIH7" TargetMode="External"/><Relationship Id="rId1110" Type="http://schemas.openxmlformats.org/officeDocument/2006/relationships/hyperlink" Target="https://drive.google.com/open?id=1i7HvRm7o_Fo5ru2AXb8mglLcWf9bU4VQ" TargetMode="External"/><Relationship Id="rId1594" Type="http://schemas.openxmlformats.org/officeDocument/2006/relationships/hyperlink" Target="https://drive.google.com/open?id=1cZgcVV4LahskSjC1q9zky_-5Agirb43f" TargetMode="External"/><Relationship Id="rId520" Type="http://schemas.openxmlformats.org/officeDocument/2006/relationships/hyperlink" Target="https://drive.google.com/open?id=1nw46DLHTIhvxTqAm5_dB1SW8mAcDAZgU" TargetMode="External"/><Relationship Id="rId1111" Type="http://schemas.openxmlformats.org/officeDocument/2006/relationships/hyperlink" Target="https://drive.google.com/open?id=14AuT_Gvb74eDAlwEuQ8_yb8X9RlK6cAF" TargetMode="External"/><Relationship Id="rId1595" Type="http://schemas.openxmlformats.org/officeDocument/2006/relationships/hyperlink" Target="https://drive.google.com/open?id=1pD2e9B5Hv9IGNULfeY7i8T5RQQAc-CXA" TargetMode="External"/><Relationship Id="rId1112" Type="http://schemas.openxmlformats.org/officeDocument/2006/relationships/hyperlink" Target="https://drive.google.com/open?id=1KXxLf3kmQ7XkswAbYhV3eiJBIuHbXixm" TargetMode="External"/><Relationship Id="rId1596" Type="http://schemas.openxmlformats.org/officeDocument/2006/relationships/hyperlink" Target="https://drive.google.com/open?id=1tF87yKVJ49i59eexgwgbM07otii8qrm5" TargetMode="External"/><Relationship Id="rId1113" Type="http://schemas.openxmlformats.org/officeDocument/2006/relationships/hyperlink" Target="https://drive.google.com/open?id=1F73gH2TnGuGRWSf3wNPieF-hlO86hBUO" TargetMode="External"/><Relationship Id="rId1597" Type="http://schemas.openxmlformats.org/officeDocument/2006/relationships/hyperlink" Target="https://drive.google.com/open?id=1cNm8rfYrdkk4DDv3FWYajsbWscR-t55Q" TargetMode="External"/><Relationship Id="rId1103" Type="http://schemas.openxmlformats.org/officeDocument/2006/relationships/hyperlink" Target="https://drive.google.com/open?id=17iKZtZHoNF9lo8JjU7KDmXE4178ozFA8" TargetMode="External"/><Relationship Id="rId1587" Type="http://schemas.openxmlformats.org/officeDocument/2006/relationships/hyperlink" Target="https://drive.google.com/open?id=1b-O47Dbw0uHH-97unxldLdjRjP620YiJ" TargetMode="External"/><Relationship Id="rId1104" Type="http://schemas.openxmlformats.org/officeDocument/2006/relationships/hyperlink" Target="https://drive.google.com/open?id=17S0nuZ621-AqdZ9vMxAoKdI3ofBUA95x" TargetMode="External"/><Relationship Id="rId1588" Type="http://schemas.openxmlformats.org/officeDocument/2006/relationships/hyperlink" Target="https://drive.google.com/open?id=1dThvNvJWz-h3sXwVhlicx4Xde5EWm02E" TargetMode="External"/><Relationship Id="rId1105" Type="http://schemas.openxmlformats.org/officeDocument/2006/relationships/hyperlink" Target="https://drive.google.com/open?id=1vJQH7fGPhFeeAZJ54BPjtBO_OabI-2vI" TargetMode="External"/><Relationship Id="rId1589" Type="http://schemas.openxmlformats.org/officeDocument/2006/relationships/hyperlink" Target="https://drive.google.com/open?id=1QopFjGX8KpJX--uXvBx7CnQGM6XwEKOX" TargetMode="External"/><Relationship Id="rId1106" Type="http://schemas.openxmlformats.org/officeDocument/2006/relationships/hyperlink" Target="https://drive.google.com/open?id=1-90Ka40C2sh_JsPUKuWSPnoEThIkJSYD" TargetMode="External"/><Relationship Id="rId1107" Type="http://schemas.openxmlformats.org/officeDocument/2006/relationships/hyperlink" Target="https://drive.google.com/open?id=1TPECwCKNhGQy2a6nSAQeDdhd6N0lrh9U" TargetMode="External"/><Relationship Id="rId1108" Type="http://schemas.openxmlformats.org/officeDocument/2006/relationships/hyperlink" Target="https://drive.google.com/open?id=1wIkb9l78C23oE0wK1jzdByx3n-fv8k0S" TargetMode="External"/><Relationship Id="rId1109" Type="http://schemas.openxmlformats.org/officeDocument/2006/relationships/hyperlink" Target="https://drive.google.com/open?id=1oHtKKhDC4KQnMG3E3JF_YFX-BuInEMDt" TargetMode="External"/><Relationship Id="rId519" Type="http://schemas.openxmlformats.org/officeDocument/2006/relationships/hyperlink" Target="https://drive.google.com/open?id=1B45LHuXyosLJYJfrfizCUPhkpMVKLUxC" TargetMode="External"/><Relationship Id="rId514" Type="http://schemas.openxmlformats.org/officeDocument/2006/relationships/hyperlink" Target="https://drive.google.com/open?id=1vcHf6jIBARYMnFgJ8qweSZMkRjKwh6qh" TargetMode="External"/><Relationship Id="rId998" Type="http://schemas.openxmlformats.org/officeDocument/2006/relationships/hyperlink" Target="https://drive.google.com/open?id=18seBZorcjr3O70OKP_3pPmnzYScR3v6i" TargetMode="External"/><Relationship Id="rId513" Type="http://schemas.openxmlformats.org/officeDocument/2006/relationships/hyperlink" Target="https://drive.google.com/open?id=1lyip7oxDkH1x2-lP8ojF2p4l2zLatMLF" TargetMode="External"/><Relationship Id="rId997" Type="http://schemas.openxmlformats.org/officeDocument/2006/relationships/hyperlink" Target="https://drive.google.com/open?id=13lGdItF7uLb_QJuHbKFSTIT2NCFM2qOI" TargetMode="External"/><Relationship Id="rId512" Type="http://schemas.openxmlformats.org/officeDocument/2006/relationships/hyperlink" Target="https://drive.google.com/open?id=1skgTASfCSWO8hGQPc6u4CIRldHi6rvWf" TargetMode="External"/><Relationship Id="rId996" Type="http://schemas.openxmlformats.org/officeDocument/2006/relationships/hyperlink" Target="https://drive.google.com/open?id=1DhSnZ69qVniIEuIV6Sj5XL01lXVYCBSB" TargetMode="External"/><Relationship Id="rId511" Type="http://schemas.openxmlformats.org/officeDocument/2006/relationships/hyperlink" Target="https://drive.google.com/open?id=100ON6FXXFJQCTUfsWvvxEkja3pplX6TH" TargetMode="External"/><Relationship Id="rId995" Type="http://schemas.openxmlformats.org/officeDocument/2006/relationships/hyperlink" Target="https://drive.google.com/open?id=1Zb-15iaNboindLGRyqAmWXSM4jrarj4b" TargetMode="External"/><Relationship Id="rId518" Type="http://schemas.openxmlformats.org/officeDocument/2006/relationships/hyperlink" Target="https://drive.google.com/open?id=1JG2cKnTAt6FFwBtdLaOvidtCwg1Gx4CN" TargetMode="External"/><Relationship Id="rId517" Type="http://schemas.openxmlformats.org/officeDocument/2006/relationships/hyperlink" Target="https://drive.google.com/open?id=1QS0nQI88rgIEiYjj7TO4KU58qQvkytVU" TargetMode="External"/><Relationship Id="rId516" Type="http://schemas.openxmlformats.org/officeDocument/2006/relationships/hyperlink" Target="https://drive.google.com/open?id=1WgcdOGmJehGo22q_Q3xA0nKWoCTqTHG6" TargetMode="External"/><Relationship Id="rId515" Type="http://schemas.openxmlformats.org/officeDocument/2006/relationships/hyperlink" Target="https://drive.google.com/open?id=1KtTbj7IeX1qRiGMk6w-TrmpeGOo0SNxk" TargetMode="External"/><Relationship Id="rId999" Type="http://schemas.openxmlformats.org/officeDocument/2006/relationships/hyperlink" Target="https://drive.google.com/open?id=1tXo0HN5OLkUMNJa9xtUoZ2zzgNTuxps5" TargetMode="External"/><Relationship Id="rId990" Type="http://schemas.openxmlformats.org/officeDocument/2006/relationships/hyperlink" Target="https://drive.google.com/open?id=1NBVg10eIJsd6sM7PNq1K_ESwEvl-1Z9j" TargetMode="External"/><Relationship Id="rId1580" Type="http://schemas.openxmlformats.org/officeDocument/2006/relationships/hyperlink" Target="https://drive.google.com/open?id=1cmKsF311zEr6FwjzklsY5Vk8dDno_izZ" TargetMode="External"/><Relationship Id="rId1581" Type="http://schemas.openxmlformats.org/officeDocument/2006/relationships/hyperlink" Target="https://drive.google.com/open?id=17PSfjaHhZ5KbvbtyPaY3nWdl-EvvOQwa" TargetMode="External"/><Relationship Id="rId1582" Type="http://schemas.openxmlformats.org/officeDocument/2006/relationships/hyperlink" Target="https://drive.google.com/open?id=1dJ-mtNzklCH5YH8DCIDGDhjgaJotf3e2" TargetMode="External"/><Relationship Id="rId510" Type="http://schemas.openxmlformats.org/officeDocument/2006/relationships/hyperlink" Target="https://drive.google.com/open?id=16x3z72xdhCk6YK9A67W_yXtuyx05bPN1" TargetMode="External"/><Relationship Id="rId994" Type="http://schemas.openxmlformats.org/officeDocument/2006/relationships/hyperlink" Target="https://drive.google.com/open?id=1Wd9ZHAz5yyCDZGziuamZ_KhEPJWFqAfM" TargetMode="External"/><Relationship Id="rId1583" Type="http://schemas.openxmlformats.org/officeDocument/2006/relationships/hyperlink" Target="https://drive.google.com/open?id=138f6yHa3189UbJCjvrRWd_ALv0cqL-z5" TargetMode="External"/><Relationship Id="rId993" Type="http://schemas.openxmlformats.org/officeDocument/2006/relationships/hyperlink" Target="https://drive.google.com/open?id=1yglCYVQ199qx5k15o7caTfXUWiGv0Jfi" TargetMode="External"/><Relationship Id="rId1100" Type="http://schemas.openxmlformats.org/officeDocument/2006/relationships/hyperlink" Target="https://drive.google.com/open?id=1G1RlYV30pCbXGPQFAePsPFOPnByNKUBj" TargetMode="External"/><Relationship Id="rId1584" Type="http://schemas.openxmlformats.org/officeDocument/2006/relationships/hyperlink" Target="https://drive.google.com/open?id=1qLyV67Z_VCCP5lgnAGrE4Sc0D434zQfp" TargetMode="External"/><Relationship Id="rId992" Type="http://schemas.openxmlformats.org/officeDocument/2006/relationships/hyperlink" Target="https://drive.google.com/open?id=1hkVUsy0h-xVJYXHA9uKl-06xHAobIvjm" TargetMode="External"/><Relationship Id="rId1101" Type="http://schemas.openxmlformats.org/officeDocument/2006/relationships/hyperlink" Target="https://drive.google.com/open?id=1iWb8zN9FhCMzxE4WZdSAZflQ-SsHEGZ3" TargetMode="External"/><Relationship Id="rId1585" Type="http://schemas.openxmlformats.org/officeDocument/2006/relationships/hyperlink" Target="https://drive.google.com/open?id=1tUoCxPZkEIDAdNpQO-LjCzdyKBTokb0E" TargetMode="External"/><Relationship Id="rId991" Type="http://schemas.openxmlformats.org/officeDocument/2006/relationships/hyperlink" Target="https://drive.google.com/open?id=13O7D2koIVXmXkx9n66CbjBhzklX6JNwE" TargetMode="External"/><Relationship Id="rId1102" Type="http://schemas.openxmlformats.org/officeDocument/2006/relationships/hyperlink" Target="https://drive.google.com/open?id=1_837iaXdqKZSRBHMpo4hYm5uxdJYxCes" TargetMode="External"/><Relationship Id="rId1586" Type="http://schemas.openxmlformats.org/officeDocument/2006/relationships/hyperlink" Target="https://drive.google.com/open?id=1NtUkSihxEWMR5UiOnPGcfwycRv8i3_4z" TargetMode="External"/><Relationship Id="rId1532" Type="http://schemas.openxmlformats.org/officeDocument/2006/relationships/hyperlink" Target="https://drive.google.com/open?id=1Y7CwQOW-sBLA3gVYIBbCSY5ESTsRvBH0" TargetMode="External"/><Relationship Id="rId1533" Type="http://schemas.openxmlformats.org/officeDocument/2006/relationships/hyperlink" Target="https://drive.google.com/open?id=13W_KfMKAtMPZcPJwQZPsQoP1Kpmi9Piy" TargetMode="External"/><Relationship Id="rId1534" Type="http://schemas.openxmlformats.org/officeDocument/2006/relationships/hyperlink" Target="https://drive.google.com/open?id=1PwlWdLc9R2t0Bm1RBUbzd8UB74c9oLr6" TargetMode="External"/><Relationship Id="rId1535" Type="http://schemas.openxmlformats.org/officeDocument/2006/relationships/hyperlink" Target="https://drive.google.com/open?id=1rBvlK5Cs6CruiJFOOc3oHELNe2OD9deI" TargetMode="External"/><Relationship Id="rId1536" Type="http://schemas.openxmlformats.org/officeDocument/2006/relationships/hyperlink" Target="https://drive.google.com/open?id=1Re3ETXg6EYKL1HZ88XGXduaiQT58ZEHN" TargetMode="External"/><Relationship Id="rId1537" Type="http://schemas.openxmlformats.org/officeDocument/2006/relationships/hyperlink" Target="https://drive.google.com/open?id=1lZIZa0DWiuVNrpdgeRlkNcS7d9T67-vJ" TargetMode="External"/><Relationship Id="rId1538" Type="http://schemas.openxmlformats.org/officeDocument/2006/relationships/hyperlink" Target="https://drive.google.com/open?id=1joeRaGZh0Bg88TQx_dUIR4-6g5uI1hO7" TargetMode="External"/><Relationship Id="rId1539" Type="http://schemas.openxmlformats.org/officeDocument/2006/relationships/hyperlink" Target="https://drive.google.com/open?id=1ByygAIovsa8t6OBjftlyO5tT8BN8JXZn" TargetMode="External"/><Relationship Id="rId949" Type="http://schemas.openxmlformats.org/officeDocument/2006/relationships/hyperlink" Target="https://drive.google.com/open?id=1J1uudxn4EbQFRAxanIm_1_diR2O7kAb6" TargetMode="External"/><Relationship Id="rId948" Type="http://schemas.openxmlformats.org/officeDocument/2006/relationships/hyperlink" Target="https://drive.google.com/open?id=1W_NOCuAPkMT5-7uZY2yLpkRH3sDF2yBb" TargetMode="External"/><Relationship Id="rId943" Type="http://schemas.openxmlformats.org/officeDocument/2006/relationships/hyperlink" Target="https://drive.google.com/open?id=1asfdN6lSuj55iV4vkzAY9juwk-RRH0uu" TargetMode="External"/><Relationship Id="rId942" Type="http://schemas.openxmlformats.org/officeDocument/2006/relationships/hyperlink" Target="https://drive.google.com/open?id=1Lpp02xPGgkuz4gglZkiLOpSnHOGr7ch_" TargetMode="External"/><Relationship Id="rId941" Type="http://schemas.openxmlformats.org/officeDocument/2006/relationships/hyperlink" Target="https://drive.google.com/open?id=1TKvjyjGK_LYjM1Pe4Vg6-icNLcx8xeHU" TargetMode="External"/><Relationship Id="rId940" Type="http://schemas.openxmlformats.org/officeDocument/2006/relationships/hyperlink" Target="https://drive.google.com/open?id=1z9FKsD6U7nTC-TQYyGawgWr7RdiTZSd6" TargetMode="External"/><Relationship Id="rId947" Type="http://schemas.openxmlformats.org/officeDocument/2006/relationships/hyperlink" Target="https://drive.google.com/open?id=16ASI1cuPXrKt31VDEX93KvQ581UNata8" TargetMode="External"/><Relationship Id="rId946" Type="http://schemas.openxmlformats.org/officeDocument/2006/relationships/hyperlink" Target="https://drive.google.com/open?id=1jFahULrBJExN0gHP4_RddGjUIpadqYGs" TargetMode="External"/><Relationship Id="rId945" Type="http://schemas.openxmlformats.org/officeDocument/2006/relationships/hyperlink" Target="https://drive.google.com/open?id=1U_VxK33JE_p7E3AnkwGdPKTxmcdgNasc" TargetMode="External"/><Relationship Id="rId944" Type="http://schemas.openxmlformats.org/officeDocument/2006/relationships/hyperlink" Target="https://drive.google.com/open?id=1NufJUKEeVtUmXpXptTvkpK5zq_97wpre" TargetMode="External"/><Relationship Id="rId1530" Type="http://schemas.openxmlformats.org/officeDocument/2006/relationships/hyperlink" Target="https://drive.google.com/open?id=1mrksKbOLasPCDh4N0rELWArGlMLbYDww" TargetMode="External"/><Relationship Id="rId1531" Type="http://schemas.openxmlformats.org/officeDocument/2006/relationships/hyperlink" Target="https://drive.google.com/open?id=1cyON3c8nXK_FYMBZYNBrHQbAuLtneQDw" TargetMode="External"/><Relationship Id="rId1521" Type="http://schemas.openxmlformats.org/officeDocument/2006/relationships/hyperlink" Target="https://drive.google.com/open?id=1NXvhriLr2hDNOFaLoySiBAWBE8A18cvs" TargetMode="External"/><Relationship Id="rId1522" Type="http://schemas.openxmlformats.org/officeDocument/2006/relationships/hyperlink" Target="https://drive.google.com/open?id=18o2IWIxFFgYg7iX6VFguJeAd8PlyZIr5" TargetMode="External"/><Relationship Id="rId1523" Type="http://schemas.openxmlformats.org/officeDocument/2006/relationships/hyperlink" Target="https://drive.google.com/open?id=153qzoAafGFIf2MR0596_xmGLkVIwwXIK" TargetMode="External"/><Relationship Id="rId1524" Type="http://schemas.openxmlformats.org/officeDocument/2006/relationships/hyperlink" Target="https://drive.google.com/open?id=1YtlfhK7lju5pkuuEWikuWdBM_l5C2HXR" TargetMode="External"/><Relationship Id="rId1525" Type="http://schemas.openxmlformats.org/officeDocument/2006/relationships/hyperlink" Target="https://drive.google.com/open?id=1l8KKCHngr_Cjp6qLIVJIMfTCjzqXoLi-" TargetMode="External"/><Relationship Id="rId1526" Type="http://schemas.openxmlformats.org/officeDocument/2006/relationships/hyperlink" Target="https://drive.google.com/open?id=18-a0w47scSsmZJAzorKo9Sn3YYYe_smU" TargetMode="External"/><Relationship Id="rId1527" Type="http://schemas.openxmlformats.org/officeDocument/2006/relationships/hyperlink" Target="https://drive.google.com/open?id=1zVX-SuzGECg7LzbRtMFuZdxD-iQBGGF_" TargetMode="External"/><Relationship Id="rId1528" Type="http://schemas.openxmlformats.org/officeDocument/2006/relationships/hyperlink" Target="https://drive.google.com/open?id=1VxliUCGOODJ1C5PpsB812wypWpNRq2HE" TargetMode="External"/><Relationship Id="rId1529" Type="http://schemas.openxmlformats.org/officeDocument/2006/relationships/hyperlink" Target="https://drive.google.com/open?id=16vJ2c7Sz-n251ixoB4r11aHuR7ZrMQU6" TargetMode="External"/><Relationship Id="rId939" Type="http://schemas.openxmlformats.org/officeDocument/2006/relationships/hyperlink" Target="https://drive.google.com/open?id=1aTxFzkWMJR1cFhAQbVY1S978LynkQJJF" TargetMode="External"/><Relationship Id="rId938" Type="http://schemas.openxmlformats.org/officeDocument/2006/relationships/hyperlink" Target="https://drive.google.com/open?id=1zx7EtsWxcpgDi3bY2U3OCgWVposD6Bov" TargetMode="External"/><Relationship Id="rId937" Type="http://schemas.openxmlformats.org/officeDocument/2006/relationships/hyperlink" Target="https://drive.google.com/open?id=1TeCR4HLMsWqwveJIj2vvFhZjbq9PpGSV" TargetMode="External"/><Relationship Id="rId932" Type="http://schemas.openxmlformats.org/officeDocument/2006/relationships/hyperlink" Target="https://drive.google.com/open?id=1A-N-7jEjlW6kHxSpgtnAohojK6S_jEE3" TargetMode="External"/><Relationship Id="rId931" Type="http://schemas.openxmlformats.org/officeDocument/2006/relationships/hyperlink" Target="https://drive.google.com/open?id=1K4YvXyrOQTuJ2FfJ45B5JuJcD8DQ_fTh" TargetMode="External"/><Relationship Id="rId930" Type="http://schemas.openxmlformats.org/officeDocument/2006/relationships/hyperlink" Target="https://drive.google.com/open?id=1pwG9BM12sfB_tRjhDTqD7cY1CDD1QwDY" TargetMode="External"/><Relationship Id="rId936" Type="http://schemas.openxmlformats.org/officeDocument/2006/relationships/hyperlink" Target="https://drive.google.com/open?id=1d9vD1QBmDfwIF3W6hIiCWW4h5GHAugI0" TargetMode="External"/><Relationship Id="rId935" Type="http://schemas.openxmlformats.org/officeDocument/2006/relationships/hyperlink" Target="https://drive.google.com/open?id=1LiMEyuEmNEP-JyQwa4-lr4x0Z7NOQKKZ" TargetMode="External"/><Relationship Id="rId934" Type="http://schemas.openxmlformats.org/officeDocument/2006/relationships/hyperlink" Target="https://drive.google.com/open?id=1lMJZ3oZCH0qJpBElyfqLRPrXbwiJjMEP" TargetMode="External"/><Relationship Id="rId933" Type="http://schemas.openxmlformats.org/officeDocument/2006/relationships/hyperlink" Target="https://drive.google.com/open?id=1oyxRrs_mpa1Wr7ea1u-YP_v0wp8XFQ7X" TargetMode="External"/><Relationship Id="rId1520" Type="http://schemas.openxmlformats.org/officeDocument/2006/relationships/hyperlink" Target="https://drive.google.com/open?id=1rZqsDbrIhQ-RpIK6o-tdrNWZEk4mjaD_" TargetMode="External"/><Relationship Id="rId1554" Type="http://schemas.openxmlformats.org/officeDocument/2006/relationships/hyperlink" Target="https://drive.google.com/open?id=1IQjClfd8ZkPZneTdIzdlb5zC80Vhyxct" TargetMode="External"/><Relationship Id="rId1555" Type="http://schemas.openxmlformats.org/officeDocument/2006/relationships/hyperlink" Target="https://drive.google.com/open?id=16TQwR-_pT-P70IKmA0itdGtcZA6xrvP-" TargetMode="External"/><Relationship Id="rId1556" Type="http://schemas.openxmlformats.org/officeDocument/2006/relationships/hyperlink" Target="https://drive.google.com/open?id=16MKzLgAP29mynQq-FQUyJeJhdi7CSMbh" TargetMode="External"/><Relationship Id="rId1557" Type="http://schemas.openxmlformats.org/officeDocument/2006/relationships/hyperlink" Target="https://drive.google.com/open?id=1s1q3iJwJRljWVGMsomMYrbT34s2EfgWE" TargetMode="External"/><Relationship Id="rId1558" Type="http://schemas.openxmlformats.org/officeDocument/2006/relationships/hyperlink" Target="https://drive.google.com/open?id=11VE8EF2TcDupDFhdvVZ7egUAJyWq4fiz" TargetMode="External"/><Relationship Id="rId1559" Type="http://schemas.openxmlformats.org/officeDocument/2006/relationships/hyperlink" Target="https://drive.google.com/open?id=1O4bOjZeWeUQilfgBN521BRHRlG9xmyuk" TargetMode="External"/><Relationship Id="rId965" Type="http://schemas.openxmlformats.org/officeDocument/2006/relationships/hyperlink" Target="https://drive.google.com/open?id=1jHinSiZ9D-5a7iuvZ8of0MssCzGQHKS6" TargetMode="External"/><Relationship Id="rId964" Type="http://schemas.openxmlformats.org/officeDocument/2006/relationships/hyperlink" Target="https://drive.google.com/open?id=15ej9vscZ0I8ge1ld4LdQpKYaykpN1SaF" TargetMode="External"/><Relationship Id="rId963" Type="http://schemas.openxmlformats.org/officeDocument/2006/relationships/hyperlink" Target="https://drive.google.com/open?id=1Vxws7ZxDedUtYqFillrfxBzIEcuaxcWk" TargetMode="External"/><Relationship Id="rId962" Type="http://schemas.openxmlformats.org/officeDocument/2006/relationships/hyperlink" Target="https://drive.google.com/open?id=1rlyRDaJkOzJm8bRKFhsUN4GOZtLeTbfr" TargetMode="External"/><Relationship Id="rId969" Type="http://schemas.openxmlformats.org/officeDocument/2006/relationships/hyperlink" Target="https://drive.google.com/open?id=1OdCqgTpFdMXyL2wGRwlzJQF7OcVDOTkQ" TargetMode="External"/><Relationship Id="rId968" Type="http://schemas.openxmlformats.org/officeDocument/2006/relationships/hyperlink" Target="https://drive.google.com/open?id=1v9JLEHywb-uUy8bGNC3GjW6SgkJmpS0c" TargetMode="External"/><Relationship Id="rId967" Type="http://schemas.openxmlformats.org/officeDocument/2006/relationships/hyperlink" Target="https://drive.google.com/open?id=1Q7aSFHIxNaHu-8QlEtAsaIFUj0e-lslA" TargetMode="External"/><Relationship Id="rId966" Type="http://schemas.openxmlformats.org/officeDocument/2006/relationships/hyperlink" Target="https://drive.google.com/open?id=1HxRFFojddfZhy4pNdOKAY6TXBt1DeE3G" TargetMode="External"/><Relationship Id="rId961" Type="http://schemas.openxmlformats.org/officeDocument/2006/relationships/hyperlink" Target="https://drive.google.com/open?id=1W3oP3DP3rBsp9RzvPebwIkHwjDigEuNA" TargetMode="External"/><Relationship Id="rId1550" Type="http://schemas.openxmlformats.org/officeDocument/2006/relationships/hyperlink" Target="https://drive.google.com/open?id=1V6eaTLuWXbe0pKE9BWD-cBNNqL1PGyPj" TargetMode="External"/><Relationship Id="rId960" Type="http://schemas.openxmlformats.org/officeDocument/2006/relationships/hyperlink" Target="https://drive.google.com/open?id=1WkQtQLdGhQBJEgkiVn1gYaIcUbBhvm13" TargetMode="External"/><Relationship Id="rId1551" Type="http://schemas.openxmlformats.org/officeDocument/2006/relationships/hyperlink" Target="https://drive.google.com/open?id=1wnEDmfkxQOipbytXSLzVnn6Au-utKXCN" TargetMode="External"/><Relationship Id="rId1552" Type="http://schemas.openxmlformats.org/officeDocument/2006/relationships/hyperlink" Target="https://drive.google.com/open?id=1I9HywU8Eavv9GZbQkP4QRgyhQvXJTAzI" TargetMode="External"/><Relationship Id="rId1553" Type="http://schemas.openxmlformats.org/officeDocument/2006/relationships/hyperlink" Target="https://drive.google.com/open?id=15xCcg97E8WrGLBaCJ5Gi5b0T02UzoFmB" TargetMode="External"/><Relationship Id="rId1543" Type="http://schemas.openxmlformats.org/officeDocument/2006/relationships/hyperlink" Target="https://drive.google.com/open?id=1VhH9RHSPe6ipJxt3uwwTfFpfiD1Xs_qV" TargetMode="External"/><Relationship Id="rId1544" Type="http://schemas.openxmlformats.org/officeDocument/2006/relationships/hyperlink" Target="https://drive.google.com/open?id=1dWISsaVl14j3GexqAIMJ5vek3GRmqjni" TargetMode="External"/><Relationship Id="rId1545" Type="http://schemas.openxmlformats.org/officeDocument/2006/relationships/hyperlink" Target="https://drive.google.com/open?id=1CfbU3U2s3LLCTNzskQ-YItSAHqr4yDxe" TargetMode="External"/><Relationship Id="rId1546" Type="http://schemas.openxmlformats.org/officeDocument/2006/relationships/hyperlink" Target="https://drive.google.com/open?id=1pyiYu3IzFV0b5zTm0ZZPIuvaFSCnpnII" TargetMode="External"/><Relationship Id="rId1547" Type="http://schemas.openxmlformats.org/officeDocument/2006/relationships/hyperlink" Target="https://drive.google.com/open?id=1jjFuKS_U1QBB36nRW2vjQLkDW9KmooPi" TargetMode="External"/><Relationship Id="rId1548" Type="http://schemas.openxmlformats.org/officeDocument/2006/relationships/hyperlink" Target="https://drive.google.com/open?id=1ybvtsLvs1vXHRO3LPvAh7AidNBwQuReH" TargetMode="External"/><Relationship Id="rId1549" Type="http://schemas.openxmlformats.org/officeDocument/2006/relationships/hyperlink" Target="https://drive.google.com/open?id=1W5kKvlDqs8vLsoPz3W8h8keVuORuLU2_" TargetMode="External"/><Relationship Id="rId959" Type="http://schemas.openxmlformats.org/officeDocument/2006/relationships/hyperlink" Target="https://drive.google.com/open?id=1rqDh4c8AZe0pallC8_DxVS483RzSNSns" TargetMode="External"/><Relationship Id="rId954" Type="http://schemas.openxmlformats.org/officeDocument/2006/relationships/hyperlink" Target="https://drive.google.com/open?id=1YYUrz4lf5EsBXTEPXNdUQAuk65vmtV5M" TargetMode="External"/><Relationship Id="rId953" Type="http://schemas.openxmlformats.org/officeDocument/2006/relationships/hyperlink" Target="https://drive.google.com/open?id=1SzwVma1bvQzySAMcnIUyR86UB4_jEDZx" TargetMode="External"/><Relationship Id="rId952" Type="http://schemas.openxmlformats.org/officeDocument/2006/relationships/hyperlink" Target="https://drive.google.com/open?id=1tVbui3IpKcHFKD1bNKAkcM4ru9WczXoG" TargetMode="External"/><Relationship Id="rId951" Type="http://schemas.openxmlformats.org/officeDocument/2006/relationships/hyperlink" Target="https://drive.google.com/open?id=1Tg_9Zl6ggrHhx7AJjufvYTUhaC5608Su" TargetMode="External"/><Relationship Id="rId958" Type="http://schemas.openxmlformats.org/officeDocument/2006/relationships/hyperlink" Target="https://drive.google.com/open?id=13J5UeAwZr8LZBFvHLWWmLBzpzuvdaHp2" TargetMode="External"/><Relationship Id="rId957" Type="http://schemas.openxmlformats.org/officeDocument/2006/relationships/hyperlink" Target="https://drive.google.com/open?id=1F7iTjzsHnuIodbVpb33cwJfk7_1LM-9l" TargetMode="External"/><Relationship Id="rId956" Type="http://schemas.openxmlformats.org/officeDocument/2006/relationships/hyperlink" Target="https://drive.google.com/open?id=1oQTlIUlLTU4l6H3Z8lsz7HxqgYeHhzzs" TargetMode="External"/><Relationship Id="rId955" Type="http://schemas.openxmlformats.org/officeDocument/2006/relationships/hyperlink" Target="https://drive.google.com/open?id=1xh-6CUN_jqOL7YsUT-Wu8T20JJbUj-UT" TargetMode="External"/><Relationship Id="rId950" Type="http://schemas.openxmlformats.org/officeDocument/2006/relationships/hyperlink" Target="https://drive.google.com/open?id=1O9IChSxdXxCNQaVY-oWkutdb5PWmDKzV" TargetMode="External"/><Relationship Id="rId1540" Type="http://schemas.openxmlformats.org/officeDocument/2006/relationships/hyperlink" Target="https://drive.google.com/open?id=1iN-8gjCLXmRGKs2NDVgahHiiVUyw9AXS" TargetMode="External"/><Relationship Id="rId1541" Type="http://schemas.openxmlformats.org/officeDocument/2006/relationships/hyperlink" Target="https://drive.google.com/open?id=1rGdSEQhXZfCqdjWErim_osLsi9Stp5pj" TargetMode="External"/><Relationship Id="rId1542" Type="http://schemas.openxmlformats.org/officeDocument/2006/relationships/hyperlink" Target="https://drive.google.com/open?id=1ekD0b4qp3XybxTahJc485K6qS_-LtcxU" TargetMode="External"/><Relationship Id="rId590" Type="http://schemas.openxmlformats.org/officeDocument/2006/relationships/hyperlink" Target="https://drive.google.com/open?id=1yvAZgwQQ0WAUyCgbaDFF-bYA-saESrT9" TargetMode="External"/><Relationship Id="rId107" Type="http://schemas.openxmlformats.org/officeDocument/2006/relationships/hyperlink" Target="https://drive.google.com/open?id=1Rv0duWK5org1VQf4Lv2k64_LZkKBgSPi" TargetMode="External"/><Relationship Id="rId106" Type="http://schemas.openxmlformats.org/officeDocument/2006/relationships/hyperlink" Target="https://drive.google.com/open?id=1ziKEhcb8WGR6GcExGyLs1lCuko-zHEY-" TargetMode="External"/><Relationship Id="rId105" Type="http://schemas.openxmlformats.org/officeDocument/2006/relationships/hyperlink" Target="https://drive.google.com/open?id=1bXQldzL7MuT1C-ThtJPgBjxOiWEm41c6" TargetMode="External"/><Relationship Id="rId589" Type="http://schemas.openxmlformats.org/officeDocument/2006/relationships/hyperlink" Target="https://drive.google.com/open?id=1FrmD4FrVsbwjfv3n3SsjPWzxbBvJl3aH" TargetMode="External"/><Relationship Id="rId104" Type="http://schemas.openxmlformats.org/officeDocument/2006/relationships/hyperlink" Target="https://drive.google.com/open?id=1e_2MubAzEkdFujWjr27BAhXJYOS91CyG" TargetMode="External"/><Relationship Id="rId588" Type="http://schemas.openxmlformats.org/officeDocument/2006/relationships/hyperlink" Target="https://drive.google.com/open?id=1Sx1ZyD2BHcQN0GDSRkGEnVP0HUCSDu2X" TargetMode="External"/><Relationship Id="rId109" Type="http://schemas.openxmlformats.org/officeDocument/2006/relationships/hyperlink" Target="https://drive.google.com/open?id=12iVb3sqWGWkU7FaU42aPFyT_SieeG7QH" TargetMode="External"/><Relationship Id="rId1170" Type="http://schemas.openxmlformats.org/officeDocument/2006/relationships/hyperlink" Target="https://drive.google.com/open?id=12P5taGS3VNCrkubzgD454WjE8no7NCoW" TargetMode="External"/><Relationship Id="rId108" Type="http://schemas.openxmlformats.org/officeDocument/2006/relationships/hyperlink" Target="https://drive.google.com/open?id=1Ljw76TOEBELwkGryhr8VqCI-2coBs_iX" TargetMode="External"/><Relationship Id="rId1171" Type="http://schemas.openxmlformats.org/officeDocument/2006/relationships/hyperlink" Target="https://drive.google.com/open?id=1kkYs41HZ7ROgyABtcTw9ZexCXJ9l9P1w" TargetMode="External"/><Relationship Id="rId583" Type="http://schemas.openxmlformats.org/officeDocument/2006/relationships/hyperlink" Target="https://drive.google.com/open?id=1CDB0KVbPqd39RcXbdpdW2pLBV-s3QZtu" TargetMode="External"/><Relationship Id="rId1172" Type="http://schemas.openxmlformats.org/officeDocument/2006/relationships/hyperlink" Target="https://drive.google.com/open?id=1548vIJrcXaAKU8DbaBd2kAOO7ybfsQUr" TargetMode="External"/><Relationship Id="rId582" Type="http://schemas.openxmlformats.org/officeDocument/2006/relationships/hyperlink" Target="https://drive.google.com/open?id=1GbkxbsFGmye-z56y_xPiRNG9eToM2ch7" TargetMode="External"/><Relationship Id="rId1173" Type="http://schemas.openxmlformats.org/officeDocument/2006/relationships/hyperlink" Target="https://drive.google.com/open?id=1LKm_U0qjTvt2Vy-2YOkd3oMmdR_6jwEV" TargetMode="External"/><Relationship Id="rId581" Type="http://schemas.openxmlformats.org/officeDocument/2006/relationships/hyperlink" Target="https://drive.google.com/open?id=1DmPs353d-h_k805KpRM5_WLtihWEXRzd" TargetMode="External"/><Relationship Id="rId1174" Type="http://schemas.openxmlformats.org/officeDocument/2006/relationships/hyperlink" Target="https://drive.google.com/open?id=1ZDkuxpDmuydRAUI6UerMJ7kyk0zX-Zot" TargetMode="External"/><Relationship Id="rId580" Type="http://schemas.openxmlformats.org/officeDocument/2006/relationships/hyperlink" Target="https://drive.google.com/open?id=1zD8mOZDCOPlEwskVEI9iFlOwZiKFVwqA" TargetMode="External"/><Relationship Id="rId1175" Type="http://schemas.openxmlformats.org/officeDocument/2006/relationships/hyperlink" Target="https://drive.google.com/open?id=1CpjePSXtt5xuBUsxkom5qDLIGk-Cq5v1" TargetMode="External"/><Relationship Id="rId103" Type="http://schemas.openxmlformats.org/officeDocument/2006/relationships/hyperlink" Target="https://drive.google.com/open?id=1bH4XKH46QEMsaBFlfL864MyY17Fp4rhR" TargetMode="External"/><Relationship Id="rId587" Type="http://schemas.openxmlformats.org/officeDocument/2006/relationships/hyperlink" Target="https://drive.google.com/open?id=1RnC2GbH-CfcVWrmFfeFFuPPZWipJe-1V" TargetMode="External"/><Relationship Id="rId1176" Type="http://schemas.openxmlformats.org/officeDocument/2006/relationships/hyperlink" Target="https://drive.google.com/open?id=1GxEiAhwlH7M4WPN8nPjG2jL38OmW-Aip" TargetMode="External"/><Relationship Id="rId102" Type="http://schemas.openxmlformats.org/officeDocument/2006/relationships/hyperlink" Target="https://drive.google.com/open?id=1rvgWR3i5McsxAnq_-ne6ZbqkJcF31fxr" TargetMode="External"/><Relationship Id="rId586" Type="http://schemas.openxmlformats.org/officeDocument/2006/relationships/hyperlink" Target="https://drive.google.com/open?id=1sGz2Ht7iO4CJXa-dYUGiz7pcwTQPBs37" TargetMode="External"/><Relationship Id="rId1177" Type="http://schemas.openxmlformats.org/officeDocument/2006/relationships/hyperlink" Target="https://drive.google.com/open?id=1fb1kZUsxwv_gjIzVnJtm_GRu7jWNed_G" TargetMode="External"/><Relationship Id="rId101" Type="http://schemas.openxmlformats.org/officeDocument/2006/relationships/hyperlink" Target="https://drive.google.com/open?id=1RxUqwi4Bbgsj0-AYaZjFPewNmTLYF7RM" TargetMode="External"/><Relationship Id="rId585" Type="http://schemas.openxmlformats.org/officeDocument/2006/relationships/hyperlink" Target="https://drive.google.com/open?id=16gZmeUvS9zZULTRIPtzvstcoMURbbR7z" TargetMode="External"/><Relationship Id="rId1178" Type="http://schemas.openxmlformats.org/officeDocument/2006/relationships/hyperlink" Target="https://drive.google.com/open?id=1Jr-CpyZqjSuzXFFXzQdUNUqwCPR9HpU6" TargetMode="External"/><Relationship Id="rId100" Type="http://schemas.openxmlformats.org/officeDocument/2006/relationships/hyperlink" Target="https://drive.google.com/open?id=1sQlYEdwj_KjmRMuHxd_Ck5LyLI73v53O" TargetMode="External"/><Relationship Id="rId584" Type="http://schemas.openxmlformats.org/officeDocument/2006/relationships/hyperlink" Target="https://drive.google.com/open?id=1XzpEHnmsRo1Uja7H4Ago-dTSgB7E3juT" TargetMode="External"/><Relationship Id="rId1179" Type="http://schemas.openxmlformats.org/officeDocument/2006/relationships/hyperlink" Target="https://drive.google.com/open?id=1Y3unLXWCV1abqjq6SPZcbe_lXKLILIR-" TargetMode="External"/><Relationship Id="rId1169" Type="http://schemas.openxmlformats.org/officeDocument/2006/relationships/hyperlink" Target="https://drive.google.com/open?id=1DPKlngYtFBv-gn6PewUNWPkdHUVNdAf2" TargetMode="External"/><Relationship Id="rId579" Type="http://schemas.openxmlformats.org/officeDocument/2006/relationships/hyperlink" Target="https://drive.google.com/open?id=1V3fybC-DGobMr_SsQLb8jGq39MBPwary" TargetMode="External"/><Relationship Id="rId578" Type="http://schemas.openxmlformats.org/officeDocument/2006/relationships/hyperlink" Target="https://drive.google.com/open?id=1BEfNeiiEu9LMjljlAsteG1kp_wTycme-" TargetMode="External"/><Relationship Id="rId577" Type="http://schemas.openxmlformats.org/officeDocument/2006/relationships/hyperlink" Target="https://drive.google.com/open?id=10jN8ft_iXeXc4DHwstW5z-1I0QAWcWtR" TargetMode="External"/><Relationship Id="rId1160" Type="http://schemas.openxmlformats.org/officeDocument/2006/relationships/hyperlink" Target="https://drive.google.com/open?id=19tADls4tYUolcRWJHAkN1q2J7b-QY1t3" TargetMode="External"/><Relationship Id="rId572" Type="http://schemas.openxmlformats.org/officeDocument/2006/relationships/hyperlink" Target="https://drive.google.com/open?id=1mLca-pf2cnjAaPzLwB8dZU0P4r-iP5-v" TargetMode="External"/><Relationship Id="rId1161" Type="http://schemas.openxmlformats.org/officeDocument/2006/relationships/hyperlink" Target="https://drive.google.com/open?id=1z5qoRRucviC5eUfLACdXTrCC2XiPEf43" TargetMode="External"/><Relationship Id="rId571" Type="http://schemas.openxmlformats.org/officeDocument/2006/relationships/hyperlink" Target="https://drive.google.com/open?id=18pgc0gm0hmGPJP9oH8JCJDHPND5ntMnR" TargetMode="External"/><Relationship Id="rId1162" Type="http://schemas.openxmlformats.org/officeDocument/2006/relationships/hyperlink" Target="https://drive.google.com/open?id=1kgQZksOJJuOYZFWk_hx2Dvn4sjMLW1jW" TargetMode="External"/><Relationship Id="rId570" Type="http://schemas.openxmlformats.org/officeDocument/2006/relationships/hyperlink" Target="https://drive.google.com/open?id=1kFaXnM7AKbPqvJ7OkEBuEez0r0yNOk4J" TargetMode="External"/><Relationship Id="rId1163" Type="http://schemas.openxmlformats.org/officeDocument/2006/relationships/hyperlink" Target="https://drive.google.com/open?id=1x_BIXTfnRCH2PgNshJvtshZ-vF1cnHZB" TargetMode="External"/><Relationship Id="rId1164" Type="http://schemas.openxmlformats.org/officeDocument/2006/relationships/hyperlink" Target="https://drive.google.com/open?id=1w51svNPPZ9JiRytz1WU7nE_xHHSjU_JB" TargetMode="External"/><Relationship Id="rId576" Type="http://schemas.openxmlformats.org/officeDocument/2006/relationships/hyperlink" Target="https://drive.google.com/open?id=1napAuTrFY6jTxUg6igWVS81ratYpZGNx" TargetMode="External"/><Relationship Id="rId1165" Type="http://schemas.openxmlformats.org/officeDocument/2006/relationships/hyperlink" Target="https://drive.google.com/open?id=1GfrafME1U_QOAlhJwsNToJboqfRPSHp4" TargetMode="External"/><Relationship Id="rId575" Type="http://schemas.openxmlformats.org/officeDocument/2006/relationships/hyperlink" Target="https://drive.google.com/open?id=1rXxIP0-ycjvngDbWwuTy-ueH2NHTPTs_" TargetMode="External"/><Relationship Id="rId1166" Type="http://schemas.openxmlformats.org/officeDocument/2006/relationships/hyperlink" Target="https://drive.google.com/open?id=1iTFWknbuv-Orz0HeuZZrVMlM8NrbQbvK" TargetMode="External"/><Relationship Id="rId574" Type="http://schemas.openxmlformats.org/officeDocument/2006/relationships/hyperlink" Target="https://drive.google.com/open?id=1I29xo311bxhhi0UhASwQ_9tsxhTs0JSF" TargetMode="External"/><Relationship Id="rId1167" Type="http://schemas.openxmlformats.org/officeDocument/2006/relationships/hyperlink" Target="https://drive.google.com/open?id=10BZt10v9yblAm1Vr82KmiZPmyMGzggqm" TargetMode="External"/><Relationship Id="rId573" Type="http://schemas.openxmlformats.org/officeDocument/2006/relationships/hyperlink" Target="https://drive.google.com/open?id=1fD-93RwXXhC0K5ycSPrdDptYbiWhn34J" TargetMode="External"/><Relationship Id="rId1168" Type="http://schemas.openxmlformats.org/officeDocument/2006/relationships/hyperlink" Target="https://drive.google.com/open?id=1aAhIJXKJcg63jEHDOs-euj66tdCpv1KB" TargetMode="External"/><Relationship Id="rId129" Type="http://schemas.openxmlformats.org/officeDocument/2006/relationships/hyperlink" Target="https://drive.google.com/open?id=1k-RdzvCgtdevHdpknc1frcI8zeceBy31" TargetMode="External"/><Relationship Id="rId128" Type="http://schemas.openxmlformats.org/officeDocument/2006/relationships/hyperlink" Target="https://drive.google.com/open?id=1TAH1SbQQA-KZ2zRXCfxGzvrNvcAAWpPd" TargetMode="External"/><Relationship Id="rId127" Type="http://schemas.openxmlformats.org/officeDocument/2006/relationships/hyperlink" Target="https://drive.google.com/open?id=1Ym3ufoG5hrPBXiCbrihB5TaL3YXbLlNc" TargetMode="External"/><Relationship Id="rId126" Type="http://schemas.openxmlformats.org/officeDocument/2006/relationships/hyperlink" Target="https://drive.google.com/open?id=1E8e34JvVoXED8RuuRU8oxi4f1e4Dsafs" TargetMode="External"/><Relationship Id="rId1190" Type="http://schemas.openxmlformats.org/officeDocument/2006/relationships/hyperlink" Target="https://drive.google.com/open?id=1hlH26mkVkBDFkFrD0mdnoPFP7bJ0is_4" TargetMode="External"/><Relationship Id="rId1191" Type="http://schemas.openxmlformats.org/officeDocument/2006/relationships/hyperlink" Target="https://drive.google.com/open?id=1LEH77-nKZJTi4PBW_o0jYDoIyGF8H53S" TargetMode="External"/><Relationship Id="rId1192" Type="http://schemas.openxmlformats.org/officeDocument/2006/relationships/hyperlink" Target="https://drive.google.com/open?id=1oHrNHV5gNJLeZA9ppSQE99B_0eJNovnj" TargetMode="External"/><Relationship Id="rId1193" Type="http://schemas.openxmlformats.org/officeDocument/2006/relationships/hyperlink" Target="https://drive.google.com/open?id=1EAGo3cBpw2keFupRs8BKPHMGfatEfJUj" TargetMode="External"/><Relationship Id="rId121" Type="http://schemas.openxmlformats.org/officeDocument/2006/relationships/hyperlink" Target="https://drive.google.com/open?id=1mnD5N7GnMRQCd8jftZCsJHHiDgkeDE3Q" TargetMode="External"/><Relationship Id="rId1194" Type="http://schemas.openxmlformats.org/officeDocument/2006/relationships/hyperlink" Target="https://drive.google.com/open?id=1zMNPgg9j84z6uRdbIPFw0qSUbVrxEsbO" TargetMode="External"/><Relationship Id="rId120" Type="http://schemas.openxmlformats.org/officeDocument/2006/relationships/hyperlink" Target="https://drive.google.com/open?id=1juW1leyKoY2adY4coW49zQc9Xn91Wi_l" TargetMode="External"/><Relationship Id="rId1195" Type="http://schemas.openxmlformats.org/officeDocument/2006/relationships/hyperlink" Target="https://drive.google.com/open?id=18QnewLJVWXyf6lGWFYYpgvsXMn4_nf1S" TargetMode="External"/><Relationship Id="rId1196" Type="http://schemas.openxmlformats.org/officeDocument/2006/relationships/hyperlink" Target="https://drive.google.com/open?id=1vkeRx0gJxal0hzZxOnuyVrbQnGHiChV4" TargetMode="External"/><Relationship Id="rId1197" Type="http://schemas.openxmlformats.org/officeDocument/2006/relationships/hyperlink" Target="https://drive.google.com/open?id=1Gb7Nfru58Dk2IrLm1JQhSTZz5m2MmvUL" TargetMode="External"/><Relationship Id="rId125" Type="http://schemas.openxmlformats.org/officeDocument/2006/relationships/hyperlink" Target="https://drive.google.com/open?id=1BgGg5XwToZYoBNupMBn0U5mPe5X9DExJ" TargetMode="External"/><Relationship Id="rId1198" Type="http://schemas.openxmlformats.org/officeDocument/2006/relationships/hyperlink" Target="https://drive.google.com/open?id=1-Ha61281VtYuV0U9RABnOwwuxVxhaiUy" TargetMode="External"/><Relationship Id="rId124" Type="http://schemas.openxmlformats.org/officeDocument/2006/relationships/hyperlink" Target="https://drive.google.com/open?id=1PaevZzctwiNstawvOgA2hOnh0j81xwO7" TargetMode="External"/><Relationship Id="rId1199" Type="http://schemas.openxmlformats.org/officeDocument/2006/relationships/hyperlink" Target="https://drive.google.com/open?id=1o85vjFTkZS5qb0LP1KndqjFs-dMC1N-K" TargetMode="External"/><Relationship Id="rId123" Type="http://schemas.openxmlformats.org/officeDocument/2006/relationships/hyperlink" Target="https://drive.google.com/open?id=1BmT1EtI1k5GIYrLz2ZgDUKZUyM-VraZb" TargetMode="External"/><Relationship Id="rId122" Type="http://schemas.openxmlformats.org/officeDocument/2006/relationships/hyperlink" Target="https://drive.google.com/open?id=127AW0C839nzZAdcqYaMw-UrY4OUnaC49" TargetMode="External"/><Relationship Id="rId118" Type="http://schemas.openxmlformats.org/officeDocument/2006/relationships/hyperlink" Target="https://drive.google.com/open?id=1nEPbTa1t2UWNNR8RZde4eRKLEX8WqBpZ" TargetMode="External"/><Relationship Id="rId117" Type="http://schemas.openxmlformats.org/officeDocument/2006/relationships/hyperlink" Target="https://drive.google.com/open?id=1lZco-aVK73UFtLeAGDTmSu_dhNTddkX_" TargetMode="External"/><Relationship Id="rId116" Type="http://schemas.openxmlformats.org/officeDocument/2006/relationships/hyperlink" Target="https://drive.google.com/open?id=1e6ubDzw6OCuboHa_eyBRGvgpGre_nTHs" TargetMode="External"/><Relationship Id="rId115" Type="http://schemas.openxmlformats.org/officeDocument/2006/relationships/hyperlink" Target="https://drive.google.com/open?id=1wZ6vEmX8t7uRppb1rzrUDY46gzb-WT52" TargetMode="External"/><Relationship Id="rId599" Type="http://schemas.openxmlformats.org/officeDocument/2006/relationships/hyperlink" Target="https://drive.google.com/open?id=185yq5reXH52Tg4xzEngzlZp5G3H3apQs" TargetMode="External"/><Relationship Id="rId1180" Type="http://schemas.openxmlformats.org/officeDocument/2006/relationships/hyperlink" Target="https://drive.google.com/open?id=1S4Em5z-nMBzFWKlFskuJ-_nPet5m_M4S" TargetMode="External"/><Relationship Id="rId1181" Type="http://schemas.openxmlformats.org/officeDocument/2006/relationships/hyperlink" Target="https://drive.google.com/open?id=1R4S5coAERR4qG2IVl3BQg1QEANI--93h" TargetMode="External"/><Relationship Id="rId119" Type="http://schemas.openxmlformats.org/officeDocument/2006/relationships/hyperlink" Target="https://drive.google.com/open?id=1hYqGjr9QMT_lw_DWcv9xguMH_Dqhm_0P" TargetMode="External"/><Relationship Id="rId1182" Type="http://schemas.openxmlformats.org/officeDocument/2006/relationships/hyperlink" Target="https://drive.google.com/open?id=1Zp2HMq8bIGDApT9GqXplHWPkQRD_ai2e" TargetMode="External"/><Relationship Id="rId110" Type="http://schemas.openxmlformats.org/officeDocument/2006/relationships/hyperlink" Target="https://drive.google.com/open?id=16P-7gXP6ohJrWg3eywzto-usP9EqpkTz" TargetMode="External"/><Relationship Id="rId594" Type="http://schemas.openxmlformats.org/officeDocument/2006/relationships/hyperlink" Target="https://drive.google.com/open?id=1tluUCTW5833qn2Y2I016fUFLNcvU9wQN" TargetMode="External"/><Relationship Id="rId1183" Type="http://schemas.openxmlformats.org/officeDocument/2006/relationships/hyperlink" Target="https://drive.google.com/open?id=1QpybFFo78HT6QeWgqiPs78lp-G04Jpg2" TargetMode="External"/><Relationship Id="rId593" Type="http://schemas.openxmlformats.org/officeDocument/2006/relationships/hyperlink" Target="https://drive.google.com/open?id=1hxMUQFll5RKAmvU_5YVnns8Ot4gix8Ew" TargetMode="External"/><Relationship Id="rId1184" Type="http://schemas.openxmlformats.org/officeDocument/2006/relationships/hyperlink" Target="https://drive.google.com/open?id=1amEvwXImyH3bcaeu7GDy9uuAFT36TG3x" TargetMode="External"/><Relationship Id="rId592" Type="http://schemas.openxmlformats.org/officeDocument/2006/relationships/hyperlink" Target="https://drive.google.com/open?id=1GMChl2S9RjFtG0f56onc7V-grHCA0_D-" TargetMode="External"/><Relationship Id="rId1185" Type="http://schemas.openxmlformats.org/officeDocument/2006/relationships/hyperlink" Target="https://drive.google.com/open?id=14cXk2wrx7VZZxUqQoSliellsUgypxFAg" TargetMode="External"/><Relationship Id="rId591" Type="http://schemas.openxmlformats.org/officeDocument/2006/relationships/hyperlink" Target="https://drive.google.com/open?id=1vP7XB9PLCSVA5x3_RS9FgkgZg7Yg90Kh" TargetMode="External"/><Relationship Id="rId1186" Type="http://schemas.openxmlformats.org/officeDocument/2006/relationships/hyperlink" Target="https://drive.google.com/open?id=1HS1y5BFVEerGZ1yx3w_TpEWOE03wFjRM" TargetMode="External"/><Relationship Id="rId114" Type="http://schemas.openxmlformats.org/officeDocument/2006/relationships/hyperlink" Target="https://drive.google.com/open?id=1rf12jICt3hys1pme1JN7hTvyeY64jQ6o" TargetMode="External"/><Relationship Id="rId598" Type="http://schemas.openxmlformats.org/officeDocument/2006/relationships/hyperlink" Target="https://drive.google.com/open?id=1KVLd8bu3XroEMIX5eGBRLp0Ny1PYDFLa" TargetMode="External"/><Relationship Id="rId1187" Type="http://schemas.openxmlformats.org/officeDocument/2006/relationships/hyperlink" Target="https://drive.google.com/open?id=1nCwzAb98z7Kzk3o9Foobbn8f7AbMw1x7" TargetMode="External"/><Relationship Id="rId113" Type="http://schemas.openxmlformats.org/officeDocument/2006/relationships/hyperlink" Target="https://drive.google.com/open?id=1jjoaRfGp6aVW5F5X17X0ibtIlEwpilm3" TargetMode="External"/><Relationship Id="rId597" Type="http://schemas.openxmlformats.org/officeDocument/2006/relationships/hyperlink" Target="https://drive.google.com/open?id=11I6_ATL91tvllYsQB01c8ZC_aPNM__yt" TargetMode="External"/><Relationship Id="rId1188" Type="http://schemas.openxmlformats.org/officeDocument/2006/relationships/hyperlink" Target="https://drive.google.com/open?id=1rBFlVnV19_h3ThvEP5DSWAuzZ5Bli_Ij" TargetMode="External"/><Relationship Id="rId112" Type="http://schemas.openxmlformats.org/officeDocument/2006/relationships/hyperlink" Target="https://drive.google.com/open?id=1bBYyu0DE3yVgrgfKcr-yZxyqJ5zXhHaF" TargetMode="External"/><Relationship Id="rId596" Type="http://schemas.openxmlformats.org/officeDocument/2006/relationships/hyperlink" Target="https://drive.google.com/open?id=1BSdn0sj7sm_8k8qnMWJVLWe2eDruQRFu" TargetMode="External"/><Relationship Id="rId1189" Type="http://schemas.openxmlformats.org/officeDocument/2006/relationships/hyperlink" Target="https://drive.google.com/open?id=1akJxeBXukOdkHc5cR4TFmeOLRDmj_MUa" TargetMode="External"/><Relationship Id="rId111" Type="http://schemas.openxmlformats.org/officeDocument/2006/relationships/hyperlink" Target="https://drive.google.com/open?id=1XFI_7JiumZfW1wC0twlAbqOlOW7O9NH4" TargetMode="External"/><Relationship Id="rId595" Type="http://schemas.openxmlformats.org/officeDocument/2006/relationships/hyperlink" Target="https://drive.google.com/open?id=1dKrpoYYtE0hUM6zbt2JQ32HhCmpAw7eb" TargetMode="External"/><Relationship Id="rId1136" Type="http://schemas.openxmlformats.org/officeDocument/2006/relationships/hyperlink" Target="https://drive.google.com/open?id=1HE_sU7ihsjFY9Zn7HSqOddJpEYLzlZUs" TargetMode="External"/><Relationship Id="rId1137" Type="http://schemas.openxmlformats.org/officeDocument/2006/relationships/hyperlink" Target="https://drive.google.com/open?id=19V65fDAsmzYsKtW_7ul6jlT-GZPbdWXF" TargetMode="External"/><Relationship Id="rId1138" Type="http://schemas.openxmlformats.org/officeDocument/2006/relationships/hyperlink" Target="https://drive.google.com/open?id=1-aRoU-1z9hogdqcWkPsTaYGqXpYYH-WD" TargetMode="External"/><Relationship Id="rId1139" Type="http://schemas.openxmlformats.org/officeDocument/2006/relationships/hyperlink" Target="https://drive.google.com/open?id=1tCFSDUGZcL96PWWWsBS3guVCHlFkThUP" TargetMode="External"/><Relationship Id="rId547" Type="http://schemas.openxmlformats.org/officeDocument/2006/relationships/hyperlink" Target="https://drive.google.com/open?id=1Om5mTkeCm46j56W_vD94EOFJ_nV1AU5X" TargetMode="External"/><Relationship Id="rId546" Type="http://schemas.openxmlformats.org/officeDocument/2006/relationships/hyperlink" Target="https://drive.google.com/open?id=1Hus_hZaH_wddVaJby0dqKYREGOtrx7re" TargetMode="External"/><Relationship Id="rId545" Type="http://schemas.openxmlformats.org/officeDocument/2006/relationships/hyperlink" Target="https://drive.google.com/open?id=1Fx3MGZMylb2KB4VQ8-8ri0r51KfCvmQ4" TargetMode="External"/><Relationship Id="rId544" Type="http://schemas.openxmlformats.org/officeDocument/2006/relationships/hyperlink" Target="https://drive.google.com/open?id=1nco6whHmoSoug69oD_HlGJml4LsO4Mtu" TargetMode="External"/><Relationship Id="rId549" Type="http://schemas.openxmlformats.org/officeDocument/2006/relationships/hyperlink" Target="https://drive.google.com/open?id=1xt5LEu5bBb-4_0oISAlYRhZxRlhgQLfX" TargetMode="External"/><Relationship Id="rId548" Type="http://schemas.openxmlformats.org/officeDocument/2006/relationships/hyperlink" Target="https://drive.google.com/open?id=1oWasJFEXhwahVIPRB8q_8btbTW7ApZkQ" TargetMode="External"/><Relationship Id="rId1130" Type="http://schemas.openxmlformats.org/officeDocument/2006/relationships/hyperlink" Target="https://drive.google.com/open?id=1twtW4Nmwd1QXFtq_YqRwnnhHTCc_X3wn" TargetMode="External"/><Relationship Id="rId1131" Type="http://schemas.openxmlformats.org/officeDocument/2006/relationships/hyperlink" Target="https://drive.google.com/open?id=1MDrSYOioEUHeQwB-6smO-gSyxJqD4CJI" TargetMode="External"/><Relationship Id="rId543" Type="http://schemas.openxmlformats.org/officeDocument/2006/relationships/hyperlink" Target="https://drive.google.com/open?id=1yoWewoCcYE_mAq1cw9T2GlSjw8VorDod" TargetMode="External"/><Relationship Id="rId1132" Type="http://schemas.openxmlformats.org/officeDocument/2006/relationships/hyperlink" Target="https://drive.google.com/open?id=1cD-nvUkKghHS_22NQ1cJ-jlCn5Gm2Flt" TargetMode="External"/><Relationship Id="rId542" Type="http://schemas.openxmlformats.org/officeDocument/2006/relationships/hyperlink" Target="https://drive.google.com/open?id=1DX0D2SIWhzLk7FMpUnFIMNLM8oPjm0_4" TargetMode="External"/><Relationship Id="rId1133" Type="http://schemas.openxmlformats.org/officeDocument/2006/relationships/hyperlink" Target="https://drive.google.com/open?id=1P39TxcaJYNVH5sxUyMPon24uWCHmo6Qe" TargetMode="External"/><Relationship Id="rId541" Type="http://schemas.openxmlformats.org/officeDocument/2006/relationships/hyperlink" Target="https://drive.google.com/open?id=1j1LJB0cHO3-M56_bgxFu7Uv7ZXpyg8IL" TargetMode="External"/><Relationship Id="rId1134" Type="http://schemas.openxmlformats.org/officeDocument/2006/relationships/hyperlink" Target="https://drive.google.com/open?id=1CXij0NCjjlHixbFN2sf5gEXDE3wvUNSd" TargetMode="External"/><Relationship Id="rId540" Type="http://schemas.openxmlformats.org/officeDocument/2006/relationships/hyperlink" Target="https://drive.google.com/open?id=1o9CmMMPo4x_cPDqfR1uAC4229rmDrOlE" TargetMode="External"/><Relationship Id="rId1135" Type="http://schemas.openxmlformats.org/officeDocument/2006/relationships/hyperlink" Target="https://drive.google.com/open?id=1pUeLcOiE1mkVTh4yivLyyXGlkX3NswyC" TargetMode="External"/><Relationship Id="rId1125" Type="http://schemas.openxmlformats.org/officeDocument/2006/relationships/hyperlink" Target="https://drive.google.com/open?id=10l0klJaXRSSdkEThk-FQbIrJc2ryY74D" TargetMode="External"/><Relationship Id="rId1126" Type="http://schemas.openxmlformats.org/officeDocument/2006/relationships/hyperlink" Target="https://drive.google.com/open?id=1IXNg6qLnKfWsK2iqSCIwl14UWLZf5Gng" TargetMode="External"/><Relationship Id="rId1127" Type="http://schemas.openxmlformats.org/officeDocument/2006/relationships/hyperlink" Target="https://drive.google.com/open?id=1s4rTgaYg372hFb6Ef0SbSzDyX97adY06" TargetMode="External"/><Relationship Id="rId1128" Type="http://schemas.openxmlformats.org/officeDocument/2006/relationships/hyperlink" Target="https://drive.google.com/open?id=1DJ9AuQ01JXB1hfVVa6krufEJTLEmmFqF" TargetMode="External"/><Relationship Id="rId1129" Type="http://schemas.openxmlformats.org/officeDocument/2006/relationships/hyperlink" Target="https://drive.google.com/open?id=1B9ct4MPV1Vcd-RGJ3roeiFas5NsBB8jn" TargetMode="External"/><Relationship Id="rId536" Type="http://schemas.openxmlformats.org/officeDocument/2006/relationships/hyperlink" Target="https://drive.google.com/open?id=1rlINLdDNg-MSnn6DBnOVVMwxnH4wwjcj" TargetMode="External"/><Relationship Id="rId535" Type="http://schemas.openxmlformats.org/officeDocument/2006/relationships/hyperlink" Target="https://drive.google.com/open?id=19h15cFhPipW5vUj08jHS_uz6zvL_TrVJ" TargetMode="External"/><Relationship Id="rId534" Type="http://schemas.openxmlformats.org/officeDocument/2006/relationships/hyperlink" Target="https://drive.google.com/open?id=1_3Y3Dn-fAuceIAkVOsN3hfSh-z_L91wz" TargetMode="External"/><Relationship Id="rId533" Type="http://schemas.openxmlformats.org/officeDocument/2006/relationships/hyperlink" Target="https://drive.google.com/open?id=19Bz4-TSyMFGw2NJTz2LV242aaUzJXp0-" TargetMode="External"/><Relationship Id="rId539" Type="http://schemas.openxmlformats.org/officeDocument/2006/relationships/hyperlink" Target="https://drive.google.com/open?id=1dSLAOq_qHDJ33dDwkguw-lP3lSBua3Rv" TargetMode="External"/><Relationship Id="rId538" Type="http://schemas.openxmlformats.org/officeDocument/2006/relationships/hyperlink" Target="https://drive.google.com/open?id=1z3bh4S-82Zij-0NQjhYOYn9onXj1uIj5" TargetMode="External"/><Relationship Id="rId537" Type="http://schemas.openxmlformats.org/officeDocument/2006/relationships/hyperlink" Target="https://drive.google.com/open?id=1gL1-pFaJTVb4ekmp6tbUST46T9MTOiEa" TargetMode="External"/><Relationship Id="rId1120" Type="http://schemas.openxmlformats.org/officeDocument/2006/relationships/hyperlink" Target="https://drive.google.com/open?id=1benE_3z7zTx6AB3LHanz1gZmijC1bplb" TargetMode="External"/><Relationship Id="rId532" Type="http://schemas.openxmlformats.org/officeDocument/2006/relationships/hyperlink" Target="https://drive.google.com/open?id=1UBPcUGu-Eetauau5woeM7YBFkiac-EWx" TargetMode="External"/><Relationship Id="rId1121" Type="http://schemas.openxmlformats.org/officeDocument/2006/relationships/hyperlink" Target="https://drive.google.com/open?id=1zdKVzFpKrRvN7sqZM-u0JVTBml7nW9-l" TargetMode="External"/><Relationship Id="rId531" Type="http://schemas.openxmlformats.org/officeDocument/2006/relationships/hyperlink" Target="https://drive.google.com/open?id=1i8HHuCsfFOoOcbEvNBTOAB_bxCKoXHKN" TargetMode="External"/><Relationship Id="rId1122" Type="http://schemas.openxmlformats.org/officeDocument/2006/relationships/hyperlink" Target="https://drive.google.com/open?id=1uk8fg4IYYCEf7-Gu0dZr-ENgBY6pXBXP" TargetMode="External"/><Relationship Id="rId530" Type="http://schemas.openxmlformats.org/officeDocument/2006/relationships/hyperlink" Target="https://drive.google.com/open?id=1Ck3LnQotgKdjvrT_F1Y9zbynAxV3l9Ys" TargetMode="External"/><Relationship Id="rId1123" Type="http://schemas.openxmlformats.org/officeDocument/2006/relationships/hyperlink" Target="https://drive.google.com/open?id=1Z921VLVGL4V-DzPO2qWrsy_sJnIhsHaG" TargetMode="External"/><Relationship Id="rId1124" Type="http://schemas.openxmlformats.org/officeDocument/2006/relationships/hyperlink" Target="https://drive.google.com/open?id=1UH4S_W_AVPs96zXmSoZ10StSHm20Vzhf" TargetMode="External"/><Relationship Id="rId1158" Type="http://schemas.openxmlformats.org/officeDocument/2006/relationships/hyperlink" Target="https://drive.google.com/open?id=1CJkSahOxRFGIAgmyMFhZ18iBkA2ZEaXW" TargetMode="External"/><Relationship Id="rId1159" Type="http://schemas.openxmlformats.org/officeDocument/2006/relationships/hyperlink" Target="https://drive.google.com/open?id=12JRs-08aahUmAj329P9UjiChzEfdWKGe" TargetMode="External"/><Relationship Id="rId569" Type="http://schemas.openxmlformats.org/officeDocument/2006/relationships/hyperlink" Target="https://drive.google.com/open?id=1I3FsKgZVcxoWW5NeYzNV2ZxGBoIbCnKe" TargetMode="External"/><Relationship Id="rId568" Type="http://schemas.openxmlformats.org/officeDocument/2006/relationships/hyperlink" Target="https://drive.google.com/open?id=15n55aEqfKyP6UPUXflhsoxybtRV7Im2Z" TargetMode="External"/><Relationship Id="rId567" Type="http://schemas.openxmlformats.org/officeDocument/2006/relationships/hyperlink" Target="https://drive.google.com/open?id=18qYGJEXtnFFuODV51Xsx6ukkfnK9x7e_" TargetMode="External"/><Relationship Id="rId566" Type="http://schemas.openxmlformats.org/officeDocument/2006/relationships/hyperlink" Target="https://drive.google.com/open?id=1EoNPL_1E82X1InuZl-Fo7mxvYqTLOY7X" TargetMode="External"/><Relationship Id="rId561" Type="http://schemas.openxmlformats.org/officeDocument/2006/relationships/hyperlink" Target="https://drive.google.com/open?id=1ewXXWm2TWYbNSnabislMMRorrSBEDccP" TargetMode="External"/><Relationship Id="rId1150" Type="http://schemas.openxmlformats.org/officeDocument/2006/relationships/hyperlink" Target="https://drive.google.com/open?id=1Z3BeLu5D2jBEhJqICjk59kRy88moBjh9" TargetMode="External"/><Relationship Id="rId560" Type="http://schemas.openxmlformats.org/officeDocument/2006/relationships/hyperlink" Target="https://drive.google.com/open?id=1Ctfpt_XIN9hAYn3bHXijID1hrcsz-gMV" TargetMode="External"/><Relationship Id="rId1151" Type="http://schemas.openxmlformats.org/officeDocument/2006/relationships/hyperlink" Target="https://drive.google.com/open?id=1QLYz4aGs7sF9ZA1Q_5cIvbLOJuHeUZf1" TargetMode="External"/><Relationship Id="rId1152" Type="http://schemas.openxmlformats.org/officeDocument/2006/relationships/hyperlink" Target="https://drive.google.com/open?id=1WoNqhsPCw6CpuDo8tV4jbAOng5RVqDp9" TargetMode="External"/><Relationship Id="rId1153" Type="http://schemas.openxmlformats.org/officeDocument/2006/relationships/hyperlink" Target="https://drive.google.com/open?id=15mXcrJWvc_Bt4LtGjORyDGzgxM4EsoY4" TargetMode="External"/><Relationship Id="rId565" Type="http://schemas.openxmlformats.org/officeDocument/2006/relationships/hyperlink" Target="https://drive.google.com/open?id=1CAgQLguOwJiwiLffS2m5njKmzhOeqroo" TargetMode="External"/><Relationship Id="rId1154" Type="http://schemas.openxmlformats.org/officeDocument/2006/relationships/hyperlink" Target="https://drive.google.com/open?id=16EfPgRXMhvxftfQn2lOB95XlCGLdnHj1" TargetMode="External"/><Relationship Id="rId564" Type="http://schemas.openxmlformats.org/officeDocument/2006/relationships/hyperlink" Target="https://drive.google.com/open?id=1KsJQ4g2v1OiJ-Y3MxO_I9mqFmrJrAW7S" TargetMode="External"/><Relationship Id="rId1155" Type="http://schemas.openxmlformats.org/officeDocument/2006/relationships/hyperlink" Target="https://drive.google.com/open?id=1MlhW8gSHnaafmgENt7gUTLZuYLkPz40a" TargetMode="External"/><Relationship Id="rId563" Type="http://schemas.openxmlformats.org/officeDocument/2006/relationships/hyperlink" Target="https://drive.google.com/open?id=1KmZO2SOcVkXhna0Y1SSTfbCAazPqP9wm" TargetMode="External"/><Relationship Id="rId1156" Type="http://schemas.openxmlformats.org/officeDocument/2006/relationships/hyperlink" Target="https://drive.google.com/open?id=1Y6YqHyGrHgjKDivFxFVQrEd2fN1b3IaP" TargetMode="External"/><Relationship Id="rId562" Type="http://schemas.openxmlformats.org/officeDocument/2006/relationships/hyperlink" Target="https://drive.google.com/open?id=18dAxoIXFcIgmNM697BE2ZyWofCJK-k-S" TargetMode="External"/><Relationship Id="rId1157" Type="http://schemas.openxmlformats.org/officeDocument/2006/relationships/hyperlink" Target="https://drive.google.com/open?id=1wvBWGfznbDRSncWTYfakz7XQzgThBQ3U" TargetMode="External"/><Relationship Id="rId1147" Type="http://schemas.openxmlformats.org/officeDocument/2006/relationships/hyperlink" Target="https://drive.google.com/open?id=1CTAggaGmWTa_Z_oX62ADl7cNoIMHqgFQ" TargetMode="External"/><Relationship Id="rId1148" Type="http://schemas.openxmlformats.org/officeDocument/2006/relationships/hyperlink" Target="https://drive.google.com/open?id=1AuluL-_XdGuyZR-nuyyqwaokcyu_55gy" TargetMode="External"/><Relationship Id="rId1149" Type="http://schemas.openxmlformats.org/officeDocument/2006/relationships/hyperlink" Target="https://drive.google.com/open?id=1kMBBH923ckK6I3mfH4KL2LV9ffHlHMRm" TargetMode="External"/><Relationship Id="rId558" Type="http://schemas.openxmlformats.org/officeDocument/2006/relationships/hyperlink" Target="https://drive.google.com/open?id=1oE8-5Rv1pgHd2n7iM2-tekmBSDdmdp1X" TargetMode="External"/><Relationship Id="rId557" Type="http://schemas.openxmlformats.org/officeDocument/2006/relationships/hyperlink" Target="https://drive.google.com/open?id=1lbtq1ot8rFAJUeIqnZAXSgTiy6gaVoOc" TargetMode="External"/><Relationship Id="rId556" Type="http://schemas.openxmlformats.org/officeDocument/2006/relationships/hyperlink" Target="https://drive.google.com/open?id=135Q2r1gTVjaVA3KaRMDJ0K-zgdyfsFgO" TargetMode="External"/><Relationship Id="rId555" Type="http://schemas.openxmlformats.org/officeDocument/2006/relationships/hyperlink" Target="https://drive.google.com/open?id=1f7ZdZP0Y8ylvFDgvbt3EbAAAlwQBCWbP" TargetMode="External"/><Relationship Id="rId559" Type="http://schemas.openxmlformats.org/officeDocument/2006/relationships/hyperlink" Target="https://drive.google.com/open?id=1Ul6j1tdopkDnXwGZ284vPMkX5WE8h6-k" TargetMode="External"/><Relationship Id="rId550" Type="http://schemas.openxmlformats.org/officeDocument/2006/relationships/hyperlink" Target="https://drive.google.com/open?id=1RweKqsvzDX5niTTmixe4L1DXbfBCvLMk" TargetMode="External"/><Relationship Id="rId1140" Type="http://schemas.openxmlformats.org/officeDocument/2006/relationships/hyperlink" Target="https://drive.google.com/open?id=1djJ7yt9jsVHRgtdQVcYef5dfrx7mU5yA" TargetMode="External"/><Relationship Id="rId1141" Type="http://schemas.openxmlformats.org/officeDocument/2006/relationships/hyperlink" Target="https://drive.google.com/open?id=1ELPYEE3rpdtKRQRpwVSO-bZmIYuc3FF8" TargetMode="External"/><Relationship Id="rId1142" Type="http://schemas.openxmlformats.org/officeDocument/2006/relationships/hyperlink" Target="https://drive.google.com/open?id=1CHLGWB1XlhaqLC5Og-QimOht_H5MHELK" TargetMode="External"/><Relationship Id="rId554" Type="http://schemas.openxmlformats.org/officeDocument/2006/relationships/hyperlink" Target="https://drive.google.com/open?id=1eCpyWkLyc-6dr-tMZugc9DkqbKcpQtVl" TargetMode="External"/><Relationship Id="rId1143" Type="http://schemas.openxmlformats.org/officeDocument/2006/relationships/hyperlink" Target="https://drive.google.com/open?id=1FxVftOJQbMTy39xSDZVUrPs4_qt5jlpM" TargetMode="External"/><Relationship Id="rId553" Type="http://schemas.openxmlformats.org/officeDocument/2006/relationships/hyperlink" Target="https://drive.google.com/open?id=1fzMlUctlFglMIqKFJADBsK49j0d5pd8G" TargetMode="External"/><Relationship Id="rId1144" Type="http://schemas.openxmlformats.org/officeDocument/2006/relationships/hyperlink" Target="https://drive.google.com/open?id=1RVHBo2QHs2bB2b0WTEiVrErGkm_Wjn46" TargetMode="External"/><Relationship Id="rId552" Type="http://schemas.openxmlformats.org/officeDocument/2006/relationships/hyperlink" Target="https://drive.google.com/open?id=1rOpA9Qf3MkBT8yJhdUGsZiyuUl0f6ufw" TargetMode="External"/><Relationship Id="rId1145" Type="http://schemas.openxmlformats.org/officeDocument/2006/relationships/hyperlink" Target="https://drive.google.com/open?id=14afhFOkdnB5rEsja8iGygpazUdl9FQWN" TargetMode="External"/><Relationship Id="rId551" Type="http://schemas.openxmlformats.org/officeDocument/2006/relationships/hyperlink" Target="https://drive.google.com/open?id=1DS6ZBes_FtFimJEeFfznz8YwMYxneyMB" TargetMode="External"/><Relationship Id="rId1146" Type="http://schemas.openxmlformats.org/officeDocument/2006/relationships/hyperlink" Target="https://drive.google.com/open?id=1HSQRDFFKCAxJ34V9aVB02tY8b_mh5Dh9" TargetMode="External"/><Relationship Id="rId495" Type="http://schemas.openxmlformats.org/officeDocument/2006/relationships/hyperlink" Target="https://drive.google.com/open?id=1MyYAqkRZDWCeVSdVFKaTl8YKOzJnYgtW" TargetMode="External"/><Relationship Id="rId494" Type="http://schemas.openxmlformats.org/officeDocument/2006/relationships/hyperlink" Target="https://drive.google.com/open?id=193Wgb8wmC7lrSq_ixj5T9weuc-l9Xeb8" TargetMode="External"/><Relationship Id="rId493" Type="http://schemas.openxmlformats.org/officeDocument/2006/relationships/hyperlink" Target="https://drive.google.com/open?id=1SQnF_8DCN91WHC55Or2_3svZTsc2qfWR" TargetMode="External"/><Relationship Id="rId492" Type="http://schemas.openxmlformats.org/officeDocument/2006/relationships/hyperlink" Target="https://drive.google.com/open?id=1pxy4YbkI-sDS6ij1d0Nqu69p9VIc-cBR" TargetMode="External"/><Relationship Id="rId499" Type="http://schemas.openxmlformats.org/officeDocument/2006/relationships/hyperlink" Target="https://drive.google.com/open?id=1DR6n0B5vS7rx8FgO0IsPV3YHM7XgoHqq" TargetMode="External"/><Relationship Id="rId498" Type="http://schemas.openxmlformats.org/officeDocument/2006/relationships/hyperlink" Target="https://drive.google.com/open?id=1N7m8oEXhRnGzxG2-xw3itirH2SvkA6r9" TargetMode="External"/><Relationship Id="rId497" Type="http://schemas.openxmlformats.org/officeDocument/2006/relationships/hyperlink" Target="https://drive.google.com/open?id=1w3Q2vDhXD7K6JmivRgDShFYxy502g-7Z" TargetMode="External"/><Relationship Id="rId496" Type="http://schemas.openxmlformats.org/officeDocument/2006/relationships/hyperlink" Target="https://drive.google.com/open?id=1ND4We0vstlu_HdYGx2G6nGW02_8BM1Aj" TargetMode="External"/><Relationship Id="rId1610" Type="http://schemas.openxmlformats.org/officeDocument/2006/relationships/hyperlink" Target="https://drive.google.com/open?id=1AhrtraA6doa8yzIXt6bSmZSFn4Ia4x4r" TargetMode="External"/><Relationship Id="rId1611" Type="http://schemas.openxmlformats.org/officeDocument/2006/relationships/hyperlink" Target="https://drive.google.com/open?id=1KoHPI-_rgVMVjFnsX89pGfsaNATJ_05U" TargetMode="External"/><Relationship Id="rId1612" Type="http://schemas.openxmlformats.org/officeDocument/2006/relationships/hyperlink" Target="https://drive.google.com/open?id=1N6w2Osvzhicx1zkq8AH3hUuCIaM5pPPo" TargetMode="External"/><Relationship Id="rId1613" Type="http://schemas.openxmlformats.org/officeDocument/2006/relationships/hyperlink" Target="https://drive.google.com/open?id=1hrqCfJA5AjCyLObjEWAEKbCaDsDxXpo8" TargetMode="External"/><Relationship Id="rId1614" Type="http://schemas.openxmlformats.org/officeDocument/2006/relationships/hyperlink" Target="https://drive.google.com/open?id=1rG4EJ1Xqc-6fR1N43YSCpAQDK6l260v-" TargetMode="External"/><Relationship Id="rId1615" Type="http://schemas.openxmlformats.org/officeDocument/2006/relationships/hyperlink" Target="https://drive.google.com/open?id=1hknPXsRfJdlZwtzV7qvCc7FQEiMuUG3Q" TargetMode="External"/><Relationship Id="rId1616" Type="http://schemas.openxmlformats.org/officeDocument/2006/relationships/hyperlink" Target="https://drive.google.com/open?id=1ceV13wAPYZ7S8U9qFZ6lUfAO6y-dF4Du" TargetMode="External"/><Relationship Id="rId907" Type="http://schemas.openxmlformats.org/officeDocument/2006/relationships/hyperlink" Target="https://drive.google.com/open?id=1EkYPRhT0FUNeDhx1N_rR_eAwme2sNrD8" TargetMode="External"/><Relationship Id="rId1617" Type="http://schemas.openxmlformats.org/officeDocument/2006/relationships/hyperlink" Target="https://drive.google.com/open?id=1H3GoFLxf1VSUhJsEW6gQaKHKp4ZMIhts" TargetMode="External"/><Relationship Id="rId906" Type="http://schemas.openxmlformats.org/officeDocument/2006/relationships/hyperlink" Target="https://drive.google.com/open?id=1dZnSV-pHqcDQWPTUvehAvOrIez_YMVqD" TargetMode="External"/><Relationship Id="rId1618" Type="http://schemas.openxmlformats.org/officeDocument/2006/relationships/hyperlink" Target="https://drive.google.com/open?id=1ikb4RUMybXGnR6eEBvygdkV4omPEt9s3" TargetMode="External"/><Relationship Id="rId905" Type="http://schemas.openxmlformats.org/officeDocument/2006/relationships/hyperlink" Target="https://drive.google.com/open?id=1o3_ZxR1dQRBZMIFc6vqFHPGas0qFe5A1" TargetMode="External"/><Relationship Id="rId1619" Type="http://schemas.openxmlformats.org/officeDocument/2006/relationships/hyperlink" Target="https://drive.google.com/open?id=1-Vm1czFT2dCA7qK84Ze0_cLoJLs8xjy4" TargetMode="External"/><Relationship Id="rId904" Type="http://schemas.openxmlformats.org/officeDocument/2006/relationships/hyperlink" Target="https://drive.google.com/open?id=1AmK6gtlJvyR9Zvdm5oy-YUJo4zmpxEwh" TargetMode="External"/><Relationship Id="rId909" Type="http://schemas.openxmlformats.org/officeDocument/2006/relationships/hyperlink" Target="https://drive.google.com/open?id=161gAY9xCIyUZGV70Ss5tKQa6hhdg7zkq" TargetMode="External"/><Relationship Id="rId908" Type="http://schemas.openxmlformats.org/officeDocument/2006/relationships/hyperlink" Target="https://drive.google.com/open?id=1h1KZYLbmTaYH0uVr8nGP_oBlO4Por7L8" TargetMode="External"/><Relationship Id="rId903" Type="http://schemas.openxmlformats.org/officeDocument/2006/relationships/hyperlink" Target="https://drive.google.com/open?id=1xGu6fOJRvDMwRLBNU3Kd0Ulose5pqrjf" TargetMode="External"/><Relationship Id="rId902" Type="http://schemas.openxmlformats.org/officeDocument/2006/relationships/hyperlink" Target="https://drive.google.com/open?id=1XIuR7daUWGUMTat-Yoq0W9bWN3UpHpcf" TargetMode="External"/><Relationship Id="rId901" Type="http://schemas.openxmlformats.org/officeDocument/2006/relationships/hyperlink" Target="https://drive.google.com/open?id=1sAcrYSuEOcOeoIFyHDZBVlmlqck3MYDm" TargetMode="External"/><Relationship Id="rId900" Type="http://schemas.openxmlformats.org/officeDocument/2006/relationships/hyperlink" Target="https://drive.google.com/open?id=1cURO-VXsTbK6ZoZ8HDDxXySavbQV-XEM" TargetMode="External"/><Relationship Id="rId1600" Type="http://schemas.openxmlformats.org/officeDocument/2006/relationships/hyperlink" Target="https://drive.google.com/open?id=13RECIhsq6O1gBCPoj8XZKTs2umUMjKO8" TargetMode="External"/><Relationship Id="rId1601" Type="http://schemas.openxmlformats.org/officeDocument/2006/relationships/hyperlink" Target="https://drive.google.com/open?id=1B_mNtwIA238pqxj_7i1QWoH4F5DMIfTH" TargetMode="External"/><Relationship Id="rId1602" Type="http://schemas.openxmlformats.org/officeDocument/2006/relationships/hyperlink" Target="https://drive.google.com/open?id=1rkByFfdIvGmL1Mo1JrwEcUp2vvdGo_fv" TargetMode="External"/><Relationship Id="rId1603" Type="http://schemas.openxmlformats.org/officeDocument/2006/relationships/hyperlink" Target="https://drive.google.com/open?id=16QSPTmi5d7tGtjMg0rWMqqUDiT0gw9aI" TargetMode="External"/><Relationship Id="rId1604" Type="http://schemas.openxmlformats.org/officeDocument/2006/relationships/hyperlink" Target="https://drive.google.com/open?id=1M-PlXv_iyIe-NZYibUywBffqHv_IMFuw" TargetMode="External"/><Relationship Id="rId1605" Type="http://schemas.openxmlformats.org/officeDocument/2006/relationships/hyperlink" Target="https://drive.google.com/open?id=1o63gkeNARg0vlgn5B1xtMvsHhMlkH_sE" TargetMode="External"/><Relationship Id="rId1606" Type="http://schemas.openxmlformats.org/officeDocument/2006/relationships/hyperlink" Target="https://drive.google.com/open?id=12cKxNGzq7BqZblHW8w88_BmTbeLjoEKm" TargetMode="External"/><Relationship Id="rId1607" Type="http://schemas.openxmlformats.org/officeDocument/2006/relationships/hyperlink" Target="https://drive.google.com/open?id=1rnoDj_3R1iAWUE7VhS_6dYf9d_4Te9hg" TargetMode="External"/><Relationship Id="rId1608" Type="http://schemas.openxmlformats.org/officeDocument/2006/relationships/hyperlink" Target="https://drive.google.com/open?id=18JFUrpkP5K37n3q-VBYZg33K5VIeq-NS" TargetMode="External"/><Relationship Id="rId1609" Type="http://schemas.openxmlformats.org/officeDocument/2006/relationships/hyperlink" Target="https://drive.google.com/open?id=1qZUmrq_9blNoR5XqvoDA1ZDlVLHX2JZU" TargetMode="External"/><Relationship Id="rId1631" Type="http://schemas.openxmlformats.org/officeDocument/2006/relationships/hyperlink" Target="https://drive.google.com/open?id=1sZ0hN717YUstxVgCWHkgq1WXBajB4SCa" TargetMode="External"/><Relationship Id="rId1632" Type="http://schemas.openxmlformats.org/officeDocument/2006/relationships/hyperlink" Target="https://drive.google.com/open?id=1FRddUgQJR5Ssi501YOywnX7SvMiLmWf9" TargetMode="External"/><Relationship Id="rId1633" Type="http://schemas.openxmlformats.org/officeDocument/2006/relationships/hyperlink" Target="https://drive.google.com/open?id=13GqvZhR0GjnudKQlLUaWPRC8ZekW__Wo" TargetMode="External"/><Relationship Id="rId1634" Type="http://schemas.openxmlformats.org/officeDocument/2006/relationships/hyperlink" Target="https://drive.google.com/open?id=1mtPWmo4RB40tP79gPqYcwQ_pNf6hW-sP" TargetMode="External"/><Relationship Id="rId1635" Type="http://schemas.openxmlformats.org/officeDocument/2006/relationships/hyperlink" Target="https://drive.google.com/open?id=1GMpwa8QhZ96JVmVPR62-Emwf9SVBrh5m" TargetMode="External"/><Relationship Id="rId1636" Type="http://schemas.openxmlformats.org/officeDocument/2006/relationships/hyperlink" Target="https://drive.google.com/open?id=14zkyBx8zqxv9-jG-BFZrN5J2spuhsHQL" TargetMode="External"/><Relationship Id="rId1637" Type="http://schemas.openxmlformats.org/officeDocument/2006/relationships/hyperlink" Target="https://drive.google.com/open?id=1s1B0fB590BKpc4nzCsLCanEpT1MeJn06" TargetMode="External"/><Relationship Id="rId1638" Type="http://schemas.openxmlformats.org/officeDocument/2006/relationships/hyperlink" Target="https://drive.google.com/open?id=1IFH_kXFaXwNCNhmOwIWaihFNC42suIQq" TargetMode="External"/><Relationship Id="rId929" Type="http://schemas.openxmlformats.org/officeDocument/2006/relationships/hyperlink" Target="https://drive.google.com/open?id=1ePKgLP0s2vCDChjGVBCeA6ZJpzBik2bC" TargetMode="External"/><Relationship Id="rId1639" Type="http://schemas.openxmlformats.org/officeDocument/2006/relationships/hyperlink" Target="https://drive.google.com/open?id=1Ie8z_x_bN3lP5mLmT4DoeU37zeDoyfN4" TargetMode="External"/><Relationship Id="rId928" Type="http://schemas.openxmlformats.org/officeDocument/2006/relationships/hyperlink" Target="https://drive.google.com/open?id=15jQXeRCr_UZiP-hfR59DPeR33fQ64tnE" TargetMode="External"/><Relationship Id="rId927" Type="http://schemas.openxmlformats.org/officeDocument/2006/relationships/hyperlink" Target="https://drive.google.com/open?id=1C15t6nORIzHNmH0Srb6akMdRBN_UHjiv" TargetMode="External"/><Relationship Id="rId926" Type="http://schemas.openxmlformats.org/officeDocument/2006/relationships/hyperlink" Target="https://drive.google.com/open?id=15firB2U7LSHc09kBS6Z0FyxPPWcjqaVm" TargetMode="External"/><Relationship Id="rId921" Type="http://schemas.openxmlformats.org/officeDocument/2006/relationships/hyperlink" Target="https://drive.google.com/open?id=1BM7zfaq9nhB2UA45kz0lUnEv5gHDG3Gd" TargetMode="External"/><Relationship Id="rId920" Type="http://schemas.openxmlformats.org/officeDocument/2006/relationships/hyperlink" Target="https://drive.google.com/open?id=1pCYnpmlYoFMaw-kdno5tsj-86aWCShCa" TargetMode="External"/><Relationship Id="rId925" Type="http://schemas.openxmlformats.org/officeDocument/2006/relationships/hyperlink" Target="https://drive.google.com/open?id=1oDdwHExZvZNkf4-RZUZoekLUWPiO_iWN" TargetMode="External"/><Relationship Id="rId924" Type="http://schemas.openxmlformats.org/officeDocument/2006/relationships/hyperlink" Target="https://drive.google.com/open?id=1EKvphQSKtq5f-ziSqUg4ooo8NU3Fu-42" TargetMode="External"/><Relationship Id="rId923" Type="http://schemas.openxmlformats.org/officeDocument/2006/relationships/hyperlink" Target="https://drive.google.com/open?id=1_IwNi8vxw7ykR1mhqexmx1rJV-IOttVY" TargetMode="External"/><Relationship Id="rId922" Type="http://schemas.openxmlformats.org/officeDocument/2006/relationships/hyperlink" Target="https://drive.google.com/open?id=1-gdyTvGMF5N5gPtaMIfHkTXB0qOBPXGF" TargetMode="External"/><Relationship Id="rId1630" Type="http://schemas.openxmlformats.org/officeDocument/2006/relationships/hyperlink" Target="https://drive.google.com/open?id=1Uygj_Zx7c5k_9E_H3UI2h0xfgUCcTLLW" TargetMode="External"/><Relationship Id="rId1620" Type="http://schemas.openxmlformats.org/officeDocument/2006/relationships/hyperlink" Target="https://drive.google.com/open?id=1wnMLJ67bhw6ZTJBz1hgDD6ApPWB6xovl" TargetMode="External"/><Relationship Id="rId1621" Type="http://schemas.openxmlformats.org/officeDocument/2006/relationships/hyperlink" Target="https://drive.google.com/open?id=1h4gd8xoDPYhzzLcf81MY1VwSWPJc25_1" TargetMode="External"/><Relationship Id="rId1622" Type="http://schemas.openxmlformats.org/officeDocument/2006/relationships/hyperlink" Target="https://drive.google.com/open?id=1c4QTkDb4JK63IsWzeuGGX2Jq9Swy5QiJ" TargetMode="External"/><Relationship Id="rId1623" Type="http://schemas.openxmlformats.org/officeDocument/2006/relationships/hyperlink" Target="https://drive.google.com/open?id=1siFrthDb3_pp7kC3mZ87xF-pvvmnD2M2" TargetMode="External"/><Relationship Id="rId1624" Type="http://schemas.openxmlformats.org/officeDocument/2006/relationships/hyperlink" Target="https://drive.google.com/open?id=1Q_PzrBMt35JhtEoFNSvcFowFAcCrPUcQ" TargetMode="External"/><Relationship Id="rId1625" Type="http://schemas.openxmlformats.org/officeDocument/2006/relationships/hyperlink" Target="https://drive.google.com/open?id=12ywiUkvTvVoa1CJL8hBOP0h8WHblH_7R" TargetMode="External"/><Relationship Id="rId1626" Type="http://schemas.openxmlformats.org/officeDocument/2006/relationships/hyperlink" Target="https://drive.google.com/open?id=1ApT6gCTPyG2CIbTUaM2tEOzfHSKPrsXI" TargetMode="External"/><Relationship Id="rId1627" Type="http://schemas.openxmlformats.org/officeDocument/2006/relationships/hyperlink" Target="https://drive.google.com/open?id=1eTEOVI-tUQnvrXgy7I6zm130vonFQrQ2" TargetMode="External"/><Relationship Id="rId918" Type="http://schemas.openxmlformats.org/officeDocument/2006/relationships/hyperlink" Target="https://drive.google.com/open?id=1p5-HbiZyGgZdl2vroKQPYUKklhEWweY-" TargetMode="External"/><Relationship Id="rId1628" Type="http://schemas.openxmlformats.org/officeDocument/2006/relationships/hyperlink" Target="https://drive.google.com/open?id=13d9d_cmFiWFIHcwD6TFH_0GvmH1AwEVj" TargetMode="External"/><Relationship Id="rId917" Type="http://schemas.openxmlformats.org/officeDocument/2006/relationships/hyperlink" Target="https://drive.google.com/open?id=1i_ODEw_dzDJaiYVMOS22Ce2GY3djlGfQ" TargetMode="External"/><Relationship Id="rId1629" Type="http://schemas.openxmlformats.org/officeDocument/2006/relationships/hyperlink" Target="https://drive.google.com/open?id=1RUJPgOiFq1v3Pw_6-RrNfw016_pC9UM9" TargetMode="External"/><Relationship Id="rId916" Type="http://schemas.openxmlformats.org/officeDocument/2006/relationships/hyperlink" Target="https://drive.google.com/open?id=1McGay_zEnuYV7_C0DLAirQ8wZ8zoD7xk" TargetMode="External"/><Relationship Id="rId915" Type="http://schemas.openxmlformats.org/officeDocument/2006/relationships/hyperlink" Target="https://drive.google.com/open?id=1hstXQ_rkvbzK5KWZpu81SJe3YLtZFkJm" TargetMode="External"/><Relationship Id="rId919" Type="http://schemas.openxmlformats.org/officeDocument/2006/relationships/hyperlink" Target="https://drive.google.com/open?id=1fnmAoSjTrUozP-Ro7MU303VLcipK9HKc" TargetMode="External"/><Relationship Id="rId910" Type="http://schemas.openxmlformats.org/officeDocument/2006/relationships/hyperlink" Target="https://drive.google.com/open?id=11dwcyzHKey-Qjswz26kVyFcRmb_znhxm" TargetMode="External"/><Relationship Id="rId914" Type="http://schemas.openxmlformats.org/officeDocument/2006/relationships/hyperlink" Target="https://drive.google.com/open?id=1kD3Hcy00znGez18lUtVsEhAYtW5COimF" TargetMode="External"/><Relationship Id="rId913" Type="http://schemas.openxmlformats.org/officeDocument/2006/relationships/hyperlink" Target="https://drive.google.com/open?id=1oFxnyj1h9VS2-8ETGMPGTcUZGcAYN4ZL" TargetMode="External"/><Relationship Id="rId912" Type="http://schemas.openxmlformats.org/officeDocument/2006/relationships/hyperlink" Target="https://drive.google.com/open?id=1xkg2nR2j_Anot_YEWevxyZVOJDL07W8H" TargetMode="External"/><Relationship Id="rId911" Type="http://schemas.openxmlformats.org/officeDocument/2006/relationships/hyperlink" Target="https://drive.google.com/open?id=18KJNAHlNOgi39ODIHQNwA6UZDkEVrb_G" TargetMode="External"/><Relationship Id="rId1213" Type="http://schemas.openxmlformats.org/officeDocument/2006/relationships/hyperlink" Target="https://drive.google.com/open?id=1vutIWhfOwdRfQ_ad619peG1ZfRi2IfU9" TargetMode="External"/><Relationship Id="rId1697" Type="http://schemas.openxmlformats.org/officeDocument/2006/relationships/hyperlink" Target="https://drive.google.com/open?id=1fM3UJLO-Og0hGe1NsXb_uPokRUcuXgCI" TargetMode="External"/><Relationship Id="rId1214" Type="http://schemas.openxmlformats.org/officeDocument/2006/relationships/hyperlink" Target="https://drive.google.com/open?id=1KSZE_rox8II1PB3uxYxYq82IX5PYnzvw" TargetMode="External"/><Relationship Id="rId1698" Type="http://schemas.openxmlformats.org/officeDocument/2006/relationships/hyperlink" Target="https://drive.google.com/open?id=1TyJALClqN86-lP8GcVt0-knYi0_Tbfkv" TargetMode="External"/><Relationship Id="rId1215" Type="http://schemas.openxmlformats.org/officeDocument/2006/relationships/hyperlink" Target="https://drive.google.com/open?id=11QhyvruSzCeSLgqVqS5k-y5T050SAqNf" TargetMode="External"/><Relationship Id="rId1699" Type="http://schemas.openxmlformats.org/officeDocument/2006/relationships/hyperlink" Target="https://drive.google.com/open?id=1lCm7CZHtE_GSuowVbv7eXyGJSIyVriPs" TargetMode="External"/><Relationship Id="rId1216" Type="http://schemas.openxmlformats.org/officeDocument/2006/relationships/hyperlink" Target="https://drive.google.com/open?id=1Y_QzlCZhWrboyRNdbSArYQtARtyEwo5A" TargetMode="External"/><Relationship Id="rId1217" Type="http://schemas.openxmlformats.org/officeDocument/2006/relationships/hyperlink" Target="https://drive.google.com/open?id=1XYELkk9hhc-ZUcVhi1i7iXuEDI80zcoG" TargetMode="External"/><Relationship Id="rId1218" Type="http://schemas.openxmlformats.org/officeDocument/2006/relationships/hyperlink" Target="https://drive.google.com/open?id=1EocVnEM9sP_w7DoBDygmQvxjO9-2YpFL" TargetMode="External"/><Relationship Id="rId1219" Type="http://schemas.openxmlformats.org/officeDocument/2006/relationships/hyperlink" Target="https://drive.google.com/open?id=1-BdXQbkyt0RmGAEsTOC7ZoBj8xF4SQ5V" TargetMode="External"/><Relationship Id="rId866" Type="http://schemas.openxmlformats.org/officeDocument/2006/relationships/hyperlink" Target="https://drive.google.com/open?id=1cr5DGy03nmFmZFMxy1SU8HLUYkTAtxEu" TargetMode="External"/><Relationship Id="rId865" Type="http://schemas.openxmlformats.org/officeDocument/2006/relationships/hyperlink" Target="https://drive.google.com/open?id=1ULzhn86Os22MLlFB0nnAUp6trn1SlqXA" TargetMode="External"/><Relationship Id="rId864" Type="http://schemas.openxmlformats.org/officeDocument/2006/relationships/hyperlink" Target="https://drive.google.com/open?id=10vYy2yRzwiezw6ByqFwZcrerK8gpogGu" TargetMode="External"/><Relationship Id="rId863" Type="http://schemas.openxmlformats.org/officeDocument/2006/relationships/hyperlink" Target="https://drive.google.com/open?id=17Sl_rQ_ag42spqyJh38eNM10mb_mPENE" TargetMode="External"/><Relationship Id="rId869" Type="http://schemas.openxmlformats.org/officeDocument/2006/relationships/hyperlink" Target="https://drive.google.com/open?id=1vinEl0B5tg4rSvGazB6MyvSNVNZm97dS" TargetMode="External"/><Relationship Id="rId868" Type="http://schemas.openxmlformats.org/officeDocument/2006/relationships/hyperlink" Target="https://drive.google.com/open?id=1czIzAGfCjQHXOg3WrEvdsBQ0ELMRPG0z" TargetMode="External"/><Relationship Id="rId867" Type="http://schemas.openxmlformats.org/officeDocument/2006/relationships/hyperlink" Target="https://drive.google.com/open?id=1_7V9WKQdECrYmJ4B1k45Qyokl2hvYj3d" TargetMode="External"/><Relationship Id="rId1690" Type="http://schemas.openxmlformats.org/officeDocument/2006/relationships/hyperlink" Target="https://drive.google.com/open?id=11j1wmX0IaP8KIa1h9ZWHanB_F2hPD9BL" TargetMode="External"/><Relationship Id="rId1691" Type="http://schemas.openxmlformats.org/officeDocument/2006/relationships/hyperlink" Target="https://drive.google.com/open?id=1qQrBBIjTQ5_A73IKKdqZ5cwpAmWCLBBQ" TargetMode="External"/><Relationship Id="rId1692" Type="http://schemas.openxmlformats.org/officeDocument/2006/relationships/hyperlink" Target="https://drive.google.com/open?id=11Yr00awhekJWyJReeYvh1NlmiHqaoqKa" TargetMode="External"/><Relationship Id="rId862" Type="http://schemas.openxmlformats.org/officeDocument/2006/relationships/hyperlink" Target="https://drive.google.com/open?id=1zlp-hU7vPBWUBXOs7s5t0l2yaDufQLfH" TargetMode="External"/><Relationship Id="rId1693" Type="http://schemas.openxmlformats.org/officeDocument/2006/relationships/hyperlink" Target="https://drive.google.com/open?id=1BrwPZJpdj_zr1Y1gIbSGdni_2A3ZG63c" TargetMode="External"/><Relationship Id="rId861" Type="http://schemas.openxmlformats.org/officeDocument/2006/relationships/hyperlink" Target="https://drive.google.com/open?id=1mxzJH-OG4In_VvdEQaVkfMt6-qVrqc3K" TargetMode="External"/><Relationship Id="rId1210" Type="http://schemas.openxmlformats.org/officeDocument/2006/relationships/hyperlink" Target="https://drive.google.com/open?id=1G7oXudX-OxKPsHjZDrVBGTGNFv-4Usj-" TargetMode="External"/><Relationship Id="rId1694" Type="http://schemas.openxmlformats.org/officeDocument/2006/relationships/hyperlink" Target="https://drive.google.com/open?id=1bH8zQ5acU9nPJ-xJ2alrzoUH6ObSrYy8" TargetMode="External"/><Relationship Id="rId860" Type="http://schemas.openxmlformats.org/officeDocument/2006/relationships/hyperlink" Target="https://drive.google.com/open?id=1VIjxi_MlNnA9ugQx67YvTGsEQC5oDd4y" TargetMode="External"/><Relationship Id="rId1211" Type="http://schemas.openxmlformats.org/officeDocument/2006/relationships/hyperlink" Target="https://drive.google.com/open?id=1ue-ux8Cpjtu4KvYKQh2r03W6M6lNHp9b" TargetMode="External"/><Relationship Id="rId1695" Type="http://schemas.openxmlformats.org/officeDocument/2006/relationships/hyperlink" Target="https://drive.google.com/open?id=1JAoDwmnzPFw-zU_fntozDvZkGLVIFGbj" TargetMode="External"/><Relationship Id="rId1212" Type="http://schemas.openxmlformats.org/officeDocument/2006/relationships/hyperlink" Target="https://drive.google.com/open?id=12qsknqS2SNHy_xr2hKOg16otFzDmHOej" TargetMode="External"/><Relationship Id="rId1696" Type="http://schemas.openxmlformats.org/officeDocument/2006/relationships/hyperlink" Target="https://drive.google.com/open?id=1Ny0VLYR0CDgn-uprceUHcUb_NGbosR2W" TargetMode="External"/><Relationship Id="rId1202" Type="http://schemas.openxmlformats.org/officeDocument/2006/relationships/hyperlink" Target="https://drive.google.com/open?id=1ZzOJB7gPzVFItugqFdfXUyyoEf5kS1iM" TargetMode="External"/><Relationship Id="rId1686" Type="http://schemas.openxmlformats.org/officeDocument/2006/relationships/hyperlink" Target="https://drive.google.com/open?id=1gRdBTQlN2B61vp5L2gA37X8ib7oSX0W8" TargetMode="External"/><Relationship Id="rId1203" Type="http://schemas.openxmlformats.org/officeDocument/2006/relationships/hyperlink" Target="https://drive.google.com/open?id=1iknMzwGXmQK4AjJuE47wqGZX-b9iZ9eB" TargetMode="External"/><Relationship Id="rId1687" Type="http://schemas.openxmlformats.org/officeDocument/2006/relationships/hyperlink" Target="https://drive.google.com/open?id=1pfWqDJLjLheo29usiOYkZJorrLW4uIrq" TargetMode="External"/><Relationship Id="rId1204" Type="http://schemas.openxmlformats.org/officeDocument/2006/relationships/hyperlink" Target="https://drive.google.com/open?id=1JdaAHZMpaiOEBJk8YegcdwRle6ViSNQL" TargetMode="External"/><Relationship Id="rId1688" Type="http://schemas.openxmlformats.org/officeDocument/2006/relationships/hyperlink" Target="https://drive.google.com/open?id=1WBGDIMDiUftNhfauKWKCk4zAG4jaywOt" TargetMode="External"/><Relationship Id="rId1205" Type="http://schemas.openxmlformats.org/officeDocument/2006/relationships/hyperlink" Target="https://drive.google.com/open?id=1QdHNOiPVj8VbxmJwJr5g0vWju7LHVDGL" TargetMode="External"/><Relationship Id="rId1689" Type="http://schemas.openxmlformats.org/officeDocument/2006/relationships/hyperlink" Target="https://drive.google.com/open?id=18_z_55vUm59BNVFX0AAHdZpVLNGkVsUH" TargetMode="External"/><Relationship Id="rId1206" Type="http://schemas.openxmlformats.org/officeDocument/2006/relationships/hyperlink" Target="https://drive.google.com/open?id=1SjHMHOe0DQRWBFdxWh6mbrYP55CWn60c" TargetMode="External"/><Relationship Id="rId1207" Type="http://schemas.openxmlformats.org/officeDocument/2006/relationships/hyperlink" Target="https://drive.google.com/open?id=1MeCQFws3kHbDNKD1slhG6uGNnQAa8LWv" TargetMode="External"/><Relationship Id="rId1208" Type="http://schemas.openxmlformats.org/officeDocument/2006/relationships/hyperlink" Target="https://drive.google.com/open?id=1oRb3f5nCfV0tvHRewwqOTRCJYRS4RaLg" TargetMode="External"/><Relationship Id="rId1209" Type="http://schemas.openxmlformats.org/officeDocument/2006/relationships/hyperlink" Target="https://drive.google.com/open?id=1CpvKw_3hknGMUxhnCIsJD79inwFJJbbx" TargetMode="External"/><Relationship Id="rId855" Type="http://schemas.openxmlformats.org/officeDocument/2006/relationships/hyperlink" Target="https://drive.google.com/open?id=1kXrytMYKsJLrS-3i_-DaB6hKP07r6KbC" TargetMode="External"/><Relationship Id="rId854" Type="http://schemas.openxmlformats.org/officeDocument/2006/relationships/hyperlink" Target="https://drive.google.com/open?id=1yOJySaImIeqzV8zvtN7zLCZ8rTzC6P4y" TargetMode="External"/><Relationship Id="rId853" Type="http://schemas.openxmlformats.org/officeDocument/2006/relationships/hyperlink" Target="https://drive.google.com/open?id=1NXOPsyh955aIGZjzTRRVIr0FWUw4rpis" TargetMode="External"/><Relationship Id="rId852" Type="http://schemas.openxmlformats.org/officeDocument/2006/relationships/hyperlink" Target="https://drive.google.com/open?id=1ML-AQBPz_j8-clf9teLqwOuIGI7Dcpfg" TargetMode="External"/><Relationship Id="rId859" Type="http://schemas.openxmlformats.org/officeDocument/2006/relationships/hyperlink" Target="https://drive.google.com/open?id=1AJghTvCvOYf2111qo8ySsjxTH-es7gtq" TargetMode="External"/><Relationship Id="rId858" Type="http://schemas.openxmlformats.org/officeDocument/2006/relationships/hyperlink" Target="https://drive.google.com/open?id=1yt2Df3VcW_0AB69NaxXNmKcQZRhjv1TI" TargetMode="External"/><Relationship Id="rId857" Type="http://schemas.openxmlformats.org/officeDocument/2006/relationships/hyperlink" Target="https://drive.google.com/open?id=1g38x1n1M60apvsFzB3wZCCoaSepNDmv9" TargetMode="External"/><Relationship Id="rId856" Type="http://schemas.openxmlformats.org/officeDocument/2006/relationships/hyperlink" Target="https://drive.google.com/open?id=1NiIHfvJgm5gpPCpKbnhOuxmv4ZnfWpQW" TargetMode="External"/><Relationship Id="rId1680" Type="http://schemas.openxmlformats.org/officeDocument/2006/relationships/hyperlink" Target="https://drive.google.com/open?id=1-4I2cGvtnyMk1_JeG4XTIY2HhUd7WhWd" TargetMode="External"/><Relationship Id="rId1681" Type="http://schemas.openxmlformats.org/officeDocument/2006/relationships/hyperlink" Target="https://drive.google.com/open?id=14PmjMSTaGSIaChxLY9297-K_PrqpTtSe" TargetMode="External"/><Relationship Id="rId851" Type="http://schemas.openxmlformats.org/officeDocument/2006/relationships/hyperlink" Target="https://drive.google.com/open?id=1pJnAHkwhsnPJtQBH37JAkhjqh901yg2r" TargetMode="External"/><Relationship Id="rId1682" Type="http://schemas.openxmlformats.org/officeDocument/2006/relationships/hyperlink" Target="https://drive.google.com/open?id=1oq9tnibGBhqk70e1y_umMEbVca3RVpNx" TargetMode="External"/><Relationship Id="rId850" Type="http://schemas.openxmlformats.org/officeDocument/2006/relationships/hyperlink" Target="https://drive.google.com/open?id=1d5VMkEdhOE6wUBXgCuli559i34T1JNFq" TargetMode="External"/><Relationship Id="rId1683" Type="http://schemas.openxmlformats.org/officeDocument/2006/relationships/hyperlink" Target="https://drive.google.com/open?id=14ji4HBXf412Dv2saBheMWgVE-_CBnkU9" TargetMode="External"/><Relationship Id="rId1200" Type="http://schemas.openxmlformats.org/officeDocument/2006/relationships/hyperlink" Target="https://drive.google.com/open?id=1XgvJ51Pkeyws4fvV5FhfV7xzcMjyJ3QH" TargetMode="External"/><Relationship Id="rId1684" Type="http://schemas.openxmlformats.org/officeDocument/2006/relationships/hyperlink" Target="https://drive.google.com/open?id=1ZkacYVurTqaypc4w905D6CCOjZ62NiiB" TargetMode="External"/><Relationship Id="rId1201" Type="http://schemas.openxmlformats.org/officeDocument/2006/relationships/hyperlink" Target="https://drive.google.com/open?id=1V2gvwEd88Ag2uVOdEOBGhdnPItnPHJBh" TargetMode="External"/><Relationship Id="rId1685" Type="http://schemas.openxmlformats.org/officeDocument/2006/relationships/hyperlink" Target="https://drive.google.com/open?id=1CQs5EO7lIY3nh7LXf1rjCJCBYHYmFNLP" TargetMode="External"/><Relationship Id="rId1235" Type="http://schemas.openxmlformats.org/officeDocument/2006/relationships/hyperlink" Target="https://drive.google.com/open?id=1MIAnbFe51yE4WqB_nOdiK7pMMQE5bTe7" TargetMode="External"/><Relationship Id="rId1236" Type="http://schemas.openxmlformats.org/officeDocument/2006/relationships/hyperlink" Target="https://drive.google.com/open?id=1ofFzj4EMnMxKmbbteDPXy2h0yhYH_ggR" TargetMode="External"/><Relationship Id="rId1237" Type="http://schemas.openxmlformats.org/officeDocument/2006/relationships/hyperlink" Target="https://drive.google.com/open?id=1RhvjdZan2Y7pOiUtb7Kc2957q8ZfKrn3" TargetMode="External"/><Relationship Id="rId1238" Type="http://schemas.openxmlformats.org/officeDocument/2006/relationships/hyperlink" Target="https://drive.google.com/open?id=1mPgH4Ti9QNwD0cJ6YxK72lRRrcYcrSWy" TargetMode="External"/><Relationship Id="rId1239" Type="http://schemas.openxmlformats.org/officeDocument/2006/relationships/hyperlink" Target="https://drive.google.com/open?id=11QIVXpKl8nmMhftEmPza2woDd24enh_5" TargetMode="External"/><Relationship Id="rId409" Type="http://schemas.openxmlformats.org/officeDocument/2006/relationships/hyperlink" Target="https://drive.google.com/open?id=1de7x2fVjRWzN06eIg7w4V41EJ0irYQnv" TargetMode="External"/><Relationship Id="rId404" Type="http://schemas.openxmlformats.org/officeDocument/2006/relationships/hyperlink" Target="https://drive.google.com/open?id=1Te42C1BjAkSS5lPVsAkrwzxRDe3HYG1t" TargetMode="External"/><Relationship Id="rId888" Type="http://schemas.openxmlformats.org/officeDocument/2006/relationships/hyperlink" Target="https://drive.google.com/open?id=1I10ymDocU9KshULXlkbs_MaLEpV-PeAS" TargetMode="External"/><Relationship Id="rId403" Type="http://schemas.openxmlformats.org/officeDocument/2006/relationships/hyperlink" Target="https://drive.google.com/open?id=1unNQDUrlO24WN9Qw-Oz_biIXQnl2FzTf" TargetMode="External"/><Relationship Id="rId887" Type="http://schemas.openxmlformats.org/officeDocument/2006/relationships/hyperlink" Target="https://drive.google.com/open?id=1YP4_waRixUhOZpsEhOc70FDSoErnVSsW" TargetMode="External"/><Relationship Id="rId402" Type="http://schemas.openxmlformats.org/officeDocument/2006/relationships/hyperlink" Target="https://drive.google.com/open?id=1LsdtgiAGWx7Vab0obt7ZLMgD7sa7LOIh" TargetMode="External"/><Relationship Id="rId886" Type="http://schemas.openxmlformats.org/officeDocument/2006/relationships/hyperlink" Target="https://drive.google.com/open?id=1r6kjgn0k81G9upoY_aZZXrU3VZdSNE-5" TargetMode="External"/><Relationship Id="rId401" Type="http://schemas.openxmlformats.org/officeDocument/2006/relationships/hyperlink" Target="https://drive.google.com/open?id=18TIirDTEcMvezXQ8kG1pGurYT2PnZ9xW" TargetMode="External"/><Relationship Id="rId885" Type="http://schemas.openxmlformats.org/officeDocument/2006/relationships/hyperlink" Target="https://drive.google.com/open?id=1qt7a5B2-6G4JsDP0xvOkYugdloNW3pP6" TargetMode="External"/><Relationship Id="rId408" Type="http://schemas.openxmlformats.org/officeDocument/2006/relationships/hyperlink" Target="https://drive.google.com/open?id=1YxvWo0-QXKLcKQzguE7dv8y65JIh9gKX" TargetMode="External"/><Relationship Id="rId407" Type="http://schemas.openxmlformats.org/officeDocument/2006/relationships/hyperlink" Target="https://drive.google.com/open?id=163j5j2XeooYEkwlKvEJ11gq6V3MU9zTa" TargetMode="External"/><Relationship Id="rId406" Type="http://schemas.openxmlformats.org/officeDocument/2006/relationships/hyperlink" Target="https://drive.google.com/open?id=1S_xIhpWCnipqO8l3vqfjrx7_gB06fmn1" TargetMode="External"/><Relationship Id="rId405" Type="http://schemas.openxmlformats.org/officeDocument/2006/relationships/hyperlink" Target="https://drive.google.com/open?id=12YJ5IMud9HHYs3B98G5gZFsYH0UVkzhJ" TargetMode="External"/><Relationship Id="rId889" Type="http://schemas.openxmlformats.org/officeDocument/2006/relationships/hyperlink" Target="https://drive.google.com/open?id=1Nd4eGUqv6sSL8MquViyInvt8UdolPuv1" TargetMode="External"/><Relationship Id="rId880" Type="http://schemas.openxmlformats.org/officeDocument/2006/relationships/hyperlink" Target="https://drive.google.com/open?id=1rFAppWC-72fQPrU4o8uPvGih8eD1oEDz" TargetMode="External"/><Relationship Id="rId1230" Type="http://schemas.openxmlformats.org/officeDocument/2006/relationships/hyperlink" Target="https://drive.google.com/open?id=1cm2cLKOBYM9aESCauWummU9vxVgExTmL" TargetMode="External"/><Relationship Id="rId400" Type="http://schemas.openxmlformats.org/officeDocument/2006/relationships/hyperlink" Target="https://drive.google.com/open?id=16y1iF3l2MA9mQJEl_Y8S7lqApti--mOm" TargetMode="External"/><Relationship Id="rId884" Type="http://schemas.openxmlformats.org/officeDocument/2006/relationships/hyperlink" Target="https://drive.google.com/open?id=1NSplG2ly1V3XE_WGlxIRc7GYvwZOmQk4" TargetMode="External"/><Relationship Id="rId1231" Type="http://schemas.openxmlformats.org/officeDocument/2006/relationships/hyperlink" Target="https://drive.google.com/open?id=1BHw8BjEpBXHUs5R3Kq_-7L745Lzd72vn" TargetMode="External"/><Relationship Id="rId883" Type="http://schemas.openxmlformats.org/officeDocument/2006/relationships/hyperlink" Target="https://drive.google.com/open?id=1u3NS11v0fvpPHhZMHMMRQxaGA8DySqfG" TargetMode="External"/><Relationship Id="rId1232" Type="http://schemas.openxmlformats.org/officeDocument/2006/relationships/hyperlink" Target="https://drive.google.com/open?id=1kH3l3zXCk_l_dXilXOLFRAaEw7gkjU75" TargetMode="External"/><Relationship Id="rId882" Type="http://schemas.openxmlformats.org/officeDocument/2006/relationships/hyperlink" Target="https://drive.google.com/open?id=1g0QXVO9noo4etUmIUP_oXpwHqMjRE4Bt" TargetMode="External"/><Relationship Id="rId1233" Type="http://schemas.openxmlformats.org/officeDocument/2006/relationships/hyperlink" Target="https://drive.google.com/open?id=1VAmVdk47HyNY2jpi1qugrLAwZlTr9mbA" TargetMode="External"/><Relationship Id="rId881" Type="http://schemas.openxmlformats.org/officeDocument/2006/relationships/hyperlink" Target="https://drive.google.com/open?id=1KvXPRrtHu5Ev8HODK-1xhlS1_HnHyN_5" TargetMode="External"/><Relationship Id="rId1234" Type="http://schemas.openxmlformats.org/officeDocument/2006/relationships/hyperlink" Target="https://drive.google.com/open?id=1hkrTRHP8Orig-lnkDNuGA2Pr-tRy5NC6" TargetMode="External"/><Relationship Id="rId1224" Type="http://schemas.openxmlformats.org/officeDocument/2006/relationships/hyperlink" Target="https://drive.google.com/open?id=129owwUH0VxCOTk4qz7qOEXMXyAdr4xqS" TargetMode="External"/><Relationship Id="rId1225" Type="http://schemas.openxmlformats.org/officeDocument/2006/relationships/hyperlink" Target="https://drive.google.com/open?id=1zITGvXqcKyJIeR_xEGYYSQnNsmJXWmO2" TargetMode="External"/><Relationship Id="rId1226" Type="http://schemas.openxmlformats.org/officeDocument/2006/relationships/hyperlink" Target="https://drive.google.com/open?id=1UAS6rtzj11Z0_SOi12EA_6cFFy9O-tnk" TargetMode="External"/><Relationship Id="rId1227" Type="http://schemas.openxmlformats.org/officeDocument/2006/relationships/hyperlink" Target="https://drive.google.com/open?id=1S1YUmxch96HphNIcefpawwLX_YicxyDV" TargetMode="External"/><Relationship Id="rId1228" Type="http://schemas.openxmlformats.org/officeDocument/2006/relationships/hyperlink" Target="https://drive.google.com/open?id=1RLbBR3-ZYduKSq4enoYaoAVpOOa2vTio" TargetMode="External"/><Relationship Id="rId1229" Type="http://schemas.openxmlformats.org/officeDocument/2006/relationships/hyperlink" Target="https://drive.google.com/open?id=1YyiymkYA8ZR0D3xZYhxefKHl59n0eyBK" TargetMode="External"/><Relationship Id="rId877" Type="http://schemas.openxmlformats.org/officeDocument/2006/relationships/hyperlink" Target="https://drive.google.com/open?id=10YCOw4UsW0uhFlhA-QSLmEDz3KUDJMRG" TargetMode="External"/><Relationship Id="rId876" Type="http://schemas.openxmlformats.org/officeDocument/2006/relationships/hyperlink" Target="https://drive.google.com/open?id=1nH8TaKBldh6ZDc0sW1vjSxEoDNNHr6gI" TargetMode="External"/><Relationship Id="rId875" Type="http://schemas.openxmlformats.org/officeDocument/2006/relationships/hyperlink" Target="https://drive.google.com/open?id=1Qc5AqfMve3ctBRZ_w3MfmS_ctS2EU0GC" TargetMode="External"/><Relationship Id="rId874" Type="http://schemas.openxmlformats.org/officeDocument/2006/relationships/hyperlink" Target="https://drive.google.com/open?id=1E8igZRSp5FI396jnkfTgwu5IJlHZfWol" TargetMode="External"/><Relationship Id="rId879" Type="http://schemas.openxmlformats.org/officeDocument/2006/relationships/hyperlink" Target="https://drive.google.com/open?id=1jXQvw4zGqm7fBrhjrUC98L7_ZuN9JyzH" TargetMode="External"/><Relationship Id="rId878" Type="http://schemas.openxmlformats.org/officeDocument/2006/relationships/hyperlink" Target="https://drive.google.com/open?id=1g1PPciummGlsJydx6Kye9TuF6hVVOtLV" TargetMode="External"/><Relationship Id="rId873" Type="http://schemas.openxmlformats.org/officeDocument/2006/relationships/hyperlink" Target="https://drive.google.com/open?id=1RW0cM3DT5GM0oQ8k3Q0cM-pY3Bkzk4xa" TargetMode="External"/><Relationship Id="rId1220" Type="http://schemas.openxmlformats.org/officeDocument/2006/relationships/hyperlink" Target="https://drive.google.com/open?id=1RZ0uCy-_nL0lmgck8ElNmvYXhR14G5m9" TargetMode="External"/><Relationship Id="rId872" Type="http://schemas.openxmlformats.org/officeDocument/2006/relationships/hyperlink" Target="https://drive.google.com/open?id=1VTe8G3ag7QW6ZX3AXCtEh60hSBycfJ4w" TargetMode="External"/><Relationship Id="rId1221" Type="http://schemas.openxmlformats.org/officeDocument/2006/relationships/hyperlink" Target="https://drive.google.com/open?id=1OqHB01rDg_5MztNpBhx4vizzIR3Mrrbb" TargetMode="External"/><Relationship Id="rId871" Type="http://schemas.openxmlformats.org/officeDocument/2006/relationships/hyperlink" Target="https://drive.google.com/open?id=1U4zNBqKNThAe54o7icr_2AYBW3oeP86E" TargetMode="External"/><Relationship Id="rId1222" Type="http://schemas.openxmlformats.org/officeDocument/2006/relationships/hyperlink" Target="https://drive.google.com/open?id=1hJwllbyWVtiJd0_j6718VVsiFLuqJUgO" TargetMode="External"/><Relationship Id="rId870" Type="http://schemas.openxmlformats.org/officeDocument/2006/relationships/hyperlink" Target="https://drive.google.com/open?id=1n51ksBrcJzu8FL6s0RaMBBoDHsOxzL4B" TargetMode="External"/><Relationship Id="rId1223" Type="http://schemas.openxmlformats.org/officeDocument/2006/relationships/hyperlink" Target="https://drive.google.com/open?id=1SjeF4xeORfw9S-CVAsjw1BuXZQYic78r" TargetMode="External"/><Relationship Id="rId1653" Type="http://schemas.openxmlformats.org/officeDocument/2006/relationships/hyperlink" Target="https://drive.google.com/open?id=1eU70EnVBAhaTZR2mdgO1XI9-HQxqetAN" TargetMode="External"/><Relationship Id="rId1654" Type="http://schemas.openxmlformats.org/officeDocument/2006/relationships/hyperlink" Target="https://drive.google.com/open?id=1paflOfQdeW0HYUJZwb_OpYzIzVjrjYdP" TargetMode="External"/><Relationship Id="rId1655" Type="http://schemas.openxmlformats.org/officeDocument/2006/relationships/hyperlink" Target="https://drive.google.com/open?id=1HDYnFSCSOaAgSKMgg8AAQK9BB0j3J0k6" TargetMode="External"/><Relationship Id="rId1656" Type="http://schemas.openxmlformats.org/officeDocument/2006/relationships/hyperlink" Target="https://drive.google.com/open?id=1snEOPbpl2j8wbo2kZMcELDwwBRnh-Bey" TargetMode="External"/><Relationship Id="rId1657" Type="http://schemas.openxmlformats.org/officeDocument/2006/relationships/hyperlink" Target="https://drive.google.com/open?id=1brfPSUg7sbiCqO9FsWqg9TWrZovHIO6D" TargetMode="External"/><Relationship Id="rId1658" Type="http://schemas.openxmlformats.org/officeDocument/2006/relationships/hyperlink" Target="https://drive.google.com/open?id=1EeG2EJ5A_SCrDfXnfGKz79dLF7x7UsAP" TargetMode="External"/><Relationship Id="rId1659" Type="http://schemas.openxmlformats.org/officeDocument/2006/relationships/hyperlink" Target="https://drive.google.com/open?id=1cXQ296uDPWLgML2NAznoI6xfa23P_AM9" TargetMode="External"/><Relationship Id="rId829" Type="http://schemas.openxmlformats.org/officeDocument/2006/relationships/hyperlink" Target="https://drive.google.com/open?id=1GUXYnrxGrBjKWI0LoOXMDiraPHF9jeui" TargetMode="External"/><Relationship Id="rId828" Type="http://schemas.openxmlformats.org/officeDocument/2006/relationships/hyperlink" Target="https://drive.google.com/open?id=1xIIq1nYwFHorwLkBW_zDqAC1A5tdIh8Q" TargetMode="External"/><Relationship Id="rId827" Type="http://schemas.openxmlformats.org/officeDocument/2006/relationships/hyperlink" Target="https://drive.google.com/open?id=1tZvwC6rzsQDCj5lbFaKWVh3P1rWKOafa" TargetMode="External"/><Relationship Id="rId822" Type="http://schemas.openxmlformats.org/officeDocument/2006/relationships/hyperlink" Target="https://drive.google.com/open?id=1h8NrepugU0ydNIsSDDJourgUc70hRnYH" TargetMode="External"/><Relationship Id="rId821" Type="http://schemas.openxmlformats.org/officeDocument/2006/relationships/hyperlink" Target="https://drive.google.com/open?id=1BH-PRg3x3i8kT7ptfZj5TSMnBWA5QRY1" TargetMode="External"/><Relationship Id="rId820" Type="http://schemas.openxmlformats.org/officeDocument/2006/relationships/hyperlink" Target="https://drive.google.com/open?id=1SJ77RbJvhha7Ixqu9_K1Mj891gesr6jJ" TargetMode="External"/><Relationship Id="rId826" Type="http://schemas.openxmlformats.org/officeDocument/2006/relationships/hyperlink" Target="https://drive.google.com/open?id=1Ug5t3VNci3uyoMfvLwu4DoJcudtXmz6n" TargetMode="External"/><Relationship Id="rId825" Type="http://schemas.openxmlformats.org/officeDocument/2006/relationships/hyperlink" Target="https://drive.google.com/open?id=1zIvJBF_xQ5S9qMEkM3UqEPmg3JTGPRFk" TargetMode="External"/><Relationship Id="rId824" Type="http://schemas.openxmlformats.org/officeDocument/2006/relationships/hyperlink" Target="https://drive.google.com/open?id=17tn4juU4_DUYU4WxjeD0_gQdnDwsFK4O" TargetMode="External"/><Relationship Id="rId823" Type="http://schemas.openxmlformats.org/officeDocument/2006/relationships/hyperlink" Target="https://drive.google.com/open?id=1Xf4evwkfBW0R1l-NdlxYWV8qBgHehXF5" TargetMode="External"/><Relationship Id="rId1650" Type="http://schemas.openxmlformats.org/officeDocument/2006/relationships/hyperlink" Target="https://drive.google.com/open?id=1ABPGUFZhR5Cq4KCDU7vGzx-0QyBObNz9" TargetMode="External"/><Relationship Id="rId1651" Type="http://schemas.openxmlformats.org/officeDocument/2006/relationships/hyperlink" Target="https://drive.google.com/open?id=17SD70zzxmpbRm7mVkPV4D36JyOf_2ru1" TargetMode="External"/><Relationship Id="rId1652" Type="http://schemas.openxmlformats.org/officeDocument/2006/relationships/hyperlink" Target="https://drive.google.com/open?id=1taX9Dra00xlb47uWajmdo51k0m97Is7Q" TargetMode="External"/><Relationship Id="rId1642" Type="http://schemas.openxmlformats.org/officeDocument/2006/relationships/hyperlink" Target="https://drive.google.com/open?id=1dJ9ABhLFZZY0fINtpQ-KcZL5Pd_zQEeB" TargetMode="External"/><Relationship Id="rId1643" Type="http://schemas.openxmlformats.org/officeDocument/2006/relationships/hyperlink" Target="https://drive.google.com/open?id=1GWF5p5wpP-ohlca0k7lNFp4ru0jMfG_i" TargetMode="External"/><Relationship Id="rId1644" Type="http://schemas.openxmlformats.org/officeDocument/2006/relationships/hyperlink" Target="https://drive.google.com/open?id=17BIqO0i4s8xisgjb8A4VuaPqEfh2Js4G" TargetMode="External"/><Relationship Id="rId1645" Type="http://schemas.openxmlformats.org/officeDocument/2006/relationships/hyperlink" Target="https://drive.google.com/open?id=1ouRGNBjjHGaP1LLm4rok9WQJhTp011So" TargetMode="External"/><Relationship Id="rId1646" Type="http://schemas.openxmlformats.org/officeDocument/2006/relationships/hyperlink" Target="https://drive.google.com/open?id=15RwwX6_KXxXLoRwvTt6wBbpQ_vZE6R1b" TargetMode="External"/><Relationship Id="rId1647" Type="http://schemas.openxmlformats.org/officeDocument/2006/relationships/hyperlink" Target="https://drive.google.com/open?id=1_45txGM6CLdtXy4xP8LAop5_rnW6kK0n" TargetMode="External"/><Relationship Id="rId1648" Type="http://schemas.openxmlformats.org/officeDocument/2006/relationships/hyperlink" Target="https://drive.google.com/open?id=1L8pSeS7cavXIWpKuEkmB31MABEG4iouJ" TargetMode="External"/><Relationship Id="rId1649" Type="http://schemas.openxmlformats.org/officeDocument/2006/relationships/hyperlink" Target="https://drive.google.com/open?id=1NHOakMHiPTu7d2Ll_foajsNzaSk9UZ6j" TargetMode="External"/><Relationship Id="rId819" Type="http://schemas.openxmlformats.org/officeDocument/2006/relationships/hyperlink" Target="https://drive.google.com/open?id=1icNJAJuu3Wy4ss4bug7-BgODwv2t1xhH" TargetMode="External"/><Relationship Id="rId818" Type="http://schemas.openxmlformats.org/officeDocument/2006/relationships/hyperlink" Target="https://drive.google.com/open?id=1KfBxR3zT_qNZ6b0gk50CYbmZIJNudz2s" TargetMode="External"/><Relationship Id="rId817" Type="http://schemas.openxmlformats.org/officeDocument/2006/relationships/hyperlink" Target="https://drive.google.com/open?id=1OcrvTBzPmFZ0bGCM7fryutUkjhGhJYh5" TargetMode="External"/><Relationship Id="rId816" Type="http://schemas.openxmlformats.org/officeDocument/2006/relationships/hyperlink" Target="https://drive.google.com/open?id=10E2Ll4SUAfNR9h_MRcegXemaUXhuQ-LK" TargetMode="External"/><Relationship Id="rId811" Type="http://schemas.openxmlformats.org/officeDocument/2006/relationships/hyperlink" Target="https://drive.google.com/open?id=1zl0FM32wwsGqc5vNeMZ_jEgkKuRia6S2" TargetMode="External"/><Relationship Id="rId810" Type="http://schemas.openxmlformats.org/officeDocument/2006/relationships/hyperlink" Target="https://drive.google.com/open?id=1oATV4z38uVsk4DRsCVGk1JQtK1jyN3h9" TargetMode="External"/><Relationship Id="rId815" Type="http://schemas.openxmlformats.org/officeDocument/2006/relationships/hyperlink" Target="https://drive.google.com/open?id=1EnSLOaNxEjnCT7OoDfIeiqBqy8uy1FsZ" TargetMode="External"/><Relationship Id="rId814" Type="http://schemas.openxmlformats.org/officeDocument/2006/relationships/hyperlink" Target="https://drive.google.com/open?id=1OD1v1NPhwpIGDw1egj5-f8gTMb_M7LZF" TargetMode="External"/><Relationship Id="rId813" Type="http://schemas.openxmlformats.org/officeDocument/2006/relationships/hyperlink" Target="https://drive.google.com/open?id=1rur1MIBRmakoHW0PG-WRkLUbz7xGtELk" TargetMode="External"/><Relationship Id="rId812" Type="http://schemas.openxmlformats.org/officeDocument/2006/relationships/hyperlink" Target="https://drive.google.com/open?id=1o8ldw801tLElIfAhRl2UosClrwPyDlUF" TargetMode="External"/><Relationship Id="rId1640" Type="http://schemas.openxmlformats.org/officeDocument/2006/relationships/hyperlink" Target="https://drive.google.com/open?id=1Y6eamjVYEjuTLoFmYhA6lNvefe8zs8aZ" TargetMode="External"/><Relationship Id="rId1641" Type="http://schemas.openxmlformats.org/officeDocument/2006/relationships/hyperlink" Target="https://drive.google.com/open?id=180RMSboh5lb4-TaHJXkYH_G822nzneaf" TargetMode="External"/><Relationship Id="rId1675" Type="http://schemas.openxmlformats.org/officeDocument/2006/relationships/hyperlink" Target="https://drive.google.com/open?id=1qkc_EZQAzldfdgLB9BxoMaMkqoZ2kq5I" TargetMode="External"/><Relationship Id="rId1676" Type="http://schemas.openxmlformats.org/officeDocument/2006/relationships/hyperlink" Target="https://drive.google.com/open?id=1fjE9hUv7n7KY7cn2YySF4Oe-svzeCpBE" TargetMode="External"/><Relationship Id="rId1677" Type="http://schemas.openxmlformats.org/officeDocument/2006/relationships/hyperlink" Target="https://drive.google.com/open?id=169px9XRUdCEehfRvUiJTyL7XauM-Puy1" TargetMode="External"/><Relationship Id="rId1678" Type="http://schemas.openxmlformats.org/officeDocument/2006/relationships/hyperlink" Target="https://drive.google.com/open?id=1uYKSQAmXqo10ywEkKWHpI9msvwPVJ_sF" TargetMode="External"/><Relationship Id="rId1679" Type="http://schemas.openxmlformats.org/officeDocument/2006/relationships/hyperlink" Target="https://drive.google.com/open?id=1vzifQ-bclZhSBUrlClgIkosqx3DxZLoh" TargetMode="External"/><Relationship Id="rId849" Type="http://schemas.openxmlformats.org/officeDocument/2006/relationships/hyperlink" Target="https://drive.google.com/open?id=1pMTutEHS8VT2lEPvgSLuKWua8eBbMpnz" TargetMode="External"/><Relationship Id="rId844" Type="http://schemas.openxmlformats.org/officeDocument/2006/relationships/hyperlink" Target="https://drive.google.com/open?id=1kI4PwakFQ2t4yeEjeLQQ1x8M8NSXTHlj" TargetMode="External"/><Relationship Id="rId843" Type="http://schemas.openxmlformats.org/officeDocument/2006/relationships/hyperlink" Target="https://drive.google.com/open?id=1lSazFEIzDqFFXObzM2CoBuKoIgGVlXCw" TargetMode="External"/><Relationship Id="rId842" Type="http://schemas.openxmlformats.org/officeDocument/2006/relationships/hyperlink" Target="https://drive.google.com/open?id=1NowfernrLisMsTjXwN2MTz0gb5_43kXk" TargetMode="External"/><Relationship Id="rId841" Type="http://schemas.openxmlformats.org/officeDocument/2006/relationships/hyperlink" Target="https://drive.google.com/open?id=1SU1986z5Bl7T2ntuXWAw2vduIF4Z19lT" TargetMode="External"/><Relationship Id="rId848" Type="http://schemas.openxmlformats.org/officeDocument/2006/relationships/hyperlink" Target="https://drive.google.com/open?id=1CraJr1Nid3rqoJ1bVL8eBdrZi1yQ-kpC" TargetMode="External"/><Relationship Id="rId847" Type="http://schemas.openxmlformats.org/officeDocument/2006/relationships/hyperlink" Target="https://drive.google.com/open?id=198sBy60ZJuhV2m216INIEmBsIzHPJOir" TargetMode="External"/><Relationship Id="rId846" Type="http://schemas.openxmlformats.org/officeDocument/2006/relationships/hyperlink" Target="https://drive.google.com/open?id=1LrTwKTVFOygHJ8gHCJ2OlPA3e0ySb62H" TargetMode="External"/><Relationship Id="rId845" Type="http://schemas.openxmlformats.org/officeDocument/2006/relationships/hyperlink" Target="https://drive.google.com/open?id=1paBUJfz_M4Gigm8Veby7U8NWn40KrzpW" TargetMode="External"/><Relationship Id="rId1670" Type="http://schemas.openxmlformats.org/officeDocument/2006/relationships/hyperlink" Target="https://drive.google.com/open?id=11cHTzUQ_PEmEj4fYMb0QjEAap5RgzF7-" TargetMode="External"/><Relationship Id="rId840" Type="http://schemas.openxmlformats.org/officeDocument/2006/relationships/hyperlink" Target="https://drive.google.com/open?id=1RqkczE9AyMhEK147VBBtVh5cSdIieWKN" TargetMode="External"/><Relationship Id="rId1671" Type="http://schemas.openxmlformats.org/officeDocument/2006/relationships/hyperlink" Target="https://drive.google.com/open?id=1lUm9lxeXywj7bYU5X1CV0zf90bM5touW" TargetMode="External"/><Relationship Id="rId1672" Type="http://schemas.openxmlformats.org/officeDocument/2006/relationships/hyperlink" Target="https://drive.google.com/open?id=1SAT71BD-gy7IA8C7KRsiXw8vaz2OBhnC" TargetMode="External"/><Relationship Id="rId1673" Type="http://schemas.openxmlformats.org/officeDocument/2006/relationships/hyperlink" Target="https://drive.google.com/open?id=1bBYODdW8o8YfBO7EGqmSkkCJooh7WEC6" TargetMode="External"/><Relationship Id="rId1674" Type="http://schemas.openxmlformats.org/officeDocument/2006/relationships/hyperlink" Target="https://drive.google.com/open?id=13AYnhq7pjbtpAWpYbU4qmDvK6Cjn8KQY" TargetMode="External"/><Relationship Id="rId1664" Type="http://schemas.openxmlformats.org/officeDocument/2006/relationships/hyperlink" Target="https://drive.google.com/open?id=1nrenQkmvYHNnITKTHhsFeAgIUo-pH60w" TargetMode="External"/><Relationship Id="rId1665" Type="http://schemas.openxmlformats.org/officeDocument/2006/relationships/hyperlink" Target="https://drive.google.com/open?id=1ttjoVdEy9gXWqPmg_VAfMuPROMfHHC-U" TargetMode="External"/><Relationship Id="rId1666" Type="http://schemas.openxmlformats.org/officeDocument/2006/relationships/hyperlink" Target="https://drive.google.com/open?id=1iP8kajmr7HJfr_E5Dmwya35s2VvpktM0" TargetMode="External"/><Relationship Id="rId1667" Type="http://schemas.openxmlformats.org/officeDocument/2006/relationships/hyperlink" Target="https://drive.google.com/open?id=1pt98CLmy0IZQP7OYCI2MpGUy51iodIuy" TargetMode="External"/><Relationship Id="rId1668" Type="http://schemas.openxmlformats.org/officeDocument/2006/relationships/hyperlink" Target="https://drive.google.com/open?id=1n1__JVu-uyEyBcDmEDMsx6J1WQO-mqq0" TargetMode="External"/><Relationship Id="rId1669" Type="http://schemas.openxmlformats.org/officeDocument/2006/relationships/hyperlink" Target="https://drive.google.com/open?id=1_n269z69t17QBraObeoGdWWurvdJ69V7" TargetMode="External"/><Relationship Id="rId839" Type="http://schemas.openxmlformats.org/officeDocument/2006/relationships/hyperlink" Target="https://drive.google.com/open?id=1TZeRWDVvLRWDIxlmQfpSSmfVPpff27yt" TargetMode="External"/><Relationship Id="rId838" Type="http://schemas.openxmlformats.org/officeDocument/2006/relationships/hyperlink" Target="https://drive.google.com/open?id=16U575sMRpFQYinxQDwYYXgmIvOKTrbCr" TargetMode="External"/><Relationship Id="rId833" Type="http://schemas.openxmlformats.org/officeDocument/2006/relationships/hyperlink" Target="https://drive.google.com/open?id=1jQmw3Ie7xSNvHnUNz9e96ERK-Ud-Slz5" TargetMode="External"/><Relationship Id="rId832" Type="http://schemas.openxmlformats.org/officeDocument/2006/relationships/hyperlink" Target="https://drive.google.com/open?id=1cSM7x8o4W_E3LFnpiS_Jm2WLq9tnhRZ2" TargetMode="External"/><Relationship Id="rId831" Type="http://schemas.openxmlformats.org/officeDocument/2006/relationships/hyperlink" Target="https://drive.google.com/open?id=1RKfLsFt74vnUJHLq7UFknSc1hSnykayV" TargetMode="External"/><Relationship Id="rId830" Type="http://schemas.openxmlformats.org/officeDocument/2006/relationships/hyperlink" Target="https://drive.google.com/open?id=1cxSMeC_FJlUsEbswkGYBB-f3dR41ySBU" TargetMode="External"/><Relationship Id="rId837" Type="http://schemas.openxmlformats.org/officeDocument/2006/relationships/hyperlink" Target="https://drive.google.com/open?id=1xnS1kpvZ4yuMLZLTiAlOP-A_y-Vyza1i" TargetMode="External"/><Relationship Id="rId836" Type="http://schemas.openxmlformats.org/officeDocument/2006/relationships/hyperlink" Target="https://drive.google.com/open?id=1Dzn2hpi1Qp9w0A9xUJxLMx6IhlI2QGuk" TargetMode="External"/><Relationship Id="rId835" Type="http://schemas.openxmlformats.org/officeDocument/2006/relationships/hyperlink" Target="https://drive.google.com/open?id=1vKa_n_oyI4AoCh9UTGclxRUxxe2U_WzG" TargetMode="External"/><Relationship Id="rId834" Type="http://schemas.openxmlformats.org/officeDocument/2006/relationships/hyperlink" Target="https://drive.google.com/open?id=1XJ6SeZ_hy3OjpGyqWE0RO2fvlFNqQ9wb" TargetMode="External"/><Relationship Id="rId1660" Type="http://schemas.openxmlformats.org/officeDocument/2006/relationships/hyperlink" Target="https://drive.google.com/open?id=1fxsbZo3r5a0GpNs574f58pv05l1YLK1o" TargetMode="External"/><Relationship Id="rId1661" Type="http://schemas.openxmlformats.org/officeDocument/2006/relationships/hyperlink" Target="https://drive.google.com/open?id=1EAN0q6ovuitM-sw5J_yuweXnwwizmNJZ" TargetMode="External"/><Relationship Id="rId1662" Type="http://schemas.openxmlformats.org/officeDocument/2006/relationships/hyperlink" Target="https://drive.google.com/open?id=1BaCJd_H-1DAYUg4AfvjdtnF26UnFACPG" TargetMode="External"/><Relationship Id="rId1663" Type="http://schemas.openxmlformats.org/officeDocument/2006/relationships/hyperlink" Target="https://drive.google.com/open?id=1nwQkso_RNFNm-bV_8ziNMYxXJSjt5IJW" TargetMode="External"/><Relationship Id="rId469" Type="http://schemas.openxmlformats.org/officeDocument/2006/relationships/hyperlink" Target="https://drive.google.com/open?id=1GYGDiZixLyORKX67jOnV6DN7WueVpLsm" TargetMode="External"/><Relationship Id="rId468" Type="http://schemas.openxmlformats.org/officeDocument/2006/relationships/hyperlink" Target="https://drive.google.com/open?id=1zWfCKVgNCwM-_UZ2Ju37CgfKQENuNThd" TargetMode="External"/><Relationship Id="rId467" Type="http://schemas.openxmlformats.org/officeDocument/2006/relationships/hyperlink" Target="https://drive.google.com/open?id=1Lku-n1N6xKb4YeQ2ISDrulg3EnW8yOlb" TargetMode="External"/><Relationship Id="rId1290" Type="http://schemas.openxmlformats.org/officeDocument/2006/relationships/hyperlink" Target="https://drive.google.com/open?id=1R-0tk38P5_l0xf4FOfM7kOkcGZHOhmeV" TargetMode="External"/><Relationship Id="rId1291" Type="http://schemas.openxmlformats.org/officeDocument/2006/relationships/hyperlink" Target="https://drive.google.com/open?id=1kXYAnzUso7TTIHXPd9lyRpdzk2qnZDMY" TargetMode="External"/><Relationship Id="rId1292" Type="http://schemas.openxmlformats.org/officeDocument/2006/relationships/hyperlink" Target="https://drive.google.com/open?id=1mXIiBi4y3Q6cPsF07qC3Th9jyDrqBH-t" TargetMode="External"/><Relationship Id="rId462" Type="http://schemas.openxmlformats.org/officeDocument/2006/relationships/hyperlink" Target="https://drive.google.com/open?id=1I6zZ9K06c1wCT1L431NBOjkohm3g5IhF" TargetMode="External"/><Relationship Id="rId1293" Type="http://schemas.openxmlformats.org/officeDocument/2006/relationships/hyperlink" Target="https://drive.google.com/open?id=167tgrvmCh3hEx8XaP2uVawLDnJXgjKzU" TargetMode="External"/><Relationship Id="rId461" Type="http://schemas.openxmlformats.org/officeDocument/2006/relationships/hyperlink" Target="https://drive.google.com/open?id=1TUDXE9LzcTF8LfMkXxNqJqzwyfWVxVjM" TargetMode="External"/><Relationship Id="rId1294" Type="http://schemas.openxmlformats.org/officeDocument/2006/relationships/hyperlink" Target="https://drive.google.com/open?id=1v1yUcMpygMbM9fjEZqO6HrE7Awotg5LP" TargetMode="External"/><Relationship Id="rId460" Type="http://schemas.openxmlformats.org/officeDocument/2006/relationships/hyperlink" Target="https://drive.google.com/open?id=1B0HiC2xPJwhIF3MC1nGrmuBGAsKXTckG" TargetMode="External"/><Relationship Id="rId1295" Type="http://schemas.openxmlformats.org/officeDocument/2006/relationships/hyperlink" Target="https://drive.google.com/open?id=1J9lJcBtyeEyEQnOt6SpZTHFVaR-J4SFO" TargetMode="External"/><Relationship Id="rId1296" Type="http://schemas.openxmlformats.org/officeDocument/2006/relationships/hyperlink" Target="https://drive.google.com/open?id=1sZRpzPyiH0qExz1QzqXGX5rOrZP1-0sV" TargetMode="External"/><Relationship Id="rId466" Type="http://schemas.openxmlformats.org/officeDocument/2006/relationships/hyperlink" Target="https://drive.google.com/open?id=1iix9taZqOSqzBb3UlKmCC1uecq-qn_xj" TargetMode="External"/><Relationship Id="rId1297" Type="http://schemas.openxmlformats.org/officeDocument/2006/relationships/hyperlink" Target="https://drive.google.com/open?id=1mGcJmtdKI0e6tX0ijKwkoEth9z6r1EpZ" TargetMode="External"/><Relationship Id="rId465" Type="http://schemas.openxmlformats.org/officeDocument/2006/relationships/hyperlink" Target="https://drive.google.com/open?id=1kQAU-tOs-0tvu_Vylj2B4e_FYdYkkup4" TargetMode="External"/><Relationship Id="rId1298" Type="http://schemas.openxmlformats.org/officeDocument/2006/relationships/hyperlink" Target="https://drive.google.com/open?id=1W1pFFSrqS6-eeHjQR7iDVnkyi9L-7R60" TargetMode="External"/><Relationship Id="rId464" Type="http://schemas.openxmlformats.org/officeDocument/2006/relationships/hyperlink" Target="https://drive.google.com/open?id=1bJOZk-Z-twZuGoL4UVAoKmqU_iTREof7" TargetMode="External"/><Relationship Id="rId1299" Type="http://schemas.openxmlformats.org/officeDocument/2006/relationships/hyperlink" Target="https://drive.google.com/open?id=13c7eutRTZ8_H73FZU26Xvs9uZjst_J1b" TargetMode="External"/><Relationship Id="rId463" Type="http://schemas.openxmlformats.org/officeDocument/2006/relationships/hyperlink" Target="https://drive.google.com/open?id=1T_NXKMeQmB7MiH4olcxYiiU7HYwI_m2z" TargetMode="External"/><Relationship Id="rId459" Type="http://schemas.openxmlformats.org/officeDocument/2006/relationships/hyperlink" Target="https://drive.google.com/open?id=1WUmGmLGyf8ZbZCJ8S4Y5ZUMjDsGOZsFK" TargetMode="External"/><Relationship Id="rId458" Type="http://schemas.openxmlformats.org/officeDocument/2006/relationships/hyperlink" Target="https://drive.google.com/open?id=1rRH2ZCJXnOgm37WwXkGf_PG02fe6BEU5" TargetMode="External"/><Relationship Id="rId457" Type="http://schemas.openxmlformats.org/officeDocument/2006/relationships/hyperlink" Target="https://drive.google.com/open?id=119hO-WqLyV7FzJ2-_hIX5dSvmZUDHsU-" TargetMode="External"/><Relationship Id="rId456" Type="http://schemas.openxmlformats.org/officeDocument/2006/relationships/hyperlink" Target="https://drive.google.com/open?id=1Oa6VnPsSdeAhKvr7XSPH2ZBfnjOkfsDN" TargetMode="External"/><Relationship Id="rId1280" Type="http://schemas.openxmlformats.org/officeDocument/2006/relationships/hyperlink" Target="https://drive.google.com/open?id=12fXXsfku9UdAKNCQML7Fn_5p4BblfZb7" TargetMode="External"/><Relationship Id="rId1281" Type="http://schemas.openxmlformats.org/officeDocument/2006/relationships/hyperlink" Target="https://drive.google.com/open?id=1mk3sRRKl-NEUYwVS9X0-xDctCGhfWIYG" TargetMode="External"/><Relationship Id="rId451" Type="http://schemas.openxmlformats.org/officeDocument/2006/relationships/hyperlink" Target="https://drive.google.com/open?id=1cyFS3Sp1zfHCceCD48s7AXEP-jYbJ1bb" TargetMode="External"/><Relationship Id="rId1282" Type="http://schemas.openxmlformats.org/officeDocument/2006/relationships/hyperlink" Target="https://drive.google.com/open?id=1G9rmmn-ZjZBxHhNYW_omxjVG_QBcI_y9" TargetMode="External"/><Relationship Id="rId450" Type="http://schemas.openxmlformats.org/officeDocument/2006/relationships/hyperlink" Target="https://drive.google.com/open?id=15KfSnOojoq7cgldAyhisNnYZCXghX_TB" TargetMode="External"/><Relationship Id="rId1283" Type="http://schemas.openxmlformats.org/officeDocument/2006/relationships/hyperlink" Target="https://drive.google.com/open?id=1BCybOknEJvySE0t-MqPzPrrz4WwQyfn3" TargetMode="External"/><Relationship Id="rId1284" Type="http://schemas.openxmlformats.org/officeDocument/2006/relationships/hyperlink" Target="https://drive.google.com/open?id=13vbAKJbvhDJ6pI6nKJRAmlH_tsahWg6w" TargetMode="External"/><Relationship Id="rId1285" Type="http://schemas.openxmlformats.org/officeDocument/2006/relationships/hyperlink" Target="https://drive.google.com/open?id=1SZ7q6TCEa0VsKasa8wOV0mMbNZPpNCAc" TargetMode="External"/><Relationship Id="rId455" Type="http://schemas.openxmlformats.org/officeDocument/2006/relationships/hyperlink" Target="https://drive.google.com/open?id=1a89jgZ_mpPNAvxA-fn3pEpDnpQyYxyZM" TargetMode="External"/><Relationship Id="rId1286" Type="http://schemas.openxmlformats.org/officeDocument/2006/relationships/hyperlink" Target="https://drive.google.com/open?id=1BvJG3U0KECbQUfsMfSh39YPp73Wk0vZh" TargetMode="External"/><Relationship Id="rId454" Type="http://schemas.openxmlformats.org/officeDocument/2006/relationships/hyperlink" Target="https://drive.google.com/open?id=1tDOHp__OtFWbzJDmUCm6oh-7tDAAm6WE" TargetMode="External"/><Relationship Id="rId1287" Type="http://schemas.openxmlformats.org/officeDocument/2006/relationships/hyperlink" Target="https://drive.google.com/open?id=1E9S8Bj0oVmoqnIhlfxaSKc1SO9r8QuvN" TargetMode="External"/><Relationship Id="rId453" Type="http://schemas.openxmlformats.org/officeDocument/2006/relationships/hyperlink" Target="https://drive.google.com/open?id=19jrZAI10BQmb-sfpxY5DRbl_KKgFEZOd" TargetMode="External"/><Relationship Id="rId1288" Type="http://schemas.openxmlformats.org/officeDocument/2006/relationships/hyperlink" Target="https://drive.google.com/open?id=1r6NmrvkSajV7TPwAUetBluDAhQ8b7kTZ" TargetMode="External"/><Relationship Id="rId452" Type="http://schemas.openxmlformats.org/officeDocument/2006/relationships/hyperlink" Target="https://drive.google.com/open?id=1h9mBg40srAoiXjTsWHdo3xEaW2L5sHlk" TargetMode="External"/><Relationship Id="rId1289" Type="http://schemas.openxmlformats.org/officeDocument/2006/relationships/hyperlink" Target="https://drive.google.com/open?id=1uPpc4heA-EIK7rzabSlGhnvGQL5O_O3D" TargetMode="External"/><Relationship Id="rId491" Type="http://schemas.openxmlformats.org/officeDocument/2006/relationships/hyperlink" Target="https://drive.google.com/open?id=1oKlHFLgb197iFG06xERQ80MBgMyQFlCO" TargetMode="External"/><Relationship Id="rId490" Type="http://schemas.openxmlformats.org/officeDocument/2006/relationships/hyperlink" Target="https://drive.google.com/open?id=15Pk_sGZWE6Flko1Wb2O2twwEnxSdKUX2" TargetMode="External"/><Relationship Id="rId489" Type="http://schemas.openxmlformats.org/officeDocument/2006/relationships/hyperlink" Target="https://drive.google.com/open?id=1bRPpbfZ6VF2nNspGaENIdFCxpIgOX3Wf" TargetMode="External"/><Relationship Id="rId484" Type="http://schemas.openxmlformats.org/officeDocument/2006/relationships/hyperlink" Target="https://drive.google.com/open?id=182CeUHgul8js2A2Xhtd4IrhsNNqCMqVI" TargetMode="External"/><Relationship Id="rId483" Type="http://schemas.openxmlformats.org/officeDocument/2006/relationships/hyperlink" Target="https://drive.google.com/open?id=1l9MmNe4Fq8SyQw1-9vTljhFxhOoq0gf_" TargetMode="External"/><Relationship Id="rId482" Type="http://schemas.openxmlformats.org/officeDocument/2006/relationships/hyperlink" Target="https://drive.google.com/open?id=1buShck1TZ1p1G5nDkhqST59D4U3bZYLH" TargetMode="External"/><Relationship Id="rId481" Type="http://schemas.openxmlformats.org/officeDocument/2006/relationships/hyperlink" Target="https://drive.google.com/open?id=1stKWQG_enFOYdDbP2puflITk4RHtpwWk" TargetMode="External"/><Relationship Id="rId488" Type="http://schemas.openxmlformats.org/officeDocument/2006/relationships/hyperlink" Target="https://drive.google.com/open?id=1G-l2_HdaTZMDsWqoGZ4rN5EPJbHtt5E_" TargetMode="External"/><Relationship Id="rId487" Type="http://schemas.openxmlformats.org/officeDocument/2006/relationships/hyperlink" Target="https://drive.google.com/open?id=1vqeGJy-iKtS4guA_6gnC5j3DBV2QdXDU" TargetMode="External"/><Relationship Id="rId486" Type="http://schemas.openxmlformats.org/officeDocument/2006/relationships/hyperlink" Target="https://drive.google.com/open?id=1AdnImYkBMQpTsxJI24rJgH5FhywglYup" TargetMode="External"/><Relationship Id="rId485" Type="http://schemas.openxmlformats.org/officeDocument/2006/relationships/hyperlink" Target="https://drive.google.com/open?id=1R4u3fohaTi7TEZxouCeFMmE0I7vah8Pd" TargetMode="External"/><Relationship Id="rId480" Type="http://schemas.openxmlformats.org/officeDocument/2006/relationships/hyperlink" Target="https://drive.google.com/open?id=1iaMcD70_naH6KRFWv5NG0ZCyOjxcUoAW" TargetMode="External"/><Relationship Id="rId479" Type="http://schemas.openxmlformats.org/officeDocument/2006/relationships/hyperlink" Target="https://drive.google.com/open?id=16Z5RdP2vQp6lMUtgglv2xjoJf6auni2F" TargetMode="External"/><Relationship Id="rId478" Type="http://schemas.openxmlformats.org/officeDocument/2006/relationships/hyperlink" Target="https://drive.google.com/open?id=18o0SK3peIRcyf0MCpt0WbB7IFzl3U_3J" TargetMode="External"/><Relationship Id="rId473" Type="http://schemas.openxmlformats.org/officeDocument/2006/relationships/hyperlink" Target="https://drive.google.com/open?id=1AmH3w3-44GU5sGNa3DzDod4lpkTUtORf" TargetMode="External"/><Relationship Id="rId472" Type="http://schemas.openxmlformats.org/officeDocument/2006/relationships/hyperlink" Target="https://drive.google.com/open?id=1nafLwFRJBG-q1nNRHwDX29EsbpCu0eL7" TargetMode="External"/><Relationship Id="rId471" Type="http://schemas.openxmlformats.org/officeDocument/2006/relationships/hyperlink" Target="https://drive.google.com/open?id=1woLJmmeh4K84uqSqrMp4r-wGbeA2Wlh2" TargetMode="External"/><Relationship Id="rId470" Type="http://schemas.openxmlformats.org/officeDocument/2006/relationships/hyperlink" Target="https://drive.google.com/open?id=165gm2cIFcNxj5zaOUv4C6bN2YlDlYYeR" TargetMode="External"/><Relationship Id="rId477" Type="http://schemas.openxmlformats.org/officeDocument/2006/relationships/hyperlink" Target="https://drive.google.com/open?id=1g4cAStMYWAGWLinDZd771nGBJDVj-ByV" TargetMode="External"/><Relationship Id="rId476" Type="http://schemas.openxmlformats.org/officeDocument/2006/relationships/hyperlink" Target="https://drive.google.com/open?id=1jiIJU8ZvyKMBVP_vkvOEkTVZRG6nYWi9" TargetMode="External"/><Relationship Id="rId475" Type="http://schemas.openxmlformats.org/officeDocument/2006/relationships/hyperlink" Target="https://drive.google.com/open?id=1jfXVxuerdSjvFtlEZeWYwfurTz0AqxaO" TargetMode="External"/><Relationship Id="rId474" Type="http://schemas.openxmlformats.org/officeDocument/2006/relationships/hyperlink" Target="https://drive.google.com/open?id=11kUcBBqKkglYBl2WjxBweseQQrqhNbiJ" TargetMode="External"/><Relationship Id="rId1257" Type="http://schemas.openxmlformats.org/officeDocument/2006/relationships/hyperlink" Target="https://drive.google.com/open?id=1wIUsSwoDG72g_RXHE58R2o9-qpLpNGTI" TargetMode="External"/><Relationship Id="rId1258" Type="http://schemas.openxmlformats.org/officeDocument/2006/relationships/hyperlink" Target="https://drive.google.com/open?id=1XDOI7CzEaovv5Qsf-9dR4dg-xTwYeyQS" TargetMode="External"/><Relationship Id="rId1259" Type="http://schemas.openxmlformats.org/officeDocument/2006/relationships/hyperlink" Target="https://drive.google.com/open?id=12W-4puaia8y5O-SVRl5fEYhkS4pnLs_z" TargetMode="External"/><Relationship Id="rId426" Type="http://schemas.openxmlformats.org/officeDocument/2006/relationships/hyperlink" Target="https://drive.google.com/open?id=1xj8sKmz3AYv0ZHoz3yUKwCxwhKOie9j4" TargetMode="External"/><Relationship Id="rId425" Type="http://schemas.openxmlformats.org/officeDocument/2006/relationships/hyperlink" Target="https://drive.google.com/open?id=1v0hWKNZmunFG-b1zOpH2nMicycDJXoC2" TargetMode="External"/><Relationship Id="rId424" Type="http://schemas.openxmlformats.org/officeDocument/2006/relationships/hyperlink" Target="https://drive.google.com/open?id=1HwOWXJMOaF_1InxGLgLG3n7bJEc8Wqoy" TargetMode="External"/><Relationship Id="rId423" Type="http://schemas.openxmlformats.org/officeDocument/2006/relationships/hyperlink" Target="https://drive.google.com/open?id=1QXxIknCStY1FADfkr_8n33MRValOUXhr" TargetMode="External"/><Relationship Id="rId429" Type="http://schemas.openxmlformats.org/officeDocument/2006/relationships/hyperlink" Target="https://drive.google.com/open?id=1StTaZaaV_ip8ZODPg62FDxhm_OrJUdMv" TargetMode="External"/><Relationship Id="rId428" Type="http://schemas.openxmlformats.org/officeDocument/2006/relationships/hyperlink" Target="https://drive.google.com/open?id=1P_kXvTodQgrAxLcYoHJL7hFzaXkWsdjp" TargetMode="External"/><Relationship Id="rId427" Type="http://schemas.openxmlformats.org/officeDocument/2006/relationships/hyperlink" Target="https://drive.google.com/open?id=1TzKAWwUItopmdVYKWq0Fxz3cBchc2C9s" TargetMode="External"/><Relationship Id="rId1250" Type="http://schemas.openxmlformats.org/officeDocument/2006/relationships/hyperlink" Target="https://drive.google.com/open?id=1By7g0uHquXG03VzrPEhz8G2ldN9jVbFx" TargetMode="External"/><Relationship Id="rId1251" Type="http://schemas.openxmlformats.org/officeDocument/2006/relationships/hyperlink" Target="https://drive.google.com/open?id=11SXHwZeXUzo1NM2pMLdOB3iDiz8RqLgK" TargetMode="External"/><Relationship Id="rId1252" Type="http://schemas.openxmlformats.org/officeDocument/2006/relationships/hyperlink" Target="https://drive.google.com/open?id=1QmNHfiGs8pjniPyzsr-2ekX1fmlSn0aF" TargetMode="External"/><Relationship Id="rId422" Type="http://schemas.openxmlformats.org/officeDocument/2006/relationships/hyperlink" Target="https://drive.google.com/open?id=1Btn5Fd1QtPh7OtnhdJFnojpZJ3vuU6is" TargetMode="External"/><Relationship Id="rId1253" Type="http://schemas.openxmlformats.org/officeDocument/2006/relationships/hyperlink" Target="https://drive.google.com/open?id=1RHTly3KtLA2VE2Eew85KS4z7m-fNtojh" TargetMode="External"/><Relationship Id="rId421" Type="http://schemas.openxmlformats.org/officeDocument/2006/relationships/hyperlink" Target="https://drive.google.com/open?id=1vT3ht79J_rL3R2Y6cNERNbj2zqtKCjbQ" TargetMode="External"/><Relationship Id="rId1254" Type="http://schemas.openxmlformats.org/officeDocument/2006/relationships/hyperlink" Target="https://drive.google.com/open?id=1Q2n0mXaKlUEeO5M795EX-jFEZ0xSWh68" TargetMode="External"/><Relationship Id="rId420" Type="http://schemas.openxmlformats.org/officeDocument/2006/relationships/hyperlink" Target="https://drive.google.com/open?id=1zpmm0W3UGpW7gPZdfB1tomu7zAu655rf" TargetMode="External"/><Relationship Id="rId1255" Type="http://schemas.openxmlformats.org/officeDocument/2006/relationships/hyperlink" Target="https://drive.google.com/open?id=1vab-aGCM7FyaC7Y0pEaAc_0XZ6-r0OzH" TargetMode="External"/><Relationship Id="rId1256" Type="http://schemas.openxmlformats.org/officeDocument/2006/relationships/hyperlink" Target="https://drive.google.com/open?id=10wwsgCxoHpJHdCKLzaeTEQSxgg5CNVE3" TargetMode="External"/><Relationship Id="rId1246" Type="http://schemas.openxmlformats.org/officeDocument/2006/relationships/hyperlink" Target="https://drive.google.com/open?id=1NK5yQFx1NfqHhPsGjrgTGh3Kgdt2-Owi" TargetMode="External"/><Relationship Id="rId1247" Type="http://schemas.openxmlformats.org/officeDocument/2006/relationships/hyperlink" Target="https://drive.google.com/open?id=1_SwjQy6YJw3vx9hnyqK5iHdh6LblHU1E" TargetMode="External"/><Relationship Id="rId1248" Type="http://schemas.openxmlformats.org/officeDocument/2006/relationships/hyperlink" Target="https://drive.google.com/open?id=1zlvEVLH_2mPBDTpuAweEV-SLJnBa-y4Q" TargetMode="External"/><Relationship Id="rId1249" Type="http://schemas.openxmlformats.org/officeDocument/2006/relationships/hyperlink" Target="https://drive.google.com/open?id=18iUj1k1QwIrc-Bv3OneC4hc1Ju8un5b3" TargetMode="External"/><Relationship Id="rId415" Type="http://schemas.openxmlformats.org/officeDocument/2006/relationships/hyperlink" Target="https://drive.google.com/open?id=1JaMGYAXjB8A_wX0xWqvSLF4SkKfTv8wQ" TargetMode="External"/><Relationship Id="rId899" Type="http://schemas.openxmlformats.org/officeDocument/2006/relationships/hyperlink" Target="https://drive.google.com/open?id=1mYUOK3K-F97GEKgt0CtUJvMCj1Ut9iVR" TargetMode="External"/><Relationship Id="rId414" Type="http://schemas.openxmlformats.org/officeDocument/2006/relationships/hyperlink" Target="https://drive.google.com/open?id=1D_K3ZQUUgJStHoH0_5tpdXyvMvpvv40N" TargetMode="External"/><Relationship Id="rId898" Type="http://schemas.openxmlformats.org/officeDocument/2006/relationships/hyperlink" Target="https://drive.google.com/open?id=1QL9q--_GVEuGWpOC3zPdAKUT_Ha5rhv-" TargetMode="External"/><Relationship Id="rId413" Type="http://schemas.openxmlformats.org/officeDocument/2006/relationships/hyperlink" Target="https://drive.google.com/open?id=1TEMftiyrdghPbyJBdcw26PbaHhraB9Gt" TargetMode="External"/><Relationship Id="rId897" Type="http://schemas.openxmlformats.org/officeDocument/2006/relationships/hyperlink" Target="https://drive.google.com/open?id=19zlUndQh5pJmKfNO2-EjhssTuaVWZjGL" TargetMode="External"/><Relationship Id="rId412" Type="http://schemas.openxmlformats.org/officeDocument/2006/relationships/hyperlink" Target="https://drive.google.com/open?id=14-6G2e_21ywg6bnLAmBUKYzIZlJF7i-X" TargetMode="External"/><Relationship Id="rId896" Type="http://schemas.openxmlformats.org/officeDocument/2006/relationships/hyperlink" Target="https://drive.google.com/open?id=1wLqkG0B7CZj2enTBSaRevw6zhdZ39qcw" TargetMode="External"/><Relationship Id="rId419" Type="http://schemas.openxmlformats.org/officeDocument/2006/relationships/hyperlink" Target="https://drive.google.com/open?id=1u4P98AFX96-DheFXYHueISXv5rFBW69n" TargetMode="External"/><Relationship Id="rId418" Type="http://schemas.openxmlformats.org/officeDocument/2006/relationships/hyperlink" Target="https://drive.google.com/open?id=1zn_3aP5fg2NK4Sa2zP-gGo0Bdj0__thB" TargetMode="External"/><Relationship Id="rId417" Type="http://schemas.openxmlformats.org/officeDocument/2006/relationships/hyperlink" Target="https://drive.google.com/open?id=1mmIxRh7KV6AuPrt8ko_SCJfjgabXIUqI" TargetMode="External"/><Relationship Id="rId416" Type="http://schemas.openxmlformats.org/officeDocument/2006/relationships/hyperlink" Target="https://drive.google.com/open?id=1sWMBO_Kz5DIB1sTOzC2ljXUUNi-6Jj7w" TargetMode="External"/><Relationship Id="rId891" Type="http://schemas.openxmlformats.org/officeDocument/2006/relationships/hyperlink" Target="https://drive.google.com/open?id=16zd3VBlO3IdfTICh8JOvZbYDTeh7-442" TargetMode="External"/><Relationship Id="rId890" Type="http://schemas.openxmlformats.org/officeDocument/2006/relationships/hyperlink" Target="https://drive.google.com/open?id=1lZlrMRlBl-ZLTW1m78YX4pxu7K-6bUBi" TargetMode="External"/><Relationship Id="rId1240" Type="http://schemas.openxmlformats.org/officeDocument/2006/relationships/hyperlink" Target="https://drive.google.com/open?id=1n0A9ubqNSuB3pXv1q2zM5wRxedFkhCv0" TargetMode="External"/><Relationship Id="rId1241" Type="http://schemas.openxmlformats.org/officeDocument/2006/relationships/hyperlink" Target="https://drive.google.com/open?id=1d1MpZG-dlaB5a1NtwTpdarZaeEvy-E4H" TargetMode="External"/><Relationship Id="rId411" Type="http://schemas.openxmlformats.org/officeDocument/2006/relationships/hyperlink" Target="https://drive.google.com/open?id=1nGRXkId6o5cqj3xIaeRBqo0koBoDqQqF" TargetMode="External"/><Relationship Id="rId895" Type="http://schemas.openxmlformats.org/officeDocument/2006/relationships/hyperlink" Target="https://drive.google.com/open?id=1M6-zSpYjgfr0BASlp2QUzn_c4XjO8T6i" TargetMode="External"/><Relationship Id="rId1242" Type="http://schemas.openxmlformats.org/officeDocument/2006/relationships/hyperlink" Target="https://drive.google.com/open?id=1DAt7Xk8BpKFTvgjMvZTSIaRNCrx61bzf" TargetMode="External"/><Relationship Id="rId410" Type="http://schemas.openxmlformats.org/officeDocument/2006/relationships/hyperlink" Target="https://drive.google.com/open?id=1iO3XouAEkbdhcbi2x1DPtekEr2EXacSH" TargetMode="External"/><Relationship Id="rId894" Type="http://schemas.openxmlformats.org/officeDocument/2006/relationships/hyperlink" Target="https://drive.google.com/open?id=1d0KR6IQNBkDE-A4-SJmWZRoAXQxrhI1_" TargetMode="External"/><Relationship Id="rId1243" Type="http://schemas.openxmlformats.org/officeDocument/2006/relationships/hyperlink" Target="https://drive.google.com/open?id=1XwiWjy-zHLnZXEvsTIOxWdhJGDD7101c" TargetMode="External"/><Relationship Id="rId893" Type="http://schemas.openxmlformats.org/officeDocument/2006/relationships/hyperlink" Target="https://drive.google.com/open?id=14LIehmwYyGdyv-HF6cs2pf9kDT6oLxKO" TargetMode="External"/><Relationship Id="rId1244" Type="http://schemas.openxmlformats.org/officeDocument/2006/relationships/hyperlink" Target="https://drive.google.com/open?id=1Qr7ELUuoKkSBhS6nToTnaYgyoEQ5ajIq" TargetMode="External"/><Relationship Id="rId892" Type="http://schemas.openxmlformats.org/officeDocument/2006/relationships/hyperlink" Target="https://drive.google.com/open?id=1suhghNE_gGxnd0mnesNV1ieJ0Rzs88iu" TargetMode="External"/><Relationship Id="rId1245" Type="http://schemas.openxmlformats.org/officeDocument/2006/relationships/hyperlink" Target="https://drive.google.com/open?id=1D8hNi8Rv2Tgf3-YiALN1Xd7O8OOdDial" TargetMode="External"/><Relationship Id="rId1279" Type="http://schemas.openxmlformats.org/officeDocument/2006/relationships/hyperlink" Target="https://drive.google.com/open?id=1JpE2auCKA5RfRKrN-Atrab1tc03vtYcQ" TargetMode="External"/><Relationship Id="rId448" Type="http://schemas.openxmlformats.org/officeDocument/2006/relationships/hyperlink" Target="https://drive.google.com/open?id=1LCsKkG24i9wmznr03mspYdIeItEzVxqQ" TargetMode="External"/><Relationship Id="rId447" Type="http://schemas.openxmlformats.org/officeDocument/2006/relationships/hyperlink" Target="https://drive.google.com/open?id=1E7huDsRdgt5PdBLlOHyYPh6mOB9NeyoA" TargetMode="External"/><Relationship Id="rId446" Type="http://schemas.openxmlformats.org/officeDocument/2006/relationships/hyperlink" Target="https://drive.google.com/open?id=1KNB5mdpBylr3Sq-X6G2GSjH6Uo6pYECQ" TargetMode="External"/><Relationship Id="rId445" Type="http://schemas.openxmlformats.org/officeDocument/2006/relationships/hyperlink" Target="https://drive.google.com/open?id=1JQ5wy0mFP75VcieLkSgUlKUHipxnVgZB" TargetMode="External"/><Relationship Id="rId449" Type="http://schemas.openxmlformats.org/officeDocument/2006/relationships/hyperlink" Target="https://drive.google.com/open?id=1n9PlgNueWUsKnTR51cXZAMTfxtOvAthK" TargetMode="External"/><Relationship Id="rId1270" Type="http://schemas.openxmlformats.org/officeDocument/2006/relationships/hyperlink" Target="https://drive.google.com/open?id=1QMEd_tbSrf51UmCFYiWNxFMhOMr-EEPa" TargetMode="External"/><Relationship Id="rId440" Type="http://schemas.openxmlformats.org/officeDocument/2006/relationships/hyperlink" Target="https://drive.google.com/open?id=1ToU8ynlyYDOTVYC4oabKICXuq5AnKW3p" TargetMode="External"/><Relationship Id="rId1271" Type="http://schemas.openxmlformats.org/officeDocument/2006/relationships/hyperlink" Target="https://drive.google.com/open?id=1ThfMNbY8oMfSSAkHJAb4oKClNdc8WOmB" TargetMode="External"/><Relationship Id="rId1272" Type="http://schemas.openxmlformats.org/officeDocument/2006/relationships/hyperlink" Target="https://drive.google.com/open?id=1Dqk1yXEF0cC_FY_5I8sQH2YPtT5Vs37B" TargetMode="External"/><Relationship Id="rId1273" Type="http://schemas.openxmlformats.org/officeDocument/2006/relationships/hyperlink" Target="https://drive.google.com/open?id=1S-sa0bDw6pEogW6V06lra53ivgXymVQC" TargetMode="External"/><Relationship Id="rId1274" Type="http://schemas.openxmlformats.org/officeDocument/2006/relationships/hyperlink" Target="https://drive.google.com/open?id=1i99vuhDdYPsj89C6yFHZwei1q06O4W3V" TargetMode="External"/><Relationship Id="rId444" Type="http://schemas.openxmlformats.org/officeDocument/2006/relationships/hyperlink" Target="https://drive.google.com/open?id=1ywwRx2BTwuQhj21kkoPE0IoFic1e0lG4" TargetMode="External"/><Relationship Id="rId1275" Type="http://schemas.openxmlformats.org/officeDocument/2006/relationships/hyperlink" Target="https://drive.google.com/open?id=1Y1lRJZRsNM4298cibgP6Hql_QBpJYvFE" TargetMode="External"/><Relationship Id="rId443" Type="http://schemas.openxmlformats.org/officeDocument/2006/relationships/hyperlink" Target="https://drive.google.com/open?id=1kJPv0I6H9Kk9nyK1ZXr0M2XPCPxfRoTd" TargetMode="External"/><Relationship Id="rId1276" Type="http://schemas.openxmlformats.org/officeDocument/2006/relationships/hyperlink" Target="https://drive.google.com/open?id=1gOUOIFbe2UvCobSidAlwBfxZWRfKWD7j" TargetMode="External"/><Relationship Id="rId442" Type="http://schemas.openxmlformats.org/officeDocument/2006/relationships/hyperlink" Target="https://drive.google.com/open?id=1__g9ayAlDo4o5BLco3HRndl_PozQVYIF" TargetMode="External"/><Relationship Id="rId1277" Type="http://schemas.openxmlformats.org/officeDocument/2006/relationships/hyperlink" Target="https://drive.google.com/open?id=11WuTovLGheE5cgLipjVacII_ZKcAysoF" TargetMode="External"/><Relationship Id="rId441" Type="http://schemas.openxmlformats.org/officeDocument/2006/relationships/hyperlink" Target="https://drive.google.com/open?id=1pcLpbVr2HuqKqMGYfZNDpRDZ5rGJa3qz" TargetMode="External"/><Relationship Id="rId1278" Type="http://schemas.openxmlformats.org/officeDocument/2006/relationships/hyperlink" Target="https://drive.google.com/open?id=1z57u__kbU8XZjNGGRTARL__Ij-saq-OH" TargetMode="External"/><Relationship Id="rId1268" Type="http://schemas.openxmlformats.org/officeDocument/2006/relationships/hyperlink" Target="https://drive.google.com/open?id=1pc7N8j3srgy1vhd_haYAPZ9Sex7v_cBA" TargetMode="External"/><Relationship Id="rId1269" Type="http://schemas.openxmlformats.org/officeDocument/2006/relationships/hyperlink" Target="https://drive.google.com/open?id=1YphZpIhw5XLTSe6ao9LoikNjHa6p5MjI" TargetMode="External"/><Relationship Id="rId437" Type="http://schemas.openxmlformats.org/officeDocument/2006/relationships/hyperlink" Target="https://drive.google.com/open?id=11vOXoyyj2R4fsgYVAYNT-egC_Om5iX96" TargetMode="External"/><Relationship Id="rId436" Type="http://schemas.openxmlformats.org/officeDocument/2006/relationships/hyperlink" Target="https://drive.google.com/open?id=1Fn17WcnzXqqx_gbD7qzad0N3XQCVJX-T" TargetMode="External"/><Relationship Id="rId435" Type="http://schemas.openxmlformats.org/officeDocument/2006/relationships/hyperlink" Target="https://drive.google.com/open?id=1KiMO9-8cXk6324UORr6IxuY-KUyyORrZ" TargetMode="External"/><Relationship Id="rId434" Type="http://schemas.openxmlformats.org/officeDocument/2006/relationships/hyperlink" Target="https://drive.google.com/open?id=1Xd2y5nlg-K0Q_Dueeqz6RuQsBFdomNzX" TargetMode="External"/><Relationship Id="rId439" Type="http://schemas.openxmlformats.org/officeDocument/2006/relationships/hyperlink" Target="https://drive.google.com/open?id=1KmNugm_XisKqjzAylIcY0aqZxNJlRQzk" TargetMode="External"/><Relationship Id="rId438" Type="http://schemas.openxmlformats.org/officeDocument/2006/relationships/hyperlink" Target="https://drive.google.com/open?id=1KJE6jTvg3cwUXAjwv6DyLbIhO_2sf296" TargetMode="External"/><Relationship Id="rId1260" Type="http://schemas.openxmlformats.org/officeDocument/2006/relationships/hyperlink" Target="https://drive.google.com/open?id=1pDCrLJoGwIM87gnbXmI5m2jpz07EBK06" TargetMode="External"/><Relationship Id="rId1261" Type="http://schemas.openxmlformats.org/officeDocument/2006/relationships/hyperlink" Target="https://drive.google.com/open?id=136Ywux1C_7sFSmnrirrxWLxCBjVfLVU-" TargetMode="External"/><Relationship Id="rId1262" Type="http://schemas.openxmlformats.org/officeDocument/2006/relationships/hyperlink" Target="https://drive.google.com/open?id=1j2mw6sM1IUEEVuUwtVxofYHWaPopJXYe" TargetMode="External"/><Relationship Id="rId1263" Type="http://schemas.openxmlformats.org/officeDocument/2006/relationships/hyperlink" Target="https://drive.google.com/open?id=1Cv8md0gsIP4iKgIIBXwad1WgQdK5ISyw" TargetMode="External"/><Relationship Id="rId433" Type="http://schemas.openxmlformats.org/officeDocument/2006/relationships/hyperlink" Target="https://drive.google.com/open?id=1Un1H0AIrb1uOW-ZLxouxeSlD51o_s6yJ" TargetMode="External"/><Relationship Id="rId1264" Type="http://schemas.openxmlformats.org/officeDocument/2006/relationships/hyperlink" Target="https://drive.google.com/open?id=1vkRcM-QRFAko2NHrx6_eC4lsaIWkK3j8" TargetMode="External"/><Relationship Id="rId432" Type="http://schemas.openxmlformats.org/officeDocument/2006/relationships/hyperlink" Target="https://drive.google.com/open?id=11bQE7iUqWXnUTU6vjyfJICAwQh-lTG5q" TargetMode="External"/><Relationship Id="rId1265" Type="http://schemas.openxmlformats.org/officeDocument/2006/relationships/hyperlink" Target="https://drive.google.com/open?id=1EeB4cYRC6U7x2-0Kbv6ha-nDZPooXwTp" TargetMode="External"/><Relationship Id="rId431" Type="http://schemas.openxmlformats.org/officeDocument/2006/relationships/hyperlink" Target="https://drive.google.com/open?id=1gYjOMzNjOvKJepuv6ao08mqXhsq92C1T" TargetMode="External"/><Relationship Id="rId1266" Type="http://schemas.openxmlformats.org/officeDocument/2006/relationships/hyperlink" Target="https://drive.google.com/open?id=1SJ9A0NDxmmOWkPKCc1throNcPkSYVdj_" TargetMode="External"/><Relationship Id="rId430" Type="http://schemas.openxmlformats.org/officeDocument/2006/relationships/hyperlink" Target="https://drive.google.com/open?id=1uVtJF_NIxSsHhdA36qHb5H9Q1jIBSLHj" TargetMode="External"/><Relationship Id="rId1267" Type="http://schemas.openxmlformats.org/officeDocument/2006/relationships/hyperlink" Target="https://drive.google.com/open?id=11TXZibIns7mvQ6izHlt9xrZCWbWY4dLF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8tBNcfZaqHL51fcmdpFuOp4AHku-Sq8d" TargetMode="External"/><Relationship Id="rId2" Type="http://schemas.openxmlformats.org/officeDocument/2006/relationships/hyperlink" Target="https://drive.google.com/open?id=1KMcNy8oz1aK5J5G9aU2Se0gUADC6l5Ra" TargetMode="External"/><Relationship Id="rId3" Type="http://schemas.openxmlformats.org/officeDocument/2006/relationships/hyperlink" Target="https://drive.google.com/open?id=1QPnvEQXm9CbOANLie0JsDZIWVPyOyVKW" TargetMode="External"/><Relationship Id="rId4" Type="http://schemas.openxmlformats.org/officeDocument/2006/relationships/hyperlink" Target="https://drive.google.com/open?id=1mgQJ7PVKKoZmV-qGrfd_y3l9_VsLB2Xd" TargetMode="External"/><Relationship Id="rId9" Type="http://schemas.openxmlformats.org/officeDocument/2006/relationships/hyperlink" Target="https://drive.google.com/open?id=18-E87WQWNLxgSe6O5CdCHwihnb5pegwi" TargetMode="External"/><Relationship Id="rId5" Type="http://schemas.openxmlformats.org/officeDocument/2006/relationships/hyperlink" Target="https://drive.google.com/open?id=1MvkXMoGjwziiWPG0OmXyCZDmkQEV6b6_" TargetMode="External"/><Relationship Id="rId6" Type="http://schemas.openxmlformats.org/officeDocument/2006/relationships/hyperlink" Target="https://drive.google.com/open?id=1VnotBEkB8oNas5leG5dtem61RtWiI3Ml" TargetMode="External"/><Relationship Id="rId7" Type="http://schemas.openxmlformats.org/officeDocument/2006/relationships/hyperlink" Target="https://drive.google.com/open?id=12y2JfnPITi1EgRwDeBbP2weo5du5Dfw_" TargetMode="External"/><Relationship Id="rId8" Type="http://schemas.openxmlformats.org/officeDocument/2006/relationships/hyperlink" Target="https://drive.google.com/open?id=19o5Qm4OqpYUbu8u3Ot2KY7B0CHQfQKNe" TargetMode="External"/><Relationship Id="rId40" Type="http://schemas.openxmlformats.org/officeDocument/2006/relationships/hyperlink" Target="https://drive.google.com/open?id=1xXaz0acVeXLlZtQK5bAkaIcj6gP9tmUW" TargetMode="External"/><Relationship Id="rId42" Type="http://schemas.openxmlformats.org/officeDocument/2006/relationships/hyperlink" Target="https://drive.google.com/open?id=1ng0Lk9SymFgR_16TJjdbejLvtYazcoUx" TargetMode="External"/><Relationship Id="rId41" Type="http://schemas.openxmlformats.org/officeDocument/2006/relationships/hyperlink" Target="https://drive.google.com/open?id=1yhkjwAcobRnGlwhZoJOOSTwHDCLEjMxE" TargetMode="External"/><Relationship Id="rId44" Type="http://schemas.openxmlformats.org/officeDocument/2006/relationships/hyperlink" Target="https://drive.google.com/open?id=1uKBfJz5WRxQys5M72Brb5OK10qcss7FK" TargetMode="External"/><Relationship Id="rId43" Type="http://schemas.openxmlformats.org/officeDocument/2006/relationships/hyperlink" Target="https://drive.google.com/open?id=1BGZMlDUnSEgkcWuFeTdo9Q6hmkRpWqxk" TargetMode="External"/><Relationship Id="rId46" Type="http://schemas.openxmlformats.org/officeDocument/2006/relationships/hyperlink" Target="https://drive.google.com/open?id=1GJg-pY3JFa2WpVzh2cHEFtzk64MkRwv4" TargetMode="External"/><Relationship Id="rId45" Type="http://schemas.openxmlformats.org/officeDocument/2006/relationships/hyperlink" Target="https://drive.google.com/open?id=1cOOeFbzfVa259sAWKf5ChvDZd0ox5haj" TargetMode="External"/><Relationship Id="rId48" Type="http://schemas.openxmlformats.org/officeDocument/2006/relationships/hyperlink" Target="https://drive.google.com/open?id=1JlXIlbw3LU4pvglwII582towmfSEFhKP" TargetMode="External"/><Relationship Id="rId47" Type="http://schemas.openxmlformats.org/officeDocument/2006/relationships/hyperlink" Target="https://drive.google.com/open?id=1ZdqbZz3jeUF3M_MYrqnTTtzHJAcp2G98" TargetMode="External"/><Relationship Id="rId49" Type="http://schemas.openxmlformats.org/officeDocument/2006/relationships/hyperlink" Target="https://drive.google.com/open?id=1lEpwiKvCdwRIeNr-XYFINLTXzsZygfTe" TargetMode="External"/><Relationship Id="rId31" Type="http://schemas.openxmlformats.org/officeDocument/2006/relationships/hyperlink" Target="https://drive.google.com/open?id=1Q2FKudakYyie6V-kEbVzxtvuNVTgPpRj" TargetMode="External"/><Relationship Id="rId30" Type="http://schemas.openxmlformats.org/officeDocument/2006/relationships/hyperlink" Target="https://drive.google.com/open?id=1rH9_Xv4bqvDtpQ9t64MpU_vTDvA5hrFu" TargetMode="External"/><Relationship Id="rId33" Type="http://schemas.openxmlformats.org/officeDocument/2006/relationships/hyperlink" Target="https://drive.google.com/open?id=1sBRIOvnXlhUEOwhmWjBi2OIKVVyG4RDh" TargetMode="External"/><Relationship Id="rId32" Type="http://schemas.openxmlformats.org/officeDocument/2006/relationships/hyperlink" Target="https://drive.google.com/open?id=1o80YrSS6nw-p4ji1xpt0DwyY0GaDNIcM" TargetMode="External"/><Relationship Id="rId35" Type="http://schemas.openxmlformats.org/officeDocument/2006/relationships/hyperlink" Target="https://drive.google.com/open?id=1gXlcLwDfPm-ZNDcW9x18d9Dv5fS8zPdT" TargetMode="External"/><Relationship Id="rId34" Type="http://schemas.openxmlformats.org/officeDocument/2006/relationships/hyperlink" Target="https://drive.google.com/open?id=13oDkQ5eszOIASYc_IZHqIC-kEbAMo6TT" TargetMode="External"/><Relationship Id="rId37" Type="http://schemas.openxmlformats.org/officeDocument/2006/relationships/hyperlink" Target="https://drive.google.com/open?id=1nbfLYFI3vQYDxQ8JKspWb0auP9vnyZst" TargetMode="External"/><Relationship Id="rId36" Type="http://schemas.openxmlformats.org/officeDocument/2006/relationships/hyperlink" Target="https://drive.google.com/open?id=1VuTH7Tgo0Pk_ScTpkx1b4YGJX5R6P5Zn" TargetMode="External"/><Relationship Id="rId39" Type="http://schemas.openxmlformats.org/officeDocument/2006/relationships/hyperlink" Target="https://drive.google.com/open?id=19ICyEx7TvltSMYYTihknjAb2kVuwFTJ0" TargetMode="External"/><Relationship Id="rId38" Type="http://schemas.openxmlformats.org/officeDocument/2006/relationships/hyperlink" Target="https://drive.google.com/open?id=1L8QvenQSbBbS_qby0dpkOU-60lBMdQqT" TargetMode="External"/><Relationship Id="rId20" Type="http://schemas.openxmlformats.org/officeDocument/2006/relationships/hyperlink" Target="https://drive.google.com/open?id=1TAH1SbQQA-KZ2zRXCfxGzvrNvcAAWpPd" TargetMode="External"/><Relationship Id="rId22" Type="http://schemas.openxmlformats.org/officeDocument/2006/relationships/hyperlink" Target="https://drive.google.com/open?id=1Ypb6w_HDPXntjJUJ4tTBW_VXaSaaBTlB" TargetMode="External"/><Relationship Id="rId21" Type="http://schemas.openxmlformats.org/officeDocument/2006/relationships/hyperlink" Target="https://drive.google.com/open?id=1LuMxZ-WwCiFoEhTdZYsi4aKvomUYNSG1" TargetMode="External"/><Relationship Id="rId24" Type="http://schemas.openxmlformats.org/officeDocument/2006/relationships/hyperlink" Target="https://drive.google.com/open?id=1GDwNFQwwbcvfERxsS__5FKPalkASwhN9" TargetMode="External"/><Relationship Id="rId23" Type="http://schemas.openxmlformats.org/officeDocument/2006/relationships/hyperlink" Target="https://drive.google.com/open?id=1_o4CsmjyYrEXDlK98Mo745yDuPAPbOyo" TargetMode="External"/><Relationship Id="rId26" Type="http://schemas.openxmlformats.org/officeDocument/2006/relationships/hyperlink" Target="https://drive.google.com/open?id=1wt9s597GXQ644bd2PXLfHEfaSSeztFVo" TargetMode="External"/><Relationship Id="rId25" Type="http://schemas.openxmlformats.org/officeDocument/2006/relationships/hyperlink" Target="https://drive.google.com/open?id=1Nr448mqqr1NBrnVWdEOvPsyTfKkRoX6E" TargetMode="External"/><Relationship Id="rId28" Type="http://schemas.openxmlformats.org/officeDocument/2006/relationships/hyperlink" Target="https://drive.google.com/open?id=1KSJLjeKsDdThgf6G9SNIh-_WIZEN-1Be" TargetMode="External"/><Relationship Id="rId27" Type="http://schemas.openxmlformats.org/officeDocument/2006/relationships/hyperlink" Target="https://drive.google.com/open?id=1f0LvrIQaf3gHFF_9bh-qodDIZzGE6k5J" TargetMode="External"/><Relationship Id="rId29" Type="http://schemas.openxmlformats.org/officeDocument/2006/relationships/hyperlink" Target="https://drive.google.com/open?id=1kghyJdNeldS3J2SiTzRELjTjV3CbYhOw" TargetMode="External"/><Relationship Id="rId11" Type="http://schemas.openxmlformats.org/officeDocument/2006/relationships/hyperlink" Target="https://drive.google.com/open?id=1hifjuFihTXKbIiF-5nCra9V0PPc36URt" TargetMode="External"/><Relationship Id="rId10" Type="http://schemas.openxmlformats.org/officeDocument/2006/relationships/hyperlink" Target="https://drive.google.com/open?id=1rz9AnQm86uagR_pAMig6v7gRhPmsjPD5" TargetMode="External"/><Relationship Id="rId13" Type="http://schemas.openxmlformats.org/officeDocument/2006/relationships/hyperlink" Target="https://drive.google.com/open?id=1iHQ_OzGdGwvuj_6h5n4_UoHjYIdeFruP" TargetMode="External"/><Relationship Id="rId12" Type="http://schemas.openxmlformats.org/officeDocument/2006/relationships/hyperlink" Target="https://drive.google.com/open?id=1CeOQ59qmlzNyT1Esv4h5TV6_GBYNxX3G" TargetMode="External"/><Relationship Id="rId15" Type="http://schemas.openxmlformats.org/officeDocument/2006/relationships/hyperlink" Target="https://drive.google.com/open?id=12iVb3sqWGWkU7FaU42aPFyT_SieeG7QH" TargetMode="External"/><Relationship Id="rId14" Type="http://schemas.openxmlformats.org/officeDocument/2006/relationships/hyperlink" Target="https://drive.google.com/open?id=1ziKEhcb8WGR6GcExGyLs1lCuko-zHEY-" TargetMode="External"/><Relationship Id="rId17" Type="http://schemas.openxmlformats.org/officeDocument/2006/relationships/hyperlink" Target="https://drive.google.com/open?id=1e6ubDzw6OCuboHa_eyBRGvgpGre_nTHs" TargetMode="External"/><Relationship Id="rId16" Type="http://schemas.openxmlformats.org/officeDocument/2006/relationships/hyperlink" Target="https://drive.google.com/open?id=1rf12jICt3hys1pme1JN7hTvyeY64jQ6o" TargetMode="External"/><Relationship Id="rId19" Type="http://schemas.openxmlformats.org/officeDocument/2006/relationships/hyperlink" Target="https://drive.google.com/open?id=1hYqGjr9QMT_lw_DWcv9xguMH_Dqhm_0P" TargetMode="External"/><Relationship Id="rId18" Type="http://schemas.openxmlformats.org/officeDocument/2006/relationships/hyperlink" Target="https://drive.google.com/open?id=1nEPbTa1t2UWNNR8RZde4eRKLEX8WqBpZ" TargetMode="External"/><Relationship Id="rId84" Type="http://schemas.openxmlformats.org/officeDocument/2006/relationships/hyperlink" Target="https://drive.google.com/open?id=1R_crjsy8Lbn26MMooTRDEIdrtwv0l2F0" TargetMode="External"/><Relationship Id="rId83" Type="http://schemas.openxmlformats.org/officeDocument/2006/relationships/hyperlink" Target="https://drive.google.com/open?id=1gKXf64OaYsX91n6YGp_dwGAQ9rb5W9na" TargetMode="External"/><Relationship Id="rId86" Type="http://schemas.openxmlformats.org/officeDocument/2006/relationships/hyperlink" Target="https://drive.google.com/open?id=1pWiCeUui6TF-dBkqKuF1k9wm-ZuQPQmy" TargetMode="External"/><Relationship Id="rId85" Type="http://schemas.openxmlformats.org/officeDocument/2006/relationships/hyperlink" Target="https://drive.google.com/open?id=1iT_54ac8mHt0eNjUvGQm683y9KsMKAtY" TargetMode="External"/><Relationship Id="rId88" Type="http://schemas.openxmlformats.org/officeDocument/2006/relationships/hyperlink" Target="https://drive.google.com/open?id=1GcsdzqCzF19-5ITW2e-Qg41q-oUQdwCy" TargetMode="External"/><Relationship Id="rId87" Type="http://schemas.openxmlformats.org/officeDocument/2006/relationships/hyperlink" Target="https://drive.google.com/open?id=1oBsoHCUqyikc8mDOXNplplxNdc8rspMh" TargetMode="External"/><Relationship Id="rId89" Type="http://schemas.openxmlformats.org/officeDocument/2006/relationships/hyperlink" Target="https://drive.google.com/open?id=1MMJqoGur-eMCf_7hAzgs-uyOed9kNdHH" TargetMode="External"/><Relationship Id="rId80" Type="http://schemas.openxmlformats.org/officeDocument/2006/relationships/hyperlink" Target="https://drive.google.com/open?id=1XQxkvsPZxMq63zzQhpUlzZHGT-30Giml" TargetMode="External"/><Relationship Id="rId82" Type="http://schemas.openxmlformats.org/officeDocument/2006/relationships/hyperlink" Target="https://drive.google.com/open?id=1DeZf8Izquo12knJ7xhM8jkqs47vI9VAG" TargetMode="External"/><Relationship Id="rId81" Type="http://schemas.openxmlformats.org/officeDocument/2006/relationships/hyperlink" Target="https://drive.google.com/open?id=1lThSYHiqJHzqahEuh_3YUwc0a9q2IBhp" TargetMode="External"/><Relationship Id="rId73" Type="http://schemas.openxmlformats.org/officeDocument/2006/relationships/hyperlink" Target="https://drive.google.com/open?id=13U9yk399AL7BvTvwZ1ytE-le7410_VoI" TargetMode="External"/><Relationship Id="rId72" Type="http://schemas.openxmlformats.org/officeDocument/2006/relationships/hyperlink" Target="https://drive.google.com/open?id=193Wgb8wmC7lrSq_ixj5T9weuc-l9Xeb8" TargetMode="External"/><Relationship Id="rId75" Type="http://schemas.openxmlformats.org/officeDocument/2006/relationships/hyperlink" Target="https://drive.google.com/open?id=1zD8mOZDCOPlEwskVEI9iFlOwZiKFVwqA" TargetMode="External"/><Relationship Id="rId74" Type="http://schemas.openxmlformats.org/officeDocument/2006/relationships/hyperlink" Target="https://drive.google.com/open?id=1Ul6j1tdopkDnXwGZ284vPMkX5WE8h6-k" TargetMode="External"/><Relationship Id="rId77" Type="http://schemas.openxmlformats.org/officeDocument/2006/relationships/hyperlink" Target="https://drive.google.com/open?id=1GMChl2S9RjFtG0f56onc7V-grHCA0_D-" TargetMode="External"/><Relationship Id="rId76" Type="http://schemas.openxmlformats.org/officeDocument/2006/relationships/hyperlink" Target="https://drive.google.com/open?id=1DmPs353d-h_k805KpRM5_WLtihWEXRzd" TargetMode="External"/><Relationship Id="rId79" Type="http://schemas.openxmlformats.org/officeDocument/2006/relationships/hyperlink" Target="https://drive.google.com/open?id=1V-ZHoqUtAElJvV2UCSkugzD7cF6D22cX" TargetMode="External"/><Relationship Id="rId78" Type="http://schemas.openxmlformats.org/officeDocument/2006/relationships/hyperlink" Target="https://drive.google.com/open?id=185yq5reXH52Tg4xzEngzlZp5G3H3apQs" TargetMode="External"/><Relationship Id="rId71" Type="http://schemas.openxmlformats.org/officeDocument/2006/relationships/hyperlink" Target="https://drive.google.com/open?id=1bRPpbfZ6VF2nNspGaENIdFCxpIgOX3Wf" TargetMode="External"/><Relationship Id="rId70" Type="http://schemas.openxmlformats.org/officeDocument/2006/relationships/hyperlink" Target="https://drive.google.com/open?id=1vqeGJy-iKtS4guA_6gnC5j3DBV2QdXDU" TargetMode="External"/><Relationship Id="rId62" Type="http://schemas.openxmlformats.org/officeDocument/2006/relationships/hyperlink" Target="https://drive.google.com/open?id=1P_kXvTodQgrAxLcYoHJL7hFzaXkWsdjp" TargetMode="External"/><Relationship Id="rId61" Type="http://schemas.openxmlformats.org/officeDocument/2006/relationships/hyperlink" Target="https://drive.google.com/open?id=1mmIxRh7KV6AuPrt8ko_SCJfjgabXIUqI" TargetMode="External"/><Relationship Id="rId64" Type="http://schemas.openxmlformats.org/officeDocument/2006/relationships/hyperlink" Target="https://drive.google.com/open?id=1KiMO9-8cXk6324UORr6IxuY-KUyyORrZ" TargetMode="External"/><Relationship Id="rId63" Type="http://schemas.openxmlformats.org/officeDocument/2006/relationships/hyperlink" Target="https://drive.google.com/open?id=1Xd2y5nlg-K0Q_Dueeqz6RuQsBFdomNzX" TargetMode="External"/><Relationship Id="rId66" Type="http://schemas.openxmlformats.org/officeDocument/2006/relationships/hyperlink" Target="https://drive.google.com/open?id=1cyFS3Sp1zfHCceCD48s7AXEP-jYbJ1bb" TargetMode="External"/><Relationship Id="rId65" Type="http://schemas.openxmlformats.org/officeDocument/2006/relationships/hyperlink" Target="https://drive.google.com/open?id=1Fn17WcnzXqqx_gbD7qzad0N3XQCVJX-T" TargetMode="External"/><Relationship Id="rId68" Type="http://schemas.openxmlformats.org/officeDocument/2006/relationships/hyperlink" Target="https://drive.google.com/open?id=1iaMcD70_naH6KRFWv5NG0ZCyOjxcUoAW" TargetMode="External"/><Relationship Id="rId67" Type="http://schemas.openxmlformats.org/officeDocument/2006/relationships/hyperlink" Target="https://drive.google.com/open?id=1jfXVxuerdSjvFtlEZeWYwfurTz0AqxaO" TargetMode="External"/><Relationship Id="rId60" Type="http://schemas.openxmlformats.org/officeDocument/2006/relationships/hyperlink" Target="https://drive.google.com/open?id=1JaMGYAXjB8A_wX0xWqvSLF4SkKfTv8wQ" TargetMode="External"/><Relationship Id="rId69" Type="http://schemas.openxmlformats.org/officeDocument/2006/relationships/hyperlink" Target="https://drive.google.com/open?id=1l9MmNe4Fq8SyQw1-9vTljhFxhOoq0gf_" TargetMode="External"/><Relationship Id="rId51" Type="http://schemas.openxmlformats.org/officeDocument/2006/relationships/hyperlink" Target="https://drive.google.com/open?id=1wwqvYj7G8Hq9WXoUmmD6Idk6NYqHxAoX" TargetMode="External"/><Relationship Id="rId50" Type="http://schemas.openxmlformats.org/officeDocument/2006/relationships/hyperlink" Target="https://drive.google.com/open?id=17IrdOrM5riUDlK7k5Np6O4fQSFI_YiLU" TargetMode="External"/><Relationship Id="rId53" Type="http://schemas.openxmlformats.org/officeDocument/2006/relationships/hyperlink" Target="https://drive.google.com/open?id=1XYSKZ49HqIeghBbtItkh5MlLKQtpA4P9" TargetMode="External"/><Relationship Id="rId52" Type="http://schemas.openxmlformats.org/officeDocument/2006/relationships/hyperlink" Target="https://drive.google.com/open?id=1ZeIF1osrfps_pQKFLERPH1SofXyLhKVp" TargetMode="External"/><Relationship Id="rId55" Type="http://schemas.openxmlformats.org/officeDocument/2006/relationships/hyperlink" Target="https://drive.google.com/open?id=1MlxCiiHa-jCKLhW0mp25BWHjk-pxLFWX" TargetMode="External"/><Relationship Id="rId54" Type="http://schemas.openxmlformats.org/officeDocument/2006/relationships/hyperlink" Target="https://drive.google.com/open?id=1EmvpTa5j_6na-7NvTE7ZmRtnvUJ1ecxS" TargetMode="External"/><Relationship Id="rId57" Type="http://schemas.openxmlformats.org/officeDocument/2006/relationships/hyperlink" Target="https://drive.google.com/open?id=1OtmRwww0kHx5VNyzxRZUw9VdnrJnpqf0" TargetMode="External"/><Relationship Id="rId56" Type="http://schemas.openxmlformats.org/officeDocument/2006/relationships/hyperlink" Target="https://drive.google.com/open?id=1Qkly311R7TArLslRUrk4QxzeuF6u8THT" TargetMode="External"/><Relationship Id="rId59" Type="http://schemas.openxmlformats.org/officeDocument/2006/relationships/hyperlink" Target="https://drive.google.com/open?id=1jMO4xex9aLpQ4Gd4CThhIclPonr9dDQn" TargetMode="External"/><Relationship Id="rId58" Type="http://schemas.openxmlformats.org/officeDocument/2006/relationships/hyperlink" Target="https://drive.google.com/open?id=1C_pOOqVb4BweyXOmoWqjvKoBG_jRZya9" TargetMode="External"/><Relationship Id="rId95" Type="http://schemas.openxmlformats.org/officeDocument/2006/relationships/hyperlink" Target="https://drive.google.com/open?id=18rsWLMQxRgogo3XfG981SyQXesg61x9O" TargetMode="External"/><Relationship Id="rId94" Type="http://schemas.openxmlformats.org/officeDocument/2006/relationships/hyperlink" Target="https://drive.google.com/open?id=18oE2vDGu9afNUFdwWn5qMx4nqei6-7E9" TargetMode="External"/><Relationship Id="rId97" Type="http://schemas.openxmlformats.org/officeDocument/2006/relationships/hyperlink" Target="https://drive.google.com/open?id=10PSNFfo7CjwjQLY7Gx8EcRI6qf5g1DH5" TargetMode="External"/><Relationship Id="rId96" Type="http://schemas.openxmlformats.org/officeDocument/2006/relationships/hyperlink" Target="https://drive.google.com/open?id=1YFVlenXh3kc0nHj0cl5g9MGId9HzR25u" TargetMode="External"/><Relationship Id="rId99" Type="http://schemas.openxmlformats.org/officeDocument/2006/relationships/hyperlink" Target="https://drive.google.com/open?id=16K0OjAGBT3DmHR5mzjJrBu_od50A5jWJ" TargetMode="External"/><Relationship Id="rId98" Type="http://schemas.openxmlformats.org/officeDocument/2006/relationships/hyperlink" Target="https://drive.google.com/open?id=1Cf5Nc45YCsAU9q1zOQiHHUx4XaxKGJuX" TargetMode="External"/><Relationship Id="rId91" Type="http://schemas.openxmlformats.org/officeDocument/2006/relationships/hyperlink" Target="https://drive.google.com/open?id=1rABfJUKRpSqleWAVpC2T3MOprLuyLyPa" TargetMode="External"/><Relationship Id="rId90" Type="http://schemas.openxmlformats.org/officeDocument/2006/relationships/hyperlink" Target="https://drive.google.com/open?id=1A2vochcJvGrHoDWXY64uTyxO0dapzj9a" TargetMode="External"/><Relationship Id="rId93" Type="http://schemas.openxmlformats.org/officeDocument/2006/relationships/hyperlink" Target="https://drive.google.com/open?id=1Jbbts9ceS-YQiXZrGgp3WKwz8lNH1LZO" TargetMode="External"/><Relationship Id="rId92" Type="http://schemas.openxmlformats.org/officeDocument/2006/relationships/hyperlink" Target="https://drive.google.com/open?id=1alC3TptgmchgQ0Ov9CEIfYpn5FubFyJL" TargetMode="External"/><Relationship Id="rId271" Type="http://schemas.openxmlformats.org/officeDocument/2006/relationships/drawing" Target="../drawings/drawing5.xml"/><Relationship Id="rId270" Type="http://schemas.openxmlformats.org/officeDocument/2006/relationships/hyperlink" Target="https://drive.google.com/open?id=1CJBsPsi4Mtc_bKYJIBWJQyQH3yXqX6f8" TargetMode="External"/><Relationship Id="rId269" Type="http://schemas.openxmlformats.org/officeDocument/2006/relationships/hyperlink" Target="https://drive.google.com/open?id=1iP8kajmr7HJfr_E5Dmwya35s2VvpktM0" TargetMode="External"/><Relationship Id="rId264" Type="http://schemas.openxmlformats.org/officeDocument/2006/relationships/hyperlink" Target="https://drive.google.com/open?id=1eU70EnVBAhaTZR2mdgO1XI9-HQxqetAN" TargetMode="External"/><Relationship Id="rId263" Type="http://schemas.openxmlformats.org/officeDocument/2006/relationships/hyperlink" Target="https://drive.google.com/open?id=1IFH_kXFaXwNCNhmOwIWaihFNC42suIQq" TargetMode="External"/><Relationship Id="rId262" Type="http://schemas.openxmlformats.org/officeDocument/2006/relationships/hyperlink" Target="https://drive.google.com/open?id=1s1B0fB590BKpc4nzCsLCanEpT1MeJn06" TargetMode="External"/><Relationship Id="rId261" Type="http://schemas.openxmlformats.org/officeDocument/2006/relationships/hyperlink" Target="https://drive.google.com/open?id=13GqvZhR0GjnudKQlLUaWPRC8ZekW__Wo" TargetMode="External"/><Relationship Id="rId268" Type="http://schemas.openxmlformats.org/officeDocument/2006/relationships/hyperlink" Target="https://drive.google.com/open?id=1ttjoVdEy9gXWqPmg_VAfMuPROMfHHC-U" TargetMode="External"/><Relationship Id="rId267" Type="http://schemas.openxmlformats.org/officeDocument/2006/relationships/hyperlink" Target="https://drive.google.com/open?id=1nrenQkmvYHNnITKTHhsFeAgIUo-pH60w" TargetMode="External"/><Relationship Id="rId266" Type="http://schemas.openxmlformats.org/officeDocument/2006/relationships/hyperlink" Target="https://drive.google.com/open?id=1nwQkso_RNFNm-bV_8ziNMYxXJSjt5IJW" TargetMode="External"/><Relationship Id="rId265" Type="http://schemas.openxmlformats.org/officeDocument/2006/relationships/hyperlink" Target="https://drive.google.com/open?id=1cXQ296uDPWLgML2NAznoI6xfa23P_AM9" TargetMode="External"/><Relationship Id="rId260" Type="http://schemas.openxmlformats.org/officeDocument/2006/relationships/hyperlink" Target="https://drive.google.com/open?id=1Uygj_Zx7c5k_9E_H3UI2h0xfgUCcTLLW" TargetMode="External"/><Relationship Id="rId259" Type="http://schemas.openxmlformats.org/officeDocument/2006/relationships/hyperlink" Target="https://drive.google.com/open?id=18JFUrpkP5K37n3q-VBYZg33K5VIeq-NS" TargetMode="External"/><Relationship Id="rId258" Type="http://schemas.openxmlformats.org/officeDocument/2006/relationships/hyperlink" Target="https://drive.google.com/open?id=1o63gkeNARg0vlgn5B1xtMvsHhMlkH_sE" TargetMode="External"/><Relationship Id="rId253" Type="http://schemas.openxmlformats.org/officeDocument/2006/relationships/hyperlink" Target="https://drive.google.com/open?id=1os9lQ4H2mDYNu5xczR3JEBSoPtj-q1Ju" TargetMode="External"/><Relationship Id="rId252" Type="http://schemas.openxmlformats.org/officeDocument/2006/relationships/hyperlink" Target="https://drive.google.com/open?id=11VE8EF2TcDupDFhdvVZ7egUAJyWq4fiz" TargetMode="External"/><Relationship Id="rId251" Type="http://schemas.openxmlformats.org/officeDocument/2006/relationships/hyperlink" Target="https://drive.google.com/open?id=15xCcg97E8WrGLBaCJ5Gi5b0T02UzoFmB" TargetMode="External"/><Relationship Id="rId250" Type="http://schemas.openxmlformats.org/officeDocument/2006/relationships/hyperlink" Target="https://drive.google.com/open?id=1wnEDmfkxQOipbytXSLzVnn6Au-utKXCN" TargetMode="External"/><Relationship Id="rId257" Type="http://schemas.openxmlformats.org/officeDocument/2006/relationships/hyperlink" Target="https://drive.google.com/open?id=1g_I6gnJz2QcPN7JrjLfzKH2wEYJVcIPY" TargetMode="External"/><Relationship Id="rId256" Type="http://schemas.openxmlformats.org/officeDocument/2006/relationships/hyperlink" Target="https://drive.google.com/open?id=1GUx-0hJDmbEH5sEd_OrxZC6n-AshZzyG" TargetMode="External"/><Relationship Id="rId255" Type="http://schemas.openxmlformats.org/officeDocument/2006/relationships/hyperlink" Target="https://drive.google.com/open?id=1BacZ6GfWS4VS2uRFlhRjMyMUSwM9UQLP" TargetMode="External"/><Relationship Id="rId254" Type="http://schemas.openxmlformats.org/officeDocument/2006/relationships/hyperlink" Target="https://drive.google.com/open?id=1MY2dItq3aeSdJ2A8rdltWm7As87iky2V" TargetMode="External"/><Relationship Id="rId228" Type="http://schemas.openxmlformats.org/officeDocument/2006/relationships/hyperlink" Target="https://drive.google.com/open?id=1czkLH0A9hlYGxcPJ48_H4vKnkINQ2Gaq" TargetMode="External"/><Relationship Id="rId227" Type="http://schemas.openxmlformats.org/officeDocument/2006/relationships/hyperlink" Target="https://drive.google.com/open?id=1SlVcE8rGKFud2--_Yqh9LaVFqOwm0HQx" TargetMode="External"/><Relationship Id="rId226" Type="http://schemas.openxmlformats.org/officeDocument/2006/relationships/hyperlink" Target="https://drive.google.com/open?id=1kwsseXwTrYdsbi_YGRdOdjW2_3V7G7ZU" TargetMode="External"/><Relationship Id="rId225" Type="http://schemas.openxmlformats.org/officeDocument/2006/relationships/hyperlink" Target="https://drive.google.com/open?id=1v1yUcMpygMbM9fjEZqO6HrE7Awotg5LP" TargetMode="External"/><Relationship Id="rId229" Type="http://schemas.openxmlformats.org/officeDocument/2006/relationships/hyperlink" Target="https://drive.google.com/open?id=1mF47KtsFeQklbLGGpylAcXZy8L4ihMeu" TargetMode="External"/><Relationship Id="rId220" Type="http://schemas.openxmlformats.org/officeDocument/2006/relationships/hyperlink" Target="https://drive.google.com/open?id=1BCybOknEJvySE0t-MqPzPrrz4WwQyfn3" TargetMode="External"/><Relationship Id="rId224" Type="http://schemas.openxmlformats.org/officeDocument/2006/relationships/hyperlink" Target="https://drive.google.com/open?id=167tgrvmCh3hEx8XaP2uVawLDnJXgjKzU" TargetMode="External"/><Relationship Id="rId223" Type="http://schemas.openxmlformats.org/officeDocument/2006/relationships/hyperlink" Target="https://drive.google.com/open?id=1r6NmrvkSajV7TPwAUetBluDAhQ8b7kTZ" TargetMode="External"/><Relationship Id="rId222" Type="http://schemas.openxmlformats.org/officeDocument/2006/relationships/hyperlink" Target="https://drive.google.com/open?id=1SZ7q6TCEa0VsKasa8wOV0mMbNZPpNCAc" TargetMode="External"/><Relationship Id="rId221" Type="http://schemas.openxmlformats.org/officeDocument/2006/relationships/hyperlink" Target="https://drive.google.com/open?id=13vbAKJbvhDJ6pI6nKJRAmlH_tsahWg6w" TargetMode="External"/><Relationship Id="rId217" Type="http://schemas.openxmlformats.org/officeDocument/2006/relationships/hyperlink" Target="https://drive.google.com/open?id=1vkRcM-QRFAko2NHrx6_eC4lsaIWkK3j8" TargetMode="External"/><Relationship Id="rId216" Type="http://schemas.openxmlformats.org/officeDocument/2006/relationships/hyperlink" Target="https://drive.google.com/open?id=1zlvEVLH_2mPBDTpuAweEV-SLJnBa-y4Q" TargetMode="External"/><Relationship Id="rId215" Type="http://schemas.openxmlformats.org/officeDocument/2006/relationships/hyperlink" Target="https://drive.google.com/open?id=1_SwjQy6YJw3vx9hnyqK5iHdh6LblHU1E" TargetMode="External"/><Relationship Id="rId214" Type="http://schemas.openxmlformats.org/officeDocument/2006/relationships/hyperlink" Target="https://drive.google.com/open?id=1DAt7Xk8BpKFTvgjMvZTSIaRNCrx61bzf" TargetMode="External"/><Relationship Id="rId219" Type="http://schemas.openxmlformats.org/officeDocument/2006/relationships/hyperlink" Target="https://drive.google.com/open?id=12fXXsfku9UdAKNCQML7Fn_5p4BblfZb7" TargetMode="External"/><Relationship Id="rId218" Type="http://schemas.openxmlformats.org/officeDocument/2006/relationships/hyperlink" Target="https://drive.google.com/open?id=1SJ9A0NDxmmOWkPKCc1throNcPkSYVdj_" TargetMode="External"/><Relationship Id="rId213" Type="http://schemas.openxmlformats.org/officeDocument/2006/relationships/hyperlink" Target="https://drive.google.com/open?id=1n0A9ubqNSuB3pXv1q2zM5wRxedFkhCv0" TargetMode="External"/><Relationship Id="rId212" Type="http://schemas.openxmlformats.org/officeDocument/2006/relationships/hyperlink" Target="https://drive.google.com/open?id=1MIAnbFe51yE4WqB_nOdiK7pMMQE5bTe7" TargetMode="External"/><Relationship Id="rId211" Type="http://schemas.openxmlformats.org/officeDocument/2006/relationships/hyperlink" Target="https://drive.google.com/open?id=1RLbBR3-ZYduKSq4enoYaoAVpOOa2vTio" TargetMode="External"/><Relationship Id="rId210" Type="http://schemas.openxmlformats.org/officeDocument/2006/relationships/hyperlink" Target="https://drive.google.com/open?id=1hJwllbyWVtiJd0_j6718VVsiFLuqJUgO" TargetMode="External"/><Relationship Id="rId249" Type="http://schemas.openxmlformats.org/officeDocument/2006/relationships/hyperlink" Target="https://drive.google.com/open?id=1V6eaTLuWXbe0pKE9BWD-cBNNqL1PGyPj" TargetMode="External"/><Relationship Id="rId248" Type="http://schemas.openxmlformats.org/officeDocument/2006/relationships/hyperlink" Target="https://drive.google.com/open?id=1NXvhriLr2hDNOFaLoySiBAWBE8A18cvs" TargetMode="External"/><Relationship Id="rId247" Type="http://schemas.openxmlformats.org/officeDocument/2006/relationships/hyperlink" Target="https://drive.google.com/open?id=1PLqH-vC7zDibCF97m8HnpDnKFgA-kfog" TargetMode="External"/><Relationship Id="rId242" Type="http://schemas.openxmlformats.org/officeDocument/2006/relationships/hyperlink" Target="https://drive.google.com/open?id=146hOyIIiLYzULXFjePNdLpHBeN0ZGuma" TargetMode="External"/><Relationship Id="rId241" Type="http://schemas.openxmlformats.org/officeDocument/2006/relationships/hyperlink" Target="https://drive.google.com/open?id=1XoNcTTxwOjH8XCLcUydENC-8TTBDI7SR" TargetMode="External"/><Relationship Id="rId240" Type="http://schemas.openxmlformats.org/officeDocument/2006/relationships/hyperlink" Target="https://drive.google.com/open?id=1f5wALKX5fp9UWpX5v_zWG6unCdmzi3Sh" TargetMode="External"/><Relationship Id="rId246" Type="http://schemas.openxmlformats.org/officeDocument/2006/relationships/hyperlink" Target="https://drive.google.com/open?id=1aIru0IW75mtfbwNs1fp3x8mVOvf_pSGt" TargetMode="External"/><Relationship Id="rId245" Type="http://schemas.openxmlformats.org/officeDocument/2006/relationships/hyperlink" Target="https://drive.google.com/open?id=1iSqNGW0Hv1rZ3v0PmTxAO0u7hE87Dq6c" TargetMode="External"/><Relationship Id="rId244" Type="http://schemas.openxmlformats.org/officeDocument/2006/relationships/hyperlink" Target="https://drive.google.com/open?id=1cciF3FJR_cNr2iF5TPdeUb67dDUmq1jL" TargetMode="External"/><Relationship Id="rId243" Type="http://schemas.openxmlformats.org/officeDocument/2006/relationships/hyperlink" Target="https://drive.google.com/open?id=1gFPRX37DpaRdjtmNh5oNVtI3Z07X2dTo" TargetMode="External"/><Relationship Id="rId239" Type="http://schemas.openxmlformats.org/officeDocument/2006/relationships/hyperlink" Target="https://drive.google.com/open?id=1XwUCVjK4R5x_ZUD3keuijM3-ExCXePp4" TargetMode="External"/><Relationship Id="rId238" Type="http://schemas.openxmlformats.org/officeDocument/2006/relationships/hyperlink" Target="https://drive.google.com/open?id=1-csxITqbpMe1SlKSzE2T59143PxK708Q" TargetMode="External"/><Relationship Id="rId237" Type="http://schemas.openxmlformats.org/officeDocument/2006/relationships/hyperlink" Target="https://drive.google.com/open?id=1Dr5HXZiyUSo6GbKnLVw2OMAmLWCxUW5k" TargetMode="External"/><Relationship Id="rId236" Type="http://schemas.openxmlformats.org/officeDocument/2006/relationships/hyperlink" Target="https://drive.google.com/open?id=1STR97IF_Gw-P-HLd8Ried7hpAnPzmLM5" TargetMode="External"/><Relationship Id="rId231" Type="http://schemas.openxmlformats.org/officeDocument/2006/relationships/hyperlink" Target="https://drive.google.com/open?id=1sy3IXloS4hFU6XnPUXON0DFI5Xa-WEJ0" TargetMode="External"/><Relationship Id="rId230" Type="http://schemas.openxmlformats.org/officeDocument/2006/relationships/hyperlink" Target="https://drive.google.com/open?id=1PR40Ymz_OmoQEPznfZeievxc0klmzyUm" TargetMode="External"/><Relationship Id="rId235" Type="http://schemas.openxmlformats.org/officeDocument/2006/relationships/hyperlink" Target="https://drive.google.com/open?id=1cDRa-RDmk-a87QUa6FM--jh3HEjHRYBd" TargetMode="External"/><Relationship Id="rId234" Type="http://schemas.openxmlformats.org/officeDocument/2006/relationships/hyperlink" Target="https://drive.google.com/open?id=1Pe6DhHJnLX5NM3lyjJYfxv-dMh0EuIuB" TargetMode="External"/><Relationship Id="rId233" Type="http://schemas.openxmlformats.org/officeDocument/2006/relationships/hyperlink" Target="https://drive.google.com/open?id=1NWzPObzKHYQ_0DokV9wtmaLGJJH8hjY8" TargetMode="External"/><Relationship Id="rId232" Type="http://schemas.openxmlformats.org/officeDocument/2006/relationships/hyperlink" Target="https://drive.google.com/open?id=1Sb1weKGCly4fo_dv66vvjRUopycy4Nw2" TargetMode="External"/><Relationship Id="rId206" Type="http://schemas.openxmlformats.org/officeDocument/2006/relationships/hyperlink" Target="https://drive.google.com/open?id=1ZzOJB7gPzVFItugqFdfXUyyoEf5kS1iM" TargetMode="External"/><Relationship Id="rId205" Type="http://schemas.openxmlformats.org/officeDocument/2006/relationships/hyperlink" Target="https://drive.google.com/open?id=1XgvJ51Pkeyws4fvV5FhfV7xzcMjyJ3QH" TargetMode="External"/><Relationship Id="rId204" Type="http://schemas.openxmlformats.org/officeDocument/2006/relationships/hyperlink" Target="https://drive.google.com/open?id=1-Ha61281VtYuV0U9RABnOwwuxVxhaiUy" TargetMode="External"/><Relationship Id="rId203" Type="http://schemas.openxmlformats.org/officeDocument/2006/relationships/hyperlink" Target="https://drive.google.com/open?id=1S4Em5z-nMBzFWKlFskuJ-_nPet5m_M4S" TargetMode="External"/><Relationship Id="rId209" Type="http://schemas.openxmlformats.org/officeDocument/2006/relationships/hyperlink" Target="https://drive.google.com/open?id=1XYELkk9hhc-ZUcVhi1i7iXuEDI80zcoG" TargetMode="External"/><Relationship Id="rId208" Type="http://schemas.openxmlformats.org/officeDocument/2006/relationships/hyperlink" Target="https://drive.google.com/open?id=11QhyvruSzCeSLgqVqS5k-y5T050SAqNf" TargetMode="External"/><Relationship Id="rId207" Type="http://schemas.openxmlformats.org/officeDocument/2006/relationships/hyperlink" Target="https://drive.google.com/open?id=1ue-ux8Cpjtu4KvYKQh2r03W6M6lNHp9b" TargetMode="External"/><Relationship Id="rId202" Type="http://schemas.openxmlformats.org/officeDocument/2006/relationships/hyperlink" Target="https://drive.google.com/open?id=1fb1kZUsxwv_gjIzVnJtm_GRu7jWNed_G" TargetMode="External"/><Relationship Id="rId201" Type="http://schemas.openxmlformats.org/officeDocument/2006/relationships/hyperlink" Target="https://drive.google.com/open?id=1GxEiAhwlH7M4WPN8nPjG2jL38OmW-Aip" TargetMode="External"/><Relationship Id="rId200" Type="http://schemas.openxmlformats.org/officeDocument/2006/relationships/hyperlink" Target="https://drive.google.com/open?id=1DPKlngYtFBv-gn6PewUNWPkdHUVNdAf2" TargetMode="External"/><Relationship Id="rId190" Type="http://schemas.openxmlformats.org/officeDocument/2006/relationships/hyperlink" Target="https://drive.google.com/open?id=1FxVftOJQbMTy39xSDZVUrPs4_qt5jlpM" TargetMode="External"/><Relationship Id="rId194" Type="http://schemas.openxmlformats.org/officeDocument/2006/relationships/hyperlink" Target="https://drive.google.com/open?id=1QLYz4aGs7sF9ZA1Q_5cIvbLOJuHeUZf1" TargetMode="External"/><Relationship Id="rId193" Type="http://schemas.openxmlformats.org/officeDocument/2006/relationships/hyperlink" Target="https://drive.google.com/open?id=1Z3BeLu5D2jBEhJqICjk59kRy88moBjh9" TargetMode="External"/><Relationship Id="rId192" Type="http://schemas.openxmlformats.org/officeDocument/2006/relationships/hyperlink" Target="https://drive.google.com/open?id=1kMBBH923ckK6I3mfH4KL2LV9ffHlHMRm" TargetMode="External"/><Relationship Id="rId191" Type="http://schemas.openxmlformats.org/officeDocument/2006/relationships/hyperlink" Target="https://drive.google.com/open?id=1AuluL-_XdGuyZR-nuyyqwaokcyu_55gy" TargetMode="External"/><Relationship Id="rId187" Type="http://schemas.openxmlformats.org/officeDocument/2006/relationships/hyperlink" Target="https://drive.google.com/open?id=1Z921VLVGL4V-DzPO2qWrsy_sJnIhsHaG" TargetMode="External"/><Relationship Id="rId186" Type="http://schemas.openxmlformats.org/officeDocument/2006/relationships/hyperlink" Target="https://drive.google.com/open?id=1qID5BX52jnZtKx535FHOvcM-YdZpLWUB" TargetMode="External"/><Relationship Id="rId185" Type="http://schemas.openxmlformats.org/officeDocument/2006/relationships/hyperlink" Target="https://drive.google.com/open?id=1gELbIpdDUVgmmrD4wFp7AgfsDpkZGuio" TargetMode="External"/><Relationship Id="rId184" Type="http://schemas.openxmlformats.org/officeDocument/2006/relationships/hyperlink" Target="https://drive.google.com/open?id=1oHtKKhDC4KQnMG3E3JF_YFX-BuInEMDt" TargetMode="External"/><Relationship Id="rId189" Type="http://schemas.openxmlformats.org/officeDocument/2006/relationships/hyperlink" Target="https://drive.google.com/open?id=1-aRoU-1z9hogdqcWkPsTaYGqXpYYH-WD" TargetMode="External"/><Relationship Id="rId188" Type="http://schemas.openxmlformats.org/officeDocument/2006/relationships/hyperlink" Target="https://drive.google.com/open?id=10l0klJaXRSSdkEThk-FQbIrJc2ryY74D" TargetMode="External"/><Relationship Id="rId183" Type="http://schemas.openxmlformats.org/officeDocument/2006/relationships/hyperlink" Target="https://drive.google.com/open?id=1TPECwCKNhGQy2a6nSAQeDdhd6N0lrh9U" TargetMode="External"/><Relationship Id="rId182" Type="http://schemas.openxmlformats.org/officeDocument/2006/relationships/hyperlink" Target="https://drive.google.com/open?id=17iKZtZHoNF9lo8JjU7KDmXE4178ozFA8" TargetMode="External"/><Relationship Id="rId181" Type="http://schemas.openxmlformats.org/officeDocument/2006/relationships/hyperlink" Target="https://drive.google.com/open?id=1yyjxs7slZUtmGPGTAvILaie_xjyJu5v0" TargetMode="External"/><Relationship Id="rId180" Type="http://schemas.openxmlformats.org/officeDocument/2006/relationships/hyperlink" Target="https://drive.google.com/open?id=1RitpCA1NL59Cr98CXpUkHL0g0_OdEVqI" TargetMode="External"/><Relationship Id="rId176" Type="http://schemas.openxmlformats.org/officeDocument/2006/relationships/hyperlink" Target="https://drive.google.com/open?id=1X5-dMidjBHdOyo90FwgFkdU_7hTrD6iR" TargetMode="External"/><Relationship Id="rId175" Type="http://schemas.openxmlformats.org/officeDocument/2006/relationships/hyperlink" Target="https://drive.google.com/open?id=1KKGtaq5GZLret3IA_PBGmysy9nnWrfqb" TargetMode="External"/><Relationship Id="rId174" Type="http://schemas.openxmlformats.org/officeDocument/2006/relationships/hyperlink" Target="https://drive.google.com/open?id=1f94s200c2aJ8-D01M1jsKM_f5UVJQI4P" TargetMode="External"/><Relationship Id="rId173" Type="http://schemas.openxmlformats.org/officeDocument/2006/relationships/hyperlink" Target="https://drive.google.com/open?id=1d53Z83IH6uTnP6_e1rTc7B2rYFvzwbgs" TargetMode="External"/><Relationship Id="rId179" Type="http://schemas.openxmlformats.org/officeDocument/2006/relationships/hyperlink" Target="https://drive.google.com/open?id=1zGU_nScoebuJRKY58U95WF0gjYoSO5rU" TargetMode="External"/><Relationship Id="rId178" Type="http://schemas.openxmlformats.org/officeDocument/2006/relationships/hyperlink" Target="https://drive.google.com/open?id=1dum9P0ybRNMtzfRuAqmPvSgnf5YbCylF" TargetMode="External"/><Relationship Id="rId177" Type="http://schemas.openxmlformats.org/officeDocument/2006/relationships/hyperlink" Target="https://drive.google.com/open?id=191m4Py2VmJsLXOuKESJH2Y4SC417zdZa" TargetMode="External"/><Relationship Id="rId198" Type="http://schemas.openxmlformats.org/officeDocument/2006/relationships/hyperlink" Target="https://drive.google.com/open?id=1z5qoRRucviC5eUfLACdXTrCC2XiPEf43" TargetMode="External"/><Relationship Id="rId197" Type="http://schemas.openxmlformats.org/officeDocument/2006/relationships/hyperlink" Target="https://drive.google.com/open?id=16EfPgRXMhvxftfQn2lOB95XlCGLdnHj1" TargetMode="External"/><Relationship Id="rId196" Type="http://schemas.openxmlformats.org/officeDocument/2006/relationships/hyperlink" Target="https://drive.google.com/open?id=15mXcrJWvc_Bt4LtGjORyDGzgxM4EsoY4" TargetMode="External"/><Relationship Id="rId195" Type="http://schemas.openxmlformats.org/officeDocument/2006/relationships/hyperlink" Target="https://drive.google.com/open?id=1WoNqhsPCw6CpuDo8tV4jbAOng5RVqDp9" TargetMode="External"/><Relationship Id="rId199" Type="http://schemas.openxmlformats.org/officeDocument/2006/relationships/hyperlink" Target="https://drive.google.com/open?id=1x_BIXTfnRCH2PgNshJvtshZ-vF1cnHZB" TargetMode="External"/><Relationship Id="rId150" Type="http://schemas.openxmlformats.org/officeDocument/2006/relationships/hyperlink" Target="https://drive.google.com/open?id=1zIw39WOTbilnopqS8otfGZVLqjHOITzf" TargetMode="External"/><Relationship Id="rId149" Type="http://schemas.openxmlformats.org/officeDocument/2006/relationships/hyperlink" Target="https://drive.google.com/open?id=1AEoFVZCs9R_i8Uv2eghRNXDGCyuNGV0o" TargetMode="External"/><Relationship Id="rId148" Type="http://schemas.openxmlformats.org/officeDocument/2006/relationships/hyperlink" Target="https://drive.google.com/open?id=1vLiS16Riy3Hj4jFCZrDTX0Cb76lK2kbJ" TargetMode="External"/><Relationship Id="rId143" Type="http://schemas.openxmlformats.org/officeDocument/2006/relationships/hyperlink" Target="https://drive.google.com/open?id=1Vxws7ZxDedUtYqFillrfxBzIEcuaxcWk" TargetMode="External"/><Relationship Id="rId142" Type="http://schemas.openxmlformats.org/officeDocument/2006/relationships/hyperlink" Target="https://drive.google.com/open?id=1rlyRDaJkOzJm8bRKFhsUN4GOZtLeTbfr" TargetMode="External"/><Relationship Id="rId141" Type="http://schemas.openxmlformats.org/officeDocument/2006/relationships/hyperlink" Target="https://drive.google.com/open?id=1W3oP3DP3rBsp9RzvPebwIkHwjDigEuNA" TargetMode="External"/><Relationship Id="rId140" Type="http://schemas.openxmlformats.org/officeDocument/2006/relationships/hyperlink" Target="https://drive.google.com/open?id=13J5UeAwZr8LZBFvHLWWmLBzpzuvdaHp2" TargetMode="External"/><Relationship Id="rId147" Type="http://schemas.openxmlformats.org/officeDocument/2006/relationships/hyperlink" Target="https://drive.google.com/open?id=1HhDM8hSHUy6Hc125dGJEBpi8IbmayzsU" TargetMode="External"/><Relationship Id="rId146" Type="http://schemas.openxmlformats.org/officeDocument/2006/relationships/hyperlink" Target="https://drive.google.com/open?id=1OdCqgTpFdMXyL2wGRwlzJQF7OcVDOTkQ" TargetMode="External"/><Relationship Id="rId145" Type="http://schemas.openxmlformats.org/officeDocument/2006/relationships/hyperlink" Target="https://drive.google.com/open?id=1Q7aSFHIxNaHu-8QlEtAsaIFUj0e-lslA" TargetMode="External"/><Relationship Id="rId144" Type="http://schemas.openxmlformats.org/officeDocument/2006/relationships/hyperlink" Target="https://drive.google.com/open?id=1jHinSiZ9D-5a7iuvZ8of0MssCzGQHKS6" TargetMode="External"/><Relationship Id="rId139" Type="http://schemas.openxmlformats.org/officeDocument/2006/relationships/hyperlink" Target="https://drive.google.com/open?id=1F7iTjzsHnuIodbVpb33cwJfk7_1LM-9l" TargetMode="External"/><Relationship Id="rId138" Type="http://schemas.openxmlformats.org/officeDocument/2006/relationships/hyperlink" Target="https://drive.google.com/open?id=1tVbui3IpKcHFKD1bNKAkcM4ru9WczXoG" TargetMode="External"/><Relationship Id="rId137" Type="http://schemas.openxmlformats.org/officeDocument/2006/relationships/hyperlink" Target="https://drive.google.com/open?id=1Tg_9Zl6ggrHhx7AJjufvYTUhaC5608Su" TargetMode="External"/><Relationship Id="rId132" Type="http://schemas.openxmlformats.org/officeDocument/2006/relationships/hyperlink" Target="https://drive.google.com/open?id=1BM7zfaq9nhB2UA45kz0lUnEv5gHDG3Gd" TargetMode="External"/><Relationship Id="rId131" Type="http://schemas.openxmlformats.org/officeDocument/2006/relationships/hyperlink" Target="https://drive.google.com/open?id=1McGay_zEnuYV7_C0DLAirQ8wZ8zoD7xk" TargetMode="External"/><Relationship Id="rId130" Type="http://schemas.openxmlformats.org/officeDocument/2006/relationships/hyperlink" Target="https://drive.google.com/open?id=11dwcyzHKey-Qjswz26kVyFcRmb_znhxm" TargetMode="External"/><Relationship Id="rId136" Type="http://schemas.openxmlformats.org/officeDocument/2006/relationships/hyperlink" Target="https://drive.google.com/open?id=1W_NOCuAPkMT5-7uZY2yLpkRH3sDF2yBb" TargetMode="External"/><Relationship Id="rId135" Type="http://schemas.openxmlformats.org/officeDocument/2006/relationships/hyperlink" Target="https://drive.google.com/open?id=1pwG9BM12sfB_tRjhDTqD7cY1CDD1QwDY" TargetMode="External"/><Relationship Id="rId134" Type="http://schemas.openxmlformats.org/officeDocument/2006/relationships/hyperlink" Target="https://drive.google.com/open?id=15jQXeRCr_UZiP-hfR59DPeR33fQ64tnE" TargetMode="External"/><Relationship Id="rId133" Type="http://schemas.openxmlformats.org/officeDocument/2006/relationships/hyperlink" Target="https://drive.google.com/open?id=1C15t6nORIzHNmH0Srb6akMdRBN_UHjiv" TargetMode="External"/><Relationship Id="rId172" Type="http://schemas.openxmlformats.org/officeDocument/2006/relationships/hyperlink" Target="https://drive.google.com/open?id=1RiYNFJLyXRcHF4OU9iWJ_kKYyQDAByBf" TargetMode="External"/><Relationship Id="rId171" Type="http://schemas.openxmlformats.org/officeDocument/2006/relationships/hyperlink" Target="https://drive.google.com/open?id=1w7Nn7fnaelGzhVWNrJIoFAwtxc99uNTN" TargetMode="External"/><Relationship Id="rId170" Type="http://schemas.openxmlformats.org/officeDocument/2006/relationships/hyperlink" Target="https://drive.google.com/open?id=1W-GEi_AHJJKbI5qy-Xka1C4tkYjzijrv" TargetMode="External"/><Relationship Id="rId165" Type="http://schemas.openxmlformats.org/officeDocument/2006/relationships/hyperlink" Target="https://drive.google.com/open?id=1JyesfyG9sdretzSNeYQ2p7xsGi1Vlmbs" TargetMode="External"/><Relationship Id="rId164" Type="http://schemas.openxmlformats.org/officeDocument/2006/relationships/hyperlink" Target="https://drive.google.com/open?id=1xgzZEYjYgnECYBJzQfcqwASeVfjyLZC-" TargetMode="External"/><Relationship Id="rId163" Type="http://schemas.openxmlformats.org/officeDocument/2006/relationships/hyperlink" Target="https://drive.google.com/open?id=1eAZkMaFzM15aJQj0CiTTAt64qhQxtlMe" TargetMode="External"/><Relationship Id="rId162" Type="http://schemas.openxmlformats.org/officeDocument/2006/relationships/hyperlink" Target="https://drive.google.com/open?id=1S0p5CNARv6AIh0jkY2b963wPxgWr77iY" TargetMode="External"/><Relationship Id="rId169" Type="http://schemas.openxmlformats.org/officeDocument/2006/relationships/hyperlink" Target="https://drive.google.com/open?id=1q70iM5ZuSozWqArmkj9LmZgssRwVJcUV" TargetMode="External"/><Relationship Id="rId168" Type="http://schemas.openxmlformats.org/officeDocument/2006/relationships/hyperlink" Target="https://drive.google.com/open?id=12_srua-2bN288erbcYac-deqxTpCBmIW" TargetMode="External"/><Relationship Id="rId167" Type="http://schemas.openxmlformats.org/officeDocument/2006/relationships/hyperlink" Target="https://drive.google.com/open?id=1D9VJrTOe4CseoWGyhcXBEAT02CSp62P6" TargetMode="External"/><Relationship Id="rId166" Type="http://schemas.openxmlformats.org/officeDocument/2006/relationships/hyperlink" Target="https://drive.google.com/open?id=1Yom3pKy4Tkgt9RrqNFbH2LIJ7nyblof1" TargetMode="External"/><Relationship Id="rId161" Type="http://schemas.openxmlformats.org/officeDocument/2006/relationships/hyperlink" Target="https://drive.google.com/open?id=1zG2hfJx1FiAxx-aMGpfLompju4QVYhBE" TargetMode="External"/><Relationship Id="rId160" Type="http://schemas.openxmlformats.org/officeDocument/2006/relationships/hyperlink" Target="https://drive.google.com/open?id=1iebwTBXwTYrugaMqKMKl6bj1uGidMTeG" TargetMode="External"/><Relationship Id="rId159" Type="http://schemas.openxmlformats.org/officeDocument/2006/relationships/hyperlink" Target="https://drive.google.com/open?id=11tvcZC2B6NAxoyFWA5BgpbovXc-a3Nv7" TargetMode="External"/><Relationship Id="rId154" Type="http://schemas.openxmlformats.org/officeDocument/2006/relationships/hyperlink" Target="https://drive.google.com/open?id=18seBZorcjr3O70OKP_3pPmnzYScR3v6i" TargetMode="External"/><Relationship Id="rId153" Type="http://schemas.openxmlformats.org/officeDocument/2006/relationships/hyperlink" Target="https://drive.google.com/open?id=1Wd9ZHAz5yyCDZGziuamZ_KhEPJWFqAfM" TargetMode="External"/><Relationship Id="rId152" Type="http://schemas.openxmlformats.org/officeDocument/2006/relationships/hyperlink" Target="https://drive.google.com/open?id=1yglCYVQ199qx5k15o7caTfXUWiGv0Jfi" TargetMode="External"/><Relationship Id="rId151" Type="http://schemas.openxmlformats.org/officeDocument/2006/relationships/hyperlink" Target="https://drive.google.com/open?id=1hkVUsy0h-xVJYXHA9uKl-06xHAobIvjm" TargetMode="External"/><Relationship Id="rId158" Type="http://schemas.openxmlformats.org/officeDocument/2006/relationships/hyperlink" Target="https://drive.google.com/open?id=1fkfNt3Enmx67ukXQijvhGeQwlv7OqiGp" TargetMode="External"/><Relationship Id="rId157" Type="http://schemas.openxmlformats.org/officeDocument/2006/relationships/hyperlink" Target="https://drive.google.com/open?id=1JN1omyDFwhZ6DQdL14ffHMt9A0htX21g" TargetMode="External"/><Relationship Id="rId156" Type="http://schemas.openxmlformats.org/officeDocument/2006/relationships/hyperlink" Target="https://drive.google.com/open?id=1Np-pIt1IdoqAq_K8OBZRls1Bm7DjtjSq" TargetMode="External"/><Relationship Id="rId155" Type="http://schemas.openxmlformats.org/officeDocument/2006/relationships/hyperlink" Target="https://drive.google.com/open?id=16c7c1M1MusHqa3fgQVXKq9D00j0pivXc" TargetMode="External"/><Relationship Id="rId107" Type="http://schemas.openxmlformats.org/officeDocument/2006/relationships/hyperlink" Target="https://drive.google.com/open?id=1jQmw3Ie7xSNvHnUNz9e96ERK-Ud-Slz5" TargetMode="External"/><Relationship Id="rId106" Type="http://schemas.openxmlformats.org/officeDocument/2006/relationships/hyperlink" Target="https://drive.google.com/open?id=1xIIq1nYwFHorwLkBW_zDqAC1A5tdIh8Q" TargetMode="External"/><Relationship Id="rId105" Type="http://schemas.openxmlformats.org/officeDocument/2006/relationships/hyperlink" Target="https://drive.google.com/open?id=1OcrvTBzPmFZ0bGCM7fryutUkjhGhJYh5" TargetMode="External"/><Relationship Id="rId104" Type="http://schemas.openxmlformats.org/officeDocument/2006/relationships/hyperlink" Target="https://drive.google.com/open?id=1o8ldw801tLElIfAhRl2UosClrwPyDlUF" TargetMode="External"/><Relationship Id="rId109" Type="http://schemas.openxmlformats.org/officeDocument/2006/relationships/hyperlink" Target="https://drive.google.com/open?id=1lSazFEIzDqFFXObzM2CoBuKoIgGVlXCw" TargetMode="External"/><Relationship Id="rId108" Type="http://schemas.openxmlformats.org/officeDocument/2006/relationships/hyperlink" Target="https://drive.google.com/open?id=1XJ6SeZ_hy3OjpGyqWE0RO2fvlFNqQ9wb" TargetMode="External"/><Relationship Id="rId103" Type="http://schemas.openxmlformats.org/officeDocument/2006/relationships/hyperlink" Target="https://drive.google.com/open?id=1x1vPPgHRokfeWxX4IGrK3rtEMoNuxZ4y" TargetMode="External"/><Relationship Id="rId102" Type="http://schemas.openxmlformats.org/officeDocument/2006/relationships/hyperlink" Target="https://drive.google.com/open?id=1tjRps7JVzvJ4U_8NLhIsGXmohocnwFRC" TargetMode="External"/><Relationship Id="rId101" Type="http://schemas.openxmlformats.org/officeDocument/2006/relationships/hyperlink" Target="https://drive.google.com/open?id=1Dj1IHiJpi9Lf7RMiYSSBntVBnyCoemGO" TargetMode="External"/><Relationship Id="rId100" Type="http://schemas.openxmlformats.org/officeDocument/2006/relationships/hyperlink" Target="https://drive.google.com/open?id=17si7cirUmJndpGWo3GtEYCMGrK38dDoV" TargetMode="External"/><Relationship Id="rId129" Type="http://schemas.openxmlformats.org/officeDocument/2006/relationships/hyperlink" Target="https://drive.google.com/open?id=1xGu6fOJRvDMwRLBNU3Kd0Ulose5pqrjf" TargetMode="External"/><Relationship Id="rId128" Type="http://schemas.openxmlformats.org/officeDocument/2006/relationships/hyperlink" Target="https://drive.google.com/open?id=1XIuR7daUWGUMTat-Yoq0W9bWN3UpHpcf" TargetMode="External"/><Relationship Id="rId127" Type="http://schemas.openxmlformats.org/officeDocument/2006/relationships/hyperlink" Target="https://drive.google.com/open?id=1sAcrYSuEOcOeoIFyHDZBVlmlqck3MYDm" TargetMode="External"/><Relationship Id="rId126" Type="http://schemas.openxmlformats.org/officeDocument/2006/relationships/hyperlink" Target="https://drive.google.com/open?id=1cURO-VXsTbK6ZoZ8HDDxXySavbQV-XEM" TargetMode="External"/><Relationship Id="rId121" Type="http://schemas.openxmlformats.org/officeDocument/2006/relationships/hyperlink" Target="https://drive.google.com/open?id=16zd3VBlO3IdfTICh8JOvZbYDTeh7-442" TargetMode="External"/><Relationship Id="rId120" Type="http://schemas.openxmlformats.org/officeDocument/2006/relationships/hyperlink" Target="https://drive.google.com/open?id=1Nd4eGUqv6sSL8MquViyInvt8UdolPuv1" TargetMode="External"/><Relationship Id="rId125" Type="http://schemas.openxmlformats.org/officeDocument/2006/relationships/hyperlink" Target="https://drive.google.com/open?id=1mYUOK3K-F97GEKgt0CtUJvMCj1Ut9iVR" TargetMode="External"/><Relationship Id="rId124" Type="http://schemas.openxmlformats.org/officeDocument/2006/relationships/hyperlink" Target="https://drive.google.com/open?id=1QL9q--_GVEuGWpOC3zPdAKUT_Ha5rhv-" TargetMode="External"/><Relationship Id="rId123" Type="http://schemas.openxmlformats.org/officeDocument/2006/relationships/hyperlink" Target="https://drive.google.com/open?id=19zlUndQh5pJmKfNO2-EjhssTuaVWZjGL" TargetMode="External"/><Relationship Id="rId122" Type="http://schemas.openxmlformats.org/officeDocument/2006/relationships/hyperlink" Target="https://drive.google.com/open?id=1M6-zSpYjgfr0BASlp2QUzn_c4XjO8T6i" TargetMode="External"/><Relationship Id="rId118" Type="http://schemas.openxmlformats.org/officeDocument/2006/relationships/hyperlink" Target="https://drive.google.com/open?id=1RW0cM3DT5GM0oQ8k3Q0cM-pY3Bkzk4xa" TargetMode="External"/><Relationship Id="rId117" Type="http://schemas.openxmlformats.org/officeDocument/2006/relationships/hyperlink" Target="https://drive.google.com/open?id=1U4zNBqKNThAe54o7icr_2AYBW3oeP86E" TargetMode="External"/><Relationship Id="rId116" Type="http://schemas.openxmlformats.org/officeDocument/2006/relationships/hyperlink" Target="https://drive.google.com/open?id=1vinEl0B5tg4rSvGazB6MyvSNVNZm97dS" TargetMode="External"/><Relationship Id="rId115" Type="http://schemas.openxmlformats.org/officeDocument/2006/relationships/hyperlink" Target="https://drive.google.com/open?id=1_7V9WKQdECrYmJ4B1k45Qyokl2hvYj3d" TargetMode="External"/><Relationship Id="rId119" Type="http://schemas.openxmlformats.org/officeDocument/2006/relationships/hyperlink" Target="https://drive.google.com/open?id=1I10ymDocU9KshULXlkbs_MaLEpV-PeAS" TargetMode="External"/><Relationship Id="rId110" Type="http://schemas.openxmlformats.org/officeDocument/2006/relationships/hyperlink" Target="https://drive.google.com/open?id=1ML-AQBPz_j8-clf9teLqwOuIGI7Dcpfg" TargetMode="External"/><Relationship Id="rId114" Type="http://schemas.openxmlformats.org/officeDocument/2006/relationships/hyperlink" Target="https://drive.google.com/open?id=1cr5DGy03nmFmZFMxy1SU8HLUYkTAtxEu" TargetMode="External"/><Relationship Id="rId113" Type="http://schemas.openxmlformats.org/officeDocument/2006/relationships/hyperlink" Target="https://drive.google.com/open?id=1ULzhn86Os22MLlFB0nnAUp6trn1SlqXA" TargetMode="External"/><Relationship Id="rId112" Type="http://schemas.openxmlformats.org/officeDocument/2006/relationships/hyperlink" Target="https://drive.google.com/open?id=10vYy2yRzwiezw6ByqFwZcrerK8gpogGu" TargetMode="External"/><Relationship Id="rId111" Type="http://schemas.openxmlformats.org/officeDocument/2006/relationships/hyperlink" Target="https://drive.google.com/open?id=1yt2Df3VcW_0AB69NaxXNmKcQZRhjv1TI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drive.google.com/open?id=1snsrBX1UnEHDW1ZYLbuttCJHV_PROQ0g" TargetMode="External"/><Relationship Id="rId391" Type="http://schemas.openxmlformats.org/officeDocument/2006/relationships/hyperlink" Target="https://drive.google.com/open?id=1LlmpZ_qnGbwpVaiBXux7TglB4Rh5Ters" TargetMode="External"/><Relationship Id="rId390" Type="http://schemas.openxmlformats.org/officeDocument/2006/relationships/hyperlink" Target="https://drive.google.com/open?id=1WKQ6Zat4I6cv91_KTvrVBOEV6xr2MpY5" TargetMode="External"/><Relationship Id="rId1" Type="http://schemas.openxmlformats.org/officeDocument/2006/relationships/hyperlink" Target="https://drive.google.com/open?id=14eo9gXW8eOYIUYK44iYmyknAgotMtBCt" TargetMode="External"/><Relationship Id="rId2" Type="http://schemas.openxmlformats.org/officeDocument/2006/relationships/hyperlink" Target="https://drive.google.com/open?id=17F5rPbYSDTPITykm_JNA5_0jp_oZ9XnU" TargetMode="External"/><Relationship Id="rId3" Type="http://schemas.openxmlformats.org/officeDocument/2006/relationships/hyperlink" Target="https://drive.google.com/open?id=1gwdqE6sXsNJcPK7gyGzJeWLjYnJvNtJD" TargetMode="External"/><Relationship Id="rId4" Type="http://schemas.openxmlformats.org/officeDocument/2006/relationships/hyperlink" Target="https://drive.google.com/open?id=1e27Wps8S69r38ou72yivHyRDm3jqGar8" TargetMode="External"/><Relationship Id="rId9" Type="http://schemas.openxmlformats.org/officeDocument/2006/relationships/hyperlink" Target="https://drive.google.com/open?id=1KqskbhHVrDUN2HojQEHtK5JZwT3Tmxoz" TargetMode="External"/><Relationship Id="rId385" Type="http://schemas.openxmlformats.org/officeDocument/2006/relationships/hyperlink" Target="https://drive.google.com/open?id=1lDoQoKhSD4BIbKrcvBDXhksloXGEnkvG" TargetMode="External"/><Relationship Id="rId384" Type="http://schemas.openxmlformats.org/officeDocument/2006/relationships/hyperlink" Target="https://drive.google.com/open?id=15zLmiPTwGlB263x4Rbuxp5ft-FbLEaKg" TargetMode="External"/><Relationship Id="rId383" Type="http://schemas.openxmlformats.org/officeDocument/2006/relationships/hyperlink" Target="https://drive.google.com/open?id=1GZ6HmXd0Z96Lgo4uEZ3qL3WT5kxQ6Pde" TargetMode="External"/><Relationship Id="rId382" Type="http://schemas.openxmlformats.org/officeDocument/2006/relationships/hyperlink" Target="https://drive.google.com/open?id=1NQc3uCU_vybJQ93r1wFSyFbEWe15DgTn" TargetMode="External"/><Relationship Id="rId5" Type="http://schemas.openxmlformats.org/officeDocument/2006/relationships/hyperlink" Target="https://drive.google.com/open?id=1B4eqhT6xtlTOUszrwY6nfoBTshlHSD4l" TargetMode="External"/><Relationship Id="rId389" Type="http://schemas.openxmlformats.org/officeDocument/2006/relationships/hyperlink" Target="https://drive.google.com/open?id=1uYuYXkdEWryncIHec1p4qelhklqO9KIq" TargetMode="External"/><Relationship Id="rId6" Type="http://schemas.openxmlformats.org/officeDocument/2006/relationships/hyperlink" Target="https://drive.google.com/open?id=10uhrouQE2aJzqQfW3d72BRVy0pAyt6B0" TargetMode="External"/><Relationship Id="rId388" Type="http://schemas.openxmlformats.org/officeDocument/2006/relationships/hyperlink" Target="https://drive.google.com/open?id=12vI9Z20YOFsMeRIFDcYp1nDbnAFwzEYW" TargetMode="External"/><Relationship Id="rId7" Type="http://schemas.openxmlformats.org/officeDocument/2006/relationships/hyperlink" Target="https://drive.google.com/open?id=1Mac7rF7rgHOPwkrJYolg2b5WVbaFmM4I" TargetMode="External"/><Relationship Id="rId387" Type="http://schemas.openxmlformats.org/officeDocument/2006/relationships/hyperlink" Target="https://drive.google.com/open?id=1YXipXLsc-4Z-v_4cuaF6acWtj_t6PegX" TargetMode="External"/><Relationship Id="rId8" Type="http://schemas.openxmlformats.org/officeDocument/2006/relationships/hyperlink" Target="https://drive.google.com/open?id=1sfxhRoYOsW8VWhJuHLcbG3HvHaFmXux_" TargetMode="External"/><Relationship Id="rId386" Type="http://schemas.openxmlformats.org/officeDocument/2006/relationships/hyperlink" Target="https://drive.google.com/open?id=1idI9O8jYBlqxO8yVanfpu18hvzSMfcj_" TargetMode="External"/><Relationship Id="rId381" Type="http://schemas.openxmlformats.org/officeDocument/2006/relationships/hyperlink" Target="https://drive.google.com/open?id=1KZYZ-Lb9-WgsfgcK-Baipk7HTxVfU9w-" TargetMode="External"/><Relationship Id="rId380" Type="http://schemas.openxmlformats.org/officeDocument/2006/relationships/hyperlink" Target="https://drive.google.com/open?id=149E4ROiJYHPw5OBN0KsGUY5hFPqL8gfC" TargetMode="External"/><Relationship Id="rId379" Type="http://schemas.openxmlformats.org/officeDocument/2006/relationships/hyperlink" Target="https://drive.google.com/open?id=1ST4b8Hp_jhQRMiO7hFlz-QG0wtYMcjcr" TargetMode="External"/><Relationship Id="rId374" Type="http://schemas.openxmlformats.org/officeDocument/2006/relationships/hyperlink" Target="https://drive.google.com/open?id=1Ag7a8-iLv_jbwDS4g5LMfd_Qm1mYghCP" TargetMode="External"/><Relationship Id="rId373" Type="http://schemas.openxmlformats.org/officeDocument/2006/relationships/hyperlink" Target="https://drive.google.com/open?id=1dclhAY9hOiRHeG2Veptfo-i5Pl2ti7ub" TargetMode="External"/><Relationship Id="rId372" Type="http://schemas.openxmlformats.org/officeDocument/2006/relationships/hyperlink" Target="https://drive.google.com/open?id=1KVLd8bu3XroEMIX5eGBRLp0Ny1PYDFLa" TargetMode="External"/><Relationship Id="rId371" Type="http://schemas.openxmlformats.org/officeDocument/2006/relationships/hyperlink" Target="https://drive.google.com/open?id=1BSdn0sj7sm_8k8qnMWJVLWe2eDruQRFu" TargetMode="External"/><Relationship Id="rId378" Type="http://schemas.openxmlformats.org/officeDocument/2006/relationships/hyperlink" Target="https://drive.google.com/open?id=1VksBdV3ybINuVdznQDBP-Cr4O1vi219V" TargetMode="External"/><Relationship Id="rId377" Type="http://schemas.openxmlformats.org/officeDocument/2006/relationships/hyperlink" Target="https://drive.google.com/open?id=1xuoVqr0QMgCsvz5rFTo9SVoMb5UeU67O" TargetMode="External"/><Relationship Id="rId376" Type="http://schemas.openxmlformats.org/officeDocument/2006/relationships/hyperlink" Target="https://drive.google.com/open?id=1jRQLjFUB42L-7lWbY9cFdYdWHXICyjt1" TargetMode="External"/><Relationship Id="rId375" Type="http://schemas.openxmlformats.org/officeDocument/2006/relationships/hyperlink" Target="https://drive.google.com/open?id=1DGq3Z9Hv6wdsfDLdxFHWrkfim1dk2reA" TargetMode="External"/><Relationship Id="rId396" Type="http://schemas.openxmlformats.org/officeDocument/2006/relationships/hyperlink" Target="https://drive.google.com/open?id=1TIANKWZqybsJ4s54dnDKxsWmd6fSGmzv" TargetMode="External"/><Relationship Id="rId395" Type="http://schemas.openxmlformats.org/officeDocument/2006/relationships/hyperlink" Target="https://drive.google.com/open?id=18LI4k02AlcJkQR7kYxO2sU6TvLjZRnR2" TargetMode="External"/><Relationship Id="rId394" Type="http://schemas.openxmlformats.org/officeDocument/2006/relationships/hyperlink" Target="https://drive.google.com/open?id=1Gwih3gqGq6Q54ZAYZdM5T7GpIxCh4skf" TargetMode="External"/><Relationship Id="rId393" Type="http://schemas.openxmlformats.org/officeDocument/2006/relationships/hyperlink" Target="https://drive.google.com/open?id=1UtdWvpvtlF3ujQ68A99h3BMwzhOk8LTf" TargetMode="External"/><Relationship Id="rId399" Type="http://schemas.openxmlformats.org/officeDocument/2006/relationships/hyperlink" Target="https://drive.google.com/open?id=1Ajs9l4X8WbxrWo2002eOfyCA9CGdMv9p" TargetMode="External"/><Relationship Id="rId398" Type="http://schemas.openxmlformats.org/officeDocument/2006/relationships/hyperlink" Target="https://drive.google.com/open?id=1ag8xXp9J_hg2avLex4CCudLV_lqvxbz9" TargetMode="External"/><Relationship Id="rId397" Type="http://schemas.openxmlformats.org/officeDocument/2006/relationships/hyperlink" Target="https://drive.google.com/open?id=19J4nmDFGt6M9WCEJQNAyedpsrJrnPnSO" TargetMode="External"/><Relationship Id="rId808" Type="http://schemas.openxmlformats.org/officeDocument/2006/relationships/hyperlink" Target="https://drive.google.com/open?id=1llYo10JQs3t2yqtSU4o1hl2_WS4jzYWJ" TargetMode="External"/><Relationship Id="rId807" Type="http://schemas.openxmlformats.org/officeDocument/2006/relationships/hyperlink" Target="https://drive.google.com/open?id=1YFG6xR_-ADfNDfQWwb38Z8FqOFx8Yspl" TargetMode="External"/><Relationship Id="rId806" Type="http://schemas.openxmlformats.org/officeDocument/2006/relationships/hyperlink" Target="https://drive.google.com/open?id=13zrr5rsPYOON-9ElRKxEmu1OwwEmPLdu" TargetMode="External"/><Relationship Id="rId805" Type="http://schemas.openxmlformats.org/officeDocument/2006/relationships/hyperlink" Target="https://drive.google.com/open?id=1AAnZB2oSp-Ha8UK9UYXlq_3Rt2kyjD_4" TargetMode="External"/><Relationship Id="rId809" Type="http://schemas.openxmlformats.org/officeDocument/2006/relationships/hyperlink" Target="https://drive.google.com/open?id=1vfCTXCS2ZNJ8gCEBvF7GD47mHNd239iX" TargetMode="External"/><Relationship Id="rId800" Type="http://schemas.openxmlformats.org/officeDocument/2006/relationships/hyperlink" Target="https://drive.google.com/open?id=1UTdLN093ULs_opm2gWLhbT4nxxEA7xrK" TargetMode="External"/><Relationship Id="rId804" Type="http://schemas.openxmlformats.org/officeDocument/2006/relationships/hyperlink" Target="https://drive.google.com/open?id=14eXy96fCqreoiYmXDBBIwJdrJh-NT4wc" TargetMode="External"/><Relationship Id="rId803" Type="http://schemas.openxmlformats.org/officeDocument/2006/relationships/hyperlink" Target="https://drive.google.com/open?id=1D4GEXH2SAV5VEE4QhU5a0SH1aHjM7GrQ" TargetMode="External"/><Relationship Id="rId802" Type="http://schemas.openxmlformats.org/officeDocument/2006/relationships/hyperlink" Target="https://drive.google.com/open?id=1rMdt-L1CXt6MCuVpkNfkCGb1mZhRY_MH" TargetMode="External"/><Relationship Id="rId801" Type="http://schemas.openxmlformats.org/officeDocument/2006/relationships/hyperlink" Target="https://drive.google.com/open?id=1CEru8dTh4f7rj9U5F6onvoodMXKKH0LG" TargetMode="External"/><Relationship Id="rId40" Type="http://schemas.openxmlformats.org/officeDocument/2006/relationships/hyperlink" Target="https://drive.google.com/open?id=1snLSTDItYM6XqrV7D2RDPUr_OFCaKzBn" TargetMode="External"/><Relationship Id="rId42" Type="http://schemas.openxmlformats.org/officeDocument/2006/relationships/hyperlink" Target="https://drive.google.com/open?id=17WoFN9WMB3spWhb84feUEwJqfHh35LmO" TargetMode="External"/><Relationship Id="rId41" Type="http://schemas.openxmlformats.org/officeDocument/2006/relationships/hyperlink" Target="https://drive.google.com/open?id=1DXcdXzCkOcbyhBhLXOKT4jhAX9XdM3_G" TargetMode="External"/><Relationship Id="rId44" Type="http://schemas.openxmlformats.org/officeDocument/2006/relationships/hyperlink" Target="https://drive.google.com/open?id=1RxUqwi4Bbgsj0-AYaZjFPewNmTLYF7RM" TargetMode="External"/><Relationship Id="rId43" Type="http://schemas.openxmlformats.org/officeDocument/2006/relationships/hyperlink" Target="https://drive.google.com/open?id=1sQlYEdwj_KjmRMuHxd_Ck5LyLI73v53O" TargetMode="External"/><Relationship Id="rId46" Type="http://schemas.openxmlformats.org/officeDocument/2006/relationships/hyperlink" Target="https://drive.google.com/open?id=1bH4XKH46QEMsaBFlfL864MyY17Fp4rhR" TargetMode="External"/><Relationship Id="rId45" Type="http://schemas.openxmlformats.org/officeDocument/2006/relationships/hyperlink" Target="https://drive.google.com/open?id=1rvgWR3i5McsxAnq_-ne6ZbqkJcF31fxr" TargetMode="External"/><Relationship Id="rId745" Type="http://schemas.openxmlformats.org/officeDocument/2006/relationships/hyperlink" Target="https://drive.google.com/open?id=1vab-aGCM7FyaC7Y0pEaAc_0XZ6-r0OzH" TargetMode="External"/><Relationship Id="rId744" Type="http://schemas.openxmlformats.org/officeDocument/2006/relationships/hyperlink" Target="https://drive.google.com/open?id=1Q2n0mXaKlUEeO5M795EX-jFEZ0xSWh68" TargetMode="External"/><Relationship Id="rId743" Type="http://schemas.openxmlformats.org/officeDocument/2006/relationships/hyperlink" Target="https://drive.google.com/open?id=1RHTly3KtLA2VE2Eew85KS4z7m-fNtojh" TargetMode="External"/><Relationship Id="rId742" Type="http://schemas.openxmlformats.org/officeDocument/2006/relationships/hyperlink" Target="https://drive.google.com/open?id=1QmNHfiGs8pjniPyzsr-2ekX1fmlSn0aF" TargetMode="External"/><Relationship Id="rId749" Type="http://schemas.openxmlformats.org/officeDocument/2006/relationships/hyperlink" Target="https://drive.google.com/open?id=12W-4puaia8y5O-SVRl5fEYhkS4pnLs_z" TargetMode="External"/><Relationship Id="rId748" Type="http://schemas.openxmlformats.org/officeDocument/2006/relationships/hyperlink" Target="https://drive.google.com/open?id=1XDOI7CzEaovv5Qsf-9dR4dg-xTwYeyQS" TargetMode="External"/><Relationship Id="rId747" Type="http://schemas.openxmlformats.org/officeDocument/2006/relationships/hyperlink" Target="https://drive.google.com/open?id=1wIUsSwoDG72g_RXHE58R2o9-qpLpNGTI" TargetMode="External"/><Relationship Id="rId746" Type="http://schemas.openxmlformats.org/officeDocument/2006/relationships/hyperlink" Target="https://drive.google.com/open?id=10wwsgCxoHpJHdCKLzaeTEQSxgg5CNVE3" TargetMode="External"/><Relationship Id="rId48" Type="http://schemas.openxmlformats.org/officeDocument/2006/relationships/hyperlink" Target="https://drive.google.com/open?id=1bXQldzL7MuT1C-ThtJPgBjxOiWEm41c6" TargetMode="External"/><Relationship Id="rId47" Type="http://schemas.openxmlformats.org/officeDocument/2006/relationships/hyperlink" Target="https://drive.google.com/open?id=1e_2MubAzEkdFujWjr27BAhXJYOS91CyG" TargetMode="External"/><Relationship Id="rId49" Type="http://schemas.openxmlformats.org/officeDocument/2006/relationships/hyperlink" Target="https://drive.google.com/open?id=16P-7gXP6ohJrWg3eywzto-usP9EqpkTz" TargetMode="External"/><Relationship Id="rId741" Type="http://schemas.openxmlformats.org/officeDocument/2006/relationships/hyperlink" Target="https://drive.google.com/open?id=11SXHwZeXUzo1NM2pMLdOB3iDiz8RqLgK" TargetMode="External"/><Relationship Id="rId740" Type="http://schemas.openxmlformats.org/officeDocument/2006/relationships/hyperlink" Target="https://drive.google.com/open?id=1By7g0uHquXG03VzrPEhz8G2ldN9jVbFx" TargetMode="External"/><Relationship Id="rId31" Type="http://schemas.openxmlformats.org/officeDocument/2006/relationships/hyperlink" Target="https://drive.google.com/open?id=1y5dyz-4_Rx96Ob2UHhlEn0uTeO_arITJ" TargetMode="External"/><Relationship Id="rId30" Type="http://schemas.openxmlformats.org/officeDocument/2006/relationships/hyperlink" Target="https://drive.google.com/open?id=1xi_3_KryNHfhuwsF0rmwH-Qd-mqYuTLU" TargetMode="External"/><Relationship Id="rId33" Type="http://schemas.openxmlformats.org/officeDocument/2006/relationships/hyperlink" Target="https://drive.google.com/open?id=11rW9SYSxFKwYAVVe4rjhiUeQzmiKRoi5" TargetMode="External"/><Relationship Id="rId32" Type="http://schemas.openxmlformats.org/officeDocument/2006/relationships/hyperlink" Target="https://drive.google.com/open?id=1GoETtWDzIgW_oAaP0040Hr6PSwh-t3GB" TargetMode="External"/><Relationship Id="rId35" Type="http://schemas.openxmlformats.org/officeDocument/2006/relationships/hyperlink" Target="https://drive.google.com/open?id=1QJRz-EbuXy_d6ZWpHTsrEjjdIKElpk0-" TargetMode="External"/><Relationship Id="rId34" Type="http://schemas.openxmlformats.org/officeDocument/2006/relationships/hyperlink" Target="https://drive.google.com/open?id=1FbWAOVoOljNV934Luz8kVJsk5CN-9IFP" TargetMode="External"/><Relationship Id="rId739" Type="http://schemas.openxmlformats.org/officeDocument/2006/relationships/hyperlink" Target="https://drive.google.com/open?id=18iUj1k1QwIrc-Bv3OneC4hc1Ju8un5b3" TargetMode="External"/><Relationship Id="rId734" Type="http://schemas.openxmlformats.org/officeDocument/2006/relationships/hyperlink" Target="https://drive.google.com/open?id=11QIVXpKl8nmMhftEmPza2woDd24enh_5" TargetMode="External"/><Relationship Id="rId733" Type="http://schemas.openxmlformats.org/officeDocument/2006/relationships/hyperlink" Target="https://drive.google.com/open?id=1mPgH4Ti9QNwD0cJ6YxK72lRRrcYcrSWy" TargetMode="External"/><Relationship Id="rId732" Type="http://schemas.openxmlformats.org/officeDocument/2006/relationships/hyperlink" Target="https://drive.google.com/open?id=1RhvjdZan2Y7pOiUtb7Kc2957q8ZfKrn3" TargetMode="External"/><Relationship Id="rId731" Type="http://schemas.openxmlformats.org/officeDocument/2006/relationships/hyperlink" Target="https://drive.google.com/open?id=1ofFzj4EMnMxKmbbteDPXy2h0yhYH_ggR" TargetMode="External"/><Relationship Id="rId738" Type="http://schemas.openxmlformats.org/officeDocument/2006/relationships/hyperlink" Target="https://drive.google.com/open?id=1D8hNi8Rv2Tgf3-YiALN1Xd7O8OOdDial" TargetMode="External"/><Relationship Id="rId737" Type="http://schemas.openxmlformats.org/officeDocument/2006/relationships/hyperlink" Target="https://drive.google.com/open?id=1Qr7ELUuoKkSBhS6nToTnaYgyoEQ5ajIq" TargetMode="External"/><Relationship Id="rId736" Type="http://schemas.openxmlformats.org/officeDocument/2006/relationships/hyperlink" Target="https://drive.google.com/open?id=1XwiWjy-zHLnZXEvsTIOxWdhJGDD7101c" TargetMode="External"/><Relationship Id="rId735" Type="http://schemas.openxmlformats.org/officeDocument/2006/relationships/hyperlink" Target="https://drive.google.com/open?id=1d1MpZG-dlaB5a1NtwTpdarZaeEvy-E4H" TargetMode="External"/><Relationship Id="rId37" Type="http://schemas.openxmlformats.org/officeDocument/2006/relationships/hyperlink" Target="https://drive.google.com/open?id=1x3HYhUw40jhSMb8RRJ3qW95BZmPslygK" TargetMode="External"/><Relationship Id="rId36" Type="http://schemas.openxmlformats.org/officeDocument/2006/relationships/hyperlink" Target="https://drive.google.com/open?id=1nv45MlqTCMcGUrLqupfue2-EpTWrTG8c" TargetMode="External"/><Relationship Id="rId39" Type="http://schemas.openxmlformats.org/officeDocument/2006/relationships/hyperlink" Target="https://drive.google.com/open?id=1yr0kBqoZsc_zc9qQEBxEHDJokNdQsJKu" TargetMode="External"/><Relationship Id="rId38" Type="http://schemas.openxmlformats.org/officeDocument/2006/relationships/hyperlink" Target="https://drive.google.com/open?id=1cPx_WF0s9doUfM1_GkZe3bOU5GdjrSt5" TargetMode="External"/><Relationship Id="rId730" Type="http://schemas.openxmlformats.org/officeDocument/2006/relationships/hyperlink" Target="https://drive.google.com/open?id=1hkrTRHP8Orig-lnkDNuGA2Pr-tRy5NC6" TargetMode="External"/><Relationship Id="rId20" Type="http://schemas.openxmlformats.org/officeDocument/2006/relationships/hyperlink" Target="https://drive.google.com/open?id=1TygJTBULgKD7q8GeQR5toar9zOHjDVEh" TargetMode="External"/><Relationship Id="rId22" Type="http://schemas.openxmlformats.org/officeDocument/2006/relationships/hyperlink" Target="https://drive.google.com/open?id=1XowCNI-6kjv_bJYJ1OROc-hXPvbArvwA" TargetMode="External"/><Relationship Id="rId21" Type="http://schemas.openxmlformats.org/officeDocument/2006/relationships/hyperlink" Target="https://drive.google.com/open?id=1nfPh1Cv_7Q_0fIvYBaESrOMN0havByVR" TargetMode="External"/><Relationship Id="rId24" Type="http://schemas.openxmlformats.org/officeDocument/2006/relationships/hyperlink" Target="https://drive.google.com/open?id=1302qP7fBAPWTJKjCTBqpo-demIxhqNXY" TargetMode="External"/><Relationship Id="rId23" Type="http://schemas.openxmlformats.org/officeDocument/2006/relationships/hyperlink" Target="https://drive.google.com/open?id=1ScZ7IOZPdhhfDJUXPF-CMEI1xDbJyAAv" TargetMode="External"/><Relationship Id="rId767" Type="http://schemas.openxmlformats.org/officeDocument/2006/relationships/hyperlink" Target="https://drive.google.com/open?id=1BvJG3U0KECbQUfsMfSh39YPp73Wk0vZh" TargetMode="External"/><Relationship Id="rId766" Type="http://schemas.openxmlformats.org/officeDocument/2006/relationships/hyperlink" Target="https://drive.google.com/open?id=1G9rmmn-ZjZBxHhNYW_omxjVG_QBcI_y9" TargetMode="External"/><Relationship Id="rId765" Type="http://schemas.openxmlformats.org/officeDocument/2006/relationships/hyperlink" Target="https://drive.google.com/open?id=1mk3sRRKl-NEUYwVS9X0-xDctCGhfWIYG" TargetMode="External"/><Relationship Id="rId764" Type="http://schemas.openxmlformats.org/officeDocument/2006/relationships/hyperlink" Target="https://drive.google.com/open?id=11WuTovLGheE5cgLipjVacII_ZKcAysoF" TargetMode="External"/><Relationship Id="rId769" Type="http://schemas.openxmlformats.org/officeDocument/2006/relationships/hyperlink" Target="https://drive.google.com/open?id=1R-0tk38P5_l0xf4FOfM7kOkcGZHOhmeV" TargetMode="External"/><Relationship Id="rId768" Type="http://schemas.openxmlformats.org/officeDocument/2006/relationships/hyperlink" Target="https://drive.google.com/open?id=1uPpc4heA-EIK7rzabSlGhnvGQL5O_O3D" TargetMode="External"/><Relationship Id="rId26" Type="http://schemas.openxmlformats.org/officeDocument/2006/relationships/hyperlink" Target="https://drive.google.com/open?id=1nCmT-2MVzYJ2cSjKXQ-RXQr60oPUlD_K" TargetMode="External"/><Relationship Id="rId25" Type="http://schemas.openxmlformats.org/officeDocument/2006/relationships/hyperlink" Target="https://drive.google.com/open?id=1Eri7YtVm9NkUJ8-580CvasGTHTCxPe_F" TargetMode="External"/><Relationship Id="rId28" Type="http://schemas.openxmlformats.org/officeDocument/2006/relationships/hyperlink" Target="https://drive.google.com/open?id=1jyPW79fPV6fSlK6LANHzYP9sopxjR-lO" TargetMode="External"/><Relationship Id="rId27" Type="http://schemas.openxmlformats.org/officeDocument/2006/relationships/hyperlink" Target="https://drive.google.com/open?id=1_fCZDqKNIBX0w3m-dkaM6PGiYSEGIZC1" TargetMode="External"/><Relationship Id="rId763" Type="http://schemas.openxmlformats.org/officeDocument/2006/relationships/hyperlink" Target="https://drive.google.com/open?id=1Y1lRJZRsNM4298cibgP6Hql_QBpJYvFE" TargetMode="External"/><Relationship Id="rId29" Type="http://schemas.openxmlformats.org/officeDocument/2006/relationships/hyperlink" Target="https://drive.google.com/open?id=1qLwO9j6QWJqkrVFTFe1r7bBOvBWyxMrR" TargetMode="External"/><Relationship Id="rId762" Type="http://schemas.openxmlformats.org/officeDocument/2006/relationships/hyperlink" Target="https://drive.google.com/open?id=1i99vuhDdYPsj89C6yFHZwei1q06O4W3V" TargetMode="External"/><Relationship Id="rId761" Type="http://schemas.openxmlformats.org/officeDocument/2006/relationships/hyperlink" Target="https://drive.google.com/open?id=1S-sa0bDw6pEogW6V06lra53ivgXymVQC" TargetMode="External"/><Relationship Id="rId760" Type="http://schemas.openxmlformats.org/officeDocument/2006/relationships/hyperlink" Target="https://drive.google.com/open?id=1Dqk1yXEF0cC_FY_5I8sQH2YPtT5Vs37B" TargetMode="External"/><Relationship Id="rId11" Type="http://schemas.openxmlformats.org/officeDocument/2006/relationships/hyperlink" Target="https://drive.google.com/open?id=1u3KBvWfE8m3AhT0STmxwE86UySa-Bsr1" TargetMode="External"/><Relationship Id="rId10" Type="http://schemas.openxmlformats.org/officeDocument/2006/relationships/hyperlink" Target="https://drive.google.com/open?id=1cIMtORVa3wnEsp897bTMvo0w3xH7ckoV" TargetMode="External"/><Relationship Id="rId13" Type="http://schemas.openxmlformats.org/officeDocument/2006/relationships/hyperlink" Target="https://drive.google.com/open?id=1TQNt9O5qvayRmvqgmj3pkfr5flOfdDtl" TargetMode="External"/><Relationship Id="rId12" Type="http://schemas.openxmlformats.org/officeDocument/2006/relationships/hyperlink" Target="https://drive.google.com/open?id=1kdGC3HxK8cyPhg5MkQpXA8YVXgwBKdYF" TargetMode="External"/><Relationship Id="rId756" Type="http://schemas.openxmlformats.org/officeDocument/2006/relationships/hyperlink" Target="https://drive.google.com/open?id=1pc7N8j3srgy1vhd_haYAPZ9Sex7v_cBA" TargetMode="External"/><Relationship Id="rId755" Type="http://schemas.openxmlformats.org/officeDocument/2006/relationships/hyperlink" Target="https://drive.google.com/open?id=11TXZibIns7mvQ6izHlt9xrZCWbWY4dLF" TargetMode="External"/><Relationship Id="rId754" Type="http://schemas.openxmlformats.org/officeDocument/2006/relationships/hyperlink" Target="https://drive.google.com/open?id=1EeB4cYRC6U7x2-0Kbv6ha-nDZPooXwTp" TargetMode="External"/><Relationship Id="rId753" Type="http://schemas.openxmlformats.org/officeDocument/2006/relationships/hyperlink" Target="https://drive.google.com/open?id=1Cv8md0gsIP4iKgIIBXwad1WgQdK5ISyw" TargetMode="External"/><Relationship Id="rId759" Type="http://schemas.openxmlformats.org/officeDocument/2006/relationships/hyperlink" Target="https://drive.google.com/open?id=1ThfMNbY8oMfSSAkHJAb4oKClNdc8WOmB" TargetMode="External"/><Relationship Id="rId758" Type="http://schemas.openxmlformats.org/officeDocument/2006/relationships/hyperlink" Target="https://drive.google.com/open?id=1QMEd_tbSrf51UmCFYiWNxFMhOMr-EEPa" TargetMode="External"/><Relationship Id="rId757" Type="http://schemas.openxmlformats.org/officeDocument/2006/relationships/hyperlink" Target="https://drive.google.com/open?id=1YphZpIhw5XLTSe6ao9LoikNjHa6p5MjI" TargetMode="External"/><Relationship Id="rId15" Type="http://schemas.openxmlformats.org/officeDocument/2006/relationships/hyperlink" Target="https://drive.google.com/open?id=13TAkbd6WvVwYJiXluYi4yvFFwTDCz6uT" TargetMode="External"/><Relationship Id="rId14" Type="http://schemas.openxmlformats.org/officeDocument/2006/relationships/hyperlink" Target="https://drive.google.com/open?id=1oq2V-UqMhKBxHOEtz1AKdg2zDHkd5tBq" TargetMode="External"/><Relationship Id="rId17" Type="http://schemas.openxmlformats.org/officeDocument/2006/relationships/hyperlink" Target="https://drive.google.com/open?id=1FEcFbJNoMZeOSZ2XRUcnIxmPYpN1mJKR" TargetMode="External"/><Relationship Id="rId16" Type="http://schemas.openxmlformats.org/officeDocument/2006/relationships/hyperlink" Target="https://drive.google.com/open?id=1ig_8iP1h4iycn08YAtmzeVSpDUbm7gtY" TargetMode="External"/><Relationship Id="rId19" Type="http://schemas.openxmlformats.org/officeDocument/2006/relationships/hyperlink" Target="https://drive.google.com/open?id=1o97LtgjQqJ36vf4k-pOxjw_spMpmlq0J" TargetMode="External"/><Relationship Id="rId752" Type="http://schemas.openxmlformats.org/officeDocument/2006/relationships/hyperlink" Target="https://drive.google.com/open?id=1j2mw6sM1IUEEVuUwtVxofYHWaPopJXYe" TargetMode="External"/><Relationship Id="rId18" Type="http://schemas.openxmlformats.org/officeDocument/2006/relationships/hyperlink" Target="https://drive.google.com/open?id=1Jb6MGZ2hFrOwp_ZbSYhLyHoB_QRaMyRJ" TargetMode="External"/><Relationship Id="rId751" Type="http://schemas.openxmlformats.org/officeDocument/2006/relationships/hyperlink" Target="https://drive.google.com/open?id=136Ywux1C_7sFSmnrirrxWLxCBjVfLVU-" TargetMode="External"/><Relationship Id="rId750" Type="http://schemas.openxmlformats.org/officeDocument/2006/relationships/hyperlink" Target="https://drive.google.com/open?id=1pDCrLJoGwIM87gnbXmI5m2jpz07EBK06" TargetMode="External"/><Relationship Id="rId84" Type="http://schemas.openxmlformats.org/officeDocument/2006/relationships/hyperlink" Target="https://drive.google.com/open?id=1PZnuH5tSVB26pRmJlwb2FJMFv4qiaUM3" TargetMode="External"/><Relationship Id="rId83" Type="http://schemas.openxmlformats.org/officeDocument/2006/relationships/hyperlink" Target="https://drive.google.com/open?id=157mtY3fc8QYuVIVtyTbeJ4QX-mMTiq2I" TargetMode="External"/><Relationship Id="rId86" Type="http://schemas.openxmlformats.org/officeDocument/2006/relationships/hyperlink" Target="https://drive.google.com/open?id=14fV7fxncmH55U2ozhPZT7Y_pjan6yvMR" TargetMode="External"/><Relationship Id="rId85" Type="http://schemas.openxmlformats.org/officeDocument/2006/relationships/hyperlink" Target="https://drive.google.com/open?id=1W3R9v_hup1LUCJiss5p917DRrA5R7EIv" TargetMode="External"/><Relationship Id="rId88" Type="http://schemas.openxmlformats.org/officeDocument/2006/relationships/hyperlink" Target="https://drive.google.com/open?id=1gac_Nud4F4G8I9PCCa9D0Btcm3uOxWZQ" TargetMode="External"/><Relationship Id="rId87" Type="http://schemas.openxmlformats.org/officeDocument/2006/relationships/hyperlink" Target="https://drive.google.com/open?id=1Eh1ZtTa1QnOLiqHCU_Xtc1vAhcsYeqNY" TargetMode="External"/><Relationship Id="rId89" Type="http://schemas.openxmlformats.org/officeDocument/2006/relationships/hyperlink" Target="https://drive.google.com/open?id=1KxtjneWk-xmDymWeFiQvMkzvSpLeO477" TargetMode="External"/><Relationship Id="rId709" Type="http://schemas.openxmlformats.org/officeDocument/2006/relationships/hyperlink" Target="https://drive.google.com/open?id=1V2gvwEd88Ag2uVOdEOBGhdnPItnPHJBh" TargetMode="External"/><Relationship Id="rId708" Type="http://schemas.openxmlformats.org/officeDocument/2006/relationships/hyperlink" Target="https://drive.google.com/open?id=1o85vjFTkZS5qb0LP1KndqjFs-dMC1N-K" TargetMode="External"/><Relationship Id="rId707" Type="http://schemas.openxmlformats.org/officeDocument/2006/relationships/hyperlink" Target="https://drive.google.com/open?id=1vkeRx0gJxal0hzZxOnuyVrbQnGHiChV4" TargetMode="External"/><Relationship Id="rId706" Type="http://schemas.openxmlformats.org/officeDocument/2006/relationships/hyperlink" Target="https://drive.google.com/open?id=18QnewLJVWXyf6lGWFYYpgvsXMn4_nf1S" TargetMode="External"/><Relationship Id="rId80" Type="http://schemas.openxmlformats.org/officeDocument/2006/relationships/hyperlink" Target="https://drive.google.com/open?id=1DNSPS149gUyqLMTKWt0qSnJScql9abxN" TargetMode="External"/><Relationship Id="rId82" Type="http://schemas.openxmlformats.org/officeDocument/2006/relationships/hyperlink" Target="https://drive.google.com/open?id=1fSSORdeD8acofYQiHurdHVIzDt6LzyPy" TargetMode="External"/><Relationship Id="rId81" Type="http://schemas.openxmlformats.org/officeDocument/2006/relationships/hyperlink" Target="https://drive.google.com/open?id=11O2rotzNzFdvp3cPl2KcpFSbjJsThz21" TargetMode="External"/><Relationship Id="rId701" Type="http://schemas.openxmlformats.org/officeDocument/2006/relationships/hyperlink" Target="https://drive.google.com/open?id=1hlH26mkVkBDFkFrD0mdnoPFP7bJ0is_4" TargetMode="External"/><Relationship Id="rId700" Type="http://schemas.openxmlformats.org/officeDocument/2006/relationships/hyperlink" Target="https://drive.google.com/open?id=1akJxeBXukOdkHc5cR4TFmeOLRDmj_MUa" TargetMode="External"/><Relationship Id="rId705" Type="http://schemas.openxmlformats.org/officeDocument/2006/relationships/hyperlink" Target="https://drive.google.com/open?id=1zMNPgg9j84z6uRdbIPFw0qSUbVrxEsbO" TargetMode="External"/><Relationship Id="rId704" Type="http://schemas.openxmlformats.org/officeDocument/2006/relationships/hyperlink" Target="https://drive.google.com/open?id=1EAGo3cBpw2keFupRs8BKPHMGfatEfJUj" TargetMode="External"/><Relationship Id="rId703" Type="http://schemas.openxmlformats.org/officeDocument/2006/relationships/hyperlink" Target="https://drive.google.com/open?id=1oHrNHV5gNJLeZA9ppSQE99B_0eJNovnj" TargetMode="External"/><Relationship Id="rId702" Type="http://schemas.openxmlformats.org/officeDocument/2006/relationships/hyperlink" Target="https://drive.google.com/open?id=1LEH77-nKZJTi4PBW_o0jYDoIyGF8H53S" TargetMode="External"/><Relationship Id="rId73" Type="http://schemas.openxmlformats.org/officeDocument/2006/relationships/hyperlink" Target="https://drive.google.com/open?id=1Ubp8_c4h7akiK0B3O4DqW0FOv0a_NPLu" TargetMode="External"/><Relationship Id="rId72" Type="http://schemas.openxmlformats.org/officeDocument/2006/relationships/hyperlink" Target="https://drive.google.com/open?id=15m24HTsvhmCHTfpddNph-bNu08e1k0k_" TargetMode="External"/><Relationship Id="rId75" Type="http://schemas.openxmlformats.org/officeDocument/2006/relationships/hyperlink" Target="https://drive.google.com/open?id=17fDZDgI0IUlTGAQR7Oh1MKbR9td1xQNL" TargetMode="External"/><Relationship Id="rId74" Type="http://schemas.openxmlformats.org/officeDocument/2006/relationships/hyperlink" Target="https://drive.google.com/open?id=1hWZ3IU_hEzghk26-0Zy6EkmUgvGEumIh" TargetMode="External"/><Relationship Id="rId77" Type="http://schemas.openxmlformats.org/officeDocument/2006/relationships/hyperlink" Target="https://drive.google.com/open?id=1Iz5WGeW5_Pf7x4xtRu9jFfSAZJGtPWoT" TargetMode="External"/><Relationship Id="rId76" Type="http://schemas.openxmlformats.org/officeDocument/2006/relationships/hyperlink" Target="https://drive.google.com/open?id=1OI6bpCgYEzw1K9uQUhVrnzdx_wk7OzEw" TargetMode="External"/><Relationship Id="rId79" Type="http://schemas.openxmlformats.org/officeDocument/2006/relationships/hyperlink" Target="https://drive.google.com/open?id=1vMGLeUrSR3Dh6GgANjUHAzVvzXnuXo0B" TargetMode="External"/><Relationship Id="rId78" Type="http://schemas.openxmlformats.org/officeDocument/2006/relationships/hyperlink" Target="https://drive.google.com/open?id=1L1zMhfxTvNoi-qU4SQcbTr004amwsT8L" TargetMode="External"/><Relationship Id="rId71" Type="http://schemas.openxmlformats.org/officeDocument/2006/relationships/hyperlink" Target="https://drive.google.com/open?id=1LdzmjOYq2KIe8nkrqSa5ThZwK1bqixZg" TargetMode="External"/><Relationship Id="rId70" Type="http://schemas.openxmlformats.org/officeDocument/2006/relationships/hyperlink" Target="https://drive.google.com/open?id=1weMVHWhGnk2_8xnEmWSlproEiy_09tE9" TargetMode="External"/><Relationship Id="rId62" Type="http://schemas.openxmlformats.org/officeDocument/2006/relationships/hyperlink" Target="https://drive.google.com/open?id=1EqVwWxFgPBJOHvjZA0jScf8rURHuLvfM" TargetMode="External"/><Relationship Id="rId61" Type="http://schemas.openxmlformats.org/officeDocument/2006/relationships/hyperlink" Target="https://drive.google.com/open?id=1Ym3ufoG5hrPBXiCbrihB5TaL3YXbLlNc" TargetMode="External"/><Relationship Id="rId64" Type="http://schemas.openxmlformats.org/officeDocument/2006/relationships/hyperlink" Target="https://drive.google.com/open?id=1y973qex__okkEKPhMTgBO-JPj-KbUioj" TargetMode="External"/><Relationship Id="rId63" Type="http://schemas.openxmlformats.org/officeDocument/2006/relationships/hyperlink" Target="https://drive.google.com/open?id=1xqCzYUBCGabD8rGLakUdkhtRCClEnZlj" TargetMode="External"/><Relationship Id="rId66" Type="http://schemas.openxmlformats.org/officeDocument/2006/relationships/hyperlink" Target="https://drive.google.com/open?id=1dI8_tPOHSzCb74KkjRi3HCoy2-bfgU5I" TargetMode="External"/><Relationship Id="rId65" Type="http://schemas.openxmlformats.org/officeDocument/2006/relationships/hyperlink" Target="https://drive.google.com/open?id=1OIEpS1he-XvUXsBSIAw6J0qTP92jKwkr" TargetMode="External"/><Relationship Id="rId68" Type="http://schemas.openxmlformats.org/officeDocument/2006/relationships/hyperlink" Target="https://drive.google.com/open?id=1sCRyjn5e_QQuDBpkeNhqnyLnFdCEWrBp" TargetMode="External"/><Relationship Id="rId67" Type="http://schemas.openxmlformats.org/officeDocument/2006/relationships/hyperlink" Target="https://drive.google.com/open?id=1GBl0nnG0xx1XN603Yge18K4HSJemYzOJ" TargetMode="External"/><Relationship Id="rId729" Type="http://schemas.openxmlformats.org/officeDocument/2006/relationships/hyperlink" Target="https://drive.google.com/open?id=1VAmVdk47HyNY2jpi1qugrLAwZlTr9mbA" TargetMode="External"/><Relationship Id="rId728" Type="http://schemas.openxmlformats.org/officeDocument/2006/relationships/hyperlink" Target="https://drive.google.com/open?id=1kH3l3zXCk_l_dXilXOLFRAaEw7gkjU75" TargetMode="External"/><Relationship Id="rId60" Type="http://schemas.openxmlformats.org/officeDocument/2006/relationships/hyperlink" Target="https://drive.google.com/open?id=1E8e34JvVoXED8RuuRU8oxi4f1e4Dsafs" TargetMode="External"/><Relationship Id="rId723" Type="http://schemas.openxmlformats.org/officeDocument/2006/relationships/hyperlink" Target="https://drive.google.com/open?id=1zITGvXqcKyJIeR_xEGYYSQnNsmJXWmO2" TargetMode="External"/><Relationship Id="rId722" Type="http://schemas.openxmlformats.org/officeDocument/2006/relationships/hyperlink" Target="https://drive.google.com/open?id=129owwUH0VxCOTk4qz7qOEXMXyAdr4xqS" TargetMode="External"/><Relationship Id="rId721" Type="http://schemas.openxmlformats.org/officeDocument/2006/relationships/hyperlink" Target="https://drive.google.com/open?id=1SjeF4xeORfw9S-CVAsjw1BuXZQYic78r" TargetMode="External"/><Relationship Id="rId720" Type="http://schemas.openxmlformats.org/officeDocument/2006/relationships/hyperlink" Target="https://drive.google.com/open?id=1OqHB01rDg_5MztNpBhx4vizzIR3Mrrbb" TargetMode="External"/><Relationship Id="rId727" Type="http://schemas.openxmlformats.org/officeDocument/2006/relationships/hyperlink" Target="https://drive.google.com/open?id=1BHw8BjEpBXHUs5R3Kq_-7L745Lzd72vn" TargetMode="External"/><Relationship Id="rId726" Type="http://schemas.openxmlformats.org/officeDocument/2006/relationships/hyperlink" Target="https://drive.google.com/open?id=1cm2cLKOBYM9aESCauWummU9vxVgExTmL" TargetMode="External"/><Relationship Id="rId725" Type="http://schemas.openxmlformats.org/officeDocument/2006/relationships/hyperlink" Target="https://drive.google.com/open?id=1YyiymkYA8ZR0D3xZYhxefKHl59n0eyBK" TargetMode="External"/><Relationship Id="rId724" Type="http://schemas.openxmlformats.org/officeDocument/2006/relationships/hyperlink" Target="https://drive.google.com/open?id=1S1YUmxch96HphNIcefpawwLX_YicxyDV" TargetMode="External"/><Relationship Id="rId69" Type="http://schemas.openxmlformats.org/officeDocument/2006/relationships/hyperlink" Target="https://drive.google.com/open?id=1hmBDFEQubi1xdeD9NNZO5E6rwOHsO1Ky" TargetMode="External"/><Relationship Id="rId51" Type="http://schemas.openxmlformats.org/officeDocument/2006/relationships/hyperlink" Target="https://drive.google.com/open?id=1jjoaRfGp6aVW5F5X17X0ibtIlEwpilm3" TargetMode="External"/><Relationship Id="rId50" Type="http://schemas.openxmlformats.org/officeDocument/2006/relationships/hyperlink" Target="https://drive.google.com/open?id=1XFI_7JiumZfW1wC0twlAbqOlOW7O9NH4" TargetMode="External"/><Relationship Id="rId53" Type="http://schemas.openxmlformats.org/officeDocument/2006/relationships/hyperlink" Target="https://drive.google.com/open?id=1lZco-aVK73UFtLeAGDTmSu_dhNTddkX_" TargetMode="External"/><Relationship Id="rId52" Type="http://schemas.openxmlformats.org/officeDocument/2006/relationships/hyperlink" Target="https://drive.google.com/open?id=1wZ6vEmX8t7uRppb1rzrUDY46gzb-WT52" TargetMode="External"/><Relationship Id="rId55" Type="http://schemas.openxmlformats.org/officeDocument/2006/relationships/hyperlink" Target="https://drive.google.com/open?id=1mnD5N7GnMRQCd8jftZCsJHHiDgkeDE3Q" TargetMode="External"/><Relationship Id="rId54" Type="http://schemas.openxmlformats.org/officeDocument/2006/relationships/hyperlink" Target="https://drive.google.com/open?id=1juW1leyKoY2adY4coW49zQc9Xn91Wi_l" TargetMode="External"/><Relationship Id="rId57" Type="http://schemas.openxmlformats.org/officeDocument/2006/relationships/hyperlink" Target="https://drive.google.com/open?id=1BmT1EtI1k5GIYrLz2ZgDUKZUyM-VraZb" TargetMode="External"/><Relationship Id="rId56" Type="http://schemas.openxmlformats.org/officeDocument/2006/relationships/hyperlink" Target="https://drive.google.com/open?id=127AW0C839nzZAdcqYaMw-UrY4OUnaC49" TargetMode="External"/><Relationship Id="rId719" Type="http://schemas.openxmlformats.org/officeDocument/2006/relationships/hyperlink" Target="https://drive.google.com/open?id=1EocVnEM9sP_w7DoBDygmQvxjO9-2YpFL" TargetMode="External"/><Relationship Id="rId718" Type="http://schemas.openxmlformats.org/officeDocument/2006/relationships/hyperlink" Target="https://drive.google.com/open?id=1Y_QzlCZhWrboyRNdbSArYQtARtyEwo5A" TargetMode="External"/><Relationship Id="rId717" Type="http://schemas.openxmlformats.org/officeDocument/2006/relationships/hyperlink" Target="https://drive.google.com/open?id=1KSZE_rox8II1PB3uxYxYq82IX5PYnzvw" TargetMode="External"/><Relationship Id="rId712" Type="http://schemas.openxmlformats.org/officeDocument/2006/relationships/hyperlink" Target="https://drive.google.com/open?id=1SjHMHOe0DQRWBFdxWh6mbrYP55CWn60c" TargetMode="External"/><Relationship Id="rId711" Type="http://schemas.openxmlformats.org/officeDocument/2006/relationships/hyperlink" Target="https://drive.google.com/open?id=1QdHNOiPVj8VbxmJwJr5g0vWju7LHVDGL" TargetMode="External"/><Relationship Id="rId710" Type="http://schemas.openxmlformats.org/officeDocument/2006/relationships/hyperlink" Target="https://drive.google.com/open?id=1JdaAHZMpaiOEBJk8YegcdwRle6ViSNQL" TargetMode="External"/><Relationship Id="rId716" Type="http://schemas.openxmlformats.org/officeDocument/2006/relationships/hyperlink" Target="https://drive.google.com/open?id=1vutIWhfOwdRfQ_ad619peG1ZfRi2IfU9" TargetMode="External"/><Relationship Id="rId715" Type="http://schemas.openxmlformats.org/officeDocument/2006/relationships/hyperlink" Target="https://drive.google.com/open?id=1G7oXudX-OxKPsHjZDrVBGTGNFv-4Usj-" TargetMode="External"/><Relationship Id="rId714" Type="http://schemas.openxmlformats.org/officeDocument/2006/relationships/hyperlink" Target="https://drive.google.com/open?id=1oRb3f5nCfV0tvHRewwqOTRCJYRS4RaLg" TargetMode="External"/><Relationship Id="rId713" Type="http://schemas.openxmlformats.org/officeDocument/2006/relationships/hyperlink" Target="https://drive.google.com/open?id=1MeCQFws3kHbDNKD1slhG6uGNnQAa8LWv" TargetMode="External"/><Relationship Id="rId59" Type="http://schemas.openxmlformats.org/officeDocument/2006/relationships/hyperlink" Target="https://drive.google.com/open?id=1BgGg5XwToZYoBNupMBn0U5mPe5X9DExJ" TargetMode="External"/><Relationship Id="rId58" Type="http://schemas.openxmlformats.org/officeDocument/2006/relationships/hyperlink" Target="https://drive.google.com/open?id=1PaevZzctwiNstawvOgA2hOnh0j81xwO7" TargetMode="External"/><Relationship Id="rId349" Type="http://schemas.openxmlformats.org/officeDocument/2006/relationships/hyperlink" Target="https://drive.google.com/open?id=1I3FsKgZVcxoWW5NeYzNV2ZxGBoIbCnKe" TargetMode="External"/><Relationship Id="rId348" Type="http://schemas.openxmlformats.org/officeDocument/2006/relationships/hyperlink" Target="https://drive.google.com/open?id=1EoNPL_1E82X1InuZl-Fo7mxvYqTLOY7X" TargetMode="External"/><Relationship Id="rId347" Type="http://schemas.openxmlformats.org/officeDocument/2006/relationships/hyperlink" Target="https://drive.google.com/open?id=1CAgQLguOwJiwiLffS2m5njKmzhOeqroo" TargetMode="External"/><Relationship Id="rId346" Type="http://schemas.openxmlformats.org/officeDocument/2006/relationships/hyperlink" Target="https://drive.google.com/open?id=1KsJQ4g2v1OiJ-Y3MxO_I9mqFmrJrAW7S" TargetMode="External"/><Relationship Id="rId341" Type="http://schemas.openxmlformats.org/officeDocument/2006/relationships/hyperlink" Target="https://drive.google.com/open?id=1lbtq1ot8rFAJUeIqnZAXSgTiy6gaVoOc" TargetMode="External"/><Relationship Id="rId340" Type="http://schemas.openxmlformats.org/officeDocument/2006/relationships/hyperlink" Target="https://drive.google.com/open?id=135Q2r1gTVjaVA3KaRMDJ0K-zgdyfsFgO" TargetMode="External"/><Relationship Id="rId345" Type="http://schemas.openxmlformats.org/officeDocument/2006/relationships/hyperlink" Target="https://drive.google.com/open?id=1KmZO2SOcVkXhna0Y1SSTfbCAazPqP9wm" TargetMode="External"/><Relationship Id="rId344" Type="http://schemas.openxmlformats.org/officeDocument/2006/relationships/hyperlink" Target="https://drive.google.com/open?id=18dAxoIXFcIgmNM697BE2ZyWofCJK-k-S" TargetMode="External"/><Relationship Id="rId343" Type="http://schemas.openxmlformats.org/officeDocument/2006/relationships/hyperlink" Target="https://drive.google.com/open?id=1ewXXWm2TWYbNSnabislMMRorrSBEDccP" TargetMode="External"/><Relationship Id="rId342" Type="http://schemas.openxmlformats.org/officeDocument/2006/relationships/hyperlink" Target="https://drive.google.com/open?id=1Ctfpt_XIN9hAYn3bHXijID1hrcsz-gMV" TargetMode="External"/><Relationship Id="rId338" Type="http://schemas.openxmlformats.org/officeDocument/2006/relationships/hyperlink" Target="https://drive.google.com/open?id=1fzMlUctlFglMIqKFJADBsK49j0d5pd8G" TargetMode="External"/><Relationship Id="rId337" Type="http://schemas.openxmlformats.org/officeDocument/2006/relationships/hyperlink" Target="https://drive.google.com/open?id=1rOpA9Qf3MkBT8yJhdUGsZiyuUl0f6ufw" TargetMode="External"/><Relationship Id="rId336" Type="http://schemas.openxmlformats.org/officeDocument/2006/relationships/hyperlink" Target="https://drive.google.com/open?id=1DS6ZBes_FtFimJEeFfznz8YwMYxneyMB" TargetMode="External"/><Relationship Id="rId335" Type="http://schemas.openxmlformats.org/officeDocument/2006/relationships/hyperlink" Target="https://drive.google.com/open?id=1RweKqsvzDX5niTTmixe4L1DXbfBCvLMk" TargetMode="External"/><Relationship Id="rId339" Type="http://schemas.openxmlformats.org/officeDocument/2006/relationships/hyperlink" Target="https://drive.google.com/open?id=1eCpyWkLyc-6dr-tMZugc9DkqbKcpQtVl" TargetMode="External"/><Relationship Id="rId330" Type="http://schemas.openxmlformats.org/officeDocument/2006/relationships/hyperlink" Target="https://drive.google.com/open?id=1Fx3MGZMylb2KB4VQ8-8ri0r51KfCvmQ4" TargetMode="External"/><Relationship Id="rId334" Type="http://schemas.openxmlformats.org/officeDocument/2006/relationships/hyperlink" Target="https://drive.google.com/open?id=1xt5LEu5bBb-4_0oISAlYRhZxRlhgQLfX" TargetMode="External"/><Relationship Id="rId333" Type="http://schemas.openxmlformats.org/officeDocument/2006/relationships/hyperlink" Target="https://drive.google.com/open?id=1oWasJFEXhwahVIPRB8q_8btbTW7ApZkQ" TargetMode="External"/><Relationship Id="rId332" Type="http://schemas.openxmlformats.org/officeDocument/2006/relationships/hyperlink" Target="https://drive.google.com/open?id=1Om5mTkeCm46j56W_vD94EOFJ_nV1AU5X" TargetMode="External"/><Relationship Id="rId331" Type="http://schemas.openxmlformats.org/officeDocument/2006/relationships/hyperlink" Target="https://drive.google.com/open?id=1Hus_hZaH_wddVaJby0dqKYREGOtrx7re" TargetMode="External"/><Relationship Id="rId370" Type="http://schemas.openxmlformats.org/officeDocument/2006/relationships/hyperlink" Target="https://drive.google.com/open?id=1tluUCTW5833qn2Y2I016fUFLNcvU9wQN" TargetMode="External"/><Relationship Id="rId369" Type="http://schemas.openxmlformats.org/officeDocument/2006/relationships/hyperlink" Target="https://drive.google.com/open?id=1hxMUQFll5RKAmvU_5YVnns8Ot4gix8Ew" TargetMode="External"/><Relationship Id="rId368" Type="http://schemas.openxmlformats.org/officeDocument/2006/relationships/hyperlink" Target="https://drive.google.com/open?id=1vP7XB9PLCSVA5x3_RS9FgkgZg7Yg90Kh" TargetMode="External"/><Relationship Id="rId363" Type="http://schemas.openxmlformats.org/officeDocument/2006/relationships/hyperlink" Target="https://drive.google.com/open?id=1sGz2Ht7iO4CJXa-dYUGiz7pcwTQPBs37" TargetMode="External"/><Relationship Id="rId362" Type="http://schemas.openxmlformats.org/officeDocument/2006/relationships/hyperlink" Target="https://drive.google.com/open?id=16gZmeUvS9zZULTRIPtzvstcoMURbbR7z" TargetMode="External"/><Relationship Id="rId361" Type="http://schemas.openxmlformats.org/officeDocument/2006/relationships/hyperlink" Target="https://drive.google.com/open?id=1XzpEHnmsRo1Uja7H4Ago-dTSgB7E3juT" TargetMode="External"/><Relationship Id="rId360" Type="http://schemas.openxmlformats.org/officeDocument/2006/relationships/hyperlink" Target="https://drive.google.com/open?id=1CDB0KVbPqd39RcXbdpdW2pLBV-s3QZtu" TargetMode="External"/><Relationship Id="rId367" Type="http://schemas.openxmlformats.org/officeDocument/2006/relationships/hyperlink" Target="https://drive.google.com/open?id=1yvAZgwQQ0WAUyCgbaDFF-bYA-saESrT9" TargetMode="External"/><Relationship Id="rId366" Type="http://schemas.openxmlformats.org/officeDocument/2006/relationships/hyperlink" Target="https://drive.google.com/open?id=1FrmD4FrVsbwjfv3n3SsjPWzxbBvJl3aH" TargetMode="External"/><Relationship Id="rId365" Type="http://schemas.openxmlformats.org/officeDocument/2006/relationships/hyperlink" Target="https://drive.google.com/open?id=1Sx1ZyD2BHcQN0GDSRkGEnVP0HUCSDu2X" TargetMode="External"/><Relationship Id="rId364" Type="http://schemas.openxmlformats.org/officeDocument/2006/relationships/hyperlink" Target="https://drive.google.com/open?id=1RnC2GbH-CfcVWrmFfeFFuPPZWipJe-1V" TargetMode="External"/><Relationship Id="rId95" Type="http://schemas.openxmlformats.org/officeDocument/2006/relationships/hyperlink" Target="https://drive.google.com/open?id=1Mty3rxcbLKf2IeeWugKzvR_8RUp42v3Y" TargetMode="External"/><Relationship Id="rId94" Type="http://schemas.openxmlformats.org/officeDocument/2006/relationships/hyperlink" Target="https://drive.google.com/open?id=181GeCtBVogSFrpfprg4RD4Ah_1lWhBn7" TargetMode="External"/><Relationship Id="rId97" Type="http://schemas.openxmlformats.org/officeDocument/2006/relationships/hyperlink" Target="https://drive.google.com/open?id=1rdisy0xDoX3c9uFLxKm_19fszA7Dhi4f" TargetMode="External"/><Relationship Id="rId96" Type="http://schemas.openxmlformats.org/officeDocument/2006/relationships/hyperlink" Target="https://drive.google.com/open?id=12MytZyqxTtur7HDjKk7tzk42J7to-H0B" TargetMode="External"/><Relationship Id="rId99" Type="http://schemas.openxmlformats.org/officeDocument/2006/relationships/hyperlink" Target="https://drive.google.com/open?id=1hRUVOirhtpE6w5Buo_hQrdNvEfdzHtBY" TargetMode="External"/><Relationship Id="rId98" Type="http://schemas.openxmlformats.org/officeDocument/2006/relationships/hyperlink" Target="https://drive.google.com/open?id=1tHgTeOmv4x6dEn_N61Fd6rPcGaAfx2RS" TargetMode="External"/><Relationship Id="rId91" Type="http://schemas.openxmlformats.org/officeDocument/2006/relationships/hyperlink" Target="https://drive.google.com/open?id=1Xptl1fq8dz1QeoTmoamjU_iN5PqHa11t" TargetMode="External"/><Relationship Id="rId90" Type="http://schemas.openxmlformats.org/officeDocument/2006/relationships/hyperlink" Target="https://drive.google.com/open?id=1lz_Bl-sFcaCSf5bLkeZNU00wIlLysyUY" TargetMode="External"/><Relationship Id="rId93" Type="http://schemas.openxmlformats.org/officeDocument/2006/relationships/hyperlink" Target="https://drive.google.com/open?id=15xS7hw95edEQiA3Z0-2edZvwijii28YG" TargetMode="External"/><Relationship Id="rId92" Type="http://schemas.openxmlformats.org/officeDocument/2006/relationships/hyperlink" Target="https://drive.google.com/open?id=1p8mCPDMdTmkYsb9TbiBpyzyVeoOg4PP8" TargetMode="External"/><Relationship Id="rId359" Type="http://schemas.openxmlformats.org/officeDocument/2006/relationships/hyperlink" Target="https://drive.google.com/open?id=1V3fybC-DGobMr_SsQLb8jGq39MBPwary" TargetMode="External"/><Relationship Id="rId358" Type="http://schemas.openxmlformats.org/officeDocument/2006/relationships/hyperlink" Target="https://drive.google.com/open?id=1BEfNeiiEu9LMjljlAsteG1kp_wTycme-" TargetMode="External"/><Relationship Id="rId357" Type="http://schemas.openxmlformats.org/officeDocument/2006/relationships/hyperlink" Target="https://drive.google.com/open?id=10jN8ft_iXeXc4DHwstW5z-1I0QAWcWtR" TargetMode="External"/><Relationship Id="rId352" Type="http://schemas.openxmlformats.org/officeDocument/2006/relationships/hyperlink" Target="https://drive.google.com/open?id=1mLca-pf2cnjAaPzLwB8dZU0P4r-iP5-v" TargetMode="External"/><Relationship Id="rId351" Type="http://schemas.openxmlformats.org/officeDocument/2006/relationships/hyperlink" Target="https://drive.google.com/open?id=18pgc0gm0hmGPJP9oH8JCJDHPND5ntMnR" TargetMode="External"/><Relationship Id="rId350" Type="http://schemas.openxmlformats.org/officeDocument/2006/relationships/hyperlink" Target="https://drive.google.com/open?id=1kFaXnM7AKbPqvJ7OkEBuEez0r0yNOk4J" TargetMode="External"/><Relationship Id="rId356" Type="http://schemas.openxmlformats.org/officeDocument/2006/relationships/hyperlink" Target="https://drive.google.com/open?id=1napAuTrFY6jTxUg6igWVS81ratYpZGNx" TargetMode="External"/><Relationship Id="rId355" Type="http://schemas.openxmlformats.org/officeDocument/2006/relationships/hyperlink" Target="https://drive.google.com/open?id=1rXxIP0-ycjvngDbWwuTy-ueH2NHTPTs_" TargetMode="External"/><Relationship Id="rId354" Type="http://schemas.openxmlformats.org/officeDocument/2006/relationships/hyperlink" Target="https://drive.google.com/open?id=1I29xo311bxhhi0UhASwQ_9tsxhTs0JSF" TargetMode="External"/><Relationship Id="rId353" Type="http://schemas.openxmlformats.org/officeDocument/2006/relationships/hyperlink" Target="https://drive.google.com/open?id=1fD-93RwXXhC0K5ycSPrdDptYbiWhn34J" TargetMode="External"/><Relationship Id="rId305" Type="http://schemas.openxmlformats.org/officeDocument/2006/relationships/hyperlink" Target="https://drive.google.com/open?id=1WgcdOGmJehGo22q_Q3xA0nKWoCTqTHG6" TargetMode="External"/><Relationship Id="rId789" Type="http://schemas.openxmlformats.org/officeDocument/2006/relationships/hyperlink" Target="https://drive.google.com/open?id=1RD7j6TrWObr1R4uYHL6EJE56vb3f-7ju" TargetMode="External"/><Relationship Id="rId304" Type="http://schemas.openxmlformats.org/officeDocument/2006/relationships/hyperlink" Target="https://drive.google.com/open?id=1KtTbj7IeX1qRiGMk6w-TrmpeGOo0SNxk" TargetMode="External"/><Relationship Id="rId788" Type="http://schemas.openxmlformats.org/officeDocument/2006/relationships/hyperlink" Target="https://drive.google.com/open?id=1HgbIVOcZBSMq2XhWYzfHNp-kee0-_v-T" TargetMode="External"/><Relationship Id="rId303" Type="http://schemas.openxmlformats.org/officeDocument/2006/relationships/hyperlink" Target="https://drive.google.com/open?id=1vcHf6jIBARYMnFgJ8qweSZMkRjKwh6qh" TargetMode="External"/><Relationship Id="rId787" Type="http://schemas.openxmlformats.org/officeDocument/2006/relationships/hyperlink" Target="https://drive.google.com/open?id=1PAVAZVXXGyMyJJTfxGDmbGLQhiNNpPXr" TargetMode="External"/><Relationship Id="rId302" Type="http://schemas.openxmlformats.org/officeDocument/2006/relationships/hyperlink" Target="https://drive.google.com/open?id=1lyip7oxDkH1x2-lP8ojF2p4l2zLatMLF" TargetMode="External"/><Relationship Id="rId786" Type="http://schemas.openxmlformats.org/officeDocument/2006/relationships/hyperlink" Target="https://drive.google.com/open?id=1DAEL4LwNlRVMaF7wlnfDKNnjcWDN5TrR" TargetMode="External"/><Relationship Id="rId309" Type="http://schemas.openxmlformats.org/officeDocument/2006/relationships/hyperlink" Target="https://drive.google.com/open?id=1nw46DLHTIhvxTqAm5_dB1SW8mAcDAZgU" TargetMode="External"/><Relationship Id="rId308" Type="http://schemas.openxmlformats.org/officeDocument/2006/relationships/hyperlink" Target="https://drive.google.com/open?id=1B45LHuXyosLJYJfrfizCUPhkpMVKLUxC" TargetMode="External"/><Relationship Id="rId307" Type="http://schemas.openxmlformats.org/officeDocument/2006/relationships/hyperlink" Target="https://drive.google.com/open?id=1JG2cKnTAt6FFwBtdLaOvidtCwg1Gx4CN" TargetMode="External"/><Relationship Id="rId306" Type="http://schemas.openxmlformats.org/officeDocument/2006/relationships/hyperlink" Target="https://drive.google.com/open?id=1QS0nQI88rgIEiYjj7TO4KU58qQvkytVU" TargetMode="External"/><Relationship Id="rId781" Type="http://schemas.openxmlformats.org/officeDocument/2006/relationships/hyperlink" Target="https://drive.google.com/open?id=1CZ5qJFLgv3hyoBa0vTnaFk3poGx9RWEv" TargetMode="External"/><Relationship Id="rId780" Type="http://schemas.openxmlformats.org/officeDocument/2006/relationships/hyperlink" Target="https://drive.google.com/open?id=1eRpMF9ns_UhyCA6QFnqIRKYL6FkaeKvi" TargetMode="External"/><Relationship Id="rId301" Type="http://schemas.openxmlformats.org/officeDocument/2006/relationships/hyperlink" Target="https://drive.google.com/open?id=13jDW6BHQVmmW42YSPFBqxRreQFVJWysf" TargetMode="External"/><Relationship Id="rId785" Type="http://schemas.openxmlformats.org/officeDocument/2006/relationships/hyperlink" Target="https://drive.google.com/open?id=1ZenK_hqLENL2KDPV5sxTLur4Mj5zAyFB" TargetMode="External"/><Relationship Id="rId300" Type="http://schemas.openxmlformats.org/officeDocument/2006/relationships/hyperlink" Target="https://drive.google.com/open?id=1IHDuFGK8kbwPdBAfTzfr3Yms7U5O4m0P" TargetMode="External"/><Relationship Id="rId784" Type="http://schemas.openxmlformats.org/officeDocument/2006/relationships/hyperlink" Target="https://drive.google.com/open?id=1xmSdM3nDHfIkMdMT8PdMg_2GiJ4NLhct" TargetMode="External"/><Relationship Id="rId783" Type="http://schemas.openxmlformats.org/officeDocument/2006/relationships/hyperlink" Target="https://drive.google.com/open?id=1sYqyDPGKGnqq3tyBxXiJzgDk6Y8dnLXk" TargetMode="External"/><Relationship Id="rId782" Type="http://schemas.openxmlformats.org/officeDocument/2006/relationships/hyperlink" Target="https://drive.google.com/open?id=1Fk-eF-dHwPdK-isVKUqvXhCwaw3aqPtQ" TargetMode="External"/><Relationship Id="rId778" Type="http://schemas.openxmlformats.org/officeDocument/2006/relationships/hyperlink" Target="https://drive.google.com/open?id=159SGl2epRTkON-1gKAs9-GJpTzd7mYQo" TargetMode="External"/><Relationship Id="rId777" Type="http://schemas.openxmlformats.org/officeDocument/2006/relationships/hyperlink" Target="https://drive.google.com/open?id=1kzOGPnP1bZon3UB8-XK6StD-4SjhH4ko" TargetMode="External"/><Relationship Id="rId776" Type="http://schemas.openxmlformats.org/officeDocument/2006/relationships/hyperlink" Target="https://drive.google.com/open?id=1hCFBgVRd0S5A6bQiL4Hlvz9ke_hhzfM3" TargetMode="External"/><Relationship Id="rId775" Type="http://schemas.openxmlformats.org/officeDocument/2006/relationships/hyperlink" Target="https://drive.google.com/open?id=1uw3vOl4uk5ozK0NLJH4VnV9XJ4awr8JQ" TargetMode="External"/><Relationship Id="rId779" Type="http://schemas.openxmlformats.org/officeDocument/2006/relationships/hyperlink" Target="https://drive.google.com/open?id=19xd92YSkvJWCnTC3nVtnoVauqBW7sOrd" TargetMode="External"/><Relationship Id="rId770" Type="http://schemas.openxmlformats.org/officeDocument/2006/relationships/hyperlink" Target="https://drive.google.com/open?id=1mXIiBi4y3Q6cPsF07qC3Th9jyDrqBH-t" TargetMode="External"/><Relationship Id="rId774" Type="http://schemas.openxmlformats.org/officeDocument/2006/relationships/hyperlink" Target="https://drive.google.com/open?id=1c1vqszmBR4WNC79iwuQE8tCSGD2RgYFu" TargetMode="External"/><Relationship Id="rId773" Type="http://schemas.openxmlformats.org/officeDocument/2006/relationships/hyperlink" Target="https://drive.google.com/open?id=13c7eutRTZ8_H73FZU26Xvs9uZjst_J1b" TargetMode="External"/><Relationship Id="rId772" Type="http://schemas.openxmlformats.org/officeDocument/2006/relationships/hyperlink" Target="https://drive.google.com/open?id=1W1pFFSrqS6-eeHjQR7iDVnkyi9L-7R60" TargetMode="External"/><Relationship Id="rId771" Type="http://schemas.openxmlformats.org/officeDocument/2006/relationships/hyperlink" Target="https://drive.google.com/open?id=1mGcJmtdKI0e6tX0ijKwkoEth9z6r1EpZ" TargetMode="External"/><Relationship Id="rId327" Type="http://schemas.openxmlformats.org/officeDocument/2006/relationships/hyperlink" Target="https://drive.google.com/open?id=1DX0D2SIWhzLk7FMpUnFIMNLM8oPjm0_4" TargetMode="External"/><Relationship Id="rId326" Type="http://schemas.openxmlformats.org/officeDocument/2006/relationships/hyperlink" Target="https://drive.google.com/open?id=1j1LJB0cHO3-M56_bgxFu7Uv7ZXpyg8IL" TargetMode="External"/><Relationship Id="rId325" Type="http://schemas.openxmlformats.org/officeDocument/2006/relationships/hyperlink" Target="https://drive.google.com/open?id=1o9CmMMPo4x_cPDqfR1uAC4229rmDrOlE" TargetMode="External"/><Relationship Id="rId324" Type="http://schemas.openxmlformats.org/officeDocument/2006/relationships/hyperlink" Target="https://drive.google.com/open?id=1dSLAOq_qHDJ33dDwkguw-lP3lSBua3Rv" TargetMode="External"/><Relationship Id="rId329" Type="http://schemas.openxmlformats.org/officeDocument/2006/relationships/hyperlink" Target="https://drive.google.com/open?id=1nco6whHmoSoug69oD_HlGJml4LsO4Mtu" TargetMode="External"/><Relationship Id="rId328" Type="http://schemas.openxmlformats.org/officeDocument/2006/relationships/hyperlink" Target="https://drive.google.com/open?id=1yoWewoCcYE_mAq1cw9T2GlSjw8VorDod" TargetMode="External"/><Relationship Id="rId323" Type="http://schemas.openxmlformats.org/officeDocument/2006/relationships/hyperlink" Target="https://drive.google.com/open?id=1z3bh4S-82Zij-0NQjhYOYn9onXj1uIj5" TargetMode="External"/><Relationship Id="rId322" Type="http://schemas.openxmlformats.org/officeDocument/2006/relationships/hyperlink" Target="https://drive.google.com/open?id=1gL1-pFaJTVb4ekmp6tbUST46T9MTOiEa" TargetMode="External"/><Relationship Id="rId321" Type="http://schemas.openxmlformats.org/officeDocument/2006/relationships/hyperlink" Target="https://drive.google.com/open?id=19h15cFhPipW5vUj08jHS_uz6zvL_TrVJ" TargetMode="External"/><Relationship Id="rId320" Type="http://schemas.openxmlformats.org/officeDocument/2006/relationships/hyperlink" Target="https://drive.google.com/open?id=1_3Y3Dn-fAuceIAkVOsN3hfSh-z_L91wz" TargetMode="External"/><Relationship Id="rId316" Type="http://schemas.openxmlformats.org/officeDocument/2006/relationships/hyperlink" Target="https://drive.google.com/open?id=1Ck3LnQotgKdjvrT_F1Y9zbynAxV3l9Ys" TargetMode="External"/><Relationship Id="rId315" Type="http://schemas.openxmlformats.org/officeDocument/2006/relationships/hyperlink" Target="https://drive.google.com/open?id=1P8w8GvyxqUANvL9Jmnanhtu3FmIqQJiy" TargetMode="External"/><Relationship Id="rId799" Type="http://schemas.openxmlformats.org/officeDocument/2006/relationships/hyperlink" Target="https://drive.google.com/open?id=1fP0wbMByjU4qMFYJq-9LTJvy3Jlfc5ks" TargetMode="External"/><Relationship Id="rId314" Type="http://schemas.openxmlformats.org/officeDocument/2006/relationships/hyperlink" Target="https://drive.google.com/open?id=1VaUH-A22cfvXSe2NQUv3nyEdsF86eyPR" TargetMode="External"/><Relationship Id="rId798" Type="http://schemas.openxmlformats.org/officeDocument/2006/relationships/hyperlink" Target="https://drive.google.com/open?id=1W2VNq_eVOrzeF4ZYEQW-8dpshOk8h0vk" TargetMode="External"/><Relationship Id="rId313" Type="http://schemas.openxmlformats.org/officeDocument/2006/relationships/hyperlink" Target="https://drive.google.com/open?id=19aeJwC8b5XnMxqmN3pfcrhfeawrRDQwJ" TargetMode="External"/><Relationship Id="rId797" Type="http://schemas.openxmlformats.org/officeDocument/2006/relationships/hyperlink" Target="https://drive.google.com/open?id=1khTl359AdbJGJSfFUIWlXLQUHZs4u5o4" TargetMode="External"/><Relationship Id="rId319" Type="http://schemas.openxmlformats.org/officeDocument/2006/relationships/hyperlink" Target="https://drive.google.com/open?id=19Bz4-TSyMFGw2NJTz2LV242aaUzJXp0-" TargetMode="External"/><Relationship Id="rId318" Type="http://schemas.openxmlformats.org/officeDocument/2006/relationships/hyperlink" Target="https://drive.google.com/open?id=1UBPcUGu-Eetauau5woeM7YBFkiac-EWx" TargetMode="External"/><Relationship Id="rId317" Type="http://schemas.openxmlformats.org/officeDocument/2006/relationships/hyperlink" Target="https://drive.google.com/open?id=1i8HHuCsfFOoOcbEvNBTOAB_bxCKoXHKN" TargetMode="External"/><Relationship Id="rId792" Type="http://schemas.openxmlformats.org/officeDocument/2006/relationships/hyperlink" Target="https://drive.google.com/open?id=106qEdUwNpJoW4vDxpGQzaRXHRHD4YaGm" TargetMode="External"/><Relationship Id="rId791" Type="http://schemas.openxmlformats.org/officeDocument/2006/relationships/hyperlink" Target="https://drive.google.com/open?id=1gT8dpUDYk5NlC5HDx65ZrZxQ8FzsQYgf" TargetMode="External"/><Relationship Id="rId790" Type="http://schemas.openxmlformats.org/officeDocument/2006/relationships/hyperlink" Target="https://drive.google.com/open?id=1baCaxgRpu-StZgYCoquu8Bfhsx5ba9_t" TargetMode="External"/><Relationship Id="rId312" Type="http://schemas.openxmlformats.org/officeDocument/2006/relationships/hyperlink" Target="https://drive.google.com/open?id=1AUlxpqtAYLI6dnxM8-qKO9Qz_T3OjvE4" TargetMode="External"/><Relationship Id="rId796" Type="http://schemas.openxmlformats.org/officeDocument/2006/relationships/hyperlink" Target="https://drive.google.com/open?id=1DT-qLV0ZYLjE49xcz5iC6H5gLAHCxtFH" TargetMode="External"/><Relationship Id="rId311" Type="http://schemas.openxmlformats.org/officeDocument/2006/relationships/hyperlink" Target="https://drive.google.com/open?id=1QfD3YoKwUmM276CZ53kxVi9fxuGdfYai" TargetMode="External"/><Relationship Id="rId795" Type="http://schemas.openxmlformats.org/officeDocument/2006/relationships/hyperlink" Target="https://drive.google.com/open?id=1uAFzHIJO6p_JQlRULCTzq34BJNEg-Eox" TargetMode="External"/><Relationship Id="rId310" Type="http://schemas.openxmlformats.org/officeDocument/2006/relationships/hyperlink" Target="https://drive.google.com/open?id=1yXWfjkTzVJACdP3CmygqEhe8TFipaIH7" TargetMode="External"/><Relationship Id="rId794" Type="http://schemas.openxmlformats.org/officeDocument/2006/relationships/hyperlink" Target="https://drive.google.com/open?id=1Gk9_hZN3bZbtquBEOy98aeWsNdjARYg0" TargetMode="External"/><Relationship Id="rId793" Type="http://schemas.openxmlformats.org/officeDocument/2006/relationships/hyperlink" Target="https://drive.google.com/open?id=1aYDchKBi_Fd8fvIkYaLoTfqb-AiZkQ4U" TargetMode="External"/><Relationship Id="rId297" Type="http://schemas.openxmlformats.org/officeDocument/2006/relationships/hyperlink" Target="https://drive.google.com/open?id=149ESPV0oXnCADUJfxkqG3CkaYT08LuIp" TargetMode="External"/><Relationship Id="rId296" Type="http://schemas.openxmlformats.org/officeDocument/2006/relationships/hyperlink" Target="https://drive.google.com/open?id=1XZPrlwYuQ8RNAX-qNAdMU_fytsLHWrYs" TargetMode="External"/><Relationship Id="rId295" Type="http://schemas.openxmlformats.org/officeDocument/2006/relationships/hyperlink" Target="https://drive.google.com/open?id=1qnoXfzoIm_xbQw2fRc9wW-eeTtUjs97_" TargetMode="External"/><Relationship Id="rId294" Type="http://schemas.openxmlformats.org/officeDocument/2006/relationships/hyperlink" Target="https://drive.google.com/open?id=1DR6n0B5vS7rx8FgO0IsPV3YHM7XgoHqq" TargetMode="External"/><Relationship Id="rId299" Type="http://schemas.openxmlformats.org/officeDocument/2006/relationships/hyperlink" Target="https://drive.google.com/open?id=1tOHKevKif4koHSLOdb0tc4-Ry3FHkosy" TargetMode="External"/><Relationship Id="rId298" Type="http://schemas.openxmlformats.org/officeDocument/2006/relationships/hyperlink" Target="https://drive.google.com/open?id=104yQPZ9U-vypFW9lO_evhFhRF4jQHd61" TargetMode="External"/><Relationship Id="rId271" Type="http://schemas.openxmlformats.org/officeDocument/2006/relationships/hyperlink" Target="https://drive.google.com/open?id=1tDOHp__OtFWbzJDmUCm6oh-7tDAAm6WE" TargetMode="External"/><Relationship Id="rId270" Type="http://schemas.openxmlformats.org/officeDocument/2006/relationships/hyperlink" Target="https://drive.google.com/open?id=19jrZAI10BQmb-sfpxY5DRbl_KKgFEZOd" TargetMode="External"/><Relationship Id="rId269" Type="http://schemas.openxmlformats.org/officeDocument/2006/relationships/hyperlink" Target="https://drive.google.com/open?id=1h9mBg40srAoiXjTsWHdo3xEaW2L5sHlk" TargetMode="External"/><Relationship Id="rId264" Type="http://schemas.openxmlformats.org/officeDocument/2006/relationships/hyperlink" Target="https://drive.google.com/open?id=1kJPv0I6H9Kk9nyK1ZXr0M2XPCPxfRoTd" TargetMode="External"/><Relationship Id="rId263" Type="http://schemas.openxmlformats.org/officeDocument/2006/relationships/hyperlink" Target="https://drive.google.com/open?id=1__g9ayAlDo4o5BLco3HRndl_PozQVYIF" TargetMode="External"/><Relationship Id="rId262" Type="http://schemas.openxmlformats.org/officeDocument/2006/relationships/hyperlink" Target="https://drive.google.com/open?id=1pcLpbVr2HuqKqMGYfZNDpRDZ5rGJa3qz" TargetMode="External"/><Relationship Id="rId261" Type="http://schemas.openxmlformats.org/officeDocument/2006/relationships/hyperlink" Target="https://drive.google.com/open?id=1ToU8ynlyYDOTVYC4oabKICXuq5AnKW3p" TargetMode="External"/><Relationship Id="rId268" Type="http://schemas.openxmlformats.org/officeDocument/2006/relationships/hyperlink" Target="https://drive.google.com/open?id=1n9PlgNueWUsKnTR51cXZAMTfxtOvAthK" TargetMode="External"/><Relationship Id="rId267" Type="http://schemas.openxmlformats.org/officeDocument/2006/relationships/hyperlink" Target="https://drive.google.com/open?id=1E7huDsRdgt5PdBLlOHyYPh6mOB9NeyoA" TargetMode="External"/><Relationship Id="rId266" Type="http://schemas.openxmlformats.org/officeDocument/2006/relationships/hyperlink" Target="https://drive.google.com/open?id=1JQ5wy0mFP75VcieLkSgUlKUHipxnVgZB" TargetMode="External"/><Relationship Id="rId265" Type="http://schemas.openxmlformats.org/officeDocument/2006/relationships/hyperlink" Target="https://drive.google.com/open?id=1ywwRx2BTwuQhj21kkoPE0IoFic1e0lG4" TargetMode="External"/><Relationship Id="rId260" Type="http://schemas.openxmlformats.org/officeDocument/2006/relationships/hyperlink" Target="https://drive.google.com/open?id=1KmNugm_XisKqjzAylIcY0aqZxNJlRQzk" TargetMode="External"/><Relationship Id="rId259" Type="http://schemas.openxmlformats.org/officeDocument/2006/relationships/hyperlink" Target="https://drive.google.com/open?id=1KJE6jTvg3cwUXAjwv6DyLbIhO_2sf296" TargetMode="External"/><Relationship Id="rId258" Type="http://schemas.openxmlformats.org/officeDocument/2006/relationships/hyperlink" Target="https://drive.google.com/open?id=11vOXoyyj2R4fsgYVAYNT-egC_Om5iX96" TargetMode="External"/><Relationship Id="rId253" Type="http://schemas.openxmlformats.org/officeDocument/2006/relationships/hyperlink" Target="https://drive.google.com/open?id=1StTaZaaV_ip8ZODPg62FDxhm_OrJUdMv" TargetMode="External"/><Relationship Id="rId252" Type="http://schemas.openxmlformats.org/officeDocument/2006/relationships/hyperlink" Target="https://drive.google.com/open?id=1xj8sKmz3AYv0ZHoz3yUKwCxwhKOie9j4" TargetMode="External"/><Relationship Id="rId251" Type="http://schemas.openxmlformats.org/officeDocument/2006/relationships/hyperlink" Target="https://drive.google.com/open?id=1QXxIknCStY1FADfkr_8n33MRValOUXhr" TargetMode="External"/><Relationship Id="rId250" Type="http://schemas.openxmlformats.org/officeDocument/2006/relationships/hyperlink" Target="https://drive.google.com/open?id=1Btn5Fd1QtPh7OtnhdJFnojpZJ3vuU6is" TargetMode="External"/><Relationship Id="rId257" Type="http://schemas.openxmlformats.org/officeDocument/2006/relationships/hyperlink" Target="https://drive.google.com/open?id=1Un1H0AIrb1uOW-ZLxouxeSlD51o_s6yJ" TargetMode="External"/><Relationship Id="rId256" Type="http://schemas.openxmlformats.org/officeDocument/2006/relationships/hyperlink" Target="https://drive.google.com/open?id=11bQE7iUqWXnUTU6vjyfJICAwQh-lTG5q" TargetMode="External"/><Relationship Id="rId255" Type="http://schemas.openxmlformats.org/officeDocument/2006/relationships/hyperlink" Target="https://drive.google.com/open?id=1gYjOMzNjOvKJepuv6ao08mqXhsq92C1T" TargetMode="External"/><Relationship Id="rId254" Type="http://schemas.openxmlformats.org/officeDocument/2006/relationships/hyperlink" Target="https://drive.google.com/open?id=1uVtJF_NIxSsHhdA36qHb5H9Q1jIBSLHj" TargetMode="External"/><Relationship Id="rId293" Type="http://schemas.openxmlformats.org/officeDocument/2006/relationships/hyperlink" Target="https://drive.google.com/open?id=1w3Q2vDhXD7K6JmivRgDShFYxy502g-7Z" TargetMode="External"/><Relationship Id="rId292" Type="http://schemas.openxmlformats.org/officeDocument/2006/relationships/hyperlink" Target="https://drive.google.com/open?id=1ND4We0vstlu_HdYGx2G6nGW02_8BM1Aj" TargetMode="External"/><Relationship Id="rId291" Type="http://schemas.openxmlformats.org/officeDocument/2006/relationships/hyperlink" Target="https://drive.google.com/open?id=1pxy4YbkI-sDS6ij1d0Nqu69p9VIc-cBR" TargetMode="External"/><Relationship Id="rId290" Type="http://schemas.openxmlformats.org/officeDocument/2006/relationships/hyperlink" Target="https://drive.google.com/open?id=15Pk_sGZWE6Flko1Wb2O2twwEnxSdKUX2" TargetMode="External"/><Relationship Id="rId286" Type="http://schemas.openxmlformats.org/officeDocument/2006/relationships/hyperlink" Target="https://drive.google.com/open?id=18o0SK3peIRcyf0MCpt0WbB7IFzl3U_3J" TargetMode="External"/><Relationship Id="rId285" Type="http://schemas.openxmlformats.org/officeDocument/2006/relationships/hyperlink" Target="https://drive.google.com/open?id=1g4cAStMYWAGWLinDZd771nGBJDVj-ByV" TargetMode="External"/><Relationship Id="rId284" Type="http://schemas.openxmlformats.org/officeDocument/2006/relationships/hyperlink" Target="https://drive.google.com/open?id=1jiIJU8ZvyKMBVP_vkvOEkTVZRG6nYWi9" TargetMode="External"/><Relationship Id="rId283" Type="http://schemas.openxmlformats.org/officeDocument/2006/relationships/hyperlink" Target="https://drive.google.com/open?id=11kUcBBqKkglYBl2WjxBweseQQrqhNbiJ" TargetMode="External"/><Relationship Id="rId289" Type="http://schemas.openxmlformats.org/officeDocument/2006/relationships/hyperlink" Target="https://drive.google.com/open?id=1G-l2_HdaTZMDsWqoGZ4rN5EPJbHtt5E_" TargetMode="External"/><Relationship Id="rId288" Type="http://schemas.openxmlformats.org/officeDocument/2006/relationships/hyperlink" Target="https://drive.google.com/open?id=1buShck1TZ1p1G5nDkhqST59D4U3bZYLH" TargetMode="External"/><Relationship Id="rId287" Type="http://schemas.openxmlformats.org/officeDocument/2006/relationships/hyperlink" Target="https://drive.google.com/open?id=16Z5RdP2vQp6lMUtgglv2xjoJf6auni2F" TargetMode="External"/><Relationship Id="rId282" Type="http://schemas.openxmlformats.org/officeDocument/2006/relationships/hyperlink" Target="https://drive.google.com/open?id=1AmH3w3-44GU5sGNa3DzDod4lpkTUtORf" TargetMode="External"/><Relationship Id="rId281" Type="http://schemas.openxmlformats.org/officeDocument/2006/relationships/hyperlink" Target="https://drive.google.com/open?id=1nafLwFRJBG-q1nNRHwDX29EsbpCu0eL7" TargetMode="External"/><Relationship Id="rId280" Type="http://schemas.openxmlformats.org/officeDocument/2006/relationships/hyperlink" Target="https://drive.google.com/open?id=1woLJmmeh4K84uqSqrMp4r-wGbeA2Wlh2" TargetMode="External"/><Relationship Id="rId275" Type="http://schemas.openxmlformats.org/officeDocument/2006/relationships/hyperlink" Target="https://drive.google.com/open?id=1I6zZ9K06c1wCT1L431NBOjkohm3g5IhF" TargetMode="External"/><Relationship Id="rId274" Type="http://schemas.openxmlformats.org/officeDocument/2006/relationships/hyperlink" Target="https://drive.google.com/open?id=119hO-WqLyV7FzJ2-_hIX5dSvmZUDHsU-" TargetMode="External"/><Relationship Id="rId273" Type="http://schemas.openxmlformats.org/officeDocument/2006/relationships/hyperlink" Target="https://drive.google.com/open?id=1Oa6VnPsSdeAhKvr7XSPH2ZBfnjOkfsDN" TargetMode="External"/><Relationship Id="rId272" Type="http://schemas.openxmlformats.org/officeDocument/2006/relationships/hyperlink" Target="https://drive.google.com/open?id=1a89jgZ_mpPNAvxA-fn3pEpDnpQyYxyZM" TargetMode="External"/><Relationship Id="rId279" Type="http://schemas.openxmlformats.org/officeDocument/2006/relationships/hyperlink" Target="https://drive.google.com/open?id=1Lku-n1N6xKb4YeQ2ISDrulg3EnW8yOlb" TargetMode="External"/><Relationship Id="rId278" Type="http://schemas.openxmlformats.org/officeDocument/2006/relationships/hyperlink" Target="https://drive.google.com/open?id=1iix9taZqOSqzBb3UlKmCC1uecq-qn_xj" TargetMode="External"/><Relationship Id="rId277" Type="http://schemas.openxmlformats.org/officeDocument/2006/relationships/hyperlink" Target="https://drive.google.com/open?id=1bJOZk-Z-twZuGoL4UVAoKmqU_iTREof7" TargetMode="External"/><Relationship Id="rId276" Type="http://schemas.openxmlformats.org/officeDocument/2006/relationships/hyperlink" Target="https://drive.google.com/open?id=1T_NXKMeQmB7MiH4olcxYiiU7HYwI_m2z" TargetMode="External"/><Relationship Id="rId629" Type="http://schemas.openxmlformats.org/officeDocument/2006/relationships/hyperlink" Target="https://drive.google.com/open?id=1CDQp-PBZmfOaWRAP94IsgsbraIKHtdWL" TargetMode="External"/><Relationship Id="rId624" Type="http://schemas.openxmlformats.org/officeDocument/2006/relationships/hyperlink" Target="https://drive.google.com/open?id=15uViMoGjxNAkEyV4Y1Q8HhaRwq88LVNU" TargetMode="External"/><Relationship Id="rId623" Type="http://schemas.openxmlformats.org/officeDocument/2006/relationships/hyperlink" Target="https://drive.google.com/open?id=18qymJHQtd7_s6vxpDGKyC3Av6MtUIRUq" TargetMode="External"/><Relationship Id="rId622" Type="http://schemas.openxmlformats.org/officeDocument/2006/relationships/hyperlink" Target="https://drive.google.com/open?id=1l0vq1U6sdFw3l4NRBTGo5zxgvr-9dRuI" TargetMode="External"/><Relationship Id="rId621" Type="http://schemas.openxmlformats.org/officeDocument/2006/relationships/hyperlink" Target="https://drive.google.com/open?id=1eKMg0MuP3auzH31G2IsRDH1H5c5-rriI" TargetMode="External"/><Relationship Id="rId628" Type="http://schemas.openxmlformats.org/officeDocument/2006/relationships/hyperlink" Target="https://drive.google.com/open?id=1RZJGkxLxMIWCLo4siZnkp-f5pBgLSxfj" TargetMode="External"/><Relationship Id="rId627" Type="http://schemas.openxmlformats.org/officeDocument/2006/relationships/hyperlink" Target="https://drive.google.com/open?id=1EvXscih3t8GNcIkdo5_8G4zI0SWazPz8" TargetMode="External"/><Relationship Id="rId626" Type="http://schemas.openxmlformats.org/officeDocument/2006/relationships/hyperlink" Target="https://drive.google.com/open?id=1qbg09HWRvHvWMuQIuQSJ6sD4O5Mao3IC" TargetMode="External"/><Relationship Id="rId625" Type="http://schemas.openxmlformats.org/officeDocument/2006/relationships/hyperlink" Target="https://drive.google.com/open?id=1FfDpT2xxMiSopeSUAR15TtLoVpZTPc4Q" TargetMode="External"/><Relationship Id="rId620" Type="http://schemas.openxmlformats.org/officeDocument/2006/relationships/hyperlink" Target="https://drive.google.com/open?id=1jEjFpyfV984wjTf7K6bTamn6PHOO9whM" TargetMode="External"/><Relationship Id="rId619" Type="http://schemas.openxmlformats.org/officeDocument/2006/relationships/hyperlink" Target="https://drive.google.com/open?id=1-s6hUkyyPvazo85I9mZCbqlJIFZTi6sR" TargetMode="External"/><Relationship Id="rId618" Type="http://schemas.openxmlformats.org/officeDocument/2006/relationships/hyperlink" Target="https://drive.google.com/open?id=1fOz66l3-hJZ8uJ9WTF7kYbv6x4urVCfn" TargetMode="External"/><Relationship Id="rId613" Type="http://schemas.openxmlformats.org/officeDocument/2006/relationships/hyperlink" Target="https://drive.google.com/open?id=19pm2_Q5iWB3TaA9W5JNLMBYNbUk4cqmc" TargetMode="External"/><Relationship Id="rId612" Type="http://schemas.openxmlformats.org/officeDocument/2006/relationships/hyperlink" Target="https://drive.google.com/open?id=1pe3p-2freuWa5Y6VlateFoOG8VVzNEWA" TargetMode="External"/><Relationship Id="rId611" Type="http://schemas.openxmlformats.org/officeDocument/2006/relationships/hyperlink" Target="https://drive.google.com/open?id=1UR6VzrlXN7BED6ACISPUMmROl_Ggh1qz" TargetMode="External"/><Relationship Id="rId610" Type="http://schemas.openxmlformats.org/officeDocument/2006/relationships/hyperlink" Target="https://drive.google.com/open?id=1foONca1k4A6XjEfgyT-fpPpAfD8E744q" TargetMode="External"/><Relationship Id="rId617" Type="http://schemas.openxmlformats.org/officeDocument/2006/relationships/hyperlink" Target="https://drive.google.com/open?id=1ZjUgIOn4CrJjrvYAAfjeeemjC-MPDfNq" TargetMode="External"/><Relationship Id="rId616" Type="http://schemas.openxmlformats.org/officeDocument/2006/relationships/hyperlink" Target="https://drive.google.com/open?id=1RTtyq3k-N2F7MeRaIQQUEPr2Q6jliTEQ" TargetMode="External"/><Relationship Id="rId615" Type="http://schemas.openxmlformats.org/officeDocument/2006/relationships/hyperlink" Target="https://drive.google.com/open?id=1Ezod3LTtx06q8Nryu-0ZbTaoweFYbeQy" TargetMode="External"/><Relationship Id="rId614" Type="http://schemas.openxmlformats.org/officeDocument/2006/relationships/hyperlink" Target="https://drive.google.com/open?id=1DdtP4Jce1Hzh89cx91TIYbMBw-Eoyw6i" TargetMode="External"/><Relationship Id="rId646" Type="http://schemas.openxmlformats.org/officeDocument/2006/relationships/hyperlink" Target="https://drive.google.com/open?id=1og0LMMSqRPdxLyrHtf_XEsnDTBkDJ4pD" TargetMode="External"/><Relationship Id="rId645" Type="http://schemas.openxmlformats.org/officeDocument/2006/relationships/hyperlink" Target="https://drive.google.com/open?id=1DtxFggTTAZr71CIcaovN-iBadE1uZmlF" TargetMode="External"/><Relationship Id="rId644" Type="http://schemas.openxmlformats.org/officeDocument/2006/relationships/hyperlink" Target="https://drive.google.com/open?id=1c29JlK1hYarwHb69KZRXURiOigcjghFZ" TargetMode="External"/><Relationship Id="rId643" Type="http://schemas.openxmlformats.org/officeDocument/2006/relationships/hyperlink" Target="https://drive.google.com/open?id=1vIBeMPhSVPqi4P2p2StgeIVMPCBYCVJX" TargetMode="External"/><Relationship Id="rId649" Type="http://schemas.openxmlformats.org/officeDocument/2006/relationships/hyperlink" Target="https://drive.google.com/open?id=1iWb8zN9FhCMzxE4WZdSAZflQ-SsHEGZ3" TargetMode="External"/><Relationship Id="rId648" Type="http://schemas.openxmlformats.org/officeDocument/2006/relationships/hyperlink" Target="https://drive.google.com/open?id=1G1RlYV30pCbXGPQFAePsPFOPnByNKUBj" TargetMode="External"/><Relationship Id="rId647" Type="http://schemas.openxmlformats.org/officeDocument/2006/relationships/hyperlink" Target="https://drive.google.com/open?id=1pXQ52xlKblkbSofigaUXkxIeYb6x4PYn" TargetMode="External"/><Relationship Id="rId642" Type="http://schemas.openxmlformats.org/officeDocument/2006/relationships/hyperlink" Target="https://drive.google.com/open?id=1Ue1zY6fmjTuNMCQ1eMzNM_hDW5JfeMAS" TargetMode="External"/><Relationship Id="rId641" Type="http://schemas.openxmlformats.org/officeDocument/2006/relationships/hyperlink" Target="https://drive.google.com/open?id=1pfY5xSV0Jpjkm30jccWxoPYm0rBdu9_6" TargetMode="External"/><Relationship Id="rId640" Type="http://schemas.openxmlformats.org/officeDocument/2006/relationships/hyperlink" Target="https://drive.google.com/open?id=1TUdexaEHNdOiYPHV3Cha4uQbX5XqPZhW" TargetMode="External"/><Relationship Id="rId635" Type="http://schemas.openxmlformats.org/officeDocument/2006/relationships/hyperlink" Target="https://drive.google.com/open?id=18UCOVjctEmUkeWvKSK3EwxxqYBTuhM8l" TargetMode="External"/><Relationship Id="rId634" Type="http://schemas.openxmlformats.org/officeDocument/2006/relationships/hyperlink" Target="https://drive.google.com/open?id=1m23VxHdX4Zs3AvCLywt75uFllkTGKKTd" TargetMode="External"/><Relationship Id="rId633" Type="http://schemas.openxmlformats.org/officeDocument/2006/relationships/hyperlink" Target="https://drive.google.com/open?id=1FE0_HvNkyx3uHLZDuU658DZshp-63E4t" TargetMode="External"/><Relationship Id="rId632" Type="http://schemas.openxmlformats.org/officeDocument/2006/relationships/hyperlink" Target="https://drive.google.com/open?id=1jZqgHUFv77c-1WLKoijFh6ALBy9Ux1It" TargetMode="External"/><Relationship Id="rId639" Type="http://schemas.openxmlformats.org/officeDocument/2006/relationships/hyperlink" Target="https://drive.google.com/open?id=16FQHEBK1Sq5igP7cNRw9fRLyPnYvM-ms" TargetMode="External"/><Relationship Id="rId638" Type="http://schemas.openxmlformats.org/officeDocument/2006/relationships/hyperlink" Target="https://drive.google.com/open?id=1Gk5FuNyOEn3ZKyId4GWfgMUKEX9yMALO" TargetMode="External"/><Relationship Id="rId637" Type="http://schemas.openxmlformats.org/officeDocument/2006/relationships/hyperlink" Target="https://drive.google.com/open?id=1j4dQCVh65KHXq89qFXkKzrxq4tCfzD-j" TargetMode="External"/><Relationship Id="rId636" Type="http://schemas.openxmlformats.org/officeDocument/2006/relationships/hyperlink" Target="https://drive.google.com/open?id=1Br9osdp4Z29Y2syRxU08Ud0JMlMK7QRZ" TargetMode="External"/><Relationship Id="rId631" Type="http://schemas.openxmlformats.org/officeDocument/2006/relationships/hyperlink" Target="https://drive.google.com/open?id=1L9EdbAfI7EPrI4X-M6NqXT4KXwvZicpg" TargetMode="External"/><Relationship Id="rId630" Type="http://schemas.openxmlformats.org/officeDocument/2006/relationships/hyperlink" Target="https://drive.google.com/open?id=1V0NQc24We23LH8EhxU-DoWWBxbWP-qw8" TargetMode="External"/><Relationship Id="rId609" Type="http://schemas.openxmlformats.org/officeDocument/2006/relationships/hyperlink" Target="https://drive.google.com/open?id=1eC1pDXpm6Na2Yw9X6EHoZDI1_VQx9eSV" TargetMode="External"/><Relationship Id="rId608" Type="http://schemas.openxmlformats.org/officeDocument/2006/relationships/hyperlink" Target="https://drive.google.com/open?id=1bEEb_67tfTUMaadwqxyH1kLGgXu06L-o" TargetMode="External"/><Relationship Id="rId607" Type="http://schemas.openxmlformats.org/officeDocument/2006/relationships/hyperlink" Target="https://drive.google.com/open?id=1syo7UaH687D-JpxJyPvut1j1pK3BMbje" TargetMode="External"/><Relationship Id="rId602" Type="http://schemas.openxmlformats.org/officeDocument/2006/relationships/hyperlink" Target="https://drive.google.com/open?id=1wJBg05qypWnDdgAhRK0R2uvkoJeon6rR" TargetMode="External"/><Relationship Id="rId601" Type="http://schemas.openxmlformats.org/officeDocument/2006/relationships/hyperlink" Target="https://drive.google.com/open?id=1c5Y8DsJ-mMBKjKfPeXEF0JmLY5yb9AvC" TargetMode="External"/><Relationship Id="rId600" Type="http://schemas.openxmlformats.org/officeDocument/2006/relationships/hyperlink" Target="https://drive.google.com/open?id=1pSs7zzy3eJi0Z95pmNnGfABCvWGgsb_H" TargetMode="External"/><Relationship Id="rId606" Type="http://schemas.openxmlformats.org/officeDocument/2006/relationships/hyperlink" Target="https://drive.google.com/open?id=1sLv63GFElaZzg0tPVD_8qw9BRyVWvQLV" TargetMode="External"/><Relationship Id="rId605" Type="http://schemas.openxmlformats.org/officeDocument/2006/relationships/hyperlink" Target="https://drive.google.com/open?id=1u5W3xc7M36C7uqNkrMs988SSF17BWLHi" TargetMode="External"/><Relationship Id="rId604" Type="http://schemas.openxmlformats.org/officeDocument/2006/relationships/hyperlink" Target="https://drive.google.com/open?id=1FnC69aIhT2LBAjYSJwvd29MN09KMBmLd" TargetMode="External"/><Relationship Id="rId603" Type="http://schemas.openxmlformats.org/officeDocument/2006/relationships/hyperlink" Target="https://drive.google.com/open?id=1ph83XLvX3vGd4A97E5ij08uGHbidKf49" TargetMode="External"/><Relationship Id="rId1059" Type="http://schemas.openxmlformats.org/officeDocument/2006/relationships/hyperlink" Target="https://drive.google.com/open?id=1bBYODdW8o8YfBO7EGqmSkkCJooh7WEC6" TargetMode="External"/><Relationship Id="rId228" Type="http://schemas.openxmlformats.org/officeDocument/2006/relationships/hyperlink" Target="https://drive.google.com/open?id=1IIBfarkDFsZ9NAt0KrRtpOVyEgmB92Za" TargetMode="External"/><Relationship Id="rId227" Type="http://schemas.openxmlformats.org/officeDocument/2006/relationships/hyperlink" Target="https://drive.google.com/open?id=1KaG8ifl87vZVdinj78aAvxxBCvmdzON0" TargetMode="External"/><Relationship Id="rId226" Type="http://schemas.openxmlformats.org/officeDocument/2006/relationships/hyperlink" Target="https://drive.google.com/open?id=1oBQG3ddsVRj9xP203FS0eowppN38tU9h" TargetMode="External"/><Relationship Id="rId225" Type="http://schemas.openxmlformats.org/officeDocument/2006/relationships/hyperlink" Target="https://drive.google.com/open?id=1RJuokXaS3doZU8nzhvmSWD7IgeoPV_x4" TargetMode="External"/><Relationship Id="rId229" Type="http://schemas.openxmlformats.org/officeDocument/2006/relationships/hyperlink" Target="https://drive.google.com/open?id=1_MKGKDwRsGQXTZXyb1XI02-gZj3wRvhZ" TargetMode="External"/><Relationship Id="rId1050" Type="http://schemas.openxmlformats.org/officeDocument/2006/relationships/hyperlink" Target="https://drive.google.com/open?id=1brfPSUg7sbiCqO9FsWqg9TWrZovHIO6D" TargetMode="External"/><Relationship Id="rId220" Type="http://schemas.openxmlformats.org/officeDocument/2006/relationships/hyperlink" Target="https://drive.google.com/open?id=1NpMNOiwnBkrEYraqidO1Z-98GkhJaxhJ" TargetMode="External"/><Relationship Id="rId1051" Type="http://schemas.openxmlformats.org/officeDocument/2006/relationships/hyperlink" Target="https://drive.google.com/open?id=1EeG2EJ5A_SCrDfXnfGKz79dLF7x7UsAP" TargetMode="External"/><Relationship Id="rId1052" Type="http://schemas.openxmlformats.org/officeDocument/2006/relationships/hyperlink" Target="https://drive.google.com/open?id=1fxsbZo3r5a0GpNs574f58pv05l1YLK1o" TargetMode="External"/><Relationship Id="rId1053" Type="http://schemas.openxmlformats.org/officeDocument/2006/relationships/hyperlink" Target="https://drive.google.com/open?id=1pt98CLmy0IZQP7OYCI2MpGUy51iodIuy" TargetMode="External"/><Relationship Id="rId1054" Type="http://schemas.openxmlformats.org/officeDocument/2006/relationships/hyperlink" Target="https://drive.google.com/open?id=1n1__JVu-uyEyBcDmEDMsx6J1WQO-mqq0" TargetMode="External"/><Relationship Id="rId224" Type="http://schemas.openxmlformats.org/officeDocument/2006/relationships/hyperlink" Target="https://drive.google.com/open?id=1ZQNdDhW7QVnMU3V3fNKSjWx8KRbBE20y" TargetMode="External"/><Relationship Id="rId1055" Type="http://schemas.openxmlformats.org/officeDocument/2006/relationships/hyperlink" Target="https://drive.google.com/open?id=1_n269z69t17QBraObeoGdWWurvdJ69V7" TargetMode="External"/><Relationship Id="rId223" Type="http://schemas.openxmlformats.org/officeDocument/2006/relationships/hyperlink" Target="https://drive.google.com/open?id=1yN5JNH56TE1t4RD3Q3mNwVCDsSXRiUpQ" TargetMode="External"/><Relationship Id="rId1056" Type="http://schemas.openxmlformats.org/officeDocument/2006/relationships/hyperlink" Target="https://drive.google.com/open?id=11cHTzUQ_PEmEj4fYMb0QjEAap5RgzF7-" TargetMode="External"/><Relationship Id="rId222" Type="http://schemas.openxmlformats.org/officeDocument/2006/relationships/hyperlink" Target="https://drive.google.com/open?id=1gsrEmS1hLfncbXA-rvRGaO_R2PbZQppF" TargetMode="External"/><Relationship Id="rId1057" Type="http://schemas.openxmlformats.org/officeDocument/2006/relationships/hyperlink" Target="https://drive.google.com/open?id=1lUm9lxeXywj7bYU5X1CV0zf90bM5touW" TargetMode="External"/><Relationship Id="rId221" Type="http://schemas.openxmlformats.org/officeDocument/2006/relationships/hyperlink" Target="https://drive.google.com/open?id=1jkM9Pz_-gM1Q-WaB6KkKawPZ14FeI4li" TargetMode="External"/><Relationship Id="rId1058" Type="http://schemas.openxmlformats.org/officeDocument/2006/relationships/hyperlink" Target="https://drive.google.com/open?id=1SAT71BD-gy7IA8C7KRsiXw8vaz2OBhnC" TargetMode="External"/><Relationship Id="rId1048" Type="http://schemas.openxmlformats.org/officeDocument/2006/relationships/hyperlink" Target="https://drive.google.com/open?id=1HDYnFSCSOaAgSKMgg8AAQK9BB0j3J0k6" TargetMode="External"/><Relationship Id="rId1049" Type="http://schemas.openxmlformats.org/officeDocument/2006/relationships/hyperlink" Target="https://drive.google.com/open?id=1snEOPbpl2j8wbo2kZMcELDwwBRnh-Bey" TargetMode="External"/><Relationship Id="rId217" Type="http://schemas.openxmlformats.org/officeDocument/2006/relationships/hyperlink" Target="https://drive.google.com/open?id=1EEn3-aKrMe4UR2gUR2znSArjTP68kM0u" TargetMode="External"/><Relationship Id="rId216" Type="http://schemas.openxmlformats.org/officeDocument/2006/relationships/hyperlink" Target="https://drive.google.com/open?id=18ppfmiEPyncUUVBWULW5JrOKj_WdGpMZ" TargetMode="External"/><Relationship Id="rId215" Type="http://schemas.openxmlformats.org/officeDocument/2006/relationships/hyperlink" Target="https://drive.google.com/open?id=1yGuzfZwmMNrNPTASHcdU8xTj7U-OG277" TargetMode="External"/><Relationship Id="rId699" Type="http://schemas.openxmlformats.org/officeDocument/2006/relationships/hyperlink" Target="https://drive.google.com/open?id=1rBFlVnV19_h3ThvEP5DSWAuzZ5Bli_Ij" TargetMode="External"/><Relationship Id="rId214" Type="http://schemas.openxmlformats.org/officeDocument/2006/relationships/hyperlink" Target="https://drive.google.com/open?id=1aUFVkujqx_v1nB1Enlhrf5_3ygCp9yAP" TargetMode="External"/><Relationship Id="rId698" Type="http://schemas.openxmlformats.org/officeDocument/2006/relationships/hyperlink" Target="https://drive.google.com/open?id=1nCwzAb98z7Kzk3o9Foobbn8f7AbMw1x7" TargetMode="External"/><Relationship Id="rId219" Type="http://schemas.openxmlformats.org/officeDocument/2006/relationships/hyperlink" Target="https://drive.google.com/open?id=1_zRhbWe-ZIATBTKnt5Wrb3e5ad6h5zy4" TargetMode="External"/><Relationship Id="rId218" Type="http://schemas.openxmlformats.org/officeDocument/2006/relationships/hyperlink" Target="https://drive.google.com/open?id=1nPbHAHelH1Rzus_6GXDSVERUuLB1-m_y" TargetMode="External"/><Relationship Id="rId693" Type="http://schemas.openxmlformats.org/officeDocument/2006/relationships/hyperlink" Target="https://drive.google.com/open?id=1Zp2HMq8bIGDApT9GqXplHWPkQRD_ai2e" TargetMode="External"/><Relationship Id="rId1040" Type="http://schemas.openxmlformats.org/officeDocument/2006/relationships/hyperlink" Target="https://drive.google.com/open?id=17BIqO0i4s8xisgjb8A4VuaPqEfh2Js4G" TargetMode="External"/><Relationship Id="rId692" Type="http://schemas.openxmlformats.org/officeDocument/2006/relationships/hyperlink" Target="https://drive.google.com/open?id=1Y3unLXWCV1abqjq6SPZcbe_lXKLILIR-" TargetMode="External"/><Relationship Id="rId1041" Type="http://schemas.openxmlformats.org/officeDocument/2006/relationships/hyperlink" Target="https://drive.google.com/open?id=1ouRGNBjjHGaP1LLm4rok9WQJhTp011So" TargetMode="External"/><Relationship Id="rId691" Type="http://schemas.openxmlformats.org/officeDocument/2006/relationships/hyperlink" Target="https://drive.google.com/open?id=1Jr-CpyZqjSuzXFFXzQdUNUqwCPR9HpU6" TargetMode="External"/><Relationship Id="rId1042" Type="http://schemas.openxmlformats.org/officeDocument/2006/relationships/hyperlink" Target="https://drive.google.com/open?id=15RwwX6_KXxXLoRwvTt6wBbpQ_vZE6R1b" TargetMode="External"/><Relationship Id="rId690" Type="http://schemas.openxmlformats.org/officeDocument/2006/relationships/hyperlink" Target="https://drive.google.com/open?id=1CpjePSXtt5xuBUsxkom5qDLIGk-Cq5v1" TargetMode="External"/><Relationship Id="rId1043" Type="http://schemas.openxmlformats.org/officeDocument/2006/relationships/hyperlink" Target="https://drive.google.com/open?id=1_45txGM6CLdtXy4xP8LAop5_rnW6kK0n" TargetMode="External"/><Relationship Id="rId213" Type="http://schemas.openxmlformats.org/officeDocument/2006/relationships/hyperlink" Target="https://drive.google.com/open?id=1ZP05LU2PnFrGBLhaKojrsGTwG9mpwlyI" TargetMode="External"/><Relationship Id="rId697" Type="http://schemas.openxmlformats.org/officeDocument/2006/relationships/hyperlink" Target="https://drive.google.com/open?id=1HS1y5BFVEerGZ1yx3w_TpEWOE03wFjRM" TargetMode="External"/><Relationship Id="rId1044" Type="http://schemas.openxmlformats.org/officeDocument/2006/relationships/hyperlink" Target="https://drive.google.com/open?id=1L8pSeS7cavXIWpKuEkmB31MABEG4iouJ" TargetMode="External"/><Relationship Id="rId212" Type="http://schemas.openxmlformats.org/officeDocument/2006/relationships/hyperlink" Target="https://drive.google.com/open?id=1mXWQ22tEBum6Qeqx3u3J2UDzE1iF6z0M" TargetMode="External"/><Relationship Id="rId696" Type="http://schemas.openxmlformats.org/officeDocument/2006/relationships/hyperlink" Target="https://drive.google.com/open?id=14cXk2wrx7VZZxUqQoSliellsUgypxFAg" TargetMode="External"/><Relationship Id="rId1045" Type="http://schemas.openxmlformats.org/officeDocument/2006/relationships/hyperlink" Target="https://drive.google.com/open?id=1NHOakMHiPTu7d2Ll_foajsNzaSk9UZ6j" TargetMode="External"/><Relationship Id="rId211" Type="http://schemas.openxmlformats.org/officeDocument/2006/relationships/hyperlink" Target="https://drive.google.com/open?id=1L-6Rmu3CgF-8_Se78N5N2LfPSpaEXXgt" TargetMode="External"/><Relationship Id="rId695" Type="http://schemas.openxmlformats.org/officeDocument/2006/relationships/hyperlink" Target="https://drive.google.com/open?id=1amEvwXImyH3bcaeu7GDy9uuAFT36TG3x" TargetMode="External"/><Relationship Id="rId1046" Type="http://schemas.openxmlformats.org/officeDocument/2006/relationships/hyperlink" Target="https://drive.google.com/open?id=1taX9Dra00xlb47uWajmdo51k0m97Is7Q" TargetMode="External"/><Relationship Id="rId210" Type="http://schemas.openxmlformats.org/officeDocument/2006/relationships/hyperlink" Target="https://drive.google.com/open?id=1nARL6r93gj8v1ZcpPA2aTvnZZw4YZEE2" TargetMode="External"/><Relationship Id="rId694" Type="http://schemas.openxmlformats.org/officeDocument/2006/relationships/hyperlink" Target="https://drive.google.com/open?id=1QpybFFo78HT6QeWgqiPs78lp-G04Jpg2" TargetMode="External"/><Relationship Id="rId1047" Type="http://schemas.openxmlformats.org/officeDocument/2006/relationships/hyperlink" Target="https://drive.google.com/open?id=1paflOfQdeW0HYUJZwb_OpYzIzVjrjYdP" TargetMode="External"/><Relationship Id="rId249" Type="http://schemas.openxmlformats.org/officeDocument/2006/relationships/hyperlink" Target="https://drive.google.com/open?id=1vT3ht79J_rL3R2Y6cNERNbj2zqtKCjbQ" TargetMode="External"/><Relationship Id="rId248" Type="http://schemas.openxmlformats.org/officeDocument/2006/relationships/hyperlink" Target="https://drive.google.com/open?id=1zpmm0W3UGpW7gPZdfB1tomu7zAu655rf" TargetMode="External"/><Relationship Id="rId247" Type="http://schemas.openxmlformats.org/officeDocument/2006/relationships/hyperlink" Target="https://drive.google.com/open?id=1zn_3aP5fg2NK4Sa2zP-gGo0Bdj0__thB" TargetMode="External"/><Relationship Id="rId1070" Type="http://schemas.openxmlformats.org/officeDocument/2006/relationships/hyperlink" Target="https://drive.google.com/open?id=1ZkacYVurTqaypc4w905D6CCOjZ62NiiB" TargetMode="External"/><Relationship Id="rId1071" Type="http://schemas.openxmlformats.org/officeDocument/2006/relationships/hyperlink" Target="https://drive.google.com/open?id=1CQs5EO7lIY3nh7LXf1rjCJCBYHYmFNLP" TargetMode="External"/><Relationship Id="rId1072" Type="http://schemas.openxmlformats.org/officeDocument/2006/relationships/hyperlink" Target="https://drive.google.com/open?id=1gRdBTQlN2B61vp5L2gA37X8ib7oSX0W8" TargetMode="External"/><Relationship Id="rId242" Type="http://schemas.openxmlformats.org/officeDocument/2006/relationships/hyperlink" Target="https://drive.google.com/open?id=1nGRXkId6o5cqj3xIaeRBqo0koBoDqQqF" TargetMode="External"/><Relationship Id="rId1073" Type="http://schemas.openxmlformats.org/officeDocument/2006/relationships/hyperlink" Target="https://drive.google.com/open?id=1pfWqDJLjLheo29usiOYkZJorrLW4uIrq" TargetMode="External"/><Relationship Id="rId241" Type="http://schemas.openxmlformats.org/officeDocument/2006/relationships/hyperlink" Target="https://drive.google.com/open?id=1iO3XouAEkbdhcbi2x1DPtekEr2EXacSH" TargetMode="External"/><Relationship Id="rId1074" Type="http://schemas.openxmlformats.org/officeDocument/2006/relationships/hyperlink" Target="https://drive.google.com/open?id=1WBGDIMDiUftNhfauKWKCk4zAG4jaywOt" TargetMode="External"/><Relationship Id="rId240" Type="http://schemas.openxmlformats.org/officeDocument/2006/relationships/hyperlink" Target="https://drive.google.com/open?id=1de7x2fVjRWzN06eIg7w4V41EJ0irYQnv" TargetMode="External"/><Relationship Id="rId1075" Type="http://schemas.openxmlformats.org/officeDocument/2006/relationships/hyperlink" Target="https://drive.google.com/open?id=18_z_55vUm59BNVFX0AAHdZpVLNGkVsUH" TargetMode="External"/><Relationship Id="rId1076" Type="http://schemas.openxmlformats.org/officeDocument/2006/relationships/hyperlink" Target="https://drive.google.com/open?id=11j1wmX0IaP8KIa1h9ZWHanB_F2hPD9BL" TargetMode="External"/><Relationship Id="rId246" Type="http://schemas.openxmlformats.org/officeDocument/2006/relationships/hyperlink" Target="https://drive.google.com/open?id=1sWMBO_Kz5DIB1sTOzC2ljXUUNi-6Jj7w" TargetMode="External"/><Relationship Id="rId1077" Type="http://schemas.openxmlformats.org/officeDocument/2006/relationships/hyperlink" Target="https://drive.google.com/open?id=1qQrBBIjTQ5_A73IKKdqZ5cwpAmWCLBBQ" TargetMode="External"/><Relationship Id="rId245" Type="http://schemas.openxmlformats.org/officeDocument/2006/relationships/hyperlink" Target="https://drive.google.com/open?id=1D_K3ZQUUgJStHoH0_5tpdXyvMvpvv40N" TargetMode="External"/><Relationship Id="rId1078" Type="http://schemas.openxmlformats.org/officeDocument/2006/relationships/hyperlink" Target="https://drive.google.com/open?id=11Yr00awhekJWyJReeYvh1NlmiHqaoqKa" TargetMode="External"/><Relationship Id="rId244" Type="http://schemas.openxmlformats.org/officeDocument/2006/relationships/hyperlink" Target="https://drive.google.com/open?id=1TEMftiyrdghPbyJBdcw26PbaHhraB9Gt" TargetMode="External"/><Relationship Id="rId1079" Type="http://schemas.openxmlformats.org/officeDocument/2006/relationships/hyperlink" Target="https://drive.google.com/open?id=1BrwPZJpdj_zr1Y1gIbSGdni_2A3ZG63c" TargetMode="External"/><Relationship Id="rId243" Type="http://schemas.openxmlformats.org/officeDocument/2006/relationships/hyperlink" Target="https://drive.google.com/open?id=14-6G2e_21ywg6bnLAmBUKYzIZlJF7i-X" TargetMode="External"/><Relationship Id="rId239" Type="http://schemas.openxmlformats.org/officeDocument/2006/relationships/hyperlink" Target="https://drive.google.com/open?id=1YxvWo0-QXKLcKQzguE7dv8y65JIh9gKX" TargetMode="External"/><Relationship Id="rId238" Type="http://schemas.openxmlformats.org/officeDocument/2006/relationships/hyperlink" Target="https://drive.google.com/open?id=163j5j2XeooYEkwlKvEJ11gq6V3MU9zTa" TargetMode="External"/><Relationship Id="rId237" Type="http://schemas.openxmlformats.org/officeDocument/2006/relationships/hyperlink" Target="https://drive.google.com/open?id=1S_xIhpWCnipqO8l3vqfjrx7_gB06fmn1" TargetMode="External"/><Relationship Id="rId236" Type="http://schemas.openxmlformats.org/officeDocument/2006/relationships/hyperlink" Target="https://drive.google.com/open?id=12YJ5IMud9HHYs3B98G5gZFsYH0UVkzhJ" TargetMode="External"/><Relationship Id="rId1060" Type="http://schemas.openxmlformats.org/officeDocument/2006/relationships/hyperlink" Target="https://drive.google.com/open?id=13AYnhq7pjbtpAWpYbU4qmDvK6Cjn8KQY" TargetMode="External"/><Relationship Id="rId1061" Type="http://schemas.openxmlformats.org/officeDocument/2006/relationships/hyperlink" Target="https://drive.google.com/open?id=1qkc_EZQAzldfdgLB9BxoMaMkqoZ2kq5I" TargetMode="External"/><Relationship Id="rId231" Type="http://schemas.openxmlformats.org/officeDocument/2006/relationships/hyperlink" Target="https://drive.google.com/open?id=16y1iF3l2MA9mQJEl_Y8S7lqApti--mOm" TargetMode="External"/><Relationship Id="rId1062" Type="http://schemas.openxmlformats.org/officeDocument/2006/relationships/hyperlink" Target="https://drive.google.com/open?id=1fjE9hUv7n7KY7cn2YySF4Oe-svzeCpBE" TargetMode="External"/><Relationship Id="rId230" Type="http://schemas.openxmlformats.org/officeDocument/2006/relationships/hyperlink" Target="https://drive.google.com/open?id=1DSJt6tFJ4O2jHUYmy6vh-Xa-G0Ke0L7V" TargetMode="External"/><Relationship Id="rId1063" Type="http://schemas.openxmlformats.org/officeDocument/2006/relationships/hyperlink" Target="https://drive.google.com/open?id=169px9XRUdCEehfRvUiJTyL7XauM-Puy1" TargetMode="External"/><Relationship Id="rId1064" Type="http://schemas.openxmlformats.org/officeDocument/2006/relationships/hyperlink" Target="https://drive.google.com/open?id=1uYKSQAmXqo10ywEkKWHpI9msvwPVJ_sF" TargetMode="External"/><Relationship Id="rId1065" Type="http://schemas.openxmlformats.org/officeDocument/2006/relationships/hyperlink" Target="https://drive.google.com/open?id=1vzifQ-bclZhSBUrlClgIkosqx3DxZLoh" TargetMode="External"/><Relationship Id="rId235" Type="http://schemas.openxmlformats.org/officeDocument/2006/relationships/hyperlink" Target="https://drive.google.com/open?id=1Te42C1BjAkSS5lPVsAkrwzxRDe3HYG1t" TargetMode="External"/><Relationship Id="rId1066" Type="http://schemas.openxmlformats.org/officeDocument/2006/relationships/hyperlink" Target="https://drive.google.com/open?id=1-4I2cGvtnyMk1_JeG4XTIY2HhUd7WhWd" TargetMode="External"/><Relationship Id="rId234" Type="http://schemas.openxmlformats.org/officeDocument/2006/relationships/hyperlink" Target="https://drive.google.com/open?id=1unNQDUrlO24WN9Qw-Oz_biIXQnl2FzTf" TargetMode="External"/><Relationship Id="rId1067" Type="http://schemas.openxmlformats.org/officeDocument/2006/relationships/hyperlink" Target="https://drive.google.com/open?id=14PmjMSTaGSIaChxLY9297-K_PrqpTtSe" TargetMode="External"/><Relationship Id="rId233" Type="http://schemas.openxmlformats.org/officeDocument/2006/relationships/hyperlink" Target="https://drive.google.com/open?id=1LsdtgiAGWx7Vab0obt7ZLMgD7sa7LOIh" TargetMode="External"/><Relationship Id="rId1068" Type="http://schemas.openxmlformats.org/officeDocument/2006/relationships/hyperlink" Target="https://drive.google.com/open?id=1oq9tnibGBhqk70e1y_umMEbVca3RVpNx" TargetMode="External"/><Relationship Id="rId232" Type="http://schemas.openxmlformats.org/officeDocument/2006/relationships/hyperlink" Target="https://drive.google.com/open?id=18TIirDTEcMvezXQ8kG1pGurYT2PnZ9xW" TargetMode="External"/><Relationship Id="rId1069" Type="http://schemas.openxmlformats.org/officeDocument/2006/relationships/hyperlink" Target="https://drive.google.com/open?id=14ji4HBXf412Dv2saBheMWgVE-_CBnkU9" TargetMode="External"/><Relationship Id="rId1015" Type="http://schemas.openxmlformats.org/officeDocument/2006/relationships/hyperlink" Target="https://drive.google.com/open?id=1N6w2Osvzhicx1zkq8AH3hUuCIaM5pPPo" TargetMode="External"/><Relationship Id="rId1016" Type="http://schemas.openxmlformats.org/officeDocument/2006/relationships/hyperlink" Target="https://drive.google.com/open?id=1hrqCfJA5AjCyLObjEWAEKbCaDsDxXpo8" TargetMode="External"/><Relationship Id="rId1017" Type="http://schemas.openxmlformats.org/officeDocument/2006/relationships/hyperlink" Target="https://drive.google.com/open?id=1rG4EJ1Xqc-6fR1N43YSCpAQDK6l260v-" TargetMode="External"/><Relationship Id="rId1018" Type="http://schemas.openxmlformats.org/officeDocument/2006/relationships/hyperlink" Target="https://drive.google.com/open?id=1hknPXsRfJdlZwtzV7qvCc7FQEiMuUG3Q" TargetMode="External"/><Relationship Id="rId1019" Type="http://schemas.openxmlformats.org/officeDocument/2006/relationships/hyperlink" Target="https://drive.google.com/open?id=1ceV13wAPYZ7S8U9qFZ6lUfAO6y-dF4Du" TargetMode="External"/><Relationship Id="rId668" Type="http://schemas.openxmlformats.org/officeDocument/2006/relationships/hyperlink" Target="https://drive.google.com/open?id=19V65fDAsmzYsKtW_7ul6jlT-GZPbdWXF" TargetMode="External"/><Relationship Id="rId667" Type="http://schemas.openxmlformats.org/officeDocument/2006/relationships/hyperlink" Target="https://drive.google.com/open?id=1HE_sU7ihsjFY9Zn7HSqOddJpEYLzlZUs" TargetMode="External"/><Relationship Id="rId666" Type="http://schemas.openxmlformats.org/officeDocument/2006/relationships/hyperlink" Target="https://drive.google.com/open?id=1twtW4Nmwd1QXFtq_YqRwnnhHTCc_X3wn" TargetMode="External"/><Relationship Id="rId665" Type="http://schemas.openxmlformats.org/officeDocument/2006/relationships/hyperlink" Target="https://drive.google.com/open?id=1B9ct4MPV1Vcd-RGJ3roeiFas5NsBB8jn" TargetMode="External"/><Relationship Id="rId669" Type="http://schemas.openxmlformats.org/officeDocument/2006/relationships/hyperlink" Target="https://drive.google.com/open?id=1djJ7yt9jsVHRgtdQVcYef5dfrx7mU5yA" TargetMode="External"/><Relationship Id="rId660" Type="http://schemas.openxmlformats.org/officeDocument/2006/relationships/hyperlink" Target="https://drive.google.com/open?id=1benE_3z7zTx6AB3LHanz1gZmijC1bplb" TargetMode="External"/><Relationship Id="rId1010" Type="http://schemas.openxmlformats.org/officeDocument/2006/relationships/hyperlink" Target="https://drive.google.com/open?id=12cKxNGzq7BqZblHW8w88_BmTbeLjoEKm" TargetMode="External"/><Relationship Id="rId664" Type="http://schemas.openxmlformats.org/officeDocument/2006/relationships/hyperlink" Target="https://drive.google.com/open?id=1DJ9AuQ01JXB1hfVVa6krufEJTLEmmFqF" TargetMode="External"/><Relationship Id="rId1011" Type="http://schemas.openxmlformats.org/officeDocument/2006/relationships/hyperlink" Target="https://drive.google.com/open?id=1rnoDj_3R1iAWUE7VhS_6dYf9d_4Te9hg" TargetMode="External"/><Relationship Id="rId663" Type="http://schemas.openxmlformats.org/officeDocument/2006/relationships/hyperlink" Target="https://drive.google.com/open?id=1s4rTgaYg372hFb6Ef0SbSzDyX97adY06" TargetMode="External"/><Relationship Id="rId1012" Type="http://schemas.openxmlformats.org/officeDocument/2006/relationships/hyperlink" Target="https://drive.google.com/open?id=1qZUmrq_9blNoR5XqvoDA1ZDlVLHX2JZU" TargetMode="External"/><Relationship Id="rId662" Type="http://schemas.openxmlformats.org/officeDocument/2006/relationships/hyperlink" Target="https://drive.google.com/open?id=1IXNg6qLnKfWsK2iqSCIwl14UWLZf5Gng" TargetMode="External"/><Relationship Id="rId1013" Type="http://schemas.openxmlformats.org/officeDocument/2006/relationships/hyperlink" Target="https://drive.google.com/open?id=1AhrtraA6doa8yzIXt6bSmZSFn4Ia4x4r" TargetMode="External"/><Relationship Id="rId661" Type="http://schemas.openxmlformats.org/officeDocument/2006/relationships/hyperlink" Target="https://drive.google.com/open?id=1zdKVzFpKrRvN7sqZM-u0JVTBml7nW9-l" TargetMode="External"/><Relationship Id="rId1014" Type="http://schemas.openxmlformats.org/officeDocument/2006/relationships/hyperlink" Target="https://drive.google.com/open?id=1KoHPI-_rgVMVjFnsX89pGfsaNATJ_05U" TargetMode="External"/><Relationship Id="rId1004" Type="http://schemas.openxmlformats.org/officeDocument/2006/relationships/hyperlink" Target="https://drive.google.com/open?id=15GoKHBRzHAmJAnhm2bay_SxWGjdfYtV-" TargetMode="External"/><Relationship Id="rId1005" Type="http://schemas.openxmlformats.org/officeDocument/2006/relationships/hyperlink" Target="https://drive.google.com/open?id=13RECIhsq6O1gBCPoj8XZKTs2umUMjKO8" TargetMode="External"/><Relationship Id="rId1006" Type="http://schemas.openxmlformats.org/officeDocument/2006/relationships/hyperlink" Target="https://drive.google.com/open?id=1B_mNtwIA238pqxj_7i1QWoH4F5DMIfTH" TargetMode="External"/><Relationship Id="rId1007" Type="http://schemas.openxmlformats.org/officeDocument/2006/relationships/hyperlink" Target="https://drive.google.com/open?id=1rkByFfdIvGmL1Mo1JrwEcUp2vvdGo_fv" TargetMode="External"/><Relationship Id="rId1008" Type="http://schemas.openxmlformats.org/officeDocument/2006/relationships/hyperlink" Target="https://drive.google.com/open?id=16QSPTmi5d7tGtjMg0rWMqqUDiT0gw9aI" TargetMode="External"/><Relationship Id="rId1009" Type="http://schemas.openxmlformats.org/officeDocument/2006/relationships/hyperlink" Target="https://drive.google.com/open?id=1M-PlXv_iyIe-NZYibUywBffqHv_IMFuw" TargetMode="External"/><Relationship Id="rId657" Type="http://schemas.openxmlformats.org/officeDocument/2006/relationships/hyperlink" Target="https://drive.google.com/open?id=1wGDKh6_IAgs70gC199Ruzn6O_l4R_sjR" TargetMode="External"/><Relationship Id="rId656" Type="http://schemas.openxmlformats.org/officeDocument/2006/relationships/hyperlink" Target="https://drive.google.com/open?id=1F73gH2TnGuGRWSf3wNPieF-hlO86hBUO" TargetMode="External"/><Relationship Id="rId655" Type="http://schemas.openxmlformats.org/officeDocument/2006/relationships/hyperlink" Target="https://drive.google.com/open?id=14AuT_Gvb74eDAlwEuQ8_yb8X9RlK6cAF" TargetMode="External"/><Relationship Id="rId654" Type="http://schemas.openxmlformats.org/officeDocument/2006/relationships/hyperlink" Target="https://drive.google.com/open?id=1wIkb9l78C23oE0wK1jzdByx3n-fv8k0S" TargetMode="External"/><Relationship Id="rId659" Type="http://schemas.openxmlformats.org/officeDocument/2006/relationships/hyperlink" Target="https://drive.google.com/open?id=1bQZN1sdfANiS5a7TIxmGbUcEMHCKl7ad" TargetMode="External"/><Relationship Id="rId658" Type="http://schemas.openxmlformats.org/officeDocument/2006/relationships/hyperlink" Target="https://drive.google.com/open?id=1xHihBp9ffEgJqHIj-0yVXJ4us0-ljW7f" TargetMode="External"/><Relationship Id="rId653" Type="http://schemas.openxmlformats.org/officeDocument/2006/relationships/hyperlink" Target="https://drive.google.com/open?id=1-90Ka40C2sh_JsPUKuWSPnoEThIkJSYD" TargetMode="External"/><Relationship Id="rId1000" Type="http://schemas.openxmlformats.org/officeDocument/2006/relationships/hyperlink" Target="https://drive.google.com/open?id=1pD2e9B5Hv9IGNULfeY7i8T5RQQAc-CXA" TargetMode="External"/><Relationship Id="rId652" Type="http://schemas.openxmlformats.org/officeDocument/2006/relationships/hyperlink" Target="https://drive.google.com/open?id=1vJQH7fGPhFeeAZJ54BPjtBO_OabI-2vI" TargetMode="External"/><Relationship Id="rId1001" Type="http://schemas.openxmlformats.org/officeDocument/2006/relationships/hyperlink" Target="https://drive.google.com/open?id=1tF87yKVJ49i59eexgwgbM07otii8qrm5" TargetMode="External"/><Relationship Id="rId651" Type="http://schemas.openxmlformats.org/officeDocument/2006/relationships/hyperlink" Target="https://drive.google.com/open?id=17S0nuZ621-AqdZ9vMxAoKdI3ofBUA95x" TargetMode="External"/><Relationship Id="rId1002" Type="http://schemas.openxmlformats.org/officeDocument/2006/relationships/hyperlink" Target="https://drive.google.com/open?id=1cNm8rfYrdkk4DDv3FWYajsbWscR-t55Q" TargetMode="External"/><Relationship Id="rId650" Type="http://schemas.openxmlformats.org/officeDocument/2006/relationships/hyperlink" Target="https://drive.google.com/open?id=1_837iaXdqKZSRBHMpo4hYm5uxdJYxCes" TargetMode="External"/><Relationship Id="rId1003" Type="http://schemas.openxmlformats.org/officeDocument/2006/relationships/hyperlink" Target="https://drive.google.com/open?id=1Bsea0bCNgDVtdDN1EJHl413Q9UBo-jsl" TargetMode="External"/><Relationship Id="rId1037" Type="http://schemas.openxmlformats.org/officeDocument/2006/relationships/hyperlink" Target="https://drive.google.com/open?id=180RMSboh5lb4-TaHJXkYH_G822nzneaf" TargetMode="External"/><Relationship Id="rId1038" Type="http://schemas.openxmlformats.org/officeDocument/2006/relationships/hyperlink" Target="https://drive.google.com/open?id=1dJ9ABhLFZZY0fINtpQ-KcZL5Pd_zQEeB" TargetMode="External"/><Relationship Id="rId1039" Type="http://schemas.openxmlformats.org/officeDocument/2006/relationships/hyperlink" Target="https://drive.google.com/open?id=1GWF5p5wpP-ohlca0k7lNFp4ru0jMfG_i" TargetMode="External"/><Relationship Id="rId206" Type="http://schemas.openxmlformats.org/officeDocument/2006/relationships/hyperlink" Target="https://drive.google.com/open?id=1WWEp-QqOIqYjBMhmUKbPZ36vniwhr2Av" TargetMode="External"/><Relationship Id="rId205" Type="http://schemas.openxmlformats.org/officeDocument/2006/relationships/hyperlink" Target="https://drive.google.com/open?id=12i9WYJZrumjVke4Oq75AvPlAIc806ql5" TargetMode="External"/><Relationship Id="rId689" Type="http://schemas.openxmlformats.org/officeDocument/2006/relationships/hyperlink" Target="https://drive.google.com/open?id=1ZDkuxpDmuydRAUI6UerMJ7kyk0zX-Zot" TargetMode="External"/><Relationship Id="rId204" Type="http://schemas.openxmlformats.org/officeDocument/2006/relationships/hyperlink" Target="https://drive.google.com/open?id=1GUfl4mlnXROBrfPau_24WDQdpP5kWsjX" TargetMode="External"/><Relationship Id="rId688" Type="http://schemas.openxmlformats.org/officeDocument/2006/relationships/hyperlink" Target="https://drive.google.com/open?id=1548vIJrcXaAKU8DbaBd2kAOO7ybfsQUr" TargetMode="External"/><Relationship Id="rId203" Type="http://schemas.openxmlformats.org/officeDocument/2006/relationships/hyperlink" Target="https://drive.google.com/open?id=1Sa0mof6HF9WoRTINJHjV102SRQUn-hmg" TargetMode="External"/><Relationship Id="rId687" Type="http://schemas.openxmlformats.org/officeDocument/2006/relationships/hyperlink" Target="https://drive.google.com/open?id=1kkYs41HZ7ROgyABtcTw9ZexCXJ9l9P1w" TargetMode="External"/><Relationship Id="rId209" Type="http://schemas.openxmlformats.org/officeDocument/2006/relationships/hyperlink" Target="https://drive.google.com/open?id=1bmxenqMP3W4gpKKmI_TSTLICeQwEwlpP" TargetMode="External"/><Relationship Id="rId208" Type="http://schemas.openxmlformats.org/officeDocument/2006/relationships/hyperlink" Target="https://drive.google.com/open?id=1aFiyWg3nKicVjRiTTKmWpmr6wrfEAy7Y" TargetMode="External"/><Relationship Id="rId207" Type="http://schemas.openxmlformats.org/officeDocument/2006/relationships/hyperlink" Target="https://drive.google.com/open?id=1P1eIRxNbNnIakpXu7ay-bcjoV6kb1-qp" TargetMode="External"/><Relationship Id="rId682" Type="http://schemas.openxmlformats.org/officeDocument/2006/relationships/hyperlink" Target="https://drive.google.com/open?id=1GfrafME1U_QOAlhJwsNToJboqfRPSHp4" TargetMode="External"/><Relationship Id="rId681" Type="http://schemas.openxmlformats.org/officeDocument/2006/relationships/hyperlink" Target="https://drive.google.com/open?id=1w51svNPPZ9JiRytz1WU7nE_xHHSjU_JB" TargetMode="External"/><Relationship Id="rId1030" Type="http://schemas.openxmlformats.org/officeDocument/2006/relationships/hyperlink" Target="https://drive.google.com/open?id=1sZ0hN717YUstxVgCWHkgq1WXBajB4SCa" TargetMode="External"/><Relationship Id="rId680" Type="http://schemas.openxmlformats.org/officeDocument/2006/relationships/hyperlink" Target="https://drive.google.com/open?id=1kgQZksOJJuOYZFWk_hx2Dvn4sjMLW1jW" TargetMode="External"/><Relationship Id="rId1031" Type="http://schemas.openxmlformats.org/officeDocument/2006/relationships/hyperlink" Target="https://drive.google.com/open?id=1FRddUgQJR5Ssi501YOywnX7SvMiLmWf9" TargetMode="External"/><Relationship Id="rId1032" Type="http://schemas.openxmlformats.org/officeDocument/2006/relationships/hyperlink" Target="https://drive.google.com/open?id=1mtPWmo4RB40tP79gPqYcwQ_pNf6hW-sP" TargetMode="External"/><Relationship Id="rId202" Type="http://schemas.openxmlformats.org/officeDocument/2006/relationships/hyperlink" Target="https://drive.google.com/open?id=14K6nY5Zmu7aYFBOqjAHAjykSQh084Liz" TargetMode="External"/><Relationship Id="rId686" Type="http://schemas.openxmlformats.org/officeDocument/2006/relationships/hyperlink" Target="https://drive.google.com/open?id=12P5taGS3VNCrkubzgD454WjE8no7NCoW" TargetMode="External"/><Relationship Id="rId1033" Type="http://schemas.openxmlformats.org/officeDocument/2006/relationships/hyperlink" Target="https://drive.google.com/open?id=1GMpwa8QhZ96JVmVPR62-Emwf9SVBrh5m" TargetMode="External"/><Relationship Id="rId201" Type="http://schemas.openxmlformats.org/officeDocument/2006/relationships/hyperlink" Target="https://drive.google.com/open?id=1qXwc475uw5BmiNnSXgm_E1KoedXTkkgW" TargetMode="External"/><Relationship Id="rId685" Type="http://schemas.openxmlformats.org/officeDocument/2006/relationships/hyperlink" Target="https://drive.google.com/open?id=1aAhIJXKJcg63jEHDOs-euj66tdCpv1KB" TargetMode="External"/><Relationship Id="rId1034" Type="http://schemas.openxmlformats.org/officeDocument/2006/relationships/hyperlink" Target="https://drive.google.com/open?id=14zkyBx8zqxv9-jG-BFZrN5J2spuhsHQL" TargetMode="External"/><Relationship Id="rId200" Type="http://schemas.openxmlformats.org/officeDocument/2006/relationships/hyperlink" Target="https://drive.google.com/open?id=1ruTJxLfRD91bBKO3FXzsuBZ404E4nE-J" TargetMode="External"/><Relationship Id="rId684" Type="http://schemas.openxmlformats.org/officeDocument/2006/relationships/hyperlink" Target="https://drive.google.com/open?id=10BZt10v9yblAm1Vr82KmiZPmyMGzggqm" TargetMode="External"/><Relationship Id="rId1035" Type="http://schemas.openxmlformats.org/officeDocument/2006/relationships/hyperlink" Target="https://drive.google.com/open?id=1Ie8z_x_bN3lP5mLmT4DoeU37zeDoyfN4" TargetMode="External"/><Relationship Id="rId683" Type="http://schemas.openxmlformats.org/officeDocument/2006/relationships/hyperlink" Target="https://drive.google.com/open?id=1iTFWknbuv-Orz0HeuZZrVMlM8NrbQbvK" TargetMode="External"/><Relationship Id="rId1036" Type="http://schemas.openxmlformats.org/officeDocument/2006/relationships/hyperlink" Target="https://drive.google.com/open?id=1Y6eamjVYEjuTLoFmYhA6lNvefe8zs8aZ" TargetMode="External"/><Relationship Id="rId1026" Type="http://schemas.openxmlformats.org/officeDocument/2006/relationships/hyperlink" Target="https://drive.google.com/open?id=1ApT6gCTPyG2CIbTUaM2tEOzfHSKPrsXI" TargetMode="External"/><Relationship Id="rId1027" Type="http://schemas.openxmlformats.org/officeDocument/2006/relationships/hyperlink" Target="https://drive.google.com/open?id=1eTEOVI-tUQnvrXgy7I6zm130vonFQrQ2" TargetMode="External"/><Relationship Id="rId1028" Type="http://schemas.openxmlformats.org/officeDocument/2006/relationships/hyperlink" Target="https://drive.google.com/open?id=13d9d_cmFiWFIHcwD6TFH_0GvmH1AwEVj" TargetMode="External"/><Relationship Id="rId1029" Type="http://schemas.openxmlformats.org/officeDocument/2006/relationships/hyperlink" Target="https://drive.google.com/open?id=1RUJPgOiFq1v3Pw_6-RrNfw016_pC9UM9" TargetMode="External"/><Relationship Id="rId679" Type="http://schemas.openxmlformats.org/officeDocument/2006/relationships/hyperlink" Target="https://drive.google.com/open?id=19tADls4tYUolcRWJHAkN1q2J7b-QY1t3" TargetMode="External"/><Relationship Id="rId678" Type="http://schemas.openxmlformats.org/officeDocument/2006/relationships/hyperlink" Target="https://drive.google.com/open?id=12JRs-08aahUmAj329P9UjiChzEfdWKGe" TargetMode="External"/><Relationship Id="rId677" Type="http://schemas.openxmlformats.org/officeDocument/2006/relationships/hyperlink" Target="https://drive.google.com/open?id=1CJkSahOxRFGIAgmyMFhZ18iBkA2ZEaXW" TargetMode="External"/><Relationship Id="rId676" Type="http://schemas.openxmlformats.org/officeDocument/2006/relationships/hyperlink" Target="https://drive.google.com/open?id=1wvBWGfznbDRSncWTYfakz7XQzgThBQ3U" TargetMode="External"/><Relationship Id="rId671" Type="http://schemas.openxmlformats.org/officeDocument/2006/relationships/hyperlink" Target="https://drive.google.com/open?id=14afhFOkdnB5rEsja8iGygpazUdl9FQWN" TargetMode="External"/><Relationship Id="rId670" Type="http://schemas.openxmlformats.org/officeDocument/2006/relationships/hyperlink" Target="https://drive.google.com/open?id=1RVHBo2QHs2bB2b0WTEiVrErGkm_Wjn46" TargetMode="External"/><Relationship Id="rId1020" Type="http://schemas.openxmlformats.org/officeDocument/2006/relationships/hyperlink" Target="https://drive.google.com/open?id=1H3GoFLxf1VSUhJsEW6gQaKHKp4ZMIhts" TargetMode="External"/><Relationship Id="rId1021" Type="http://schemas.openxmlformats.org/officeDocument/2006/relationships/hyperlink" Target="https://drive.google.com/open?id=1ikb4RUMybXGnR6eEBvygdkV4omPEt9s3" TargetMode="External"/><Relationship Id="rId675" Type="http://schemas.openxmlformats.org/officeDocument/2006/relationships/hyperlink" Target="https://drive.google.com/open?id=1Y6YqHyGrHgjKDivFxFVQrEd2fN1b3IaP" TargetMode="External"/><Relationship Id="rId1022" Type="http://schemas.openxmlformats.org/officeDocument/2006/relationships/hyperlink" Target="https://drive.google.com/open?id=1wnMLJ67bhw6ZTJBz1hgDD6ApPWB6xovl" TargetMode="External"/><Relationship Id="rId674" Type="http://schemas.openxmlformats.org/officeDocument/2006/relationships/hyperlink" Target="https://drive.google.com/open?id=1MlhW8gSHnaafmgENt7gUTLZuYLkPz40a" TargetMode="External"/><Relationship Id="rId1023" Type="http://schemas.openxmlformats.org/officeDocument/2006/relationships/hyperlink" Target="https://drive.google.com/open?id=1c4QTkDb4JK63IsWzeuGGX2Jq9Swy5QiJ" TargetMode="External"/><Relationship Id="rId673" Type="http://schemas.openxmlformats.org/officeDocument/2006/relationships/hyperlink" Target="https://drive.google.com/open?id=1CTAggaGmWTa_Z_oX62ADl7cNoIMHqgFQ" TargetMode="External"/><Relationship Id="rId1024" Type="http://schemas.openxmlformats.org/officeDocument/2006/relationships/hyperlink" Target="https://drive.google.com/open?id=1siFrthDb3_pp7kC3mZ87xF-pvvmnD2M2" TargetMode="External"/><Relationship Id="rId672" Type="http://schemas.openxmlformats.org/officeDocument/2006/relationships/hyperlink" Target="https://drive.google.com/open?id=1HSQRDFFKCAxJ34V9aVB02tY8b_mh5Dh9" TargetMode="External"/><Relationship Id="rId1025" Type="http://schemas.openxmlformats.org/officeDocument/2006/relationships/hyperlink" Target="https://drive.google.com/open?id=1Q_PzrBMt35JhtEoFNSvcFowFAcCrPUcQ" TargetMode="External"/><Relationship Id="rId190" Type="http://schemas.openxmlformats.org/officeDocument/2006/relationships/hyperlink" Target="https://drive.google.com/open?id=17N3BeMW8Hmh9A0Hdl076geARXIkgtdJg" TargetMode="External"/><Relationship Id="rId194" Type="http://schemas.openxmlformats.org/officeDocument/2006/relationships/hyperlink" Target="https://drive.google.com/open?id=18ZGvBLENRDpnFtEk8pa5vgpH8LovCSxW" TargetMode="External"/><Relationship Id="rId193" Type="http://schemas.openxmlformats.org/officeDocument/2006/relationships/hyperlink" Target="https://drive.google.com/open?id=1lwiSYH1TMda63duErMfjJzJNHJ3lznq7" TargetMode="External"/><Relationship Id="rId192" Type="http://schemas.openxmlformats.org/officeDocument/2006/relationships/hyperlink" Target="https://drive.google.com/open?id=1KKoUmR5Osd9B5_nwo1qlelMAibn-9ZoZ" TargetMode="External"/><Relationship Id="rId191" Type="http://schemas.openxmlformats.org/officeDocument/2006/relationships/hyperlink" Target="https://drive.google.com/open?id=12-80y08be4n2P68It-eHdVNU-Tzf5XWU" TargetMode="External"/><Relationship Id="rId187" Type="http://schemas.openxmlformats.org/officeDocument/2006/relationships/hyperlink" Target="https://drive.google.com/open?id=1wwftrjGcCgXc829tPDxaqXf_VUtsK_MT" TargetMode="External"/><Relationship Id="rId186" Type="http://schemas.openxmlformats.org/officeDocument/2006/relationships/hyperlink" Target="https://drive.google.com/open?id=1PGe_YhDZ1SXbP36ChnZ2JAqpqC42knJJ" TargetMode="External"/><Relationship Id="rId185" Type="http://schemas.openxmlformats.org/officeDocument/2006/relationships/hyperlink" Target="https://drive.google.com/open?id=1-SoacEr93mcC-8vYxjGNQEffwQCJoh-c" TargetMode="External"/><Relationship Id="rId184" Type="http://schemas.openxmlformats.org/officeDocument/2006/relationships/hyperlink" Target="https://drive.google.com/open?id=1TE7yeZAMwFyhxq-xeNKV41D9Sw_m3tKg" TargetMode="External"/><Relationship Id="rId189" Type="http://schemas.openxmlformats.org/officeDocument/2006/relationships/hyperlink" Target="https://drive.google.com/open?id=1DWHd-7ka-ee46X0CkP17v6AZjHeQ7aA7" TargetMode="External"/><Relationship Id="rId188" Type="http://schemas.openxmlformats.org/officeDocument/2006/relationships/hyperlink" Target="https://drive.google.com/open?id=1-SvlkiljJgizcW340DsSkgyrIk5El_Fs" TargetMode="External"/><Relationship Id="rId183" Type="http://schemas.openxmlformats.org/officeDocument/2006/relationships/hyperlink" Target="https://drive.google.com/open?id=1fIttXo-0e7AW-B6zZWeKtI9UqK1Vr7U-" TargetMode="External"/><Relationship Id="rId182" Type="http://schemas.openxmlformats.org/officeDocument/2006/relationships/hyperlink" Target="https://drive.google.com/open?id=1iMgoMdOng_18ssDd4lHi-8f00MaO0xdx" TargetMode="External"/><Relationship Id="rId181" Type="http://schemas.openxmlformats.org/officeDocument/2006/relationships/hyperlink" Target="https://drive.google.com/open?id=1saIgyXhIKHIP0qj41JYjjetOKWSi9XTp" TargetMode="External"/><Relationship Id="rId180" Type="http://schemas.openxmlformats.org/officeDocument/2006/relationships/hyperlink" Target="https://drive.google.com/open?id=1VRlGOrW3Zj480S4jLzaknk543AyUWlZD" TargetMode="External"/><Relationship Id="rId176" Type="http://schemas.openxmlformats.org/officeDocument/2006/relationships/hyperlink" Target="https://drive.google.com/open?id=1GHLPz2KKWtbbMW9wN7c_o4y2rt_PJ1IG" TargetMode="External"/><Relationship Id="rId175" Type="http://schemas.openxmlformats.org/officeDocument/2006/relationships/hyperlink" Target="https://drive.google.com/open?id=1MiDY-YLGQZZKBUxNOYnsMV3T58qcYnWx" TargetMode="External"/><Relationship Id="rId174" Type="http://schemas.openxmlformats.org/officeDocument/2006/relationships/hyperlink" Target="https://drive.google.com/open?id=1uiOk2DJDaRpvDEfg1RYv1Q7VzJqGW4l0" TargetMode="External"/><Relationship Id="rId173" Type="http://schemas.openxmlformats.org/officeDocument/2006/relationships/hyperlink" Target="https://drive.google.com/open?id=1HEFFnq8T2crffT5UhOJ7A7csKpf6EYKP" TargetMode="External"/><Relationship Id="rId179" Type="http://schemas.openxmlformats.org/officeDocument/2006/relationships/hyperlink" Target="https://drive.google.com/open?id=1_6uI5I0pLhwAN-tYYgmJI22WJ1ACcGYu" TargetMode="External"/><Relationship Id="rId178" Type="http://schemas.openxmlformats.org/officeDocument/2006/relationships/hyperlink" Target="https://drive.google.com/open?id=1OD_4ylnlGP-3KVccawhDmymp_XieJ2JT" TargetMode="External"/><Relationship Id="rId177" Type="http://schemas.openxmlformats.org/officeDocument/2006/relationships/hyperlink" Target="https://drive.google.com/open?id=1fppRokg8O_ztDJx0mkm7EqY01BpPMsrL" TargetMode="External"/><Relationship Id="rId198" Type="http://schemas.openxmlformats.org/officeDocument/2006/relationships/hyperlink" Target="https://drive.google.com/open?id=1-zCDceZm8HrT2MI98eNitL7FcvuByl22" TargetMode="External"/><Relationship Id="rId197" Type="http://schemas.openxmlformats.org/officeDocument/2006/relationships/hyperlink" Target="https://drive.google.com/open?id=1WrZ6G5U0Tk1c9ooBvCrvbKrBvHPNs9mF" TargetMode="External"/><Relationship Id="rId196" Type="http://schemas.openxmlformats.org/officeDocument/2006/relationships/hyperlink" Target="https://drive.google.com/open?id=1L9wjC6vG7nuYvjdimem2IuS0Bw1r4G8G" TargetMode="External"/><Relationship Id="rId195" Type="http://schemas.openxmlformats.org/officeDocument/2006/relationships/hyperlink" Target="https://drive.google.com/open?id=1YYL7ajowjC05hE-1lr9jnWEK3HxBaqXe" TargetMode="External"/><Relationship Id="rId199" Type="http://schemas.openxmlformats.org/officeDocument/2006/relationships/hyperlink" Target="https://drive.google.com/open?id=15XHduGDa7PgoZDaYpRg4GrCbAe0JtMuG" TargetMode="External"/><Relationship Id="rId150" Type="http://schemas.openxmlformats.org/officeDocument/2006/relationships/hyperlink" Target="https://drive.google.com/open?id=1w-IsasqP3t24jS8fpAoDARXoUNdVPN0Y" TargetMode="External"/><Relationship Id="rId149" Type="http://schemas.openxmlformats.org/officeDocument/2006/relationships/hyperlink" Target="https://drive.google.com/open?id=1eVFF13KuKupbFEOlXh1v8SIRQmQg4b71" TargetMode="External"/><Relationship Id="rId148" Type="http://schemas.openxmlformats.org/officeDocument/2006/relationships/hyperlink" Target="https://drive.google.com/open?id=1mDHA3t9wZzaCRSYZW_V_mQyWBk9Pz8ex" TargetMode="External"/><Relationship Id="rId1090" Type="http://schemas.openxmlformats.org/officeDocument/2006/relationships/hyperlink" Target="https://drive.google.com/open?id=1ce8ftXd0CIeUmNVge1Mroy9vLrlajjFT" TargetMode="External"/><Relationship Id="rId1091" Type="http://schemas.openxmlformats.org/officeDocument/2006/relationships/hyperlink" Target="https://drive.google.com/open?id=1rj9xn63HkRq-BJgzZgHhSE1ABsZUoHeM" TargetMode="External"/><Relationship Id="rId1092" Type="http://schemas.openxmlformats.org/officeDocument/2006/relationships/hyperlink" Target="https://drive.google.com/open?id=1TIC7rZHNZU6MD-QHqtoh3i_iyqz9Hx28" TargetMode="External"/><Relationship Id="rId1093" Type="http://schemas.openxmlformats.org/officeDocument/2006/relationships/hyperlink" Target="https://drive.google.com/open?id=1-LFn7PcmXIQWpMV6LbdeEcsANKveXTo9" TargetMode="External"/><Relationship Id="rId1094" Type="http://schemas.openxmlformats.org/officeDocument/2006/relationships/hyperlink" Target="https://drive.google.com/open?id=16awzWsVSW6x-uXQz_gNSXT0pJp1ebLvo" TargetMode="External"/><Relationship Id="rId143" Type="http://schemas.openxmlformats.org/officeDocument/2006/relationships/hyperlink" Target="https://drive.google.com/open?id=1gtaQNNyKbecMF1hVt0kUst-Ow5gy0n_U" TargetMode="External"/><Relationship Id="rId1095" Type="http://schemas.openxmlformats.org/officeDocument/2006/relationships/hyperlink" Target="https://drive.google.com/open?id=1F0bEQ0NIRcGA9hAz_lnJMgqUTieVjbys" TargetMode="External"/><Relationship Id="rId142" Type="http://schemas.openxmlformats.org/officeDocument/2006/relationships/hyperlink" Target="https://drive.google.com/open?id=1UBOwEJ9I9SCa4QjFoguP6K2cUsxIiAtY" TargetMode="External"/><Relationship Id="rId1096" Type="http://schemas.openxmlformats.org/officeDocument/2006/relationships/hyperlink" Target="https://drive.google.com/open?id=1RmRH9d-znfWB9L3KEO-EuDEVRAiudBDE" TargetMode="External"/><Relationship Id="rId141" Type="http://schemas.openxmlformats.org/officeDocument/2006/relationships/hyperlink" Target="https://drive.google.com/open?id=1MECCJigW9kZNViIwA4VPXhY5cUjsAjyS" TargetMode="External"/><Relationship Id="rId1097" Type="http://schemas.openxmlformats.org/officeDocument/2006/relationships/hyperlink" Target="https://drive.google.com/open?id=1NlwexNlI5-hIUf2y7wGIhsAvMt8BJJDt" TargetMode="External"/><Relationship Id="rId140" Type="http://schemas.openxmlformats.org/officeDocument/2006/relationships/hyperlink" Target="https://drive.google.com/open?id=1Dzwq6M6F0MneFVTbr_uNPH4It9kXbuBR" TargetMode="External"/><Relationship Id="rId1098" Type="http://schemas.openxmlformats.org/officeDocument/2006/relationships/hyperlink" Target="https://drive.google.com/open?id=1aWdn87-2tElC3hWhZB0tvAKUMOeNeY7x" TargetMode="External"/><Relationship Id="rId147" Type="http://schemas.openxmlformats.org/officeDocument/2006/relationships/hyperlink" Target="https://drive.google.com/open?id=1GfiUIYmtc5lHuKVXjJFvcD_dMpiJydpn" TargetMode="External"/><Relationship Id="rId1099" Type="http://schemas.openxmlformats.org/officeDocument/2006/relationships/hyperlink" Target="https://drive.google.com/open?id=1TtXiDIB95NPCallip9Obht9tCrK4fGSF" TargetMode="External"/><Relationship Id="rId146" Type="http://schemas.openxmlformats.org/officeDocument/2006/relationships/hyperlink" Target="https://drive.google.com/open?id=15V76iEt4CxmdQlVon3hNfEC99jdl_76T" TargetMode="External"/><Relationship Id="rId145" Type="http://schemas.openxmlformats.org/officeDocument/2006/relationships/hyperlink" Target="https://drive.google.com/open?id=1xOtwg-_8p-fxQ4Pa_pf12b4F16TkwHwQ" TargetMode="External"/><Relationship Id="rId144" Type="http://schemas.openxmlformats.org/officeDocument/2006/relationships/hyperlink" Target="https://drive.google.com/open?id=1QcqfuFaHa6H053vRvriHTe-x9DfBwCd5" TargetMode="External"/><Relationship Id="rId139" Type="http://schemas.openxmlformats.org/officeDocument/2006/relationships/hyperlink" Target="https://drive.google.com/open?id=1ma_stHfWBNm3aii_BEU928E9YL2sHdt2" TargetMode="External"/><Relationship Id="rId138" Type="http://schemas.openxmlformats.org/officeDocument/2006/relationships/hyperlink" Target="https://drive.google.com/open?id=1jBcezeHcAVh8Ra03iYZ5Gb6UyE3hDAEu" TargetMode="External"/><Relationship Id="rId137" Type="http://schemas.openxmlformats.org/officeDocument/2006/relationships/hyperlink" Target="https://drive.google.com/open?id=1UUOc2bc6eY3QzSTHXsUfbAZ3XLFm1tgt" TargetMode="External"/><Relationship Id="rId1080" Type="http://schemas.openxmlformats.org/officeDocument/2006/relationships/hyperlink" Target="https://drive.google.com/open?id=1bH8zQ5acU9nPJ-xJ2alrzoUH6ObSrYy8" TargetMode="External"/><Relationship Id="rId1081" Type="http://schemas.openxmlformats.org/officeDocument/2006/relationships/hyperlink" Target="https://drive.google.com/open?id=1JAoDwmnzPFw-zU_fntozDvZkGLVIFGbj" TargetMode="External"/><Relationship Id="rId1082" Type="http://schemas.openxmlformats.org/officeDocument/2006/relationships/hyperlink" Target="https://drive.google.com/open?id=1Ny0VLYR0CDgn-uprceUHcUb_NGbosR2W" TargetMode="External"/><Relationship Id="rId1083" Type="http://schemas.openxmlformats.org/officeDocument/2006/relationships/hyperlink" Target="https://drive.google.com/open?id=1fM3UJLO-Og0hGe1NsXb_uPokRUcuXgCI" TargetMode="External"/><Relationship Id="rId132" Type="http://schemas.openxmlformats.org/officeDocument/2006/relationships/hyperlink" Target="https://drive.google.com/open?id=12xA8tdA87ytI4YDWfbXDbBh_21lGhlC6" TargetMode="External"/><Relationship Id="rId1084" Type="http://schemas.openxmlformats.org/officeDocument/2006/relationships/hyperlink" Target="https://drive.google.com/open?id=1TyJALClqN86-lP8GcVt0-knYi0_Tbfkv" TargetMode="External"/><Relationship Id="rId131" Type="http://schemas.openxmlformats.org/officeDocument/2006/relationships/hyperlink" Target="https://drive.google.com/open?id=17Z1Pj0_3s3CNdVQcwfvjW-EQpt6p9MI8" TargetMode="External"/><Relationship Id="rId1085" Type="http://schemas.openxmlformats.org/officeDocument/2006/relationships/hyperlink" Target="https://drive.google.com/open?id=1lCm7CZHtE_GSuowVbv7eXyGJSIyVriPs" TargetMode="External"/><Relationship Id="rId130" Type="http://schemas.openxmlformats.org/officeDocument/2006/relationships/hyperlink" Target="https://drive.google.com/open?id=1mdMxQKViLW6ytSLD-Vbdi4e36jaHSc9u" TargetMode="External"/><Relationship Id="rId1086" Type="http://schemas.openxmlformats.org/officeDocument/2006/relationships/hyperlink" Target="https://drive.google.com/open?id=1wKCK4qjKLyZTeKrZXufV9masu1mLG9CO" TargetMode="External"/><Relationship Id="rId1087" Type="http://schemas.openxmlformats.org/officeDocument/2006/relationships/hyperlink" Target="https://drive.google.com/open?id=1Ljl4EzP8kATL4nyAcyfLqMiNuV0bfiK2" TargetMode="External"/><Relationship Id="rId136" Type="http://schemas.openxmlformats.org/officeDocument/2006/relationships/hyperlink" Target="https://drive.google.com/open?id=1iwLu_bWwmWVWWsS1xqwK7HIQDR5WiX5h" TargetMode="External"/><Relationship Id="rId1088" Type="http://schemas.openxmlformats.org/officeDocument/2006/relationships/hyperlink" Target="https://drive.google.com/open?id=1hCCbdWdlcKryjSK9qLBBBHoZ0CbCcD91" TargetMode="External"/><Relationship Id="rId135" Type="http://schemas.openxmlformats.org/officeDocument/2006/relationships/hyperlink" Target="https://drive.google.com/open?id=1LhLl8wf-mab2ISMydvdASHJw2x8W0HOp" TargetMode="External"/><Relationship Id="rId1089" Type="http://schemas.openxmlformats.org/officeDocument/2006/relationships/hyperlink" Target="https://drive.google.com/open?id=1RNkL3EHH1olGDHDSMzWHJ98YiSC3NmOr" TargetMode="External"/><Relationship Id="rId134" Type="http://schemas.openxmlformats.org/officeDocument/2006/relationships/hyperlink" Target="https://drive.google.com/open?id=1yH6xTcHoOf9YKgRhzLt1vsdSEVe9vBnF" TargetMode="External"/><Relationship Id="rId133" Type="http://schemas.openxmlformats.org/officeDocument/2006/relationships/hyperlink" Target="https://drive.google.com/open?id=1UCYsFcfdCkQbSjAfAGs7hvKdplw9pvJo" TargetMode="External"/><Relationship Id="rId172" Type="http://schemas.openxmlformats.org/officeDocument/2006/relationships/hyperlink" Target="https://drive.google.com/open?id=1jXktun-HZQccdZTo1gydXxzOLTvv5CnM" TargetMode="External"/><Relationship Id="rId171" Type="http://schemas.openxmlformats.org/officeDocument/2006/relationships/hyperlink" Target="https://drive.google.com/open?id=1DYVycUg39LYXa1MTaM-5hZYiPhY52zHM" TargetMode="External"/><Relationship Id="rId170" Type="http://schemas.openxmlformats.org/officeDocument/2006/relationships/hyperlink" Target="https://drive.google.com/open?id=1fr51ofb1W2cxRhP0PDjYmOEyIGpYgfmd" TargetMode="External"/><Relationship Id="rId165" Type="http://schemas.openxmlformats.org/officeDocument/2006/relationships/hyperlink" Target="https://drive.google.com/open?id=1lkOA7apObZaQGPC_yRymnEcyRs5JFC-y" TargetMode="External"/><Relationship Id="rId164" Type="http://schemas.openxmlformats.org/officeDocument/2006/relationships/hyperlink" Target="https://drive.google.com/open?id=16XuY4EmUqK2kjZQKWp85qX6PVR4EofpK" TargetMode="External"/><Relationship Id="rId163" Type="http://schemas.openxmlformats.org/officeDocument/2006/relationships/hyperlink" Target="https://drive.google.com/open?id=1wr-9g-h1nNPln7TH18Vd8LrJ__ulov_d" TargetMode="External"/><Relationship Id="rId162" Type="http://schemas.openxmlformats.org/officeDocument/2006/relationships/hyperlink" Target="https://drive.google.com/open?id=16YuOgPrHQn_L_0OMIhQ71G9-Q5oVq_75" TargetMode="External"/><Relationship Id="rId169" Type="http://schemas.openxmlformats.org/officeDocument/2006/relationships/hyperlink" Target="https://drive.google.com/open?id=1XD6n55u4083weBmzcpH610mjDGhsoYfd" TargetMode="External"/><Relationship Id="rId168" Type="http://schemas.openxmlformats.org/officeDocument/2006/relationships/hyperlink" Target="https://drive.google.com/open?id=1MX5GaLHjFSuq5PDC4RNThxuwL5EraFCr" TargetMode="External"/><Relationship Id="rId167" Type="http://schemas.openxmlformats.org/officeDocument/2006/relationships/hyperlink" Target="https://drive.google.com/open?id=1usRNj28J-Yv6kinZKevnEFcpZdFjXnlv" TargetMode="External"/><Relationship Id="rId166" Type="http://schemas.openxmlformats.org/officeDocument/2006/relationships/hyperlink" Target="https://drive.google.com/open?id=1a01qIrRTj6Es2vSmI86QnjWKufkpZF5_" TargetMode="External"/><Relationship Id="rId161" Type="http://schemas.openxmlformats.org/officeDocument/2006/relationships/hyperlink" Target="https://drive.google.com/open?id=1ZF9MwusSUKSs-S0c6iZa-SxEZTgYzEi5" TargetMode="External"/><Relationship Id="rId160" Type="http://schemas.openxmlformats.org/officeDocument/2006/relationships/hyperlink" Target="https://drive.google.com/open?id=1Nir40EKmnh1bKY3MAizZPSeaLrKAGV1h" TargetMode="External"/><Relationship Id="rId159" Type="http://schemas.openxmlformats.org/officeDocument/2006/relationships/hyperlink" Target="https://drive.google.com/open?id=10DIYGLHZ9tYfI1fQ5KChqCTvurgWNlZo" TargetMode="External"/><Relationship Id="rId154" Type="http://schemas.openxmlformats.org/officeDocument/2006/relationships/hyperlink" Target="https://drive.google.com/open?id=1nMcjeDp3LFt1z1cRZug48GyfV1fbyZTG" TargetMode="External"/><Relationship Id="rId153" Type="http://schemas.openxmlformats.org/officeDocument/2006/relationships/hyperlink" Target="https://drive.google.com/open?id=1Rgp9RcpL0amYzwFCwfvoSHP8-_qz7L8J" TargetMode="External"/><Relationship Id="rId152" Type="http://schemas.openxmlformats.org/officeDocument/2006/relationships/hyperlink" Target="https://drive.google.com/open?id=1C1cf7JpQvnbLHJbkSl_GcfXU09Em_cL1" TargetMode="External"/><Relationship Id="rId151" Type="http://schemas.openxmlformats.org/officeDocument/2006/relationships/hyperlink" Target="https://drive.google.com/open?id=1pnUEp9JInySqXlPxfO-l_p6EtXy4QLJb" TargetMode="External"/><Relationship Id="rId158" Type="http://schemas.openxmlformats.org/officeDocument/2006/relationships/hyperlink" Target="https://drive.google.com/open?id=1nRDBC7pTdfCiYyaiOh-weXyRCKy4G_dh" TargetMode="External"/><Relationship Id="rId157" Type="http://schemas.openxmlformats.org/officeDocument/2006/relationships/hyperlink" Target="https://drive.google.com/open?id=1jdJWtZhz8H41QJNUaf5RtjX52LNo8Api" TargetMode="External"/><Relationship Id="rId156" Type="http://schemas.openxmlformats.org/officeDocument/2006/relationships/hyperlink" Target="https://drive.google.com/open?id=1vZ6h6NmWY4HXvyOSIHu-uiERHOWH-pa3" TargetMode="External"/><Relationship Id="rId155" Type="http://schemas.openxmlformats.org/officeDocument/2006/relationships/hyperlink" Target="https://drive.google.com/open?id=1_x0w13DUxgU5mRVbSDHa4RMMIgT0_CiY" TargetMode="External"/><Relationship Id="rId509" Type="http://schemas.openxmlformats.org/officeDocument/2006/relationships/hyperlink" Target="https://drive.google.com/open?id=1paBUJfz_M4Gigm8Veby7U8NWn40KrzpW" TargetMode="External"/><Relationship Id="rId508" Type="http://schemas.openxmlformats.org/officeDocument/2006/relationships/hyperlink" Target="https://drive.google.com/open?id=1SU1986z5Bl7T2ntuXWAw2vduIF4Z19lT" TargetMode="External"/><Relationship Id="rId503" Type="http://schemas.openxmlformats.org/officeDocument/2006/relationships/hyperlink" Target="https://drive.google.com/open?id=1RKfLsFt74vnUJHLq7UFknSc1hSnykayV" TargetMode="External"/><Relationship Id="rId987" Type="http://schemas.openxmlformats.org/officeDocument/2006/relationships/hyperlink" Target="https://drive.google.com/open?id=1DrxLM0APLShL37CfIZfhwjCf7xXy8xm3" TargetMode="External"/><Relationship Id="rId502" Type="http://schemas.openxmlformats.org/officeDocument/2006/relationships/hyperlink" Target="https://drive.google.com/open?id=1cxSMeC_FJlUsEbswkGYBB-f3dR41ySBU" TargetMode="External"/><Relationship Id="rId986" Type="http://schemas.openxmlformats.org/officeDocument/2006/relationships/hyperlink" Target="https://drive.google.com/open?id=1JRAD_nJiZHpvSCFsygRWjlPHLQqTkif4" TargetMode="External"/><Relationship Id="rId501" Type="http://schemas.openxmlformats.org/officeDocument/2006/relationships/hyperlink" Target="https://drive.google.com/open?id=1GUXYnrxGrBjKWI0LoOXMDiraPHF9jeui" TargetMode="External"/><Relationship Id="rId985" Type="http://schemas.openxmlformats.org/officeDocument/2006/relationships/hyperlink" Target="https://drive.google.com/open?id=1UJN-LPUSltU1gRaB958cZUmZK2jUjUsz" TargetMode="External"/><Relationship Id="rId500" Type="http://schemas.openxmlformats.org/officeDocument/2006/relationships/hyperlink" Target="https://drive.google.com/open?id=1tZvwC6rzsQDCj5lbFaKWVh3P1rWKOafa" TargetMode="External"/><Relationship Id="rId984" Type="http://schemas.openxmlformats.org/officeDocument/2006/relationships/hyperlink" Target="https://drive.google.com/open?id=12xNTYDHd815Jlm9fkHI6YUdeOB0KizUt" TargetMode="External"/><Relationship Id="rId507" Type="http://schemas.openxmlformats.org/officeDocument/2006/relationships/hyperlink" Target="https://drive.google.com/open?id=1TZeRWDVvLRWDIxlmQfpSSmfVPpff27yt" TargetMode="External"/><Relationship Id="rId506" Type="http://schemas.openxmlformats.org/officeDocument/2006/relationships/hyperlink" Target="https://drive.google.com/open?id=1Dzn2hpi1Qp9w0A9xUJxLMx6IhlI2QGuk" TargetMode="External"/><Relationship Id="rId505" Type="http://schemas.openxmlformats.org/officeDocument/2006/relationships/hyperlink" Target="https://drive.google.com/open?id=1vKa_n_oyI4AoCh9UTGclxRUxxe2U_WzG" TargetMode="External"/><Relationship Id="rId989" Type="http://schemas.openxmlformats.org/officeDocument/2006/relationships/hyperlink" Target="https://drive.google.com/open?id=138f6yHa3189UbJCjvrRWd_ALv0cqL-z5" TargetMode="External"/><Relationship Id="rId504" Type="http://schemas.openxmlformats.org/officeDocument/2006/relationships/hyperlink" Target="https://drive.google.com/open?id=1cSM7x8o4W_E3LFnpiS_Jm2WLq9tnhRZ2" TargetMode="External"/><Relationship Id="rId988" Type="http://schemas.openxmlformats.org/officeDocument/2006/relationships/hyperlink" Target="https://drive.google.com/open?id=1dJ-mtNzklCH5YH8DCIDGDhjgaJotf3e2" TargetMode="External"/><Relationship Id="rId983" Type="http://schemas.openxmlformats.org/officeDocument/2006/relationships/hyperlink" Target="https://drive.google.com/open?id=131UHdCmB6eFo6qIrQ3roRy_4BCDm47TG" TargetMode="External"/><Relationship Id="rId982" Type="http://schemas.openxmlformats.org/officeDocument/2006/relationships/hyperlink" Target="https://drive.google.com/open?id=101-k0PH381QzXuNiktUqxFSgczJL9CAW" TargetMode="External"/><Relationship Id="rId981" Type="http://schemas.openxmlformats.org/officeDocument/2006/relationships/hyperlink" Target="https://drive.google.com/open?id=117WVIxYtppLZTFHlx2d2-qjltMChK5Rv" TargetMode="External"/><Relationship Id="rId980" Type="http://schemas.openxmlformats.org/officeDocument/2006/relationships/hyperlink" Target="https://drive.google.com/open?id=1eMIbAs5OfvYJrEl5tGrZbmfKE8flQT7g" TargetMode="External"/><Relationship Id="rId976" Type="http://schemas.openxmlformats.org/officeDocument/2006/relationships/hyperlink" Target="https://drive.google.com/open?id=1ZckkXRSiQIUcPnkmZtgiDNttXK8i3e8_" TargetMode="External"/><Relationship Id="rId975" Type="http://schemas.openxmlformats.org/officeDocument/2006/relationships/hyperlink" Target="https://drive.google.com/open?id=1Q0_le8X0OZhsoSybWC37y0Qc0OEwaNai" TargetMode="External"/><Relationship Id="rId974" Type="http://schemas.openxmlformats.org/officeDocument/2006/relationships/hyperlink" Target="https://drive.google.com/open?id=1RYVtJ7qW3pMKl-zwfNJVKAVgfJUVUROD" TargetMode="External"/><Relationship Id="rId973" Type="http://schemas.openxmlformats.org/officeDocument/2006/relationships/hyperlink" Target="https://drive.google.com/open?id=1vCUs7KSVqwo8uDNVA6hvfGmjzl2eJ2X5" TargetMode="External"/><Relationship Id="rId979" Type="http://schemas.openxmlformats.org/officeDocument/2006/relationships/hyperlink" Target="https://drive.google.com/open?id=1hJ1UkGMZXtezFkARXL2u77tzZJbnRSMG" TargetMode="External"/><Relationship Id="rId978" Type="http://schemas.openxmlformats.org/officeDocument/2006/relationships/hyperlink" Target="https://drive.google.com/open?id=1mh6MI9O29x0iFVBtWKcd6Bq8sETpsS0n" TargetMode="External"/><Relationship Id="rId977" Type="http://schemas.openxmlformats.org/officeDocument/2006/relationships/hyperlink" Target="https://drive.google.com/open?id=11FlypJD5h8TqpAKl81rbpOQlRozuDbhK" TargetMode="External"/><Relationship Id="rId972" Type="http://schemas.openxmlformats.org/officeDocument/2006/relationships/hyperlink" Target="https://drive.google.com/open?id=1O4bOjZeWeUQilfgBN521BRHRlG9xmyuk" TargetMode="External"/><Relationship Id="rId971" Type="http://schemas.openxmlformats.org/officeDocument/2006/relationships/hyperlink" Target="https://drive.google.com/open?id=1s1q3iJwJRljWVGMsomMYrbT34s2EfgWE" TargetMode="External"/><Relationship Id="rId970" Type="http://schemas.openxmlformats.org/officeDocument/2006/relationships/hyperlink" Target="https://drive.google.com/open?id=16MKzLgAP29mynQq-FQUyJeJhdi7CSMbh" TargetMode="External"/><Relationship Id="rId1114" Type="http://schemas.openxmlformats.org/officeDocument/2006/relationships/hyperlink" Target="https://drive.google.com/open?id=1IChILDybsyCgmiy0xTgwZRQRNyD1L1iM" TargetMode="External"/><Relationship Id="rId1115" Type="http://schemas.openxmlformats.org/officeDocument/2006/relationships/hyperlink" Target="https://drive.google.com/open?id=1q2e-Y4xZqdTIYqEXbAuYj3OY0mnStQt2" TargetMode="External"/><Relationship Id="rId1116" Type="http://schemas.openxmlformats.org/officeDocument/2006/relationships/hyperlink" Target="https://drive.google.com/open?id=1TLVMJLG3Vte-wTocvZp7D-Nq3kFNHmd-" TargetMode="External"/><Relationship Id="rId1117" Type="http://schemas.openxmlformats.org/officeDocument/2006/relationships/hyperlink" Target="https://drive.google.com/open?id=1iT3aQy7f8kCQcjnxTkXNfUB3IGNLj-sQ" TargetMode="External"/><Relationship Id="rId1118" Type="http://schemas.openxmlformats.org/officeDocument/2006/relationships/hyperlink" Target="https://drive.google.com/open?id=1MEbN5MWCX2wNv3XIVa6p968qPB2__6Wl" TargetMode="External"/><Relationship Id="rId1119" Type="http://schemas.openxmlformats.org/officeDocument/2006/relationships/hyperlink" Target="https://drive.google.com/open?id=1wockfBLR9-p_ifH9J_TQPOIruR5HqX3x" TargetMode="External"/><Relationship Id="rId525" Type="http://schemas.openxmlformats.org/officeDocument/2006/relationships/hyperlink" Target="https://drive.google.com/open?id=1nH8TaKBldh6ZDc0sW1vjSxEoDNNHr6gI" TargetMode="External"/><Relationship Id="rId524" Type="http://schemas.openxmlformats.org/officeDocument/2006/relationships/hyperlink" Target="https://drive.google.com/open?id=1Qc5AqfMve3ctBRZ_w3MfmS_ctS2EU0GC" TargetMode="External"/><Relationship Id="rId523" Type="http://schemas.openxmlformats.org/officeDocument/2006/relationships/hyperlink" Target="https://drive.google.com/open?id=1czIzAGfCjQHXOg3WrEvdsBQ0ELMRPG0z" TargetMode="External"/><Relationship Id="rId522" Type="http://schemas.openxmlformats.org/officeDocument/2006/relationships/hyperlink" Target="https://drive.google.com/open?id=17Sl_rQ_ag42spqyJh38eNM10mb_mPENE" TargetMode="External"/><Relationship Id="rId529" Type="http://schemas.openxmlformats.org/officeDocument/2006/relationships/hyperlink" Target="https://drive.google.com/open?id=1KvXPRrtHu5Ev8HODK-1xhlS1_HnHyN_5" TargetMode="External"/><Relationship Id="rId528" Type="http://schemas.openxmlformats.org/officeDocument/2006/relationships/hyperlink" Target="https://drive.google.com/open?id=1jXQvw4zGqm7fBrhjrUC98L7_ZuN9JyzH" TargetMode="External"/><Relationship Id="rId527" Type="http://schemas.openxmlformats.org/officeDocument/2006/relationships/hyperlink" Target="https://drive.google.com/open?id=1g1PPciummGlsJydx6Kye9TuF6hVVOtLV" TargetMode="External"/><Relationship Id="rId526" Type="http://schemas.openxmlformats.org/officeDocument/2006/relationships/hyperlink" Target="https://drive.google.com/open?id=10YCOw4UsW0uhFlhA-QSLmEDz3KUDJMRG" TargetMode="External"/><Relationship Id="rId521" Type="http://schemas.openxmlformats.org/officeDocument/2006/relationships/hyperlink" Target="https://drive.google.com/open?id=1zlp-hU7vPBWUBXOs7s5t0l2yaDufQLfH" TargetMode="External"/><Relationship Id="rId1110" Type="http://schemas.openxmlformats.org/officeDocument/2006/relationships/hyperlink" Target="https://drive.google.com/open?id=1ODyqIWUkd6i6dH0w4AFh0zSaFqiFfCxW" TargetMode="External"/><Relationship Id="rId520" Type="http://schemas.openxmlformats.org/officeDocument/2006/relationships/hyperlink" Target="https://drive.google.com/open?id=1mxzJH-OG4In_VvdEQaVkfMt6-qVrqc3K" TargetMode="External"/><Relationship Id="rId1111" Type="http://schemas.openxmlformats.org/officeDocument/2006/relationships/hyperlink" Target="https://drive.google.com/open?id=1nL8AdyHgv4YausgtW3ZE5zV2xptm94I7" TargetMode="External"/><Relationship Id="rId1112" Type="http://schemas.openxmlformats.org/officeDocument/2006/relationships/hyperlink" Target="https://drive.google.com/open?id=1lLxtMRP2ELaLy5b41reH8OKSLYl15arf" TargetMode="External"/><Relationship Id="rId1113" Type="http://schemas.openxmlformats.org/officeDocument/2006/relationships/hyperlink" Target="https://drive.google.com/open?id=1Nkz5PR1YPhs_TLj1JDtDK297yuCOyOj9" TargetMode="External"/><Relationship Id="rId1103" Type="http://schemas.openxmlformats.org/officeDocument/2006/relationships/hyperlink" Target="https://drive.google.com/open?id=1i71iub01sPYIBOcM1Koogh6BbkGyxtuM" TargetMode="External"/><Relationship Id="rId1104" Type="http://schemas.openxmlformats.org/officeDocument/2006/relationships/hyperlink" Target="https://drive.google.com/open?id=1OeXhP9BX7EjRXA4AybYm8u_PnjA2vZD_" TargetMode="External"/><Relationship Id="rId1105" Type="http://schemas.openxmlformats.org/officeDocument/2006/relationships/hyperlink" Target="https://drive.google.com/open?id=1xrvdPblNZdieK7Tl45AKSy8hEruk14kh" TargetMode="External"/><Relationship Id="rId1106" Type="http://schemas.openxmlformats.org/officeDocument/2006/relationships/hyperlink" Target="https://drive.google.com/open?id=1fKww0SyugKLD3tmwY4Wlsn4glHuSBXmG" TargetMode="External"/><Relationship Id="rId1107" Type="http://schemas.openxmlformats.org/officeDocument/2006/relationships/hyperlink" Target="https://drive.google.com/open?id=1WhM43UDaOxHQY-7GS8YGWIJ5hm16RGGe" TargetMode="External"/><Relationship Id="rId1108" Type="http://schemas.openxmlformats.org/officeDocument/2006/relationships/hyperlink" Target="https://drive.google.com/open?id=1a0W0kLYN6X4c54EQ7RRsH55ywL6cAV93" TargetMode="External"/><Relationship Id="rId1109" Type="http://schemas.openxmlformats.org/officeDocument/2006/relationships/hyperlink" Target="https://drive.google.com/open?id=1h2MA5r0Ck1hOcDIAJNWn-uQu9n7mREza" TargetMode="External"/><Relationship Id="rId519" Type="http://schemas.openxmlformats.org/officeDocument/2006/relationships/hyperlink" Target="https://drive.google.com/open?id=1AJghTvCvOYf2111qo8ySsjxTH-es7gtq" TargetMode="External"/><Relationship Id="rId514" Type="http://schemas.openxmlformats.org/officeDocument/2006/relationships/hyperlink" Target="https://drive.google.com/open?id=1d5VMkEdhOE6wUBXgCuli559i34T1JNFq" TargetMode="External"/><Relationship Id="rId998" Type="http://schemas.openxmlformats.org/officeDocument/2006/relationships/hyperlink" Target="https://drive.google.com/open?id=17jF9ZWjbtmcNjd5Qxr6_YY9jirI8T6ln" TargetMode="External"/><Relationship Id="rId513" Type="http://schemas.openxmlformats.org/officeDocument/2006/relationships/hyperlink" Target="https://drive.google.com/open?id=1pMTutEHS8VT2lEPvgSLuKWua8eBbMpnz" TargetMode="External"/><Relationship Id="rId997" Type="http://schemas.openxmlformats.org/officeDocument/2006/relationships/hyperlink" Target="https://drive.google.com/open?id=1r36h2svKAsiqj6E6ZUbPLbk-HoqQ0E2T" TargetMode="External"/><Relationship Id="rId512" Type="http://schemas.openxmlformats.org/officeDocument/2006/relationships/hyperlink" Target="https://drive.google.com/open?id=1CraJr1Nid3rqoJ1bVL8eBdrZi1yQ-kpC" TargetMode="External"/><Relationship Id="rId996" Type="http://schemas.openxmlformats.org/officeDocument/2006/relationships/hyperlink" Target="https://drive.google.com/open?id=1gKZccjARjkO78CNl0Xjb6Z_KhakiS7sb" TargetMode="External"/><Relationship Id="rId511" Type="http://schemas.openxmlformats.org/officeDocument/2006/relationships/hyperlink" Target="https://drive.google.com/open?id=198sBy60ZJuhV2m216INIEmBsIzHPJOir" TargetMode="External"/><Relationship Id="rId995" Type="http://schemas.openxmlformats.org/officeDocument/2006/relationships/hyperlink" Target="https://drive.google.com/open?id=1QopFjGX8KpJX--uXvBx7CnQGM6XwEKOX" TargetMode="External"/><Relationship Id="rId518" Type="http://schemas.openxmlformats.org/officeDocument/2006/relationships/hyperlink" Target="https://drive.google.com/open?id=1NiIHfvJgm5gpPCpKbnhOuxmv4ZnfWpQW" TargetMode="External"/><Relationship Id="rId517" Type="http://schemas.openxmlformats.org/officeDocument/2006/relationships/hyperlink" Target="https://drive.google.com/open?id=1kXrytMYKsJLrS-3i_-DaB6hKP07r6KbC" TargetMode="External"/><Relationship Id="rId516" Type="http://schemas.openxmlformats.org/officeDocument/2006/relationships/hyperlink" Target="https://drive.google.com/open?id=1yOJySaImIeqzV8zvtN7zLCZ8rTzC6P4y" TargetMode="External"/><Relationship Id="rId515" Type="http://schemas.openxmlformats.org/officeDocument/2006/relationships/hyperlink" Target="https://drive.google.com/open?id=1pJnAHkwhsnPJtQBH37JAkhjqh901yg2r" TargetMode="External"/><Relationship Id="rId999" Type="http://schemas.openxmlformats.org/officeDocument/2006/relationships/hyperlink" Target="https://drive.google.com/open?id=1cZgcVV4LahskSjC1q9zky_-5Agirb43f" TargetMode="External"/><Relationship Id="rId990" Type="http://schemas.openxmlformats.org/officeDocument/2006/relationships/hyperlink" Target="https://drive.google.com/open?id=1qLyV67Z_VCCP5lgnAGrE4Sc0D434zQfp" TargetMode="External"/><Relationship Id="rId510" Type="http://schemas.openxmlformats.org/officeDocument/2006/relationships/hyperlink" Target="https://drive.google.com/open?id=1LrTwKTVFOygHJ8gHCJ2OlPA3e0ySb62H" TargetMode="External"/><Relationship Id="rId994" Type="http://schemas.openxmlformats.org/officeDocument/2006/relationships/hyperlink" Target="https://drive.google.com/open?id=1dThvNvJWz-h3sXwVhlicx4Xde5EWm02E" TargetMode="External"/><Relationship Id="rId993" Type="http://schemas.openxmlformats.org/officeDocument/2006/relationships/hyperlink" Target="https://drive.google.com/open?id=1b-O47Dbw0uHH-97unxldLdjRjP620YiJ" TargetMode="External"/><Relationship Id="rId1100" Type="http://schemas.openxmlformats.org/officeDocument/2006/relationships/hyperlink" Target="https://drive.google.com/open?id=1Dhp6qjthgFEOThTQDTfWho_H-WWT44_b" TargetMode="External"/><Relationship Id="rId992" Type="http://schemas.openxmlformats.org/officeDocument/2006/relationships/hyperlink" Target="https://drive.google.com/open?id=1NtUkSihxEWMR5UiOnPGcfwycRv8i3_4z" TargetMode="External"/><Relationship Id="rId1101" Type="http://schemas.openxmlformats.org/officeDocument/2006/relationships/hyperlink" Target="https://drive.google.com/open?id=1fi0Z1H19IdAX4JGRgcJSA1UhyaJIif94" TargetMode="External"/><Relationship Id="rId991" Type="http://schemas.openxmlformats.org/officeDocument/2006/relationships/hyperlink" Target="https://drive.google.com/open?id=1tUoCxPZkEIDAdNpQO-LjCzdyKBTokb0E" TargetMode="External"/><Relationship Id="rId1102" Type="http://schemas.openxmlformats.org/officeDocument/2006/relationships/hyperlink" Target="https://drive.google.com/open?id=1cAMFTLKCHjWkBV2I-GunXg0YeOIJ-00c" TargetMode="External"/><Relationship Id="rId949" Type="http://schemas.openxmlformats.org/officeDocument/2006/relationships/hyperlink" Target="https://drive.google.com/open?id=18o2IWIxFFgYg7iX6VFguJeAd8PlyZIr5" TargetMode="External"/><Relationship Id="rId948" Type="http://schemas.openxmlformats.org/officeDocument/2006/relationships/hyperlink" Target="https://drive.google.com/open?id=1rZqsDbrIhQ-RpIK6o-tdrNWZEk4mjaD_" TargetMode="External"/><Relationship Id="rId943" Type="http://schemas.openxmlformats.org/officeDocument/2006/relationships/hyperlink" Target="https://drive.google.com/open?id=1SYoEMJdaSd2UFgniQt03E2QV-ckV0MtL" TargetMode="External"/><Relationship Id="rId942" Type="http://schemas.openxmlformats.org/officeDocument/2006/relationships/hyperlink" Target="https://drive.google.com/open?id=1tkFqoPlFNhko8pnKpOs5tTIogAE9gyXi" TargetMode="External"/><Relationship Id="rId941" Type="http://schemas.openxmlformats.org/officeDocument/2006/relationships/hyperlink" Target="https://drive.google.com/open?id=1FFqC9FxjP-xR1fXeJnLrOvZYmKr6Tad0" TargetMode="External"/><Relationship Id="rId940" Type="http://schemas.openxmlformats.org/officeDocument/2006/relationships/hyperlink" Target="https://drive.google.com/open?id=1HSRzIA1We_ziaZnc-xDotqFZT8iFRC4l" TargetMode="External"/><Relationship Id="rId947" Type="http://schemas.openxmlformats.org/officeDocument/2006/relationships/hyperlink" Target="https://drive.google.com/open?id=1dVwTtYti-XH701qEK3YCt9rBCXiqAzeK" TargetMode="External"/><Relationship Id="rId946" Type="http://schemas.openxmlformats.org/officeDocument/2006/relationships/hyperlink" Target="https://drive.google.com/open?id=1JewSrEuWZ1gn8e6MduMvHxnGtvjMgpgp" TargetMode="External"/><Relationship Id="rId945" Type="http://schemas.openxmlformats.org/officeDocument/2006/relationships/hyperlink" Target="https://drive.google.com/open?id=1zqhaGC66ocWEDch55IBjg1xJ5ARI12QI" TargetMode="External"/><Relationship Id="rId944" Type="http://schemas.openxmlformats.org/officeDocument/2006/relationships/hyperlink" Target="https://drive.google.com/open?id=1jPB5UmblThKR6deyjeIv2EChM76QiGfr" TargetMode="External"/><Relationship Id="rId939" Type="http://schemas.openxmlformats.org/officeDocument/2006/relationships/hyperlink" Target="https://drive.google.com/open?id=1lrlORQK9pCrpLuyXlTJ_q689dwhBYaBp" TargetMode="External"/><Relationship Id="rId938" Type="http://schemas.openxmlformats.org/officeDocument/2006/relationships/hyperlink" Target="https://drive.google.com/open?id=1RKSEdI6Vfem6jETNAYdbOJvRSdVYyVYh" TargetMode="External"/><Relationship Id="rId937" Type="http://schemas.openxmlformats.org/officeDocument/2006/relationships/hyperlink" Target="https://drive.google.com/open?id=1yiGOrehxNwFQUf5rmE7UgXNo__GjDuxv" TargetMode="External"/><Relationship Id="rId932" Type="http://schemas.openxmlformats.org/officeDocument/2006/relationships/hyperlink" Target="https://drive.google.com/open?id=1YW6wDRgpjba6JscGyXHchMLCzpkmC9Fh" TargetMode="External"/><Relationship Id="rId931" Type="http://schemas.openxmlformats.org/officeDocument/2006/relationships/hyperlink" Target="https://drive.google.com/open?id=1r0OT2bkWZ-tvqdAJ4WO2LA9k4kSdAb8N" TargetMode="External"/><Relationship Id="rId930" Type="http://schemas.openxmlformats.org/officeDocument/2006/relationships/hyperlink" Target="https://drive.google.com/open?id=1ReDEg0bDh8WHoCBC_9A1BB8CNqb9GoWM" TargetMode="External"/><Relationship Id="rId936" Type="http://schemas.openxmlformats.org/officeDocument/2006/relationships/hyperlink" Target="https://drive.google.com/open?id=1sIi2QJ3ayNlloSZlYQQ9pl-E_9YlMZk3" TargetMode="External"/><Relationship Id="rId935" Type="http://schemas.openxmlformats.org/officeDocument/2006/relationships/hyperlink" Target="https://drive.google.com/open?id=1kWfuR0ZIMMqOop9VYXAujJpFOA1y81xu" TargetMode="External"/><Relationship Id="rId934" Type="http://schemas.openxmlformats.org/officeDocument/2006/relationships/hyperlink" Target="https://drive.google.com/open?id=1TvbiIBogmKcp5YCdGl2us8r32rq05W7A" TargetMode="External"/><Relationship Id="rId933" Type="http://schemas.openxmlformats.org/officeDocument/2006/relationships/hyperlink" Target="https://drive.google.com/open?id=1pEuwWw3qf56IHgsAbYx1PMeZE8c1CuY8" TargetMode="External"/><Relationship Id="rId965" Type="http://schemas.openxmlformats.org/officeDocument/2006/relationships/hyperlink" Target="https://drive.google.com/open?id=1ybvtsLvs1vXHRO3LPvAh7AidNBwQuReH" TargetMode="External"/><Relationship Id="rId964" Type="http://schemas.openxmlformats.org/officeDocument/2006/relationships/hyperlink" Target="https://drive.google.com/open?id=1jjFuKS_U1QBB36nRW2vjQLkDW9KmooPi" TargetMode="External"/><Relationship Id="rId963" Type="http://schemas.openxmlformats.org/officeDocument/2006/relationships/hyperlink" Target="https://drive.google.com/open?id=1pyiYu3IzFV0b5zTm0ZZPIuvaFSCnpnII" TargetMode="External"/><Relationship Id="rId962" Type="http://schemas.openxmlformats.org/officeDocument/2006/relationships/hyperlink" Target="https://drive.google.com/open?id=1CfbU3U2s3LLCTNzskQ-YItSAHqr4yDxe" TargetMode="External"/><Relationship Id="rId969" Type="http://schemas.openxmlformats.org/officeDocument/2006/relationships/hyperlink" Target="https://drive.google.com/open?id=16TQwR-_pT-P70IKmA0itdGtcZA6xrvP-" TargetMode="External"/><Relationship Id="rId968" Type="http://schemas.openxmlformats.org/officeDocument/2006/relationships/hyperlink" Target="https://drive.google.com/open?id=1IQjClfd8ZkPZneTdIzdlb5zC80Vhyxct" TargetMode="External"/><Relationship Id="rId967" Type="http://schemas.openxmlformats.org/officeDocument/2006/relationships/hyperlink" Target="https://drive.google.com/open?id=1I9HywU8Eavv9GZbQkP4QRgyhQvXJTAzI" TargetMode="External"/><Relationship Id="rId966" Type="http://schemas.openxmlformats.org/officeDocument/2006/relationships/hyperlink" Target="https://drive.google.com/open?id=1W5kKvlDqs8vLsoPz3W8h8keVuORuLU2_" TargetMode="External"/><Relationship Id="rId961" Type="http://schemas.openxmlformats.org/officeDocument/2006/relationships/hyperlink" Target="https://drive.google.com/open?id=1dWISsaVl14j3GexqAIMJ5vek3GRmqjni" TargetMode="External"/><Relationship Id="rId960" Type="http://schemas.openxmlformats.org/officeDocument/2006/relationships/hyperlink" Target="https://drive.google.com/open?id=1VhH9RHSPe6ipJxt3uwwTfFpfiD1Xs_qV" TargetMode="External"/><Relationship Id="rId959" Type="http://schemas.openxmlformats.org/officeDocument/2006/relationships/hyperlink" Target="https://drive.google.com/open?id=1ekD0b4qp3XybxTahJc485K6qS_-LtcxU" TargetMode="External"/><Relationship Id="rId954" Type="http://schemas.openxmlformats.org/officeDocument/2006/relationships/hyperlink" Target="https://drive.google.com/open?id=1Re3ETXg6EYKL1HZ88XGXduaiQT58ZEHN" TargetMode="External"/><Relationship Id="rId953" Type="http://schemas.openxmlformats.org/officeDocument/2006/relationships/hyperlink" Target="https://drive.google.com/open?id=1PwlWdLc9R2t0Bm1RBUbzd8UB74c9oLr6" TargetMode="External"/><Relationship Id="rId952" Type="http://schemas.openxmlformats.org/officeDocument/2006/relationships/hyperlink" Target="https://drive.google.com/open?id=1Y7CwQOW-sBLA3gVYIBbCSY5ESTsRvBH0" TargetMode="External"/><Relationship Id="rId951" Type="http://schemas.openxmlformats.org/officeDocument/2006/relationships/hyperlink" Target="https://drive.google.com/open?id=1l8KKCHngr_Cjp6qLIVJIMfTCjzqXoLi-" TargetMode="External"/><Relationship Id="rId958" Type="http://schemas.openxmlformats.org/officeDocument/2006/relationships/hyperlink" Target="https://drive.google.com/open?id=1rGdSEQhXZfCqdjWErim_osLsi9Stp5pj" TargetMode="External"/><Relationship Id="rId957" Type="http://schemas.openxmlformats.org/officeDocument/2006/relationships/hyperlink" Target="https://drive.google.com/open?id=1iN-8gjCLXmRGKs2NDVgahHiiVUyw9AXS" TargetMode="External"/><Relationship Id="rId956" Type="http://schemas.openxmlformats.org/officeDocument/2006/relationships/hyperlink" Target="https://drive.google.com/open?id=1joeRaGZh0Bg88TQx_dUIR4-6g5uI1hO7" TargetMode="External"/><Relationship Id="rId955" Type="http://schemas.openxmlformats.org/officeDocument/2006/relationships/hyperlink" Target="https://drive.google.com/open?id=1lZIZa0DWiuVNrpdgeRlkNcS7d9T67-vJ" TargetMode="External"/><Relationship Id="rId950" Type="http://schemas.openxmlformats.org/officeDocument/2006/relationships/hyperlink" Target="https://drive.google.com/open?id=153qzoAafGFIf2MR0596_xmGLkVIwwXIK" TargetMode="External"/><Relationship Id="rId590" Type="http://schemas.openxmlformats.org/officeDocument/2006/relationships/hyperlink" Target="https://drive.google.com/open?id=1tXo0HN5OLkUMNJa9xtUoZ2zzgNTuxps5" TargetMode="External"/><Relationship Id="rId107" Type="http://schemas.openxmlformats.org/officeDocument/2006/relationships/hyperlink" Target="https://drive.google.com/open?id=13C09EPcX1B9VGsXLB2h1XTf93qbuA80k" TargetMode="External"/><Relationship Id="rId106" Type="http://schemas.openxmlformats.org/officeDocument/2006/relationships/hyperlink" Target="https://drive.google.com/open?id=1rafPhd2JGq6PbQEtzK_z-f8bXhTqly8M" TargetMode="External"/><Relationship Id="rId105" Type="http://schemas.openxmlformats.org/officeDocument/2006/relationships/hyperlink" Target="https://drive.google.com/open?id=1-7cOBptRB-DD8CcNF69wOnEx9CBw8ZuN" TargetMode="External"/><Relationship Id="rId589" Type="http://schemas.openxmlformats.org/officeDocument/2006/relationships/hyperlink" Target="https://drive.google.com/open?id=13lGdItF7uLb_QJuHbKFSTIT2NCFM2qOI" TargetMode="External"/><Relationship Id="rId104" Type="http://schemas.openxmlformats.org/officeDocument/2006/relationships/hyperlink" Target="https://drive.google.com/open?id=1VKlnt2b-FZFjBtRvA1PX9qSc4nwCLvid" TargetMode="External"/><Relationship Id="rId588" Type="http://schemas.openxmlformats.org/officeDocument/2006/relationships/hyperlink" Target="https://drive.google.com/open?id=1DhSnZ69qVniIEuIV6Sj5XL01lXVYCBSB" TargetMode="External"/><Relationship Id="rId109" Type="http://schemas.openxmlformats.org/officeDocument/2006/relationships/hyperlink" Target="https://drive.google.com/open?id=1JY06WZOLqu14PhonWHVOlvTMYjZ6411P" TargetMode="External"/><Relationship Id="rId1170" Type="http://schemas.openxmlformats.org/officeDocument/2006/relationships/hyperlink" Target="https://drive.google.com/open?id=1OMYU9aO2e5oGVHpE80UbbKtuVvO-SPuR" TargetMode="External"/><Relationship Id="rId108" Type="http://schemas.openxmlformats.org/officeDocument/2006/relationships/hyperlink" Target="https://drive.google.com/open?id=1IWEHEfz3lbGYZAmHqbWoBE51TIggD5nL" TargetMode="External"/><Relationship Id="rId1171" Type="http://schemas.openxmlformats.org/officeDocument/2006/relationships/hyperlink" Target="https://drive.google.com/open?id=1Siem2AsY6JCok9s2uwpBm_bmhUkH5mib" TargetMode="External"/><Relationship Id="rId583" Type="http://schemas.openxmlformats.org/officeDocument/2006/relationships/hyperlink" Target="https://drive.google.com/open?id=1T4gMGUJ4XFABiYSCEBCvvtmcUDdii7k5" TargetMode="External"/><Relationship Id="rId1172" Type="http://schemas.openxmlformats.org/officeDocument/2006/relationships/hyperlink" Target="https://drive.google.com/open?id=14dCAhb9W-sYw6z5Dnv2tUAUHwKPQNhfT" TargetMode="External"/><Relationship Id="rId582" Type="http://schemas.openxmlformats.org/officeDocument/2006/relationships/hyperlink" Target="https://drive.google.com/open?id=1p7w2l3SFw28Eb0ibzDAddGFhdRzJjgy2" TargetMode="External"/><Relationship Id="rId1173" Type="http://schemas.openxmlformats.org/officeDocument/2006/relationships/hyperlink" Target="https://drive.google.com/open?id=1gvIeJBmIWboglyfy7muQNi943qgd3l6N" TargetMode="External"/><Relationship Id="rId581" Type="http://schemas.openxmlformats.org/officeDocument/2006/relationships/hyperlink" Target="https://drive.google.com/open?id=10iRRL6oYzg9D17zZeW0XqU0pOWWcmdi0" TargetMode="External"/><Relationship Id="rId1174" Type="http://schemas.openxmlformats.org/officeDocument/2006/relationships/hyperlink" Target="https://drive.google.com/open?id=1l7KFUu-g2M5J8Qrkjw4GQKVPhWKr5RYW" TargetMode="External"/><Relationship Id="rId580" Type="http://schemas.openxmlformats.org/officeDocument/2006/relationships/hyperlink" Target="https://drive.google.com/open?id=15KlORbmmEYat07-YtUl0ZAjbTM255VC9" TargetMode="External"/><Relationship Id="rId1175" Type="http://schemas.openxmlformats.org/officeDocument/2006/relationships/hyperlink" Target="https://drive.google.com/open?id=1z8tJnoJolWBpv8YcnfnaZzeDb5Xdm8zZ" TargetMode="External"/><Relationship Id="rId103" Type="http://schemas.openxmlformats.org/officeDocument/2006/relationships/hyperlink" Target="https://drive.google.com/open?id=1Yf2zDUoI8_xkNYtSbliWFcbfmxkzIlSp" TargetMode="External"/><Relationship Id="rId587" Type="http://schemas.openxmlformats.org/officeDocument/2006/relationships/hyperlink" Target="https://drive.google.com/open?id=1Zb-15iaNboindLGRyqAmWXSM4jrarj4b" TargetMode="External"/><Relationship Id="rId1176" Type="http://schemas.openxmlformats.org/officeDocument/2006/relationships/hyperlink" Target="https://drive.google.com/open?id=1uMYoubfB8v7-pspQFMkVvPtH4JmIEAP6" TargetMode="External"/><Relationship Id="rId102" Type="http://schemas.openxmlformats.org/officeDocument/2006/relationships/hyperlink" Target="https://drive.google.com/open?id=140nJceU32DcUPhZT_yhidWWeYTPZkYVC" TargetMode="External"/><Relationship Id="rId586" Type="http://schemas.openxmlformats.org/officeDocument/2006/relationships/hyperlink" Target="https://drive.google.com/open?id=13O7D2koIVXmXkx9n66CbjBhzklX6JNwE" TargetMode="External"/><Relationship Id="rId1177" Type="http://schemas.openxmlformats.org/officeDocument/2006/relationships/hyperlink" Target="https://drive.google.com/open?id=1-F0i1lHRs4e9kzsaOJlVkCKSC8lyLuhr" TargetMode="External"/><Relationship Id="rId101" Type="http://schemas.openxmlformats.org/officeDocument/2006/relationships/hyperlink" Target="https://drive.google.com/open?id=1Ya1eh77EFYh1RmxrFdj0Bgk9t3YDTADS" TargetMode="External"/><Relationship Id="rId585" Type="http://schemas.openxmlformats.org/officeDocument/2006/relationships/hyperlink" Target="https://drive.google.com/open?id=1NBVg10eIJsd6sM7PNq1K_ESwEvl-1Z9j" TargetMode="External"/><Relationship Id="rId1178" Type="http://schemas.openxmlformats.org/officeDocument/2006/relationships/hyperlink" Target="https://drive.google.com/open?id=1qZo9Dc2rM5HaH96_wJI3ejAwSphAT30F" TargetMode="External"/><Relationship Id="rId100" Type="http://schemas.openxmlformats.org/officeDocument/2006/relationships/hyperlink" Target="https://drive.google.com/open?id=1h9YhIgUXtK2rBnqbP6g_f9Dx3QrR_pnD" TargetMode="External"/><Relationship Id="rId584" Type="http://schemas.openxmlformats.org/officeDocument/2006/relationships/hyperlink" Target="https://drive.google.com/open?id=1wjZLp-d60u1u4pMLRVmZviNunuo4_dWL" TargetMode="External"/><Relationship Id="rId1179" Type="http://schemas.openxmlformats.org/officeDocument/2006/relationships/hyperlink" Target="https://drive.google.com/open?id=1MTeM3Sd0EsoYG10fpWvr0ewCGWgFZwd9" TargetMode="External"/><Relationship Id="rId1169" Type="http://schemas.openxmlformats.org/officeDocument/2006/relationships/hyperlink" Target="https://drive.google.com/open?id=1wePIJtkTPBZxuduivAe0mSpK9IJ6_eEh" TargetMode="External"/><Relationship Id="rId579" Type="http://schemas.openxmlformats.org/officeDocument/2006/relationships/hyperlink" Target="https://drive.google.com/open?id=1Nf0dS9oKIfRUR7U6PeBNEFsfkp5dW3Sh" TargetMode="External"/><Relationship Id="rId578" Type="http://schemas.openxmlformats.org/officeDocument/2006/relationships/hyperlink" Target="https://drive.google.com/open?id=1TxqaqLjacyv5BFLhT_3QiJotOsS_nRQa" TargetMode="External"/><Relationship Id="rId577" Type="http://schemas.openxmlformats.org/officeDocument/2006/relationships/hyperlink" Target="https://drive.google.com/open?id=107vLh-tHpLz0JFCbzy4bv8VfAWSobwvQ" TargetMode="External"/><Relationship Id="rId1160" Type="http://schemas.openxmlformats.org/officeDocument/2006/relationships/hyperlink" Target="https://drive.google.com/open?id=1-PetfB6Tp194MjK0e-W1uHlAXhoGA3di" TargetMode="External"/><Relationship Id="rId572" Type="http://schemas.openxmlformats.org/officeDocument/2006/relationships/hyperlink" Target="https://drive.google.com/open?id=1O9IChSxdXxCNQaVY-oWkutdb5PWmDKzV" TargetMode="External"/><Relationship Id="rId1161" Type="http://schemas.openxmlformats.org/officeDocument/2006/relationships/hyperlink" Target="https://drive.google.com/open?id=1yW-xpepQVwiCMkNuqsgGvt74qKTyQXq_" TargetMode="External"/><Relationship Id="rId571" Type="http://schemas.openxmlformats.org/officeDocument/2006/relationships/hyperlink" Target="https://drive.google.com/open?id=1J1uudxn4EbQFRAxanIm_1_diR2O7kAb6" TargetMode="External"/><Relationship Id="rId1162" Type="http://schemas.openxmlformats.org/officeDocument/2006/relationships/hyperlink" Target="https://drive.google.com/open?id=18mtx8Qh8QHls3niSfI1jM6LKdhvuuQeL" TargetMode="External"/><Relationship Id="rId570" Type="http://schemas.openxmlformats.org/officeDocument/2006/relationships/hyperlink" Target="https://drive.google.com/open?id=16ASI1cuPXrKt31VDEX93KvQ581UNata8" TargetMode="External"/><Relationship Id="rId1163" Type="http://schemas.openxmlformats.org/officeDocument/2006/relationships/hyperlink" Target="https://drive.google.com/open?id=1msBWVmdG51966EXk0B4Mv4FHLbIxwHRY" TargetMode="External"/><Relationship Id="rId1164" Type="http://schemas.openxmlformats.org/officeDocument/2006/relationships/hyperlink" Target="https://drive.google.com/open?id=112veMJq0xzh0LinE6l_JRL7s4NSz_v9u" TargetMode="External"/><Relationship Id="rId576" Type="http://schemas.openxmlformats.org/officeDocument/2006/relationships/hyperlink" Target="https://drive.google.com/open?id=1k94jScnUdPRAllKESfy-MISeNFGATh6u" TargetMode="External"/><Relationship Id="rId1165" Type="http://schemas.openxmlformats.org/officeDocument/2006/relationships/hyperlink" Target="https://drive.google.com/open?id=1GkJLAiWs5OCkGJFarEqQDBiY9ZkOQXz3" TargetMode="External"/><Relationship Id="rId575" Type="http://schemas.openxmlformats.org/officeDocument/2006/relationships/hyperlink" Target="https://drive.google.com/open?id=19W1fVIBN315pgzRxfk00KUIixkX4M8-K" TargetMode="External"/><Relationship Id="rId1166" Type="http://schemas.openxmlformats.org/officeDocument/2006/relationships/hyperlink" Target="https://drive.google.com/open?id=1HbBOBFjpWwJUWbWeFISPsLGnbI5b-Rk6" TargetMode="External"/><Relationship Id="rId574" Type="http://schemas.openxmlformats.org/officeDocument/2006/relationships/hyperlink" Target="https://drive.google.com/open?id=1rqDh4c8AZe0pallC8_DxVS483RzSNSns" TargetMode="External"/><Relationship Id="rId1167" Type="http://schemas.openxmlformats.org/officeDocument/2006/relationships/hyperlink" Target="https://drive.google.com/open?id=192CUUib81oebiH3Uwg1EQpKZbzFPu8ch" TargetMode="External"/><Relationship Id="rId573" Type="http://schemas.openxmlformats.org/officeDocument/2006/relationships/hyperlink" Target="https://drive.google.com/open?id=1YYUrz4lf5EsBXTEPXNdUQAuk65vmtV5M" TargetMode="External"/><Relationship Id="rId1168" Type="http://schemas.openxmlformats.org/officeDocument/2006/relationships/hyperlink" Target="https://drive.google.com/open?id=1K2pP69l4IZpEayf9v7vG7Bc3FFkps-Bh" TargetMode="External"/><Relationship Id="rId129" Type="http://schemas.openxmlformats.org/officeDocument/2006/relationships/hyperlink" Target="https://drive.google.com/open?id=1ng_BFT84CIRQXxhWSzRE95sFg53StfXT" TargetMode="External"/><Relationship Id="rId128" Type="http://schemas.openxmlformats.org/officeDocument/2006/relationships/hyperlink" Target="https://drive.google.com/open?id=1K0hyaMAaPsme28BcbSbWerGiglJgibIZ" TargetMode="External"/><Relationship Id="rId127" Type="http://schemas.openxmlformats.org/officeDocument/2006/relationships/hyperlink" Target="https://drive.google.com/open?id=1KVm4N3gzrXfXIagHc0ay7TGiDHr14cyf" TargetMode="External"/><Relationship Id="rId126" Type="http://schemas.openxmlformats.org/officeDocument/2006/relationships/hyperlink" Target="https://drive.google.com/open?id=1IZY82G5m3K69SqYjyhhh8SYU1Lr1Ps6M" TargetMode="External"/><Relationship Id="rId121" Type="http://schemas.openxmlformats.org/officeDocument/2006/relationships/hyperlink" Target="https://drive.google.com/open?id=1w0iKuQmyjwGbJ7rYkESG66j1--K7Kw9x" TargetMode="External"/><Relationship Id="rId120" Type="http://schemas.openxmlformats.org/officeDocument/2006/relationships/hyperlink" Target="https://drive.google.com/open?id=1kKr1bqJud7rueQacoJtL1uRgQoDkwQuk" TargetMode="External"/><Relationship Id="rId125" Type="http://schemas.openxmlformats.org/officeDocument/2006/relationships/hyperlink" Target="https://drive.google.com/open?id=1b3VHZTk5JSmej9BlE4_egVB0SC9_mGf8" TargetMode="External"/><Relationship Id="rId124" Type="http://schemas.openxmlformats.org/officeDocument/2006/relationships/hyperlink" Target="https://drive.google.com/open?id=1IqL4FoPNCX1j8hfwDq8zIaDgZf34hk3P" TargetMode="External"/><Relationship Id="rId123" Type="http://schemas.openxmlformats.org/officeDocument/2006/relationships/hyperlink" Target="https://drive.google.com/open?id=1lBR2uMs4Crdx2pUdhIF8OqE50WSzxF0M" TargetMode="External"/><Relationship Id="rId122" Type="http://schemas.openxmlformats.org/officeDocument/2006/relationships/hyperlink" Target="https://drive.google.com/open?id=15fJA4e5vCmqFwiHh6LlpgGNYDCeSn6_o" TargetMode="External"/><Relationship Id="rId118" Type="http://schemas.openxmlformats.org/officeDocument/2006/relationships/hyperlink" Target="https://drive.google.com/open?id=1VUHajIfvsA2_Is5Aem3vaPKQ5aK14Pgy" TargetMode="External"/><Relationship Id="rId117" Type="http://schemas.openxmlformats.org/officeDocument/2006/relationships/hyperlink" Target="https://drive.google.com/open?id=1AmiFS0aMD7bwcYvbhng9RsATTG5f7YaR" TargetMode="External"/><Relationship Id="rId116" Type="http://schemas.openxmlformats.org/officeDocument/2006/relationships/hyperlink" Target="https://drive.google.com/open?id=1piUk9daAxG9HHSX9eiVkZqbXZtLN3M-g" TargetMode="External"/><Relationship Id="rId115" Type="http://schemas.openxmlformats.org/officeDocument/2006/relationships/hyperlink" Target="https://drive.google.com/open?id=1YonZ6olGOZrggM5XjJjW_MC2fOeFo4X9" TargetMode="External"/><Relationship Id="rId599" Type="http://schemas.openxmlformats.org/officeDocument/2006/relationships/hyperlink" Target="https://drive.google.com/open?id=1mQBFKyhqohX-jOzI2tnPUxJ-CqO5aJpf" TargetMode="External"/><Relationship Id="rId1180" Type="http://schemas.openxmlformats.org/officeDocument/2006/relationships/hyperlink" Target="https://drive.google.com/open?id=1NziKGpNoGVQBJ--vVPZgARNfKMK01KI1" TargetMode="External"/><Relationship Id="rId1181" Type="http://schemas.openxmlformats.org/officeDocument/2006/relationships/hyperlink" Target="https://drive.google.com/open?id=17Xyl8xQNFxBtNZKVP87TJtmMU77hgaS-" TargetMode="External"/><Relationship Id="rId119" Type="http://schemas.openxmlformats.org/officeDocument/2006/relationships/hyperlink" Target="https://drive.google.com/open?id=1kpORz2olsLac_KiQt0KQ39YxBR7-BvWk" TargetMode="External"/><Relationship Id="rId1182" Type="http://schemas.openxmlformats.org/officeDocument/2006/relationships/drawing" Target="../drawings/drawing6.xml"/><Relationship Id="rId110" Type="http://schemas.openxmlformats.org/officeDocument/2006/relationships/hyperlink" Target="https://drive.google.com/open?id=1byWGeZTZx-0YwRF5T9ijQuTz8yqdfnDb" TargetMode="External"/><Relationship Id="rId594" Type="http://schemas.openxmlformats.org/officeDocument/2006/relationships/hyperlink" Target="https://drive.google.com/open?id=1QKPXuKgvVlA0gZbYZnTSSi7gWTbDZr8t" TargetMode="External"/><Relationship Id="rId593" Type="http://schemas.openxmlformats.org/officeDocument/2006/relationships/hyperlink" Target="https://drive.google.com/open?id=1yEpNi0SHGl5qQOLJpWfFDSVrtUwOq4Cb" TargetMode="External"/><Relationship Id="rId592" Type="http://schemas.openxmlformats.org/officeDocument/2006/relationships/hyperlink" Target="https://drive.google.com/open?id=1TTKuv1PMBM3byrFdrOA4RuavOgVPs5_j" TargetMode="External"/><Relationship Id="rId591" Type="http://schemas.openxmlformats.org/officeDocument/2006/relationships/hyperlink" Target="https://drive.google.com/open?id=1X6ppzp2_RQtZH-sMapbdVUJFv8cshZ_0" TargetMode="External"/><Relationship Id="rId114" Type="http://schemas.openxmlformats.org/officeDocument/2006/relationships/hyperlink" Target="https://drive.google.com/open?id=1EfuGEnP_eBHvTjbT1pv_KO0PWBL4P-GW" TargetMode="External"/><Relationship Id="rId598" Type="http://schemas.openxmlformats.org/officeDocument/2006/relationships/hyperlink" Target="https://drive.google.com/open?id=15ob4XbwSyJWO_uug8fiShIJkjG616DJV" TargetMode="External"/><Relationship Id="rId113" Type="http://schemas.openxmlformats.org/officeDocument/2006/relationships/hyperlink" Target="https://drive.google.com/open?id=1o8gU9LI-eJ4hrwHkz7b6V6vX8bc2YFb7" TargetMode="External"/><Relationship Id="rId597" Type="http://schemas.openxmlformats.org/officeDocument/2006/relationships/hyperlink" Target="https://drive.google.com/open?id=1j1w0c2-FZYLuHintyze78-a8_CcCaP0D" TargetMode="External"/><Relationship Id="rId112" Type="http://schemas.openxmlformats.org/officeDocument/2006/relationships/hyperlink" Target="https://drive.google.com/open?id=1SHO-5VD9JUEPjog22cWO832kaqajphQy" TargetMode="External"/><Relationship Id="rId596" Type="http://schemas.openxmlformats.org/officeDocument/2006/relationships/hyperlink" Target="https://drive.google.com/open?id=1iabDeur9k6QrEoaHZHRARPLPCSvizNGq" TargetMode="External"/><Relationship Id="rId111" Type="http://schemas.openxmlformats.org/officeDocument/2006/relationships/hyperlink" Target="https://drive.google.com/open?id=1Xt0pIDVap4OLOIehCGYbKilh3Ncco4Ld" TargetMode="External"/><Relationship Id="rId595" Type="http://schemas.openxmlformats.org/officeDocument/2006/relationships/hyperlink" Target="https://drive.google.com/open?id=1Pdt8aypHVSwSzDIWguiP8nWMrEdB33h0" TargetMode="External"/><Relationship Id="rId1136" Type="http://schemas.openxmlformats.org/officeDocument/2006/relationships/hyperlink" Target="https://drive.google.com/open?id=1kSiwWkQ34BKq0Ei_9oEe4MLdRbI53C-B" TargetMode="External"/><Relationship Id="rId1137" Type="http://schemas.openxmlformats.org/officeDocument/2006/relationships/hyperlink" Target="https://drive.google.com/open?id=1Ogss-ENczLrCs4d5vr2tJpBAjtiOg7jg" TargetMode="External"/><Relationship Id="rId1138" Type="http://schemas.openxmlformats.org/officeDocument/2006/relationships/hyperlink" Target="https://drive.google.com/open?id=1EDcPrN2JzsFd4R7QWV2jFMn4R53gDygq" TargetMode="External"/><Relationship Id="rId1139" Type="http://schemas.openxmlformats.org/officeDocument/2006/relationships/hyperlink" Target="https://drive.google.com/open?id=1P0l-zn9L90WIfJqqqW8e8-0Dp_7Vc2pg" TargetMode="External"/><Relationship Id="rId547" Type="http://schemas.openxmlformats.org/officeDocument/2006/relationships/hyperlink" Target="https://drive.google.com/open?id=1fnmAoSjTrUozP-Ro7MU303VLcipK9HKc" TargetMode="External"/><Relationship Id="rId546" Type="http://schemas.openxmlformats.org/officeDocument/2006/relationships/hyperlink" Target="https://drive.google.com/open?id=1i_ODEw_dzDJaiYVMOS22Ce2GY3djlGfQ" TargetMode="External"/><Relationship Id="rId545" Type="http://schemas.openxmlformats.org/officeDocument/2006/relationships/hyperlink" Target="https://drive.google.com/open?id=1kD3Hcy00znGez18lUtVsEhAYtW5COimF" TargetMode="External"/><Relationship Id="rId544" Type="http://schemas.openxmlformats.org/officeDocument/2006/relationships/hyperlink" Target="https://drive.google.com/open?id=1oFxnyj1h9VS2-8ETGMPGTcUZGcAYN4ZL" TargetMode="External"/><Relationship Id="rId549" Type="http://schemas.openxmlformats.org/officeDocument/2006/relationships/hyperlink" Target="https://drive.google.com/open?id=1-gdyTvGMF5N5gPtaMIfHkTXB0qOBPXGF" TargetMode="External"/><Relationship Id="rId548" Type="http://schemas.openxmlformats.org/officeDocument/2006/relationships/hyperlink" Target="https://drive.google.com/open?id=1pCYnpmlYoFMaw-kdno5tsj-86aWCShCa" TargetMode="External"/><Relationship Id="rId1130" Type="http://schemas.openxmlformats.org/officeDocument/2006/relationships/hyperlink" Target="https://drive.google.com/open?id=100PDgqWEA8HbqwvaYupWvx8R42Of-o-H" TargetMode="External"/><Relationship Id="rId1131" Type="http://schemas.openxmlformats.org/officeDocument/2006/relationships/hyperlink" Target="https://drive.google.com/open?id=1wEJyme1v4uefj-4pjZ-EKIdLtaioyXwa" TargetMode="External"/><Relationship Id="rId543" Type="http://schemas.openxmlformats.org/officeDocument/2006/relationships/hyperlink" Target="https://drive.google.com/open?id=1xkg2nR2j_Anot_YEWevxyZVOJDL07W8H" TargetMode="External"/><Relationship Id="rId1132" Type="http://schemas.openxmlformats.org/officeDocument/2006/relationships/hyperlink" Target="https://drive.google.com/open?id=1huanhUtI8JvM0vhCehWdEas9XixByueS" TargetMode="External"/><Relationship Id="rId542" Type="http://schemas.openxmlformats.org/officeDocument/2006/relationships/hyperlink" Target="https://drive.google.com/open?id=161gAY9xCIyUZGV70Ss5tKQa6hhdg7zkq" TargetMode="External"/><Relationship Id="rId1133" Type="http://schemas.openxmlformats.org/officeDocument/2006/relationships/hyperlink" Target="https://drive.google.com/open?id=1DyiaPLijpbCG-XVC9VwD49bqqZ2URv9k" TargetMode="External"/><Relationship Id="rId541" Type="http://schemas.openxmlformats.org/officeDocument/2006/relationships/hyperlink" Target="https://drive.google.com/open?id=1h1KZYLbmTaYH0uVr8nGP_oBlO4Por7L8" TargetMode="External"/><Relationship Id="rId1134" Type="http://schemas.openxmlformats.org/officeDocument/2006/relationships/hyperlink" Target="https://drive.google.com/open?id=1TUyODFuA8SDUk4pmlJD0pYlai6s0PrGx" TargetMode="External"/><Relationship Id="rId540" Type="http://schemas.openxmlformats.org/officeDocument/2006/relationships/hyperlink" Target="https://drive.google.com/open?id=1dZnSV-pHqcDQWPTUvehAvOrIez_YMVqD" TargetMode="External"/><Relationship Id="rId1135" Type="http://schemas.openxmlformats.org/officeDocument/2006/relationships/hyperlink" Target="https://drive.google.com/open?id=1OzI_clNZODyIGXGq0gPExTdi8hKCS5BN" TargetMode="External"/><Relationship Id="rId1125" Type="http://schemas.openxmlformats.org/officeDocument/2006/relationships/hyperlink" Target="https://drive.google.com/open?id=1DUtRjF0FYTBKwAhrHP_jsOTf3dXMYtNp" TargetMode="External"/><Relationship Id="rId1126" Type="http://schemas.openxmlformats.org/officeDocument/2006/relationships/hyperlink" Target="https://drive.google.com/open?id=19I4jWirCiejN_NsQQxeD0QGuWIl4a_6d" TargetMode="External"/><Relationship Id="rId1127" Type="http://schemas.openxmlformats.org/officeDocument/2006/relationships/hyperlink" Target="https://drive.google.com/open?id=1bsMiDlZDRBWq4-h5hseMgfcMaG09BRWx" TargetMode="External"/><Relationship Id="rId1128" Type="http://schemas.openxmlformats.org/officeDocument/2006/relationships/hyperlink" Target="https://drive.google.com/open?id=1vRieVmaby2W5XuKahptQb6fJno4nR5jr" TargetMode="External"/><Relationship Id="rId1129" Type="http://schemas.openxmlformats.org/officeDocument/2006/relationships/hyperlink" Target="https://drive.google.com/open?id=1phbmltLQEK2mR3kTPLZlKXtmJkqUjbKv" TargetMode="External"/><Relationship Id="rId536" Type="http://schemas.openxmlformats.org/officeDocument/2006/relationships/hyperlink" Target="https://drive.google.com/open?id=1d0KR6IQNBkDE-A4-SJmWZRoAXQxrhI1_" TargetMode="External"/><Relationship Id="rId535" Type="http://schemas.openxmlformats.org/officeDocument/2006/relationships/hyperlink" Target="https://drive.google.com/open?id=14LIehmwYyGdyv-HF6cs2pf9kDT6oLxKO" TargetMode="External"/><Relationship Id="rId534" Type="http://schemas.openxmlformats.org/officeDocument/2006/relationships/hyperlink" Target="https://drive.google.com/open?id=1suhghNE_gGxnd0mnesNV1ieJ0Rzs88iu" TargetMode="External"/><Relationship Id="rId533" Type="http://schemas.openxmlformats.org/officeDocument/2006/relationships/hyperlink" Target="https://drive.google.com/open?id=1lZlrMRlBl-ZLTW1m78YX4pxu7K-6bUBi" TargetMode="External"/><Relationship Id="rId539" Type="http://schemas.openxmlformats.org/officeDocument/2006/relationships/hyperlink" Target="https://drive.google.com/open?id=1o3_ZxR1dQRBZMIFc6vqFHPGas0qFe5A1" TargetMode="External"/><Relationship Id="rId538" Type="http://schemas.openxmlformats.org/officeDocument/2006/relationships/hyperlink" Target="https://drive.google.com/open?id=1AmK6gtlJvyR9Zvdm5oy-YUJo4zmpxEwh" TargetMode="External"/><Relationship Id="rId537" Type="http://schemas.openxmlformats.org/officeDocument/2006/relationships/hyperlink" Target="https://drive.google.com/open?id=1wLqkG0B7CZj2enTBSaRevw6zhdZ39qcw" TargetMode="External"/><Relationship Id="rId1120" Type="http://schemas.openxmlformats.org/officeDocument/2006/relationships/hyperlink" Target="https://drive.google.com/open?id=16lL8xJ7ia6XBEqe-syiOCaeqpyReCcQ_" TargetMode="External"/><Relationship Id="rId532" Type="http://schemas.openxmlformats.org/officeDocument/2006/relationships/hyperlink" Target="https://drive.google.com/open?id=1r6kjgn0k81G9upoY_aZZXrU3VZdSNE-5" TargetMode="External"/><Relationship Id="rId1121" Type="http://schemas.openxmlformats.org/officeDocument/2006/relationships/hyperlink" Target="https://drive.google.com/open?id=1ydiGn9-TTGx7T-Txl569YI_sFP3n9J_C" TargetMode="External"/><Relationship Id="rId531" Type="http://schemas.openxmlformats.org/officeDocument/2006/relationships/hyperlink" Target="https://drive.google.com/open?id=1qt7a5B2-6G4JsDP0xvOkYugdloNW3pP6" TargetMode="External"/><Relationship Id="rId1122" Type="http://schemas.openxmlformats.org/officeDocument/2006/relationships/hyperlink" Target="https://drive.google.com/open?id=1Rhhs-qPEZEVOUicbNK5xhYO7WNkLgKRA" TargetMode="External"/><Relationship Id="rId530" Type="http://schemas.openxmlformats.org/officeDocument/2006/relationships/hyperlink" Target="https://drive.google.com/open?id=1NSplG2ly1V3XE_WGlxIRc7GYvwZOmQk4" TargetMode="External"/><Relationship Id="rId1123" Type="http://schemas.openxmlformats.org/officeDocument/2006/relationships/hyperlink" Target="https://drive.google.com/open?id=1rq61bT7Bx7y7Xz401NzPLnHS4802-wa8" TargetMode="External"/><Relationship Id="rId1124" Type="http://schemas.openxmlformats.org/officeDocument/2006/relationships/hyperlink" Target="https://drive.google.com/open?id=1gH1vW6Sntwpf3ODV0cAlRreSK7Udgp9c" TargetMode="External"/><Relationship Id="rId1158" Type="http://schemas.openxmlformats.org/officeDocument/2006/relationships/hyperlink" Target="https://drive.google.com/open?id=1tl3mhFHOZyf6mgjcf4xPv-7-oHQyLmz5" TargetMode="External"/><Relationship Id="rId1159" Type="http://schemas.openxmlformats.org/officeDocument/2006/relationships/hyperlink" Target="https://drive.google.com/open?id=1cebBPJw2Cag9Y_PrtgN1o5PEGewL-_M-" TargetMode="External"/><Relationship Id="rId569" Type="http://schemas.openxmlformats.org/officeDocument/2006/relationships/hyperlink" Target="https://drive.google.com/open?id=1jFahULrBJExN0gHP4_RddGjUIpadqYGs" TargetMode="External"/><Relationship Id="rId568" Type="http://schemas.openxmlformats.org/officeDocument/2006/relationships/hyperlink" Target="https://drive.google.com/open?id=1U_VxK33JE_p7E3AnkwGdPKTxmcdgNasc" TargetMode="External"/><Relationship Id="rId567" Type="http://schemas.openxmlformats.org/officeDocument/2006/relationships/hyperlink" Target="https://drive.google.com/open?id=1NufJUKEeVtUmXpXptTvkpK5zq_97wpre" TargetMode="External"/><Relationship Id="rId566" Type="http://schemas.openxmlformats.org/officeDocument/2006/relationships/hyperlink" Target="https://drive.google.com/open?id=1asfdN6lSuj55iV4vkzAY9juwk-RRH0uu" TargetMode="External"/><Relationship Id="rId561" Type="http://schemas.openxmlformats.org/officeDocument/2006/relationships/hyperlink" Target="https://drive.google.com/open?id=1zx7EtsWxcpgDi3bY2U3OCgWVposD6Bov" TargetMode="External"/><Relationship Id="rId1150" Type="http://schemas.openxmlformats.org/officeDocument/2006/relationships/hyperlink" Target="https://drive.google.com/open?id=1kn2t1IVtdYwTvsCKKJrPPP0afcMDfMAt" TargetMode="External"/><Relationship Id="rId560" Type="http://schemas.openxmlformats.org/officeDocument/2006/relationships/hyperlink" Target="https://drive.google.com/open?id=1TeCR4HLMsWqwveJIj2vvFhZjbq9PpGSV" TargetMode="External"/><Relationship Id="rId1151" Type="http://schemas.openxmlformats.org/officeDocument/2006/relationships/hyperlink" Target="https://drive.google.com/open?id=1BMaENX90Y4WR0qcOD1aitqdZuLUI3Y_e" TargetMode="External"/><Relationship Id="rId1152" Type="http://schemas.openxmlformats.org/officeDocument/2006/relationships/hyperlink" Target="https://drive.google.com/open?id=1gDbmkgWMEq04Q5zhILe0mPyQGDKe69Rx" TargetMode="External"/><Relationship Id="rId1153" Type="http://schemas.openxmlformats.org/officeDocument/2006/relationships/hyperlink" Target="http://deeplearning.ai" TargetMode="External"/><Relationship Id="rId565" Type="http://schemas.openxmlformats.org/officeDocument/2006/relationships/hyperlink" Target="https://drive.google.com/open?id=1Lpp02xPGgkuz4gglZkiLOpSnHOGr7ch_" TargetMode="External"/><Relationship Id="rId1154" Type="http://schemas.openxmlformats.org/officeDocument/2006/relationships/hyperlink" Target="https://drive.google.com/open?id=1MqwlNBjN4GdPpbDSL5mQ0tolJ7I2sXUI" TargetMode="External"/><Relationship Id="rId564" Type="http://schemas.openxmlformats.org/officeDocument/2006/relationships/hyperlink" Target="https://drive.google.com/open?id=1TKvjyjGK_LYjM1Pe4Vg6-icNLcx8xeHU" TargetMode="External"/><Relationship Id="rId1155" Type="http://schemas.openxmlformats.org/officeDocument/2006/relationships/hyperlink" Target="https://drive.google.com/open?id=175hZfT5mALbCnDjklXXHfa7xUoGcLVfa" TargetMode="External"/><Relationship Id="rId563" Type="http://schemas.openxmlformats.org/officeDocument/2006/relationships/hyperlink" Target="https://drive.google.com/open?id=1z9FKsD6U7nTC-TQYyGawgWr7RdiTZSd6" TargetMode="External"/><Relationship Id="rId1156" Type="http://schemas.openxmlformats.org/officeDocument/2006/relationships/hyperlink" Target="https://drive.google.com/open?id=195bDlEcFeF8Dkc1EwuP4HOHcdR4wl_h6" TargetMode="External"/><Relationship Id="rId562" Type="http://schemas.openxmlformats.org/officeDocument/2006/relationships/hyperlink" Target="https://drive.google.com/open?id=1aTxFzkWMJR1cFhAQbVY1S978LynkQJJF" TargetMode="External"/><Relationship Id="rId1157" Type="http://schemas.openxmlformats.org/officeDocument/2006/relationships/hyperlink" Target="https://drive.google.com/open?id=1AlUvaHkYa-_TmleSQ5sZqJdmTYWxcgK2" TargetMode="External"/><Relationship Id="rId1147" Type="http://schemas.openxmlformats.org/officeDocument/2006/relationships/hyperlink" Target="https://drive.google.com/open?id=1y1fCL2YVjhAfki385uViUN7wTPMWnbzv" TargetMode="External"/><Relationship Id="rId1148" Type="http://schemas.openxmlformats.org/officeDocument/2006/relationships/hyperlink" Target="https://drive.google.com/open?id=1X1i0BWIEiZUQ6fk01-qqsazvTIQhfUSp" TargetMode="External"/><Relationship Id="rId1149" Type="http://schemas.openxmlformats.org/officeDocument/2006/relationships/hyperlink" Target="https://drive.google.com/open?id=1cocAhpT7zGXy2a1UrnMnHWoY1uvn3s-E" TargetMode="External"/><Relationship Id="rId558" Type="http://schemas.openxmlformats.org/officeDocument/2006/relationships/hyperlink" Target="https://drive.google.com/open?id=1LiMEyuEmNEP-JyQwa4-lr4x0Z7NOQKKZ" TargetMode="External"/><Relationship Id="rId557" Type="http://schemas.openxmlformats.org/officeDocument/2006/relationships/hyperlink" Target="https://drive.google.com/open?id=1lMJZ3oZCH0qJpBElyfqLRPrXbwiJjMEP" TargetMode="External"/><Relationship Id="rId556" Type="http://schemas.openxmlformats.org/officeDocument/2006/relationships/hyperlink" Target="https://drive.google.com/open?id=1oyxRrs_mpa1Wr7ea1u-YP_v0wp8XFQ7X" TargetMode="External"/><Relationship Id="rId555" Type="http://schemas.openxmlformats.org/officeDocument/2006/relationships/hyperlink" Target="https://drive.google.com/open?id=1A-N-7jEjlW6kHxSpgtnAohojK6S_jEE3" TargetMode="External"/><Relationship Id="rId559" Type="http://schemas.openxmlformats.org/officeDocument/2006/relationships/hyperlink" Target="https://drive.google.com/open?id=1d9vD1QBmDfwIF3W6hIiCWW4h5GHAugI0" TargetMode="External"/><Relationship Id="rId550" Type="http://schemas.openxmlformats.org/officeDocument/2006/relationships/hyperlink" Target="https://drive.google.com/open?id=1_IwNi8vxw7ykR1mhqexmx1rJV-IOttVY" TargetMode="External"/><Relationship Id="rId1140" Type="http://schemas.openxmlformats.org/officeDocument/2006/relationships/hyperlink" Target="https://drive.google.com/open?id=1ZPfIrmV7dCUeaFjoT2l1nJVDvHUuN3Dx" TargetMode="External"/><Relationship Id="rId1141" Type="http://schemas.openxmlformats.org/officeDocument/2006/relationships/hyperlink" Target="https://drive.google.com/open?id=1UQv-1XseNPEtsjbnCm_DGGa2REEN7v9Q" TargetMode="External"/><Relationship Id="rId1142" Type="http://schemas.openxmlformats.org/officeDocument/2006/relationships/hyperlink" Target="https://drive.google.com/open?id=1dlD-oI48yw-XP-Dlyc2dEHZuFm7ytl5h" TargetMode="External"/><Relationship Id="rId554" Type="http://schemas.openxmlformats.org/officeDocument/2006/relationships/hyperlink" Target="https://drive.google.com/open?id=1ePKgLP0s2vCDChjGVBCeA6ZJpzBik2bC" TargetMode="External"/><Relationship Id="rId1143" Type="http://schemas.openxmlformats.org/officeDocument/2006/relationships/hyperlink" Target="https://drive.google.com/open?id=1sYnksARkbBRH36DH4LM5fqEX289sdZyx" TargetMode="External"/><Relationship Id="rId553" Type="http://schemas.openxmlformats.org/officeDocument/2006/relationships/hyperlink" Target="https://drive.google.com/open?id=15firB2U7LSHc09kBS6Z0FyxPPWcjqaVm" TargetMode="External"/><Relationship Id="rId1144" Type="http://schemas.openxmlformats.org/officeDocument/2006/relationships/hyperlink" Target="https://drive.google.com/open?id=1FjXr1Ng9TffXmB4XF1qXNJ2ZIcpbIWnl" TargetMode="External"/><Relationship Id="rId552" Type="http://schemas.openxmlformats.org/officeDocument/2006/relationships/hyperlink" Target="https://drive.google.com/open?id=1oDdwHExZvZNkf4-RZUZoekLUWPiO_iWN" TargetMode="External"/><Relationship Id="rId1145" Type="http://schemas.openxmlformats.org/officeDocument/2006/relationships/hyperlink" Target="https://drive.google.com/open?id=1D_MqyYU6mykNhb6EVNBTre0c9nh9ypiJ" TargetMode="External"/><Relationship Id="rId551" Type="http://schemas.openxmlformats.org/officeDocument/2006/relationships/hyperlink" Target="https://drive.google.com/open?id=1EKvphQSKtq5f-ziSqUg4ooo8NU3Fu-42" TargetMode="External"/><Relationship Id="rId1146" Type="http://schemas.openxmlformats.org/officeDocument/2006/relationships/hyperlink" Target="https://drive.google.com/open?id=1i8sDJwLtpKbK6AFs-xf4UsDOFGjdbMWl" TargetMode="External"/><Relationship Id="rId495" Type="http://schemas.openxmlformats.org/officeDocument/2006/relationships/hyperlink" Target="https://drive.google.com/open?id=1h8NrepugU0ydNIsSDDJourgUc70hRnYH" TargetMode="External"/><Relationship Id="rId494" Type="http://schemas.openxmlformats.org/officeDocument/2006/relationships/hyperlink" Target="https://drive.google.com/open?id=1BH-PRg3x3i8kT7ptfZj5TSMnBWA5QRY1" TargetMode="External"/><Relationship Id="rId493" Type="http://schemas.openxmlformats.org/officeDocument/2006/relationships/hyperlink" Target="https://drive.google.com/open?id=1icNJAJuu3Wy4ss4bug7-BgODwv2t1xhH" TargetMode="External"/><Relationship Id="rId492" Type="http://schemas.openxmlformats.org/officeDocument/2006/relationships/hyperlink" Target="https://drive.google.com/open?id=1KfBxR3zT_qNZ6b0gk50CYbmZIJNudz2s" TargetMode="External"/><Relationship Id="rId499" Type="http://schemas.openxmlformats.org/officeDocument/2006/relationships/hyperlink" Target="https://drive.google.com/open?id=1Ug5t3VNci3uyoMfvLwu4DoJcudtXmz6n" TargetMode="External"/><Relationship Id="rId498" Type="http://schemas.openxmlformats.org/officeDocument/2006/relationships/hyperlink" Target="https://drive.google.com/open?id=1zIvJBF_xQ5S9qMEkM3UqEPmg3JTGPRFk" TargetMode="External"/><Relationship Id="rId497" Type="http://schemas.openxmlformats.org/officeDocument/2006/relationships/hyperlink" Target="https://drive.google.com/open?id=17tn4juU4_DUYU4WxjeD0_gQdnDwsFK4O" TargetMode="External"/><Relationship Id="rId496" Type="http://schemas.openxmlformats.org/officeDocument/2006/relationships/hyperlink" Target="https://drive.google.com/open?id=1Xf4evwkfBW0R1l-NdlxYWV8qBgHehXF5" TargetMode="External"/><Relationship Id="rId907" Type="http://schemas.openxmlformats.org/officeDocument/2006/relationships/hyperlink" Target="https://drive.google.com/open?id=1ShV5wKOpP7dziXGX5aNAXuLKrHGmphz_" TargetMode="External"/><Relationship Id="rId906" Type="http://schemas.openxmlformats.org/officeDocument/2006/relationships/hyperlink" Target="https://drive.google.com/open?id=1pmy3vB64RYTxEc6HY_ZRbtoKMjqijTfL" TargetMode="External"/><Relationship Id="rId905" Type="http://schemas.openxmlformats.org/officeDocument/2006/relationships/hyperlink" Target="https://drive.google.com/open?id=1LAFC6O5NHP-nhdrMoahCh3lLWUcVfPqq" TargetMode="External"/><Relationship Id="rId904" Type="http://schemas.openxmlformats.org/officeDocument/2006/relationships/hyperlink" Target="https://drive.google.com/open?id=1GJcPkoFhnVz-u5jFTADJ3PFc3u9caKui" TargetMode="External"/><Relationship Id="rId909" Type="http://schemas.openxmlformats.org/officeDocument/2006/relationships/hyperlink" Target="https://drive.google.com/open?id=1eufEcJniwwOz7fBZmFxWLfevwurDHU9q" TargetMode="External"/><Relationship Id="rId908" Type="http://schemas.openxmlformats.org/officeDocument/2006/relationships/hyperlink" Target="https://drive.google.com/open?id=1ZbFwd9ZocVLnxASnDIs9yHNpexEr9E6G" TargetMode="External"/><Relationship Id="rId903" Type="http://schemas.openxmlformats.org/officeDocument/2006/relationships/hyperlink" Target="https://drive.google.com/open?id=1GODi3D5gehEOFn3OPfoG5_cHYcZx_zO9" TargetMode="External"/><Relationship Id="rId902" Type="http://schemas.openxmlformats.org/officeDocument/2006/relationships/hyperlink" Target="https://drive.google.com/open?id=1ErKVwRIFBw08EQjBnOMGoRqts4glazfz" TargetMode="External"/><Relationship Id="rId901" Type="http://schemas.openxmlformats.org/officeDocument/2006/relationships/hyperlink" Target="https://drive.google.com/open?id=1I7R5bCc92aKhMbNm83QVA7LtSWwsRV1j" TargetMode="External"/><Relationship Id="rId900" Type="http://schemas.openxmlformats.org/officeDocument/2006/relationships/hyperlink" Target="https://drive.google.com/open?id=1PjSkI2saZUTcHCOLqP6obehp6alSqEKw" TargetMode="External"/><Relationship Id="rId929" Type="http://schemas.openxmlformats.org/officeDocument/2006/relationships/hyperlink" Target="https://drive.google.com/open?id=1qUlCM5SWAzMtHR5AtccK5Nrq0lOB0yCJ" TargetMode="External"/><Relationship Id="rId928" Type="http://schemas.openxmlformats.org/officeDocument/2006/relationships/hyperlink" Target="https://drive.google.com/open?id=13lLWrKtGsllXI2lRqI4GErZghjkCGNSQ" TargetMode="External"/><Relationship Id="rId927" Type="http://schemas.openxmlformats.org/officeDocument/2006/relationships/hyperlink" Target="https://drive.google.com/open?id=1LJ3IZCpKKbviiUkqp3ffzi_6tp3E3tj5" TargetMode="External"/><Relationship Id="rId926" Type="http://schemas.openxmlformats.org/officeDocument/2006/relationships/hyperlink" Target="https://drive.google.com/open?id=13wC2qGLJt7vaXnZAdSclX8qWr--17iWb" TargetMode="External"/><Relationship Id="rId921" Type="http://schemas.openxmlformats.org/officeDocument/2006/relationships/hyperlink" Target="https://drive.google.com/open?id=1ykIfcaq5frJHaMuX0SOdPDuv9eK5Txk7" TargetMode="External"/><Relationship Id="rId920" Type="http://schemas.openxmlformats.org/officeDocument/2006/relationships/hyperlink" Target="https://drive.google.com/open?id=12tvC_N49DvnGCVE204IszR8wxp8hO4Qi" TargetMode="External"/><Relationship Id="rId925" Type="http://schemas.openxmlformats.org/officeDocument/2006/relationships/hyperlink" Target="https://drive.google.com/open?id=1ixk-k6vRo0JG2WIMWr1EwOkn7JyVdn6H" TargetMode="External"/><Relationship Id="rId924" Type="http://schemas.openxmlformats.org/officeDocument/2006/relationships/hyperlink" Target="https://drive.google.com/open?id=1Vex8qYcLrNMxoUbTsHjGMHwgx2IUrYzM" TargetMode="External"/><Relationship Id="rId923" Type="http://schemas.openxmlformats.org/officeDocument/2006/relationships/hyperlink" Target="https://drive.google.com/open?id=108EVeCom5z382Fm1MZ-n5cndHEwzQKZz" TargetMode="External"/><Relationship Id="rId922" Type="http://schemas.openxmlformats.org/officeDocument/2006/relationships/hyperlink" Target="https://drive.google.com/open?id=1khlv-1t0-jS96lhrqP-wFxpBzTDEGUL8" TargetMode="External"/><Relationship Id="rId918" Type="http://schemas.openxmlformats.org/officeDocument/2006/relationships/hyperlink" Target="https://drive.google.com/open?id=1wwWfjnV0lYOC-OQpwDrX9ovAfRpv39hs" TargetMode="External"/><Relationship Id="rId917" Type="http://schemas.openxmlformats.org/officeDocument/2006/relationships/hyperlink" Target="https://drive.google.com/open?id=1PQfj5MLNmnYdXLSwF_WkAbo76iT3uKMk" TargetMode="External"/><Relationship Id="rId916" Type="http://schemas.openxmlformats.org/officeDocument/2006/relationships/hyperlink" Target="https://drive.google.com/open?id=1o5L56N-uBJOAn3PnEqLZBrVOOxD7fUe2" TargetMode="External"/><Relationship Id="rId915" Type="http://schemas.openxmlformats.org/officeDocument/2006/relationships/hyperlink" Target="https://drive.google.com/open?id=18vRIz0WAyIBs_03-Z_J3YMFZmycFxZso" TargetMode="External"/><Relationship Id="rId919" Type="http://schemas.openxmlformats.org/officeDocument/2006/relationships/hyperlink" Target="https://drive.google.com/open?id=1IQqEGcch-_FnFhJXf6rj18lTL4iImNmK" TargetMode="External"/><Relationship Id="rId910" Type="http://schemas.openxmlformats.org/officeDocument/2006/relationships/hyperlink" Target="https://drive.google.com/open?id=1Ow6W9kfQC9wcYllmYhEqGkn57eefHrHD" TargetMode="External"/><Relationship Id="rId914" Type="http://schemas.openxmlformats.org/officeDocument/2006/relationships/hyperlink" Target="https://drive.google.com/open?id=1Bj7bhVLNiL0AcusGFqknDJZO5a4OR1I2" TargetMode="External"/><Relationship Id="rId913" Type="http://schemas.openxmlformats.org/officeDocument/2006/relationships/hyperlink" Target="https://drive.google.com/open?id=1zvBQte_kzBWkKMIUcOEfsv5WhkeItmxZ" TargetMode="External"/><Relationship Id="rId912" Type="http://schemas.openxmlformats.org/officeDocument/2006/relationships/hyperlink" Target="https://drive.google.com/open?id=1YPu5Jecq9hp9Qq8bFhijaj8QatHbUNLN" TargetMode="External"/><Relationship Id="rId911" Type="http://schemas.openxmlformats.org/officeDocument/2006/relationships/hyperlink" Target="https://drive.google.com/open?id=1aZGUyyoehvCdJrOegyPYAydhCUACnL5L" TargetMode="External"/><Relationship Id="rId866" Type="http://schemas.openxmlformats.org/officeDocument/2006/relationships/hyperlink" Target="https://drive.google.com/open?id=1psFi1fr2XlTAMI2W-LnBIBNjnlcSxLlP" TargetMode="External"/><Relationship Id="rId865" Type="http://schemas.openxmlformats.org/officeDocument/2006/relationships/hyperlink" Target="https://drive.google.com/open?id=1lz5ZUmIHbnbS0rQ9ZF-NKaUW-bZHjPy_" TargetMode="External"/><Relationship Id="rId864" Type="http://schemas.openxmlformats.org/officeDocument/2006/relationships/hyperlink" Target="https://drive.google.com/open?id=1tA22NS1u9bFDA6SfpGFiVTBxUi99rcIw" TargetMode="External"/><Relationship Id="rId863" Type="http://schemas.openxmlformats.org/officeDocument/2006/relationships/hyperlink" Target="https://drive.google.com/open?id=12Pmxas4wU8x6rn4I_y1sV-A6BCcaNl2R" TargetMode="External"/><Relationship Id="rId869" Type="http://schemas.openxmlformats.org/officeDocument/2006/relationships/hyperlink" Target="https://drive.google.com/open?id=1z_h0Ya-jhoNp7j2C_wlZyAI0RDhhxU7l" TargetMode="External"/><Relationship Id="rId868" Type="http://schemas.openxmlformats.org/officeDocument/2006/relationships/hyperlink" Target="https://drive.google.com/open?id=12gjE-5rJ5rNlDG2E6uHVqaD_TCBHW5Uw" TargetMode="External"/><Relationship Id="rId867" Type="http://schemas.openxmlformats.org/officeDocument/2006/relationships/hyperlink" Target="https://drive.google.com/open?id=1UTrmDq2EktjHaN2yPZ5z1Aix7da28TFd" TargetMode="External"/><Relationship Id="rId862" Type="http://schemas.openxmlformats.org/officeDocument/2006/relationships/hyperlink" Target="https://drive.google.com/open?id=128dhicZ8DXd4VS3TNr01cbw3DtoZd5Ds" TargetMode="External"/><Relationship Id="rId861" Type="http://schemas.openxmlformats.org/officeDocument/2006/relationships/hyperlink" Target="https://drive.google.com/open?id=1qY26c6tfG6fCPQKgLR1pE8AUHcFvR6Q3" TargetMode="External"/><Relationship Id="rId860" Type="http://schemas.openxmlformats.org/officeDocument/2006/relationships/hyperlink" Target="https://drive.google.com/open?id=16B5DydRLLXSkLOCgpj_IfC7TLYV4b0bI" TargetMode="External"/><Relationship Id="rId855" Type="http://schemas.openxmlformats.org/officeDocument/2006/relationships/hyperlink" Target="https://drive.google.com/open?id=1KhUAvJ7GnsCHyB7LCfH3uOQzTldBgVug" TargetMode="External"/><Relationship Id="rId854" Type="http://schemas.openxmlformats.org/officeDocument/2006/relationships/hyperlink" Target="https://drive.google.com/open?id=1PmbpsiK5wYUODljWx_XHdW3O5guPVLSg" TargetMode="External"/><Relationship Id="rId853" Type="http://schemas.openxmlformats.org/officeDocument/2006/relationships/hyperlink" Target="https://drive.google.com/open?id=1v1OUZxCRTv7sFBktWqpQ-luET0fe5raQ" TargetMode="External"/><Relationship Id="rId852" Type="http://schemas.openxmlformats.org/officeDocument/2006/relationships/hyperlink" Target="https://drive.google.com/open?id=1M6V4dGHHi8qC_Sys-2t-WMNpyJI_LoM-" TargetMode="External"/><Relationship Id="rId859" Type="http://schemas.openxmlformats.org/officeDocument/2006/relationships/hyperlink" Target="https://drive.google.com/open?id=1lxYH9mCUDlI_wvX8hFI0onASXt8QqntD" TargetMode="External"/><Relationship Id="rId858" Type="http://schemas.openxmlformats.org/officeDocument/2006/relationships/hyperlink" Target="https://drive.google.com/open?id=1nLP-H2HySLdLtWl1_S5m_sLUgbNoktTA" TargetMode="External"/><Relationship Id="rId857" Type="http://schemas.openxmlformats.org/officeDocument/2006/relationships/hyperlink" Target="https://drive.google.com/open?id=1L1sL-r7dACeUt2tFixHn-xVUpqFLhUAO" TargetMode="External"/><Relationship Id="rId856" Type="http://schemas.openxmlformats.org/officeDocument/2006/relationships/hyperlink" Target="https://drive.google.com/open?id=1kQ_-LrrMKKFhNjfkDPJ9sxZ0ye6KtTa_" TargetMode="External"/><Relationship Id="rId851" Type="http://schemas.openxmlformats.org/officeDocument/2006/relationships/hyperlink" Target="https://drive.google.com/open?id=1a8gpXBDpjnwNaVsTdW79gXLKEPw8MtQ_" TargetMode="External"/><Relationship Id="rId850" Type="http://schemas.openxmlformats.org/officeDocument/2006/relationships/hyperlink" Target="https://drive.google.com/open?id=1KjMhfI3dI2IWAxzA0nZOSpek2nIf51ve" TargetMode="External"/><Relationship Id="rId409" Type="http://schemas.openxmlformats.org/officeDocument/2006/relationships/hyperlink" Target="https://drive.google.com/open?id=1UH29DWZ7mNJAc3hFq7J6-52l9vH-o75V" TargetMode="External"/><Relationship Id="rId404" Type="http://schemas.openxmlformats.org/officeDocument/2006/relationships/hyperlink" Target="https://drive.google.com/open?id=1mn0SSjIJN5TMndifLbcIyvt7Gn7ZzLDt" TargetMode="External"/><Relationship Id="rId888" Type="http://schemas.openxmlformats.org/officeDocument/2006/relationships/hyperlink" Target="https://drive.google.com/open?id=1xL565Nact6QB55tCVkX_qO-d0_mINCH-" TargetMode="External"/><Relationship Id="rId403" Type="http://schemas.openxmlformats.org/officeDocument/2006/relationships/hyperlink" Target="https://drive.google.com/open?id=1fjnwkCATs7XldWAR7MZNuQUb05pDdhNb" TargetMode="External"/><Relationship Id="rId887" Type="http://schemas.openxmlformats.org/officeDocument/2006/relationships/hyperlink" Target="https://drive.google.com/open?id=1l2S3wk-nKIpQAlQZCT5or_7csqTDpGXp" TargetMode="External"/><Relationship Id="rId402" Type="http://schemas.openxmlformats.org/officeDocument/2006/relationships/hyperlink" Target="https://drive.google.com/open?id=1iddx6GiyzoGylhxCDI-E-V5ifL8jy-ki" TargetMode="External"/><Relationship Id="rId886" Type="http://schemas.openxmlformats.org/officeDocument/2006/relationships/hyperlink" Target="https://drive.google.com/open?id=1Nc_U-FHaCsgBqQrPN2FtKXydlcoAX28s" TargetMode="External"/><Relationship Id="rId401" Type="http://schemas.openxmlformats.org/officeDocument/2006/relationships/hyperlink" Target="https://drive.google.com/open?id=16oKlg_rKMdoqmLF-Q6oHHqpa3u5Ey7al" TargetMode="External"/><Relationship Id="rId885" Type="http://schemas.openxmlformats.org/officeDocument/2006/relationships/hyperlink" Target="https://drive.google.com/open?id=17LynHPg0UK1o20Q14tIqN3kjUeSX_lI0" TargetMode="External"/><Relationship Id="rId408" Type="http://schemas.openxmlformats.org/officeDocument/2006/relationships/hyperlink" Target="https://drive.google.com/open?id=1hK2pBkdTZDKlPOmiNsZBHAE_l9PK0ReV" TargetMode="External"/><Relationship Id="rId407" Type="http://schemas.openxmlformats.org/officeDocument/2006/relationships/hyperlink" Target="https://drive.google.com/open?id=1erC_GJzEFzMEUrIt7RCB1gE5rOo1vD_9" TargetMode="External"/><Relationship Id="rId406" Type="http://schemas.openxmlformats.org/officeDocument/2006/relationships/hyperlink" Target="https://drive.google.com/open?id=107KWl7vHy4JvgbFp97Q2TqLetMA7I7ZT" TargetMode="External"/><Relationship Id="rId405" Type="http://schemas.openxmlformats.org/officeDocument/2006/relationships/hyperlink" Target="https://drive.google.com/open?id=1oGd0TgPMSs2_aUaC7MhhXkTdYXkrrSp8" TargetMode="External"/><Relationship Id="rId889" Type="http://schemas.openxmlformats.org/officeDocument/2006/relationships/hyperlink" Target="https://drive.google.com/open?id=1ktUkecfZfGbwoD9TvKltTqgufWI4dbZS" TargetMode="External"/><Relationship Id="rId880" Type="http://schemas.openxmlformats.org/officeDocument/2006/relationships/hyperlink" Target="https://drive.google.com/open?id=1XiVoRxlkLCwKGTrk3e8Rm8t1ZiQlxtEx" TargetMode="External"/><Relationship Id="rId400" Type="http://schemas.openxmlformats.org/officeDocument/2006/relationships/hyperlink" Target="https://drive.google.com/open?id=1I6lz0VHdmJ63xafnDKePv1Nz0ganYjql" TargetMode="External"/><Relationship Id="rId884" Type="http://schemas.openxmlformats.org/officeDocument/2006/relationships/hyperlink" Target="https://drive.google.com/open?id=1rhaZmNN1Di9esRQeW4H-1xDiSzVBcSFe" TargetMode="External"/><Relationship Id="rId883" Type="http://schemas.openxmlformats.org/officeDocument/2006/relationships/hyperlink" Target="https://drive.google.com/open?id=1jH-wCgYNlKt9g_OI1AXe19UlDjQia_an" TargetMode="External"/><Relationship Id="rId882" Type="http://schemas.openxmlformats.org/officeDocument/2006/relationships/hyperlink" Target="https://drive.google.com/open?id=1h9JMd0u92yoJxvmUIExFANw7ubcori_A" TargetMode="External"/><Relationship Id="rId881" Type="http://schemas.openxmlformats.org/officeDocument/2006/relationships/hyperlink" Target="https://drive.google.com/open?id=1kl7Tyi9YHzBCAKvVAN2BcaPTmQlfgGsl" TargetMode="External"/><Relationship Id="rId877" Type="http://schemas.openxmlformats.org/officeDocument/2006/relationships/hyperlink" Target="https://drive.google.com/open?id=1bbz6s5OgHaZiA-mCHxIj-jlY-d36i4Go" TargetMode="External"/><Relationship Id="rId876" Type="http://schemas.openxmlformats.org/officeDocument/2006/relationships/hyperlink" Target="https://drive.google.com/open?id=1zEmtGCaymLK1NklpG7a6KFV3hGPhGZJQ" TargetMode="External"/><Relationship Id="rId875" Type="http://schemas.openxmlformats.org/officeDocument/2006/relationships/hyperlink" Target="https://drive.google.com/open?id=1SZVHm7PZFNPf4_dAjk2uUrxbTzGxr8iw" TargetMode="External"/><Relationship Id="rId874" Type="http://schemas.openxmlformats.org/officeDocument/2006/relationships/hyperlink" Target="https://drive.google.com/open?id=1XVkP5JprFOdksx_-C3SYuz9BgYCc8gZA" TargetMode="External"/><Relationship Id="rId879" Type="http://schemas.openxmlformats.org/officeDocument/2006/relationships/hyperlink" Target="https://drive.google.com/open?id=12JPhNocGbq9KsNsm4L_SYzfktr6fB9Lr" TargetMode="External"/><Relationship Id="rId878" Type="http://schemas.openxmlformats.org/officeDocument/2006/relationships/hyperlink" Target="https://drive.google.com/open?id=1skIPWDNwOghWPjCUNt019O2Swmqh0zKA" TargetMode="External"/><Relationship Id="rId873" Type="http://schemas.openxmlformats.org/officeDocument/2006/relationships/hyperlink" Target="https://drive.google.com/open?id=1zv8frebJKoWiPg-eLcVnjQDYJfjel4gG" TargetMode="External"/><Relationship Id="rId872" Type="http://schemas.openxmlformats.org/officeDocument/2006/relationships/hyperlink" Target="https://drive.google.com/open?id=1AtJzAjUB3NPA5aILhAsyqW4lGdJZAzA8" TargetMode="External"/><Relationship Id="rId871" Type="http://schemas.openxmlformats.org/officeDocument/2006/relationships/hyperlink" Target="https://drive.google.com/open?id=1u1ve8eOFMSMEp3V2FfourbJ24H204sAT" TargetMode="External"/><Relationship Id="rId870" Type="http://schemas.openxmlformats.org/officeDocument/2006/relationships/hyperlink" Target="https://drive.google.com/open?id=1lD6DpPrt2_JMbpwrGdYxFIhrjQoLyzL2" TargetMode="External"/><Relationship Id="rId829" Type="http://schemas.openxmlformats.org/officeDocument/2006/relationships/hyperlink" Target="https://drive.google.com/open?id=1YWU_dCA5YuTZNpI-8_s2xxirCMjSZ6j_" TargetMode="External"/><Relationship Id="rId828" Type="http://schemas.openxmlformats.org/officeDocument/2006/relationships/hyperlink" Target="https://drive.google.com/open?id=1TNyg_nhP-TuaMnKxRlTDVzaCrbMg1A7W" TargetMode="External"/><Relationship Id="rId827" Type="http://schemas.openxmlformats.org/officeDocument/2006/relationships/hyperlink" Target="https://drive.google.com/open?id=1p97L5qAnBKl657IDsRyvIgHR-GCY-bLz" TargetMode="External"/><Relationship Id="rId822" Type="http://schemas.openxmlformats.org/officeDocument/2006/relationships/hyperlink" Target="https://drive.google.com/open?id=1PSx_mpgKks0HuNg6kc8vqJVi3gk46oHo" TargetMode="External"/><Relationship Id="rId821" Type="http://schemas.openxmlformats.org/officeDocument/2006/relationships/hyperlink" Target="https://drive.google.com/open?id=1ckBgqeBk-jk45Jsh7zTPKjezRHSQNEmQ" TargetMode="External"/><Relationship Id="rId820" Type="http://schemas.openxmlformats.org/officeDocument/2006/relationships/hyperlink" Target="https://drive.google.com/open?id=1GUjw0lg4-4x7waMJncM25HPMl4oXyiFM" TargetMode="External"/><Relationship Id="rId826" Type="http://schemas.openxmlformats.org/officeDocument/2006/relationships/hyperlink" Target="https://drive.google.com/open?id=18e0vdU2AMtLaA6e223826psRNdrMumqa" TargetMode="External"/><Relationship Id="rId825" Type="http://schemas.openxmlformats.org/officeDocument/2006/relationships/hyperlink" Target="https://drive.google.com/open?id=15Ogt03ZV1jfFdoBSByeuzZBQQrfcRtDT" TargetMode="External"/><Relationship Id="rId824" Type="http://schemas.openxmlformats.org/officeDocument/2006/relationships/hyperlink" Target="https://drive.google.com/open?id=1y--C6xLPcjEkf1n0bUS-ZYOmGxPounz0" TargetMode="External"/><Relationship Id="rId823" Type="http://schemas.openxmlformats.org/officeDocument/2006/relationships/hyperlink" Target="https://drive.google.com/open?id=1xwL2bGI2Bx4EwdOilD1iFgqPIv_loDHd" TargetMode="External"/><Relationship Id="rId819" Type="http://schemas.openxmlformats.org/officeDocument/2006/relationships/hyperlink" Target="https://drive.google.com/open?id=1Vh8ABGI71P-aBtCM8owKTl1FjxUNIuag" TargetMode="External"/><Relationship Id="rId818" Type="http://schemas.openxmlformats.org/officeDocument/2006/relationships/hyperlink" Target="https://drive.google.com/open?id=16zDYjlKxB-E6mF9kyKMC0ZDkEJ7qeviZ" TargetMode="External"/><Relationship Id="rId817" Type="http://schemas.openxmlformats.org/officeDocument/2006/relationships/hyperlink" Target="https://drive.google.com/open?id=1Bq_0XEtbKimEG2yjQyPsHER_AEGePV_d" TargetMode="External"/><Relationship Id="rId816" Type="http://schemas.openxmlformats.org/officeDocument/2006/relationships/hyperlink" Target="https://drive.google.com/open?id=13A3ZGI3-aKzyu4l-RKDu_GzOljxk8Rxp" TargetMode="External"/><Relationship Id="rId811" Type="http://schemas.openxmlformats.org/officeDocument/2006/relationships/hyperlink" Target="https://drive.google.com/open?id=1AP7xsJ5H4n3GlPR2iCv46b_VMVn4We2K" TargetMode="External"/><Relationship Id="rId810" Type="http://schemas.openxmlformats.org/officeDocument/2006/relationships/hyperlink" Target="https://drive.google.com/open?id=1V542U69KICJNdgr5q0GKWubYnUKObulA" TargetMode="External"/><Relationship Id="rId815" Type="http://schemas.openxmlformats.org/officeDocument/2006/relationships/hyperlink" Target="https://drive.google.com/open?id=1NHsodfni68pTQYL0rmU6U92-wuVN4rm5" TargetMode="External"/><Relationship Id="rId814" Type="http://schemas.openxmlformats.org/officeDocument/2006/relationships/hyperlink" Target="https://drive.google.com/open?id=1XV-oGvH2CnjBVNBDxsyHLjWaMFSxsivW" TargetMode="External"/><Relationship Id="rId813" Type="http://schemas.openxmlformats.org/officeDocument/2006/relationships/hyperlink" Target="https://drive.google.com/open?id=1oTuyRXjsB3JLHEDEgXqa7DYjl56zixIy" TargetMode="External"/><Relationship Id="rId812" Type="http://schemas.openxmlformats.org/officeDocument/2006/relationships/hyperlink" Target="https://drive.google.com/open?id=1zwsMr-WEvBo2uXWKf2lvfAxQNjy4bQzK" TargetMode="External"/><Relationship Id="rId849" Type="http://schemas.openxmlformats.org/officeDocument/2006/relationships/hyperlink" Target="https://drive.google.com/open?id=1RRfbtJTy6_Bglbrf_-xqsBhLPsl6uwew" TargetMode="External"/><Relationship Id="rId844" Type="http://schemas.openxmlformats.org/officeDocument/2006/relationships/hyperlink" Target="https://drive.google.com/open?id=1kFIgWEYOOUSIxrRuV4poD4qlMMUgp4sY" TargetMode="External"/><Relationship Id="rId843" Type="http://schemas.openxmlformats.org/officeDocument/2006/relationships/hyperlink" Target="https://drive.google.com/open?id=1XvhTETicFpQDG3AA1I0cxOQskdIsbw3Q" TargetMode="External"/><Relationship Id="rId842" Type="http://schemas.openxmlformats.org/officeDocument/2006/relationships/hyperlink" Target="https://drive.google.com/open?id=1FTV94cTNn13GYdK2Jt3N9XNczLWPf6E_" TargetMode="External"/><Relationship Id="rId841" Type="http://schemas.openxmlformats.org/officeDocument/2006/relationships/hyperlink" Target="https://drive.google.com/open?id=1TzYUN3fZPNqLeO9BemH5turdTQhzjqh4" TargetMode="External"/><Relationship Id="rId848" Type="http://schemas.openxmlformats.org/officeDocument/2006/relationships/hyperlink" Target="https://drive.google.com/open?id=1k7n_qatDD-M5G-N6ZlqOMovIbH4XcNXX" TargetMode="External"/><Relationship Id="rId847" Type="http://schemas.openxmlformats.org/officeDocument/2006/relationships/hyperlink" Target="https://drive.google.com/open?id=1LPb_B_9ZcpX5lez3lB2AKrBa_I0x_wOX" TargetMode="External"/><Relationship Id="rId846" Type="http://schemas.openxmlformats.org/officeDocument/2006/relationships/hyperlink" Target="https://drive.google.com/open?id=17aECMty8Ykh1imABMLRc4yauXyh1K0S1" TargetMode="External"/><Relationship Id="rId845" Type="http://schemas.openxmlformats.org/officeDocument/2006/relationships/hyperlink" Target="https://drive.google.com/open?id=19XdtABaX3jcuZ8D_dlD7m8ltI99f_5u3" TargetMode="External"/><Relationship Id="rId840" Type="http://schemas.openxmlformats.org/officeDocument/2006/relationships/hyperlink" Target="https://drive.google.com/open?id=1JdldJvxrurjrw5a4ZytnwSvpbUTbFjlV" TargetMode="External"/><Relationship Id="rId839" Type="http://schemas.openxmlformats.org/officeDocument/2006/relationships/hyperlink" Target="https://drive.google.com/open?id=1QvUwrIQfinKbby4N8Oug9__l3z2KYHaC" TargetMode="External"/><Relationship Id="rId838" Type="http://schemas.openxmlformats.org/officeDocument/2006/relationships/hyperlink" Target="https://drive.google.com/open?id=18Gym7x1WJGt-D5eG6kCWRckF9bc1U7UT" TargetMode="External"/><Relationship Id="rId833" Type="http://schemas.openxmlformats.org/officeDocument/2006/relationships/hyperlink" Target="https://drive.google.com/open?id=1PMfeCuz1ry2XrzLvU98P5JrmIQBHKsHG" TargetMode="External"/><Relationship Id="rId832" Type="http://schemas.openxmlformats.org/officeDocument/2006/relationships/hyperlink" Target="https://drive.google.com/open?id=1kzO8Rkz8zuwzUO5XqHfqdfkxioA1-KzY" TargetMode="External"/><Relationship Id="rId831" Type="http://schemas.openxmlformats.org/officeDocument/2006/relationships/hyperlink" Target="https://drive.google.com/open?id=169dTjHD4kNz07CRxjGDEbNPSmTISD66T" TargetMode="External"/><Relationship Id="rId830" Type="http://schemas.openxmlformats.org/officeDocument/2006/relationships/hyperlink" Target="https://drive.google.com/open?id=1RHTPiPKI9-CjzscxP-nDYDLT81tyhwh-" TargetMode="External"/><Relationship Id="rId837" Type="http://schemas.openxmlformats.org/officeDocument/2006/relationships/hyperlink" Target="https://drive.google.com/open?id=1wbQtX2jxd2cANVmiM5kcSR2sUp9obZz9" TargetMode="External"/><Relationship Id="rId836" Type="http://schemas.openxmlformats.org/officeDocument/2006/relationships/hyperlink" Target="https://drive.google.com/open?id=1UlTYPHzRtctmCX2m7SOfcO_gVYDOL7Aa" TargetMode="External"/><Relationship Id="rId835" Type="http://schemas.openxmlformats.org/officeDocument/2006/relationships/hyperlink" Target="https://drive.google.com/open?id=1OZ7vflVpCncDhDGBOEtNAXDDu-5S5ekD" TargetMode="External"/><Relationship Id="rId834" Type="http://schemas.openxmlformats.org/officeDocument/2006/relationships/hyperlink" Target="https://drive.google.com/open?id=1ybAw-ahHUjE2vqj887euHhxUAFGVaW2H" TargetMode="External"/><Relationship Id="rId469" Type="http://schemas.openxmlformats.org/officeDocument/2006/relationships/hyperlink" Target="https://drive.google.com/open?id=1Q_mxllZmRvTLTbcdP2WbjAIWSoLVVgED" TargetMode="External"/><Relationship Id="rId468" Type="http://schemas.openxmlformats.org/officeDocument/2006/relationships/hyperlink" Target="https://drive.google.com/open?id=16gk4EJQdxCN0zUM15j7dKfdYYeYJjiMQ" TargetMode="External"/><Relationship Id="rId467" Type="http://schemas.openxmlformats.org/officeDocument/2006/relationships/hyperlink" Target="https://drive.google.com/open?id=1kB2dETgK9HrOxigXiDFEsWXGRNUPqNBB" TargetMode="External"/><Relationship Id="rId462" Type="http://schemas.openxmlformats.org/officeDocument/2006/relationships/hyperlink" Target="https://drive.google.com/open?id=10QvYm-wuVcxAqSNrdtWB0ZlUg8veOEdU" TargetMode="External"/><Relationship Id="rId461" Type="http://schemas.openxmlformats.org/officeDocument/2006/relationships/hyperlink" Target="https://drive.google.com/open?id=1hPgl68HaJ-zzV1WqFQtYWNEhmfy5PCLs" TargetMode="External"/><Relationship Id="rId460" Type="http://schemas.openxmlformats.org/officeDocument/2006/relationships/hyperlink" Target="https://drive.google.com/open?id=17NyakmZ6ZsZ83DGgRdjSksxJJRHvzLvv" TargetMode="External"/><Relationship Id="rId466" Type="http://schemas.openxmlformats.org/officeDocument/2006/relationships/hyperlink" Target="https://drive.google.com/open?id=1UdFcBbraR4eMfq9v89NSg0Rw00m1jrLa" TargetMode="External"/><Relationship Id="rId465" Type="http://schemas.openxmlformats.org/officeDocument/2006/relationships/hyperlink" Target="https://drive.google.com/open?id=1jwEjX1eg1cjLCJcQyUFV20AYaopM1Rj_" TargetMode="External"/><Relationship Id="rId464" Type="http://schemas.openxmlformats.org/officeDocument/2006/relationships/hyperlink" Target="https://drive.google.com/open?id=1kAHHiXHPPzDaVNvKd1i1qugvelPnBGd5" TargetMode="External"/><Relationship Id="rId463" Type="http://schemas.openxmlformats.org/officeDocument/2006/relationships/hyperlink" Target="https://drive.google.com/open?id=136LdQUNtmF9QaTM1zTx2W11doFVWTOLE" TargetMode="External"/><Relationship Id="rId459" Type="http://schemas.openxmlformats.org/officeDocument/2006/relationships/hyperlink" Target="https://drive.google.com/open?id=12U8nlGkFFj4wHZie88BUI6ywlqI9YugT" TargetMode="External"/><Relationship Id="rId458" Type="http://schemas.openxmlformats.org/officeDocument/2006/relationships/hyperlink" Target="https://drive.google.com/open?id=18j-pZ12BOZQwFqc_2u-9vRh6F7tBoz_M" TargetMode="External"/><Relationship Id="rId457" Type="http://schemas.openxmlformats.org/officeDocument/2006/relationships/hyperlink" Target="https://drive.google.com/open?id=1aq0xsrL_B-iQeN4e4rF3P7OQXUecsNFJ" TargetMode="External"/><Relationship Id="rId456" Type="http://schemas.openxmlformats.org/officeDocument/2006/relationships/hyperlink" Target="https://drive.google.com/open?id=1l7eoNt7hRn6fxUZXYc909qxPbl4HUAbA" TargetMode="External"/><Relationship Id="rId451" Type="http://schemas.openxmlformats.org/officeDocument/2006/relationships/hyperlink" Target="https://drive.google.com/open?id=1Wawjw-L04QCVpBY0em0_Y1SQLmOVcqrO" TargetMode="External"/><Relationship Id="rId450" Type="http://schemas.openxmlformats.org/officeDocument/2006/relationships/hyperlink" Target="https://drive.google.com/open?id=1oaGjs8hJ2R12P4G98dW9kU2e-yGO4_xl" TargetMode="External"/><Relationship Id="rId455" Type="http://schemas.openxmlformats.org/officeDocument/2006/relationships/hyperlink" Target="https://drive.google.com/open?id=1OtVz7NJkJOxhAlctniZAXLM5rkioRXHd" TargetMode="External"/><Relationship Id="rId454" Type="http://schemas.openxmlformats.org/officeDocument/2006/relationships/hyperlink" Target="https://drive.google.com/open?id=1sDjV3n0ZaZV91dbGI3HkFjaboiqhhNg-" TargetMode="External"/><Relationship Id="rId453" Type="http://schemas.openxmlformats.org/officeDocument/2006/relationships/hyperlink" Target="https://drive.google.com/open?id=1cqxllut2Fduqdqm6ZeBOazCpG_Pq87iB" TargetMode="External"/><Relationship Id="rId452" Type="http://schemas.openxmlformats.org/officeDocument/2006/relationships/hyperlink" Target="https://drive.google.com/open?id=1Z1JVlWAsHNb0NSCqusVw79G3BCC4Y88H" TargetMode="External"/><Relationship Id="rId491" Type="http://schemas.openxmlformats.org/officeDocument/2006/relationships/hyperlink" Target="https://drive.google.com/open?id=10E2Ll4SUAfNR9h_MRcegXemaUXhuQ-LK" TargetMode="External"/><Relationship Id="rId490" Type="http://schemas.openxmlformats.org/officeDocument/2006/relationships/hyperlink" Target="https://drive.google.com/open?id=1EnSLOaNxEjnCT7OoDfIeiqBqy8uy1FsZ" TargetMode="External"/><Relationship Id="rId489" Type="http://schemas.openxmlformats.org/officeDocument/2006/relationships/hyperlink" Target="https://drive.google.com/open?id=1OD1v1NPhwpIGDw1egj5-f8gTMb_M7LZF" TargetMode="External"/><Relationship Id="rId484" Type="http://schemas.openxmlformats.org/officeDocument/2006/relationships/hyperlink" Target="https://drive.google.com/open?id=12RL8c1eDxOxloOcL-nQ5Q8_yqlWmTs1j" TargetMode="External"/><Relationship Id="rId483" Type="http://schemas.openxmlformats.org/officeDocument/2006/relationships/hyperlink" Target="https://drive.google.com/open?id=1BKGViztp3IVXKGp0QsPQ8GzQD5egv4tn" TargetMode="External"/><Relationship Id="rId482" Type="http://schemas.openxmlformats.org/officeDocument/2006/relationships/hyperlink" Target="https://drive.google.com/open?id=1hPn17VP27yhvydDTY9traLQ1wHwZmrox" TargetMode="External"/><Relationship Id="rId481" Type="http://schemas.openxmlformats.org/officeDocument/2006/relationships/hyperlink" Target="https://drive.google.com/open?id=1LY1yS5lHsPfg_pPppzxlb8enwNd2sr7N" TargetMode="External"/><Relationship Id="rId488" Type="http://schemas.openxmlformats.org/officeDocument/2006/relationships/hyperlink" Target="https://drive.google.com/open?id=1zl0FM32wwsGqc5vNeMZ_jEgkKuRia6S2" TargetMode="External"/><Relationship Id="rId487" Type="http://schemas.openxmlformats.org/officeDocument/2006/relationships/hyperlink" Target="https://drive.google.com/open?id=1oATV4z38uVsk4DRsCVGk1JQtK1jyN3h9" TargetMode="External"/><Relationship Id="rId486" Type="http://schemas.openxmlformats.org/officeDocument/2006/relationships/hyperlink" Target="https://drive.google.com/open?id=1jJoTU4sgyRGXMbpfu72l4atFy68iFGgx" TargetMode="External"/><Relationship Id="rId485" Type="http://schemas.openxmlformats.org/officeDocument/2006/relationships/hyperlink" Target="https://drive.google.com/open?id=1lJpU6p4HauFCn44XN7EJcAWZpal2R1b5" TargetMode="External"/><Relationship Id="rId480" Type="http://schemas.openxmlformats.org/officeDocument/2006/relationships/hyperlink" Target="https://drive.google.com/open?id=1-Kh2b0Mccdp5ibZVzDcX7rSa2CN-NJG8" TargetMode="External"/><Relationship Id="rId479" Type="http://schemas.openxmlformats.org/officeDocument/2006/relationships/hyperlink" Target="https://drive.google.com/open?id=1-2XRNFWqoYlC4fMcw_b0gR2AoUtJrEB5" TargetMode="External"/><Relationship Id="rId478" Type="http://schemas.openxmlformats.org/officeDocument/2006/relationships/hyperlink" Target="https://drive.google.com/open?id=14M2s0Yb5IrkGYbOl1tHOF2UOlYrDb6lf" TargetMode="External"/><Relationship Id="rId473" Type="http://schemas.openxmlformats.org/officeDocument/2006/relationships/hyperlink" Target="https://drive.google.com/open?id=1qG4yKD0AhX79KjzGNKXGiMINRg-6-e_d" TargetMode="External"/><Relationship Id="rId472" Type="http://schemas.openxmlformats.org/officeDocument/2006/relationships/hyperlink" Target="https://drive.google.com/open?id=16PngkmY2MrkDIn-g-e6sl8BNXl8J7Lpi" TargetMode="External"/><Relationship Id="rId471" Type="http://schemas.openxmlformats.org/officeDocument/2006/relationships/hyperlink" Target="https://drive.google.com/open?id=1gb03XodkHPhoZhmWCb4BYT9_AYiuwvXC" TargetMode="External"/><Relationship Id="rId470" Type="http://schemas.openxmlformats.org/officeDocument/2006/relationships/hyperlink" Target="https://drive.google.com/open?id=1kUCKamDQvSydly64EJmnG0x75hW8ZcJl" TargetMode="External"/><Relationship Id="rId477" Type="http://schemas.openxmlformats.org/officeDocument/2006/relationships/hyperlink" Target="https://drive.google.com/open?id=1v01EIsd16wQQu_jl1eRzigztb8ixsaaB" TargetMode="External"/><Relationship Id="rId476" Type="http://schemas.openxmlformats.org/officeDocument/2006/relationships/hyperlink" Target="https://drive.google.com/open?id=1z5KkDpjCjsM7cmCqgb6ch6Zw6xDrHH7K" TargetMode="External"/><Relationship Id="rId475" Type="http://schemas.openxmlformats.org/officeDocument/2006/relationships/hyperlink" Target="https://drive.google.com/open?id=1egre4J8ROMfoWUd7u6ooYPskcd26Yji0" TargetMode="External"/><Relationship Id="rId474" Type="http://schemas.openxmlformats.org/officeDocument/2006/relationships/hyperlink" Target="https://drive.google.com/open?id=1K7re4F4sjorGSy4xdqaaQ9iR-eljFBmp" TargetMode="External"/><Relationship Id="rId426" Type="http://schemas.openxmlformats.org/officeDocument/2006/relationships/hyperlink" Target="https://drive.google.com/open?id=1RbHsvYG8Vr-xXkN-ACZybU3Su2tqODs8" TargetMode="External"/><Relationship Id="rId425" Type="http://schemas.openxmlformats.org/officeDocument/2006/relationships/hyperlink" Target="https://drive.google.com/open?id=1a3rZb27uIXa2apvbeh2nvyIEJUoZY8CP" TargetMode="External"/><Relationship Id="rId424" Type="http://schemas.openxmlformats.org/officeDocument/2006/relationships/hyperlink" Target="https://drive.google.com/open?id=19GI5qFSQHScSiFk4Ywd1RnR0wG0_hQVG" TargetMode="External"/><Relationship Id="rId423" Type="http://schemas.openxmlformats.org/officeDocument/2006/relationships/hyperlink" Target="https://drive.google.com/open?id=1m4BTv5Etd4b2TIO038QhUJcszrtjqWra" TargetMode="External"/><Relationship Id="rId429" Type="http://schemas.openxmlformats.org/officeDocument/2006/relationships/hyperlink" Target="https://drive.google.com/open?id=17IHN36wQEF50A9mml5qyjIR9WamldUwy" TargetMode="External"/><Relationship Id="rId428" Type="http://schemas.openxmlformats.org/officeDocument/2006/relationships/hyperlink" Target="https://drive.google.com/open?id=18tx_x8oqHtl_mYiqbPjDtWxVUocIfhOG" TargetMode="External"/><Relationship Id="rId427" Type="http://schemas.openxmlformats.org/officeDocument/2006/relationships/hyperlink" Target="https://drive.google.com/open?id=133E3GUGhxSo-el8Nj3fbCzJgfrKNEtyF" TargetMode="External"/><Relationship Id="rId422" Type="http://schemas.openxmlformats.org/officeDocument/2006/relationships/hyperlink" Target="https://drive.google.com/open?id=1ySydhHPSGF509jC_hYDhMEh1dGCh1YnY" TargetMode="External"/><Relationship Id="rId421" Type="http://schemas.openxmlformats.org/officeDocument/2006/relationships/hyperlink" Target="https://drive.google.com/open?id=1ZZA504_CZJJomGE-VQrhHmlKo50Jlrb8" TargetMode="External"/><Relationship Id="rId420" Type="http://schemas.openxmlformats.org/officeDocument/2006/relationships/hyperlink" Target="https://drive.google.com/open?id=1a5C1fy7ElXVeE8z6o5zy1tZ2Ook-dC0p" TargetMode="External"/><Relationship Id="rId415" Type="http://schemas.openxmlformats.org/officeDocument/2006/relationships/hyperlink" Target="https://drive.google.com/open?id=1sGwuj9VRKy0EKAY8yVgQ1Dcof6o5oKcu" TargetMode="External"/><Relationship Id="rId899" Type="http://schemas.openxmlformats.org/officeDocument/2006/relationships/hyperlink" Target="https://drive.google.com/open?id=1qbZgBs9YX6h_yX3Zcx7AmZGy7481gRGT" TargetMode="External"/><Relationship Id="rId414" Type="http://schemas.openxmlformats.org/officeDocument/2006/relationships/hyperlink" Target="https://drive.google.com/open?id=1f4IbL3inliT5llRVq8Zb-tsbD5AxG-bz" TargetMode="External"/><Relationship Id="rId898" Type="http://schemas.openxmlformats.org/officeDocument/2006/relationships/hyperlink" Target="https://drive.google.com/open?id=1caOeP4VPH6PeKHMFUV80fsJnu5_n2T_I" TargetMode="External"/><Relationship Id="rId413" Type="http://schemas.openxmlformats.org/officeDocument/2006/relationships/hyperlink" Target="https://drive.google.com/open?id=12D6tVmvoLlsK_hHZi7DYhiLtuyKu3-k3" TargetMode="External"/><Relationship Id="rId897" Type="http://schemas.openxmlformats.org/officeDocument/2006/relationships/hyperlink" Target="https://drive.google.com/open?id=1ejuL9IQ02nbp6L_CyE1ozik91dQL1K6y" TargetMode="External"/><Relationship Id="rId412" Type="http://schemas.openxmlformats.org/officeDocument/2006/relationships/hyperlink" Target="https://drive.google.com/open?id=1kCej-tFd2U_21HOqTq7dkkunOSUkz9PY" TargetMode="External"/><Relationship Id="rId896" Type="http://schemas.openxmlformats.org/officeDocument/2006/relationships/hyperlink" Target="https://drive.google.com/open?id=1PgWvUod7adDtfTPxfo1WGWkcmIQff11Q" TargetMode="External"/><Relationship Id="rId419" Type="http://schemas.openxmlformats.org/officeDocument/2006/relationships/hyperlink" Target="https://drive.google.com/open?id=1Oon8p6ylgk_W4ZWn769axktQh7m85hqJ" TargetMode="External"/><Relationship Id="rId418" Type="http://schemas.openxmlformats.org/officeDocument/2006/relationships/hyperlink" Target="https://drive.google.com/open?id=1TUx6HI9v0Krubux7DA1wOgRCNkWizT7H" TargetMode="External"/><Relationship Id="rId417" Type="http://schemas.openxmlformats.org/officeDocument/2006/relationships/hyperlink" Target="https://drive.google.com/open?id=17YaiJ7jsRQYYiWUOAI1WTjDUII1YWA80" TargetMode="External"/><Relationship Id="rId416" Type="http://schemas.openxmlformats.org/officeDocument/2006/relationships/hyperlink" Target="https://drive.google.com/open?id=1j1-oZeZS2g_ZOxn2CBPUDerYewVdGTrB" TargetMode="External"/><Relationship Id="rId891" Type="http://schemas.openxmlformats.org/officeDocument/2006/relationships/hyperlink" Target="https://drive.google.com/open?id=1r9F5ODUNrGagWdjMjK51ioJYFkelb5mD" TargetMode="External"/><Relationship Id="rId890" Type="http://schemas.openxmlformats.org/officeDocument/2006/relationships/hyperlink" Target="https://drive.google.com/open?id=1UDlolzu80pTq_MhZ2K11Solsz3Un_SqJ" TargetMode="External"/><Relationship Id="rId411" Type="http://schemas.openxmlformats.org/officeDocument/2006/relationships/hyperlink" Target="https://drive.google.com/open?id=1MaIstHqnDkNHBOsPBnH7PCPqV-V-vA3u" TargetMode="External"/><Relationship Id="rId895" Type="http://schemas.openxmlformats.org/officeDocument/2006/relationships/hyperlink" Target="https://drive.google.com/open?id=1MklLl14Urp0SUj6I56rG113Vzk4V1J5U" TargetMode="External"/><Relationship Id="rId410" Type="http://schemas.openxmlformats.org/officeDocument/2006/relationships/hyperlink" Target="https://drive.google.com/open?id=1gwt9YnCs_Mw_5hdc2VLXTf3wKncfuc6Q" TargetMode="External"/><Relationship Id="rId894" Type="http://schemas.openxmlformats.org/officeDocument/2006/relationships/hyperlink" Target="https://drive.google.com/open?id=1DGykArkT-nQfNpeviTQxJT_N01lK4OnX" TargetMode="External"/><Relationship Id="rId893" Type="http://schemas.openxmlformats.org/officeDocument/2006/relationships/hyperlink" Target="https://drive.google.com/open?id=1B0GSTy8FEzVgLVAm4z4uQsrtDS7e3EJB" TargetMode="External"/><Relationship Id="rId892" Type="http://schemas.openxmlformats.org/officeDocument/2006/relationships/hyperlink" Target="https://drive.google.com/open?id=1biy8tzl68GjuabtE4bV9PHk0by6N9i0_" TargetMode="External"/><Relationship Id="rId448" Type="http://schemas.openxmlformats.org/officeDocument/2006/relationships/hyperlink" Target="https://drive.google.com/open?id=1QtbtvLWTBhNXZvDVypiun7FhSG7Wn0YN" TargetMode="External"/><Relationship Id="rId447" Type="http://schemas.openxmlformats.org/officeDocument/2006/relationships/hyperlink" Target="https://drive.google.com/open?id=1EJO0XC5P_pLAqOf-2Q8rbY0TxHWpxzxX" TargetMode="External"/><Relationship Id="rId446" Type="http://schemas.openxmlformats.org/officeDocument/2006/relationships/hyperlink" Target="https://drive.google.com/open?id=1zNDTOJTa-loY2JzE0YC6MTK-athBsanK" TargetMode="External"/><Relationship Id="rId445" Type="http://schemas.openxmlformats.org/officeDocument/2006/relationships/hyperlink" Target="https://drive.google.com/open?id=1rUsvBUcqTc4pCRFgLI6clp8DLaNqSU2s" TargetMode="External"/><Relationship Id="rId449" Type="http://schemas.openxmlformats.org/officeDocument/2006/relationships/hyperlink" Target="https://drive.google.com/open?id=1MyCa2fivlqQ7bcs1S2McWuvIsY-7DS9G" TargetMode="External"/><Relationship Id="rId440" Type="http://schemas.openxmlformats.org/officeDocument/2006/relationships/hyperlink" Target="https://drive.google.com/open?id=12XH5RrfL2FOuXr7u4fG9Rx1Bs1pYuF3w" TargetMode="External"/><Relationship Id="rId444" Type="http://schemas.openxmlformats.org/officeDocument/2006/relationships/hyperlink" Target="https://drive.google.com/open?id=1pWjhSz02aRPeh3Gu2nw87YrCPDMuAnNn" TargetMode="External"/><Relationship Id="rId443" Type="http://schemas.openxmlformats.org/officeDocument/2006/relationships/hyperlink" Target="https://drive.google.com/open?id=1qmWYkZ9uNISCKdJ2kUyd6rPe1yQQrs8m" TargetMode="External"/><Relationship Id="rId442" Type="http://schemas.openxmlformats.org/officeDocument/2006/relationships/hyperlink" Target="https://drive.google.com/open?id=12zEjCujEAx38R7Mcz3Q5dj-Y8ZmURofK" TargetMode="External"/><Relationship Id="rId441" Type="http://schemas.openxmlformats.org/officeDocument/2006/relationships/hyperlink" Target="https://drive.google.com/open?id=1u7wm-N97PPXgI3ost1CrXrVe66wKvBsJ" TargetMode="External"/><Relationship Id="rId437" Type="http://schemas.openxmlformats.org/officeDocument/2006/relationships/hyperlink" Target="https://drive.google.com/open?id=1WPfUXhW8cLHgHZxkW5IogO5j-ks-Ep7U" TargetMode="External"/><Relationship Id="rId436" Type="http://schemas.openxmlformats.org/officeDocument/2006/relationships/hyperlink" Target="https://drive.google.com/open?id=1ozV6zBev14iz3yyNal7hj2QhlxhgFLV6" TargetMode="External"/><Relationship Id="rId435" Type="http://schemas.openxmlformats.org/officeDocument/2006/relationships/hyperlink" Target="https://drive.google.com/open?id=1s2j7xWnBz1z6TvxUo2Crr6p7f5ZN-w9u" TargetMode="External"/><Relationship Id="rId434" Type="http://schemas.openxmlformats.org/officeDocument/2006/relationships/hyperlink" Target="https://drive.google.com/open?id=1tu1ObCtNEgwaW1ESur34JpG0BxnEKJ4o" TargetMode="External"/><Relationship Id="rId439" Type="http://schemas.openxmlformats.org/officeDocument/2006/relationships/hyperlink" Target="https://drive.google.com/open?id=1f_6RyJdXXACjMWev8ca0hIqydzsrtWcs" TargetMode="External"/><Relationship Id="rId438" Type="http://schemas.openxmlformats.org/officeDocument/2006/relationships/hyperlink" Target="https://drive.google.com/open?id=1InkIWNhqHwMI_EK22-4sYbdW-AcASCU3" TargetMode="External"/><Relationship Id="rId433" Type="http://schemas.openxmlformats.org/officeDocument/2006/relationships/hyperlink" Target="https://drive.google.com/open?id=1akSfmutBOQ2wbe7JeqQbyvifchGO0q9a" TargetMode="External"/><Relationship Id="rId432" Type="http://schemas.openxmlformats.org/officeDocument/2006/relationships/hyperlink" Target="https://drive.google.com/open?id=1_y6iGGdoyvfMVY7JXc1BYWAP6GB_1jpL" TargetMode="External"/><Relationship Id="rId431" Type="http://schemas.openxmlformats.org/officeDocument/2006/relationships/hyperlink" Target="https://drive.google.com/open?id=1QMfaNPYetS7O2Ru9r_pgzrbBQQ9dHwz0" TargetMode="External"/><Relationship Id="rId430" Type="http://schemas.openxmlformats.org/officeDocument/2006/relationships/hyperlink" Target="https://drive.google.com/open?id=1_gG2F-FhMtSVQC3MCZ-ZTi5aDHgRVFQw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GzSlloib5_ZjM3U8BaXAS0iZVY4Qvefl" TargetMode="External"/><Relationship Id="rId2" Type="http://schemas.openxmlformats.org/officeDocument/2006/relationships/hyperlink" Target="https://drive.google.com/open?id=1nOXIgsmw_1iZ20dMcolXCnFpxNh3geu6" TargetMode="External"/><Relationship Id="rId3" Type="http://schemas.openxmlformats.org/officeDocument/2006/relationships/hyperlink" Target="https://drive.google.com/open?id=1afo59aMa85woopBPrtJmp_56u-PY7HTs" TargetMode="External"/><Relationship Id="rId4" Type="http://schemas.openxmlformats.org/officeDocument/2006/relationships/hyperlink" Target="https://drive.google.com/open?id=1QmIkUIxHvdzBAcki1wIXRP47a-PU77Kk" TargetMode="External"/><Relationship Id="rId9" Type="http://schemas.openxmlformats.org/officeDocument/2006/relationships/hyperlink" Target="https://drive.google.com/open?id=1TYqCMYsPfhi8HRht_jC-sxycUMe9HGFz" TargetMode="External"/><Relationship Id="rId5" Type="http://schemas.openxmlformats.org/officeDocument/2006/relationships/hyperlink" Target="https://drive.google.com/open?id=1Pe0T8pWf12QdeQ2l38yTmPICsIyeZbQy" TargetMode="External"/><Relationship Id="rId6" Type="http://schemas.openxmlformats.org/officeDocument/2006/relationships/hyperlink" Target="https://drive.google.com/open?id=1W3oS3s45iTQmlMEJQi1z29zqvH6WU2Oe" TargetMode="External"/><Relationship Id="rId7" Type="http://schemas.openxmlformats.org/officeDocument/2006/relationships/hyperlink" Target="https://drive.google.com/open?id=1RgZ80kmSdlvQtzc3UJScqGgKGkzKnbfI" TargetMode="External"/><Relationship Id="rId8" Type="http://schemas.openxmlformats.org/officeDocument/2006/relationships/hyperlink" Target="https://drive.google.com/open?id=1dK_D_RDE24bPlmDiUo1YrkdeeNUXFGV-" TargetMode="External"/><Relationship Id="rId40" Type="http://schemas.openxmlformats.org/officeDocument/2006/relationships/hyperlink" Target="https://drive.google.com/open?id=1zvZKnreh3OXHMk5VhsXTjp2KaWv929to" TargetMode="External"/><Relationship Id="rId42" Type="http://schemas.openxmlformats.org/officeDocument/2006/relationships/hyperlink" Target="https://drive.google.com/open?id=1lxAJST8TXOy3XcL_6b_yYdnKszShgTct" TargetMode="External"/><Relationship Id="rId41" Type="http://schemas.openxmlformats.org/officeDocument/2006/relationships/hyperlink" Target="https://drive.google.com/open?id=1QnUhsVy-V9By4eiuivhfai7KsnOFOEpg" TargetMode="External"/><Relationship Id="rId44" Type="http://schemas.openxmlformats.org/officeDocument/2006/relationships/hyperlink" Target="https://drive.google.com/open?id=1Xw2oJAu2cW0rAc9TPYjclklox-UbSYzd" TargetMode="External"/><Relationship Id="rId43" Type="http://schemas.openxmlformats.org/officeDocument/2006/relationships/hyperlink" Target="https://drive.google.com/open?id=1xgPDjIIWtlF8N_AbDktqiqkbj0DwF7lD" TargetMode="External"/><Relationship Id="rId46" Type="http://schemas.openxmlformats.org/officeDocument/2006/relationships/hyperlink" Target="https://drive.google.com/open?id=1St4ALTYPjBjD_fwPzqO2wiDh4k_BcGAm" TargetMode="External"/><Relationship Id="rId45" Type="http://schemas.openxmlformats.org/officeDocument/2006/relationships/hyperlink" Target="https://drive.google.com/open?id=1DhXoFA1w4UZTLOmDgJtSJ8eYXX20ozee" TargetMode="External"/><Relationship Id="rId48" Type="http://schemas.openxmlformats.org/officeDocument/2006/relationships/hyperlink" Target="https://drive.google.com/open?id=1b10yQQiqJa5x-8VGCPcRG_CInB4HWbui" TargetMode="External"/><Relationship Id="rId47" Type="http://schemas.openxmlformats.org/officeDocument/2006/relationships/hyperlink" Target="https://drive.google.com/open?id=19Vnr-yfir3mSMfja5hULLq4nv1UtLUFs" TargetMode="External"/><Relationship Id="rId49" Type="http://schemas.openxmlformats.org/officeDocument/2006/relationships/hyperlink" Target="https://drive.google.com/open?id=1tEBdOaI5D-hDwEhnzhVTlujb8AifOd6E" TargetMode="External"/><Relationship Id="rId31" Type="http://schemas.openxmlformats.org/officeDocument/2006/relationships/hyperlink" Target="https://drive.google.com/open?id=1v5U4mH5Q8y5JkinMsVnRQk6Qam2Nz3kX" TargetMode="External"/><Relationship Id="rId30" Type="http://schemas.openxmlformats.org/officeDocument/2006/relationships/hyperlink" Target="https://drive.google.com/open?id=1_AmuudImeuAke-60a-pwhO2xVaxGX9rn" TargetMode="External"/><Relationship Id="rId33" Type="http://schemas.openxmlformats.org/officeDocument/2006/relationships/hyperlink" Target="https://drive.google.com/open?id=19Ka6YBVza_JMpDFUmAyufew4waw_D5y0" TargetMode="External"/><Relationship Id="rId32" Type="http://schemas.openxmlformats.org/officeDocument/2006/relationships/hyperlink" Target="https://drive.google.com/open?id=1dMNxi_Or7UhKxJPL3YEinENFdowglzpI" TargetMode="External"/><Relationship Id="rId35" Type="http://schemas.openxmlformats.org/officeDocument/2006/relationships/hyperlink" Target="https://drive.google.com/open?id=1Wm4MnZKWaOo8kn9bpOgiuXGTJuxbVBfo" TargetMode="External"/><Relationship Id="rId34" Type="http://schemas.openxmlformats.org/officeDocument/2006/relationships/hyperlink" Target="https://drive.google.com/open?id=1snuULu0HwVOJ687g5nrp_n5xXeDOBAOD" TargetMode="External"/><Relationship Id="rId37" Type="http://schemas.openxmlformats.org/officeDocument/2006/relationships/hyperlink" Target="https://drive.google.com/open?id=1Xa6M5OzsQg1V9f_t8BfVNYGChbG7C8wf" TargetMode="External"/><Relationship Id="rId36" Type="http://schemas.openxmlformats.org/officeDocument/2006/relationships/hyperlink" Target="https://drive.google.com/open?id=1UW4JMALPhi0QZwc7UJeLomfBEpWwBMSu" TargetMode="External"/><Relationship Id="rId39" Type="http://schemas.openxmlformats.org/officeDocument/2006/relationships/hyperlink" Target="https://drive.google.com/open?id=1-5ulWFAkRwnJeAKm0eIUioBG-oDd3-t6" TargetMode="External"/><Relationship Id="rId38" Type="http://schemas.openxmlformats.org/officeDocument/2006/relationships/hyperlink" Target="https://drive.google.com/open?id=1WASeusBpiMpHwN8Tc4olsQAqUnPt0BGt" TargetMode="External"/><Relationship Id="rId20" Type="http://schemas.openxmlformats.org/officeDocument/2006/relationships/hyperlink" Target="https://drive.google.com/open?id=1k-RdzvCgtdevHdpknc1frcI8zeceBy31" TargetMode="External"/><Relationship Id="rId22" Type="http://schemas.openxmlformats.org/officeDocument/2006/relationships/hyperlink" Target="https://drive.google.com/open?id=1Y9_qqWpPAcz7k69iFzE4GAdFFfx03ljx" TargetMode="External"/><Relationship Id="rId21" Type="http://schemas.openxmlformats.org/officeDocument/2006/relationships/hyperlink" Target="https://drive.google.com/open?id=1u9whwEgeafFtxo1K4e69WtfCHd4-5x7u" TargetMode="External"/><Relationship Id="rId24" Type="http://schemas.openxmlformats.org/officeDocument/2006/relationships/hyperlink" Target="https://drive.google.com/open?id=13LkRJTs4XF0_4gVHPtBDYYbiBl1B3cT3" TargetMode="External"/><Relationship Id="rId23" Type="http://schemas.openxmlformats.org/officeDocument/2006/relationships/hyperlink" Target="https://drive.google.com/open?id=1f68sWt-5rGKluE20-P2Im7xMMD-04opV" TargetMode="External"/><Relationship Id="rId26" Type="http://schemas.openxmlformats.org/officeDocument/2006/relationships/hyperlink" Target="https://drive.google.com/open?id=1mmZ91l860Gob8yBSsKcYE-clugg18T9H" TargetMode="External"/><Relationship Id="rId25" Type="http://schemas.openxmlformats.org/officeDocument/2006/relationships/hyperlink" Target="https://drive.google.com/open?id=1MN72QEOBlsJEpBytw8ieoI5Y1fdvvO8B" TargetMode="External"/><Relationship Id="rId28" Type="http://schemas.openxmlformats.org/officeDocument/2006/relationships/hyperlink" Target="https://drive.google.com/open?id=1lwSOwIwTVqpRGpHUzE0w7n6RB76vPn-L" TargetMode="External"/><Relationship Id="rId27" Type="http://schemas.openxmlformats.org/officeDocument/2006/relationships/hyperlink" Target="https://drive.google.com/open?id=1ERDbRT7AXsv2WVl9XVABo_pFFLRjA9xp" TargetMode="External"/><Relationship Id="rId29" Type="http://schemas.openxmlformats.org/officeDocument/2006/relationships/hyperlink" Target="https://drive.google.com/open?id=1YJN4rRyY1B01XvUq4hn70_L_LIvcg3Kv" TargetMode="External"/><Relationship Id="rId11" Type="http://schemas.openxmlformats.org/officeDocument/2006/relationships/hyperlink" Target="https://drive.google.com/open?id=1uAFAwt3dYk4mRC_UPUBn5AW5Zxo56IkM" TargetMode="External"/><Relationship Id="rId10" Type="http://schemas.openxmlformats.org/officeDocument/2006/relationships/hyperlink" Target="https://drive.google.com/open?id=1uuWNhUbL1MBPVA0Q1VgPjVpSFZOEDzao" TargetMode="External"/><Relationship Id="rId13" Type="http://schemas.openxmlformats.org/officeDocument/2006/relationships/hyperlink" Target="https://drive.google.com/open?id=1a0rY2N1aRx84OJCd0TO_zTJMfUd5I30t" TargetMode="External"/><Relationship Id="rId12" Type="http://schemas.openxmlformats.org/officeDocument/2006/relationships/hyperlink" Target="https://drive.google.com/open?id=18nREiU1AqlhbNSEtT3q_qfWZ3kD-lLE5" TargetMode="External"/><Relationship Id="rId15" Type="http://schemas.openxmlformats.org/officeDocument/2006/relationships/hyperlink" Target="https://drive.google.com/open?id=1cXf0pIBBC1kOVLsyX-_DetYOgp09YzA_" TargetMode="External"/><Relationship Id="rId14" Type="http://schemas.openxmlformats.org/officeDocument/2006/relationships/hyperlink" Target="https://drive.google.com/open?id=1t2RW8Ou2_Z21Ub-FmXX3n8O8MdXYovhZ" TargetMode="External"/><Relationship Id="rId17" Type="http://schemas.openxmlformats.org/officeDocument/2006/relationships/hyperlink" Target="https://drive.google.com/open?id=1bymUP6eHfxlufPNEm_LBn01j8OdUH3ZD" TargetMode="External"/><Relationship Id="rId16" Type="http://schemas.openxmlformats.org/officeDocument/2006/relationships/hyperlink" Target="https://drive.google.com/open?id=1DJ2JnCvQr30lA7e1yMtsehGcovvjzUil" TargetMode="External"/><Relationship Id="rId19" Type="http://schemas.openxmlformats.org/officeDocument/2006/relationships/hyperlink" Target="https://drive.google.com/open?id=1rWOtnSib5pNevDKPrBsgqUJemwthqMRE" TargetMode="External"/><Relationship Id="rId18" Type="http://schemas.openxmlformats.org/officeDocument/2006/relationships/hyperlink" Target="https://drive.google.com/open?id=1L1Qo1Mxhgikalx904HBgg4GAs8INbe9I" TargetMode="External"/><Relationship Id="rId84" Type="http://schemas.openxmlformats.org/officeDocument/2006/relationships/hyperlink" Target="https://drive.google.com/open?id=1BoUN3WLMggs9Bm6YOfMVjkHpYDJ16YUP" TargetMode="External"/><Relationship Id="rId83" Type="http://schemas.openxmlformats.org/officeDocument/2006/relationships/hyperlink" Target="https://drive.google.com/open?id=12Aw9JBnVJ5rWOQ2L_VqcpXMWITfO6AgA" TargetMode="External"/><Relationship Id="rId86" Type="http://schemas.openxmlformats.org/officeDocument/2006/relationships/hyperlink" Target="https://drive.google.com/open?id=12oZBqNOCdGscf-2Q9CeT0JV9-npaxoEZ" TargetMode="External"/><Relationship Id="rId85" Type="http://schemas.openxmlformats.org/officeDocument/2006/relationships/hyperlink" Target="https://drive.google.com/open?id=1-VEYMCW3l0PXFEtYFpD3jldSLz6PLv8l" TargetMode="External"/><Relationship Id="rId88" Type="http://schemas.openxmlformats.org/officeDocument/2006/relationships/hyperlink" Target="https://drive.google.com/open?id=135lffPeuyEr33WeMtI8SWpmgcErped5g" TargetMode="External"/><Relationship Id="rId87" Type="http://schemas.openxmlformats.org/officeDocument/2006/relationships/hyperlink" Target="http://1stop.ai" TargetMode="External"/><Relationship Id="rId89" Type="http://schemas.openxmlformats.org/officeDocument/2006/relationships/hyperlink" Target="http://1stop.ai" TargetMode="External"/><Relationship Id="rId80" Type="http://schemas.openxmlformats.org/officeDocument/2006/relationships/hyperlink" Target="https://drive.google.com/open?id=1FPX2QrZLTvGZfjzHUBavNjiV9l1kTGPq" TargetMode="External"/><Relationship Id="rId82" Type="http://schemas.openxmlformats.org/officeDocument/2006/relationships/hyperlink" Target="https://drive.google.com/open?id=134P2I3pD2SS-W20-g3ud9BmBsVEiO2FR" TargetMode="External"/><Relationship Id="rId81" Type="http://schemas.openxmlformats.org/officeDocument/2006/relationships/hyperlink" Target="https://drive.google.com/open?id=1P_SDynCHaaW72tBwCIbXv8UEO8NUopEk" TargetMode="External"/><Relationship Id="rId73" Type="http://schemas.openxmlformats.org/officeDocument/2006/relationships/hyperlink" Target="https://drive.google.com/open?id=1uVsSqbzOHsEXd8qtejGTUQkuw-oQqRX2" TargetMode="External"/><Relationship Id="rId72" Type="http://schemas.openxmlformats.org/officeDocument/2006/relationships/hyperlink" Target="https://drive.google.com/open?id=1BE7JQdinxMsRNrXWG8ECY6NhXcr3E34U" TargetMode="External"/><Relationship Id="rId75" Type="http://schemas.openxmlformats.org/officeDocument/2006/relationships/hyperlink" Target="https://drive.google.com/open?id=1wRDnWjVgTMxaH-hngAwYfoHXbiKKZt70" TargetMode="External"/><Relationship Id="rId74" Type="http://schemas.openxmlformats.org/officeDocument/2006/relationships/hyperlink" Target="https://drive.google.com/open?id=1CUBc4XwsGKxtG0Gm3o57OEqgjSf_ux31" TargetMode="External"/><Relationship Id="rId77" Type="http://schemas.openxmlformats.org/officeDocument/2006/relationships/hyperlink" Target="https://drive.google.com/open?id=1R7MqIRs3YZOruWBtAqBzwhgUzbDpw4tb" TargetMode="External"/><Relationship Id="rId76" Type="http://schemas.openxmlformats.org/officeDocument/2006/relationships/hyperlink" Target="https://drive.google.com/open?id=1fgv5CvK18243Ysu4UJmQrd7eBoTRVQvp" TargetMode="External"/><Relationship Id="rId79" Type="http://schemas.openxmlformats.org/officeDocument/2006/relationships/hyperlink" Target="https://drive.google.com/open?id=1f6QUzmNI0NAK3xQ4rBtytOxYcgP1jjNk" TargetMode="External"/><Relationship Id="rId78" Type="http://schemas.openxmlformats.org/officeDocument/2006/relationships/hyperlink" Target="https://drive.google.com/open?id=1ANx1BaRz1AoBB0EdoUoNP7vJe5AVsnVV" TargetMode="External"/><Relationship Id="rId71" Type="http://schemas.openxmlformats.org/officeDocument/2006/relationships/hyperlink" Target="https://drive.google.com/open?id=12mLbgSr8BQGMi1V9Ki3S11KzhbWIS1ne" TargetMode="External"/><Relationship Id="rId70" Type="http://schemas.openxmlformats.org/officeDocument/2006/relationships/hyperlink" Target="https://drive.google.com/open?id=1hsdS8x6QAkr093ZKVQozx_VW02UX_ciT" TargetMode="External"/><Relationship Id="rId62" Type="http://schemas.openxmlformats.org/officeDocument/2006/relationships/hyperlink" Target="https://drive.google.com/open?id=1ijOUB7VQ2hNHPGHW72G42Z4NKaQLEOd1" TargetMode="External"/><Relationship Id="rId61" Type="http://schemas.openxmlformats.org/officeDocument/2006/relationships/hyperlink" Target="https://drive.google.com/open?id=18qYGJEXtnFFuODV51Xsx6ukkfnK9x7e_" TargetMode="External"/><Relationship Id="rId64" Type="http://schemas.openxmlformats.org/officeDocument/2006/relationships/hyperlink" Target="https://drive.google.com/open?id=1iOl5zk8jwAhdEaC20sFGrBDFkqGX_xRy" TargetMode="External"/><Relationship Id="rId63" Type="http://schemas.openxmlformats.org/officeDocument/2006/relationships/hyperlink" Target="https://drive.google.com/open?id=1GYI3beS34UKdwNxyKDCVgA7e5RJ2y8RA" TargetMode="External"/><Relationship Id="rId66" Type="http://schemas.openxmlformats.org/officeDocument/2006/relationships/hyperlink" Target="https://drive.google.com/open?id=1nHKEpBmLzwDIC7-hYAYMG2_dJItDviPX" TargetMode="External"/><Relationship Id="rId65" Type="http://schemas.openxmlformats.org/officeDocument/2006/relationships/hyperlink" Target="https://drive.google.com/open?id=1Q-7YhkSF7m4wLi3K0CVmURJR9q2aTB2J" TargetMode="External"/><Relationship Id="rId68" Type="http://schemas.openxmlformats.org/officeDocument/2006/relationships/hyperlink" Target="https://drive.google.com/open?id=1_Ond_jtt-d4exjAneB4sKCd2EikihoCK" TargetMode="External"/><Relationship Id="rId67" Type="http://schemas.openxmlformats.org/officeDocument/2006/relationships/hyperlink" Target="https://drive.google.com/open?id=1KloXdaVGNkXol7VQk2g9ENDnLuu-Zmt5" TargetMode="External"/><Relationship Id="rId60" Type="http://schemas.openxmlformats.org/officeDocument/2006/relationships/hyperlink" Target="https://drive.google.com/open?id=1f7ZdZP0Y8ylvFDgvbt3EbAAAlwQBCWbP" TargetMode="External"/><Relationship Id="rId69" Type="http://schemas.openxmlformats.org/officeDocument/2006/relationships/hyperlink" Target="https://drive.google.com/open?id=1YuVsBrH8JGCYk8UYHg-tqKCJZ8AOJa3k" TargetMode="External"/><Relationship Id="rId51" Type="http://schemas.openxmlformats.org/officeDocument/2006/relationships/hyperlink" Target="https://drive.google.com/open?id=15KfSnOojoq7cgldAyhisNnYZCXghX_TB" TargetMode="External"/><Relationship Id="rId50" Type="http://schemas.openxmlformats.org/officeDocument/2006/relationships/hyperlink" Target="https://drive.google.com/open?id=1KNB5mdpBylr3Sq-X6G2GSjH6Uo6pYECQ" TargetMode="External"/><Relationship Id="rId53" Type="http://schemas.openxmlformats.org/officeDocument/2006/relationships/hyperlink" Target="https://drive.google.com/open?id=1N7m8oEXhRnGzxG2-xw3itirH2SvkA6r9" TargetMode="External"/><Relationship Id="rId52" Type="http://schemas.openxmlformats.org/officeDocument/2006/relationships/hyperlink" Target="https://drive.google.com/open?id=165gm2cIFcNxj5zaOUv4C6bN2YlDlYYeR" TargetMode="External"/><Relationship Id="rId55" Type="http://schemas.openxmlformats.org/officeDocument/2006/relationships/hyperlink" Target="https://drive.google.com/open?id=1JTnzJnLZbGd66fe_TL_fryOq94tevmAZ" TargetMode="External"/><Relationship Id="rId54" Type="http://schemas.openxmlformats.org/officeDocument/2006/relationships/hyperlink" Target="https://drive.google.com/open?id=1IrAvW02zQnWaBoFjCxeNvfNtAZnO5_n7" TargetMode="External"/><Relationship Id="rId57" Type="http://schemas.openxmlformats.org/officeDocument/2006/relationships/hyperlink" Target="https://drive.google.com/open?id=1skgTASfCSWO8hGQPc6u4CIRldHi6rvWf" TargetMode="External"/><Relationship Id="rId56" Type="http://schemas.openxmlformats.org/officeDocument/2006/relationships/hyperlink" Target="https://drive.google.com/open?id=16x3z72xdhCk6YK9A67W_yXtuyx05bPN1" TargetMode="External"/><Relationship Id="rId59" Type="http://schemas.openxmlformats.org/officeDocument/2006/relationships/hyperlink" Target="https://drive.google.com/open?id=1-YPdD-Vl_sybYqQmOafz3bTBgBWsgVDU" TargetMode="External"/><Relationship Id="rId58" Type="http://schemas.openxmlformats.org/officeDocument/2006/relationships/hyperlink" Target="https://drive.google.com/open?id=1JKiX_JHVCRcuVNSyJyJaAbmdcYd1jhGE" TargetMode="External"/><Relationship Id="rId95" Type="http://schemas.openxmlformats.org/officeDocument/2006/relationships/hyperlink" Target="https://drive.google.com/open?id=1NXOPsyh955aIGZjzTRRVIr0FWUw4rpis" TargetMode="External"/><Relationship Id="rId94" Type="http://schemas.openxmlformats.org/officeDocument/2006/relationships/hyperlink" Target="https://drive.google.com/open?id=1NowfernrLisMsTjXwN2MTz0gb5_43kXk" TargetMode="External"/><Relationship Id="rId97" Type="http://schemas.openxmlformats.org/officeDocument/2006/relationships/hyperlink" Target="https://drive.google.com/open?id=1VIjxi_MlNnA9ugQx67YvTGsEQC5oDd4y" TargetMode="External"/><Relationship Id="rId96" Type="http://schemas.openxmlformats.org/officeDocument/2006/relationships/hyperlink" Target="https://drive.google.com/open?id=1g38x1n1M60apvsFzB3wZCCoaSepNDmv9" TargetMode="External"/><Relationship Id="rId99" Type="http://schemas.openxmlformats.org/officeDocument/2006/relationships/hyperlink" Target="https://drive.google.com/open?id=1g0QXVO9noo4etUmIUP_oXpwHqMjRE4Bt" TargetMode="External"/><Relationship Id="rId98" Type="http://schemas.openxmlformats.org/officeDocument/2006/relationships/hyperlink" Target="https://drive.google.com/open?id=1VTe8G3ag7QW6ZX3AXCtEh60hSBycfJ4w" TargetMode="External"/><Relationship Id="rId91" Type="http://schemas.openxmlformats.org/officeDocument/2006/relationships/hyperlink" Target="https://drive.google.com/open?id=1SITLo59BA2g6jPYZieToe5GLnG9g9zbO" TargetMode="External"/><Relationship Id="rId90" Type="http://schemas.openxmlformats.org/officeDocument/2006/relationships/hyperlink" Target="https://drive.google.com/open?id=1xHB7KlbUemK4WT97QXCv1wmS6wBM8Ib9" TargetMode="External"/><Relationship Id="rId93" Type="http://schemas.openxmlformats.org/officeDocument/2006/relationships/hyperlink" Target="https://drive.google.com/open?id=16U575sMRpFQYinxQDwYYXgmIvOKTrbCr" TargetMode="External"/><Relationship Id="rId92" Type="http://schemas.openxmlformats.org/officeDocument/2006/relationships/hyperlink" Target="https://drive.google.com/open?id=1Ra_1aYRguclV2sJfGLJG3mjP_04GJuSP" TargetMode="External"/><Relationship Id="rId149" Type="http://schemas.openxmlformats.org/officeDocument/2006/relationships/drawing" Target="../drawings/drawing7.xml"/><Relationship Id="rId148" Type="http://schemas.openxmlformats.org/officeDocument/2006/relationships/hyperlink" Target="https://drive.google.com/open?id=1EAN0q6ovuitM-sw5J_yuweXnwwizmNJZ" TargetMode="External"/><Relationship Id="rId143" Type="http://schemas.openxmlformats.org/officeDocument/2006/relationships/hyperlink" Target="https://drive.google.com/open?id=1cmKsF311zEr6FwjzklsY5Vk8dDno_izZ" TargetMode="External"/><Relationship Id="rId142" Type="http://schemas.openxmlformats.org/officeDocument/2006/relationships/hyperlink" Target="https://drive.google.com/open?id=1ByygAIovsa8t6OBjftlyO5tT8BN8JXZn" TargetMode="External"/><Relationship Id="rId141" Type="http://schemas.openxmlformats.org/officeDocument/2006/relationships/hyperlink" Target="https://drive.google.com/open?id=1rBvlK5Cs6CruiJFOOc3oHELNe2OD9deI" TargetMode="External"/><Relationship Id="rId140" Type="http://schemas.openxmlformats.org/officeDocument/2006/relationships/hyperlink" Target="https://drive.google.com/open?id=13W_KfMKAtMPZcPJwQZPsQoP1Kpmi9Piy" TargetMode="External"/><Relationship Id="rId147" Type="http://schemas.openxmlformats.org/officeDocument/2006/relationships/hyperlink" Target="https://drive.google.com/open?id=17SD70zzxmpbRm7mVkPV4D36JyOf_2ru1" TargetMode="External"/><Relationship Id="rId146" Type="http://schemas.openxmlformats.org/officeDocument/2006/relationships/hyperlink" Target="https://drive.google.com/open?id=1ABPGUFZhR5Cq4KCDU7vGzx-0QyBObNz9" TargetMode="External"/><Relationship Id="rId145" Type="http://schemas.openxmlformats.org/officeDocument/2006/relationships/hyperlink" Target="https://drive.google.com/open?id=1h4gd8xoDPYhzzLcf81MY1VwSWPJc25_1" TargetMode="External"/><Relationship Id="rId144" Type="http://schemas.openxmlformats.org/officeDocument/2006/relationships/hyperlink" Target="https://drive.google.com/open?id=1-Vm1czFT2dCA7qK84Ze0_cLoJLs8xjy4" TargetMode="External"/><Relationship Id="rId139" Type="http://schemas.openxmlformats.org/officeDocument/2006/relationships/hyperlink" Target="https://drive.google.com/open?id=1Tq_-HBZg9YQ3XkwEerTh37G_CC3rGDdd" TargetMode="External"/><Relationship Id="rId138" Type="http://schemas.openxmlformats.org/officeDocument/2006/relationships/hyperlink" Target="https://drive.google.com/open?id=1Dh_lyyeLqZe1RfkJ1ihYhUDFZxaEvQ0h" TargetMode="External"/><Relationship Id="rId137" Type="http://schemas.openxmlformats.org/officeDocument/2006/relationships/hyperlink" Target="https://drive.google.com/open?id=19b12RwjdW5hq1p89UQj2AMplItuHhHQo" TargetMode="External"/><Relationship Id="rId132" Type="http://schemas.openxmlformats.org/officeDocument/2006/relationships/hyperlink" Target="https://drive.google.com/open?id=1FlNFhq7OpTZ3vFL1u7UCNPi9TdqCX6s_" TargetMode="External"/><Relationship Id="rId131" Type="http://schemas.openxmlformats.org/officeDocument/2006/relationships/hyperlink" Target="https://drive.google.com/open?id=1L_3HsIfcOCTImB53e-nUEKtGCDppT7Pm" TargetMode="External"/><Relationship Id="rId130" Type="http://schemas.openxmlformats.org/officeDocument/2006/relationships/hyperlink" Target="https://drive.google.com/open?id=1aZy25r6uldi4_6s9jGNYxZkX42rD1DZA" TargetMode="External"/><Relationship Id="rId136" Type="http://schemas.openxmlformats.org/officeDocument/2006/relationships/hyperlink" Target="https://drive.google.com/open?id=1gw1VSrglh7CiDIxc9NE6esZW4jxbE0Zn" TargetMode="External"/><Relationship Id="rId135" Type="http://schemas.openxmlformats.org/officeDocument/2006/relationships/hyperlink" Target="https://drive.google.com/open?id=13c0317dTTT_G9Aioeak_JG5nZSDoosaG" TargetMode="External"/><Relationship Id="rId134" Type="http://schemas.openxmlformats.org/officeDocument/2006/relationships/hyperlink" Target="https://drive.google.com/open?id=1p9VrZYzDER5OCCWXBDQkLH3S54PTtGpg" TargetMode="External"/><Relationship Id="rId133" Type="http://schemas.openxmlformats.org/officeDocument/2006/relationships/hyperlink" Target="https://drive.google.com/open?id=1ZJrkRdsMoUkk9fPkvBW3ThInDIxCiuz6" TargetMode="External"/><Relationship Id="rId107" Type="http://schemas.openxmlformats.org/officeDocument/2006/relationships/hyperlink" Target="https://drive.google.com/open?id=1eU1ODAZjWmC1lWUo_kbTMctGyyaKRRwt" TargetMode="External"/><Relationship Id="rId106" Type="http://schemas.openxmlformats.org/officeDocument/2006/relationships/hyperlink" Target="https://drive.google.com/open?id=1BiLv-XLj1k_RULgHrqvPtYN3P8kqC0QZ" TargetMode="External"/><Relationship Id="rId105" Type="http://schemas.openxmlformats.org/officeDocument/2006/relationships/hyperlink" Target="https://drive.google.com/open?id=15ej9vscZ0I8ge1ld4LdQpKYaykpN1SaF" TargetMode="External"/><Relationship Id="rId104" Type="http://schemas.openxmlformats.org/officeDocument/2006/relationships/hyperlink" Target="https://drive.google.com/open?id=1WkQtQLdGhQBJEgkiVn1gYaIcUbBhvm13" TargetMode="External"/><Relationship Id="rId109" Type="http://schemas.openxmlformats.org/officeDocument/2006/relationships/hyperlink" Target="https://drive.google.com/open?id=1RNxNHVErA7ZetNxkkw55UxK_dJZ0frz-" TargetMode="External"/><Relationship Id="rId108" Type="http://schemas.openxmlformats.org/officeDocument/2006/relationships/hyperlink" Target="https://drive.google.com/open?id=1CdIhKOLxHMKon7MhlxfbyeqhVil30Pmz" TargetMode="External"/><Relationship Id="rId103" Type="http://schemas.openxmlformats.org/officeDocument/2006/relationships/hyperlink" Target="https://drive.google.com/open?id=1K4YvXyrOQTuJ2FfJ45B5JuJcD8DQ_fTh" TargetMode="External"/><Relationship Id="rId102" Type="http://schemas.openxmlformats.org/officeDocument/2006/relationships/hyperlink" Target="https://drive.google.com/open?id=18KJNAHlNOgi39ODIHQNwA6UZDkEVrb_G" TargetMode="External"/><Relationship Id="rId101" Type="http://schemas.openxmlformats.org/officeDocument/2006/relationships/hyperlink" Target="https://drive.google.com/open?id=1EkYPRhT0FUNeDhx1N_rR_eAwme2sNrD8" TargetMode="External"/><Relationship Id="rId100" Type="http://schemas.openxmlformats.org/officeDocument/2006/relationships/hyperlink" Target="https://drive.google.com/open?id=1u3NS11v0fvpPHhZMHMMRQxaGA8DySqfG" TargetMode="External"/><Relationship Id="rId129" Type="http://schemas.openxmlformats.org/officeDocument/2006/relationships/hyperlink" Target="https://drive.google.com/open?id=1KXRJr3tWuduefjE2qI5bzRRQOmxmkdEd" TargetMode="External"/><Relationship Id="rId128" Type="http://schemas.openxmlformats.org/officeDocument/2006/relationships/hyperlink" Target="https://drive.google.com/open?id=1ptMty6ndlaqD4-uQQZ4kUeXVqlZThoBw" TargetMode="External"/><Relationship Id="rId127" Type="http://schemas.openxmlformats.org/officeDocument/2006/relationships/hyperlink" Target="https://drive.google.com/open?id=1sZRpzPyiH0qExz1QzqXGX5rOrZP1-0sV" TargetMode="External"/><Relationship Id="rId126" Type="http://schemas.openxmlformats.org/officeDocument/2006/relationships/hyperlink" Target="https://drive.google.com/open?id=1J9lJcBtyeEyEQnOt6SpZTHFVaR-J4SFO" TargetMode="External"/><Relationship Id="rId121" Type="http://schemas.openxmlformats.org/officeDocument/2006/relationships/hyperlink" Target="https://drive.google.com/open?id=1R4S5coAERR4qG2IVl3BQg1QEANI--93h" TargetMode="External"/><Relationship Id="rId120" Type="http://schemas.openxmlformats.org/officeDocument/2006/relationships/hyperlink" Target="https://drive.google.com/open?id=1CHLGWB1XlhaqLC5Og-QimOht_H5MHELK" TargetMode="External"/><Relationship Id="rId125" Type="http://schemas.openxmlformats.org/officeDocument/2006/relationships/hyperlink" Target="https://drive.google.com/open?id=1kXYAnzUso7TTIHXPd9lyRpdzk2qnZDMY" TargetMode="External"/><Relationship Id="rId124" Type="http://schemas.openxmlformats.org/officeDocument/2006/relationships/hyperlink" Target="https://drive.google.com/open?id=1gOUOIFbe2UvCobSidAlwBfxZWRfKWD7j" TargetMode="External"/><Relationship Id="rId123" Type="http://schemas.openxmlformats.org/officeDocument/2006/relationships/hyperlink" Target="https://drive.google.com/open?id=12qsknqS2SNHy_xr2hKOg16otFzDmHOej" TargetMode="External"/><Relationship Id="rId122" Type="http://schemas.openxmlformats.org/officeDocument/2006/relationships/hyperlink" Target="https://drive.google.com/open?id=1iknMzwGXmQK4AjJuE47wqGZX-b9iZ9eB" TargetMode="External"/><Relationship Id="rId118" Type="http://schemas.openxmlformats.org/officeDocument/2006/relationships/hyperlink" Target="https://drive.google.com/open?id=1pUeLcOiE1mkVTh4yivLyyXGlkX3NswyC" TargetMode="External"/><Relationship Id="rId117" Type="http://schemas.openxmlformats.org/officeDocument/2006/relationships/hyperlink" Target="https://drive.google.com/open?id=1CXij0NCjjlHixbFN2sf5gEXDE3wvUNSd" TargetMode="External"/><Relationship Id="rId116" Type="http://schemas.openxmlformats.org/officeDocument/2006/relationships/hyperlink" Target="https://drive.google.com/open?id=1P39TxcaJYNVH5sxUyMPon24uWCHmo6Qe" TargetMode="External"/><Relationship Id="rId115" Type="http://schemas.openxmlformats.org/officeDocument/2006/relationships/hyperlink" Target="https://drive.google.com/open?id=1cD-nvUkKghHS_22NQ1cJ-jlCn5Gm2Flt" TargetMode="External"/><Relationship Id="rId119" Type="http://schemas.openxmlformats.org/officeDocument/2006/relationships/hyperlink" Target="https://drive.google.com/open?id=1ELPYEE3rpdtKRQRpwVSO-bZmIYuc3FF8" TargetMode="External"/><Relationship Id="rId110" Type="http://schemas.openxmlformats.org/officeDocument/2006/relationships/hyperlink" Target="https://drive.google.com/open?id=13ZIfIPothsMAgPWvm_xwT_qHdQfFypAW" TargetMode="External"/><Relationship Id="rId114" Type="http://schemas.openxmlformats.org/officeDocument/2006/relationships/hyperlink" Target="https://drive.google.com/open?id=1MDrSYOioEUHeQwB-6smO-gSyxJqD4CJI" TargetMode="External"/><Relationship Id="rId113" Type="http://schemas.openxmlformats.org/officeDocument/2006/relationships/hyperlink" Target="https://drive.google.com/open?id=1KXxLf3kmQ7XkswAbYhV3eiJBIuHbXixm" TargetMode="External"/><Relationship Id="rId112" Type="http://schemas.openxmlformats.org/officeDocument/2006/relationships/hyperlink" Target="https://drive.google.com/open?id=1i7HvRm7o_Fo5ru2AXb8mglLcWf9bU4VQ" TargetMode="External"/><Relationship Id="rId111" Type="http://schemas.openxmlformats.org/officeDocument/2006/relationships/hyperlink" Target="https://drive.google.com/open?id=1DEdRuYekCFhzd1erkA9WdK8eaGdsNCPZ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piWHs3Y2Ya4_4oUq9AiKaWdJA4SIpaiH" TargetMode="External"/><Relationship Id="rId2" Type="http://schemas.openxmlformats.org/officeDocument/2006/relationships/hyperlink" Target="https://drive.google.com/open?id=10hLmuCevcj4rym65LtXH_pBpFzZsdz2h" TargetMode="External"/><Relationship Id="rId3" Type="http://schemas.openxmlformats.org/officeDocument/2006/relationships/hyperlink" Target="https://drive.google.com/open?id=1Rv0duWK5org1VQf4Lv2k64_LZkKBgSPi" TargetMode="External"/><Relationship Id="rId4" Type="http://schemas.openxmlformats.org/officeDocument/2006/relationships/hyperlink" Target="https://drive.google.com/open?id=1Ljw76TOEBELwkGryhr8VqCI-2coBs_iX" TargetMode="External"/><Relationship Id="rId9" Type="http://schemas.openxmlformats.org/officeDocument/2006/relationships/hyperlink" Target="https://drive.google.com/open?id=1cxNgSdtZCgxXJy14XYM9W6ctcNxeemck" TargetMode="External"/><Relationship Id="rId5" Type="http://schemas.openxmlformats.org/officeDocument/2006/relationships/hyperlink" Target="https://drive.google.com/open?id=1tzckmNokaVHGruMN6Hc_EC3u6-od9oOJ" TargetMode="External"/><Relationship Id="rId6" Type="http://schemas.openxmlformats.org/officeDocument/2006/relationships/hyperlink" Target="https://drive.google.com/open?id=1rNKTlVQ1Mg-UyM2vSMSBZCEV7h0azLbL" TargetMode="External"/><Relationship Id="rId7" Type="http://schemas.openxmlformats.org/officeDocument/2006/relationships/hyperlink" Target="https://drive.google.com/open?id=1mGpPuvf5TuUWPtLTJqcAplQbHfswZDei" TargetMode="External"/><Relationship Id="rId8" Type="http://schemas.openxmlformats.org/officeDocument/2006/relationships/hyperlink" Target="https://drive.google.com/open?id=16HY80oc6HtCuuvj5JewUNCelUtFbxbkg" TargetMode="External"/><Relationship Id="rId20" Type="http://schemas.openxmlformats.org/officeDocument/2006/relationships/hyperlink" Target="https://drive.google.com/open?id=1n51ksBrcJzu8FL6s0RaMBBoDHsOxzL4B" TargetMode="External"/><Relationship Id="rId22" Type="http://schemas.openxmlformats.org/officeDocument/2006/relationships/hyperlink" Target="https://drive.google.com/open?id=1MifZlr4QTyfjCEJejPJbr5s190TAXprE" TargetMode="External"/><Relationship Id="rId21" Type="http://schemas.openxmlformats.org/officeDocument/2006/relationships/hyperlink" Target="https://drive.google.com/open?id=1Ge4SRokCJY04Io2zfoiUhLhrAKh00_Ga" TargetMode="External"/><Relationship Id="rId24" Type="http://schemas.openxmlformats.org/officeDocument/2006/relationships/hyperlink" Target="https://drive.google.com/open?id=1Gb7Nfru58Dk2IrLm1JQhSTZz5m2MmvUL" TargetMode="External"/><Relationship Id="rId23" Type="http://schemas.openxmlformats.org/officeDocument/2006/relationships/hyperlink" Target="https://drive.google.com/open?id=1LKm_U0qjTvt2Vy-2YOkd3oMmdR_6jwEV" TargetMode="External"/><Relationship Id="rId26" Type="http://schemas.openxmlformats.org/officeDocument/2006/relationships/hyperlink" Target="https://drive.google.com/open?id=1NK5yQFx1NfqHhPsGjrgTGh3Kgdt2-Owi" TargetMode="External"/><Relationship Id="rId25" Type="http://schemas.openxmlformats.org/officeDocument/2006/relationships/hyperlink" Target="https://drive.google.com/open?id=1CpvKw_3hknGMUxhnCIsJD79inwFJJbbx" TargetMode="External"/><Relationship Id="rId28" Type="http://schemas.openxmlformats.org/officeDocument/2006/relationships/drawing" Target="../drawings/drawing8.xml"/><Relationship Id="rId27" Type="http://schemas.openxmlformats.org/officeDocument/2006/relationships/hyperlink" Target="https://drive.google.com/open?id=1RK-Ygwj5rj2-5UYvDyGOTBJMGcbdqVRT" TargetMode="External"/><Relationship Id="rId11" Type="http://schemas.openxmlformats.org/officeDocument/2006/relationships/hyperlink" Target="https://drive.google.com/open?id=10ICl2iGnFmohHhEghsK1kCY2vbKE3S4V" TargetMode="External"/><Relationship Id="rId10" Type="http://schemas.openxmlformats.org/officeDocument/2006/relationships/hyperlink" Target="https://drive.google.com/open?id=1SWhau6BZsYrQW2m8wvGigOczG7S684k8" TargetMode="External"/><Relationship Id="rId13" Type="http://schemas.openxmlformats.org/officeDocument/2006/relationships/hyperlink" Target="https://drive.google.com/open?id=1ZG1YYMjQ4TXCkBaoZqizj2_VmRSfoIKO" TargetMode="External"/><Relationship Id="rId12" Type="http://schemas.openxmlformats.org/officeDocument/2006/relationships/hyperlink" Target="https://drive.google.com/open?id=1CgkJja-xS0LqyyIfSu4y9kgIUYuvt0gx" TargetMode="External"/><Relationship Id="rId15" Type="http://schemas.openxmlformats.org/officeDocument/2006/relationships/hyperlink" Target="https://drive.google.com/open?id=1TUDXE9LzcTF8LfMkXxNqJqzwyfWVxVjM" TargetMode="External"/><Relationship Id="rId14" Type="http://schemas.openxmlformats.org/officeDocument/2006/relationships/hyperlink" Target="https://drive.google.com/open?id=1TA671kxGBe6lEKNctxZgT38P8oIqNMJb" TargetMode="External"/><Relationship Id="rId17" Type="http://schemas.openxmlformats.org/officeDocument/2006/relationships/hyperlink" Target="https://drive.google.com/open?id=100ON6FXXFJQCTUfsWvvxEkja3pplX6TH" TargetMode="External"/><Relationship Id="rId16" Type="http://schemas.openxmlformats.org/officeDocument/2006/relationships/hyperlink" Target="https://drive.google.com/open?id=1GYGDiZixLyORKX67jOnV6DN7WueVpLsm" TargetMode="External"/><Relationship Id="rId19" Type="http://schemas.openxmlformats.org/officeDocument/2006/relationships/hyperlink" Target="https://drive.google.com/open?id=1g39anyffvpUh0R9NdOuTGXraa6W7E7g-" TargetMode="External"/><Relationship Id="rId18" Type="http://schemas.openxmlformats.org/officeDocument/2006/relationships/hyperlink" Target="https://drive.google.com/open?id=1ycpGI9ww9o25WRe9xh6ExTvdOLI-e72k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FDgWJRLG-0YmUX-Ho8W9BzIF5VOe8920" TargetMode="External"/><Relationship Id="rId2" Type="http://schemas.openxmlformats.org/officeDocument/2006/relationships/hyperlink" Target="https://drive.google.com/open?id=16hFTXxdc9QEZmhVAzu2w4tuF05DhDNfC" TargetMode="External"/><Relationship Id="rId3" Type="http://schemas.openxmlformats.org/officeDocument/2006/relationships/hyperlink" Target="https://drive.google.com/open?id=1-v8R8caNSpd9aQqqGDaTIf13ETG7x4f_" TargetMode="External"/><Relationship Id="rId4" Type="http://schemas.openxmlformats.org/officeDocument/2006/relationships/hyperlink" Target="https://drive.google.com/open?id=1LoHF43KbwnVo_okD5d4L7957XnqQvQmj" TargetMode="External"/><Relationship Id="rId9" Type="http://schemas.openxmlformats.org/officeDocument/2006/relationships/hyperlink" Target="https://drive.google.com/open?id=1d3CJEwqnnG0DPf8lZ3jX3U-orHJ8_B2K" TargetMode="External"/><Relationship Id="rId5" Type="http://schemas.openxmlformats.org/officeDocument/2006/relationships/hyperlink" Target="https://drive.google.com/open?id=1qg0PxyqcGhx6JTmOlDsBiPQ91aW-JAjo" TargetMode="External"/><Relationship Id="rId6" Type="http://schemas.openxmlformats.org/officeDocument/2006/relationships/hyperlink" Target="https://drive.google.com/open?id=14_kjEFWXuvWr-8EVjs6NZleSOjYppHsb" TargetMode="External"/><Relationship Id="rId7" Type="http://schemas.openxmlformats.org/officeDocument/2006/relationships/hyperlink" Target="https://drive.google.com/open?id=1JdfIuSWEbOy-mVPSaH9DMtIU1XBJuDkC" TargetMode="External"/><Relationship Id="rId8" Type="http://schemas.openxmlformats.org/officeDocument/2006/relationships/hyperlink" Target="https://drive.google.com/open?id=1BEZt90cEEdzOA0qkKyqNAyG_fheG72hZ" TargetMode="External"/><Relationship Id="rId11" Type="http://schemas.openxmlformats.org/officeDocument/2006/relationships/hyperlink" Target="https://drive.google.com/open?id=1PxUOyyuy2MDilQIZtpCG6-BGaxfslHXc" TargetMode="External"/><Relationship Id="rId10" Type="http://schemas.openxmlformats.org/officeDocument/2006/relationships/hyperlink" Target="https://drive.google.com/open?id=1GbkxbsFGmye-z56y_xPiRNG9eToM2ch7" TargetMode="External"/><Relationship Id="rId1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ifa6yjOXG4TtdUNUSfZBrITLDK4L2_f0" TargetMode="External"/><Relationship Id="rId2" Type="http://schemas.openxmlformats.org/officeDocument/2006/relationships/hyperlink" Target="https://drive.google.com/open?id=1E9S8Bj0oVmoqnIhlfxaSKc1SO9r8QuvN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pFZMSg0U5JTeBIAvD-st02kTb3uFM-8Z" TargetMode="External"/><Relationship Id="rId2" Type="http://schemas.openxmlformats.org/officeDocument/2006/relationships/hyperlink" Target="https://drive.google.com/open?id=1A27DXNoiss-Gco3r7lf4BKFY1X0B1UjN" TargetMode="External"/><Relationship Id="rId3" Type="http://schemas.openxmlformats.org/officeDocument/2006/relationships/hyperlink" Target="https://drive.google.com/open?id=1Kwci2O8yMxhrJdcfh3GEfc9JIKNlizun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gn3ikCIhs-dev83eRRxjViW8zJF-T-k7" TargetMode="External"/><Relationship Id="rId2" Type="http://schemas.openxmlformats.org/officeDocument/2006/relationships/hyperlink" Target="https://drive.google.com/open?id=1mtbP1QQNgrt8Quklkt73D96IAgRWsd43" TargetMode="External"/><Relationship Id="rId3" Type="http://schemas.openxmlformats.org/officeDocument/2006/relationships/hyperlink" Target="https://drive.google.com/open?id=1ePQdQjmHPiagxHQtHPNkmgkhs0CpKRVk" TargetMode="External"/><Relationship Id="rId4" Type="http://schemas.openxmlformats.org/officeDocument/2006/relationships/hyperlink" Target="https://drive.google.com/open?id=1G4WFlSvqJ_jZjUheUgUalNNZL1kQmzhN" TargetMode="External"/><Relationship Id="rId9" Type="http://schemas.openxmlformats.org/officeDocument/2006/relationships/hyperlink" Target="https://drive.google.com/open?id=1TV9WHLuDDCpqYakrw3vT8Q4B94v1NnqP" TargetMode="External"/><Relationship Id="rId5" Type="http://schemas.openxmlformats.org/officeDocument/2006/relationships/hyperlink" Target="https://drive.google.com/open?id=1ERO6TVwxYl1AFWaNaYPJyUygy_Alj8rw" TargetMode="External"/><Relationship Id="rId6" Type="http://schemas.openxmlformats.org/officeDocument/2006/relationships/hyperlink" Target="https://drive.google.com/open?id=1bBYyu0DE3yVgrgfKcr-yZxyqJ5zXhHaF" TargetMode="External"/><Relationship Id="rId7" Type="http://schemas.openxmlformats.org/officeDocument/2006/relationships/hyperlink" Target="https://drive.google.com/open?id=1fgbpRkkKznyY-PKI5Dnda_W7Byo0CdFa" TargetMode="External"/><Relationship Id="rId8" Type="http://schemas.openxmlformats.org/officeDocument/2006/relationships/hyperlink" Target="https://drive.google.com/open?id=12KkFitX19-ii4YF7cu-Zw7LKTTP6wTY1" TargetMode="External"/><Relationship Id="rId40" Type="http://schemas.openxmlformats.org/officeDocument/2006/relationships/hyperlink" Target="https://drive.google.com/open?id=18DQ-a_SgSwwQNnJR71iVduvkRog5eD4i" TargetMode="External"/><Relationship Id="rId42" Type="http://schemas.openxmlformats.org/officeDocument/2006/relationships/hyperlink" Target="https://drive.google.com/open?id=1JJuiFEf9tPTTCoSLFcd05jYGhtg__3XX" TargetMode="External"/><Relationship Id="rId41" Type="http://schemas.openxmlformats.org/officeDocument/2006/relationships/hyperlink" Target="https://drive.google.com/open?id=12CWg_r8JF53cf3Baygsp9xmHsKumoWl6" TargetMode="External"/><Relationship Id="rId44" Type="http://schemas.openxmlformats.org/officeDocument/2006/relationships/hyperlink" Target="https://drive.google.com/open?id=1lielZ9SCE8IidGkSQqOF6wsdXvjIU3iV" TargetMode="External"/><Relationship Id="rId43" Type="http://schemas.openxmlformats.org/officeDocument/2006/relationships/hyperlink" Target="https://drive.google.com/open?id=164PkLKDM0UG_ADq-iyJk3eLt2LeK4efP" TargetMode="External"/><Relationship Id="rId46" Type="http://schemas.openxmlformats.org/officeDocument/2006/relationships/hyperlink" Target="https://drive.google.com/open?id=1sDwciOtEuxq5IPhQZaT5VEoNzXGiQgdN" TargetMode="External"/><Relationship Id="rId45" Type="http://schemas.openxmlformats.org/officeDocument/2006/relationships/hyperlink" Target="https://drive.google.com/open?id=1zjAe8X2zfPzNCJ-qrVbm0yKxYzq2Ms1A" TargetMode="External"/><Relationship Id="rId48" Type="http://schemas.openxmlformats.org/officeDocument/2006/relationships/hyperlink" Target="https://drive.google.com/open?id=1QhCd4X2faGs2frmeSijuspb-SsA1hgvh" TargetMode="External"/><Relationship Id="rId47" Type="http://schemas.openxmlformats.org/officeDocument/2006/relationships/hyperlink" Target="https://drive.google.com/open?id=15fShLSYa95M1CMx2QjXwiLnXqFK26po5" TargetMode="External"/><Relationship Id="rId49" Type="http://schemas.openxmlformats.org/officeDocument/2006/relationships/hyperlink" Target="https://drive.google.com/open?id=1dxsEMUXbJMfkH09yBl3V1nbaVPYmlu0q" TargetMode="External"/><Relationship Id="rId31" Type="http://schemas.openxmlformats.org/officeDocument/2006/relationships/hyperlink" Target="https://drive.google.com/open?id=1G7RDq0-LLMZyM_EG-AGSwXh3R1SHMW6k" TargetMode="External"/><Relationship Id="rId30" Type="http://schemas.openxmlformats.org/officeDocument/2006/relationships/hyperlink" Target="https://drive.google.com/open?id=1DUCmRPc7cYSEu1VOX3CbZFwMrxdmKmBg" TargetMode="External"/><Relationship Id="rId33" Type="http://schemas.openxmlformats.org/officeDocument/2006/relationships/hyperlink" Target="https://drive.google.com/open?id=1YRzFQEBgsDlYrmKJpQZK7rihv1Ts_b0I" TargetMode="External"/><Relationship Id="rId32" Type="http://schemas.openxmlformats.org/officeDocument/2006/relationships/hyperlink" Target="https://drive.google.com/open?id=1R2LLLsbXQwIwW4V-BCvJ1JlshXZWl59-" TargetMode="External"/><Relationship Id="rId35" Type="http://schemas.openxmlformats.org/officeDocument/2006/relationships/hyperlink" Target="https://drive.google.com/open?id=1_hWaWfnrw-tMxz7sGcU2vpEumtEmhwt6" TargetMode="External"/><Relationship Id="rId34" Type="http://schemas.openxmlformats.org/officeDocument/2006/relationships/hyperlink" Target="https://drive.google.com/open?id=11oFg23t3ZKMD-lJrDa5C7OpBFpQ9H73T" TargetMode="External"/><Relationship Id="rId37" Type="http://schemas.openxmlformats.org/officeDocument/2006/relationships/hyperlink" Target="https://drive.google.com/open?id=1gFA1lCu4rHLk8s0vfQ6Wa3HEML6MLnnW" TargetMode="External"/><Relationship Id="rId36" Type="http://schemas.openxmlformats.org/officeDocument/2006/relationships/hyperlink" Target="https://drive.google.com/open?id=1f5fkYcbl5lPC1KzM9l4IKPF55533wJ9L" TargetMode="External"/><Relationship Id="rId39" Type="http://schemas.openxmlformats.org/officeDocument/2006/relationships/hyperlink" Target="https://drive.google.com/open?id=1VBFzDwiftdcDb4NNTOQzmJZ83ltxNxGZ" TargetMode="External"/><Relationship Id="rId38" Type="http://schemas.openxmlformats.org/officeDocument/2006/relationships/hyperlink" Target="https://drive.google.com/open?id=1exrzR0Tq1AAGjjixli_wHi2BLmsP9l2J" TargetMode="External"/><Relationship Id="rId20" Type="http://schemas.openxmlformats.org/officeDocument/2006/relationships/hyperlink" Target="https://drive.google.com/open?id=1u4P98AFX96-DheFXYHueISXv5rFBW69n" TargetMode="External"/><Relationship Id="rId22" Type="http://schemas.openxmlformats.org/officeDocument/2006/relationships/hyperlink" Target="https://drive.google.com/open?id=1v0hWKNZmunFG-b1zOpH2nMicycDJXoC2" TargetMode="External"/><Relationship Id="rId21" Type="http://schemas.openxmlformats.org/officeDocument/2006/relationships/hyperlink" Target="https://drive.google.com/open?id=1HwOWXJMOaF_1InxGLgLG3n7bJEc8Wqoy" TargetMode="External"/><Relationship Id="rId24" Type="http://schemas.openxmlformats.org/officeDocument/2006/relationships/hyperlink" Target="https://drive.google.com/open?id=1zWfCKVgNCwM-_UZ2Ju37CgfKQENuNThd" TargetMode="External"/><Relationship Id="rId23" Type="http://schemas.openxmlformats.org/officeDocument/2006/relationships/hyperlink" Target="https://drive.google.com/open?id=1B0HiC2xPJwhIF3MC1nGrmuBGAsKXTckG" TargetMode="External"/><Relationship Id="rId26" Type="http://schemas.openxmlformats.org/officeDocument/2006/relationships/hyperlink" Target="https://drive.google.com/open?id=1uTswfh5k6-rIOfPskt7WzSag8mhnF2uE" TargetMode="External"/><Relationship Id="rId25" Type="http://schemas.openxmlformats.org/officeDocument/2006/relationships/hyperlink" Target="https://drive.google.com/open?id=134UiPRoXaCxJnCMdOhg1Gql8_3OtEd_z" TargetMode="External"/><Relationship Id="rId28" Type="http://schemas.openxmlformats.org/officeDocument/2006/relationships/hyperlink" Target="https://drive.google.com/open?id=1WU1m7CU_TcognuKDh7Q7HrvZgSOLydXL" TargetMode="External"/><Relationship Id="rId27" Type="http://schemas.openxmlformats.org/officeDocument/2006/relationships/hyperlink" Target="https://drive.google.com/open?id=1OZDw1MRW-j1Pk_z6DL1I2axO9gKAPHzB" TargetMode="External"/><Relationship Id="rId29" Type="http://schemas.openxmlformats.org/officeDocument/2006/relationships/hyperlink" Target="https://drive.google.com/open?id=1qP9qZmE22ppsqqe3S3RAkzkCzz1VlT7d" TargetMode="External"/><Relationship Id="rId11" Type="http://schemas.openxmlformats.org/officeDocument/2006/relationships/hyperlink" Target="https://drive.google.com/open?id=1cj6KMrfRUN35LIBGgAZrYmyvlNpJT8rK" TargetMode="External"/><Relationship Id="rId10" Type="http://schemas.openxmlformats.org/officeDocument/2006/relationships/hyperlink" Target="https://drive.google.com/open?id=1a7_i4mBy91rc-1wnj7fXUZe2lgdZ_dUp" TargetMode="External"/><Relationship Id="rId13" Type="http://schemas.openxmlformats.org/officeDocument/2006/relationships/hyperlink" Target="https://drive.google.com/open?id=1CGoEV-2e8V_Lk7tS14KxSr7ESQ8kcu19" TargetMode="External"/><Relationship Id="rId12" Type="http://schemas.openxmlformats.org/officeDocument/2006/relationships/hyperlink" Target="https://drive.google.com/open?id=13SNgW7VupL2K7SWxmqQnnrjTaqBBbZcq" TargetMode="External"/><Relationship Id="rId15" Type="http://schemas.openxmlformats.org/officeDocument/2006/relationships/hyperlink" Target="https://drive.google.com/open?id=1uTGVtRaRxKQKLb_Ehjblj80sg5F5loWs" TargetMode="External"/><Relationship Id="rId14" Type="http://schemas.openxmlformats.org/officeDocument/2006/relationships/hyperlink" Target="https://drive.google.com/open?id=1J6jQbfJk6dWBsUdK5PdL31TlD2H8n1mi" TargetMode="External"/><Relationship Id="rId17" Type="http://schemas.openxmlformats.org/officeDocument/2006/relationships/hyperlink" Target="https://drive.google.com/open?id=14qjDpxA_-qxw3L62ORAV10i6-yrPoJ82" TargetMode="External"/><Relationship Id="rId16" Type="http://schemas.openxmlformats.org/officeDocument/2006/relationships/hyperlink" Target="https://drive.google.com/open?id=1GSySQ9XWzPG4_CT4scF7g4D8a1w0HNVg" TargetMode="External"/><Relationship Id="rId19" Type="http://schemas.openxmlformats.org/officeDocument/2006/relationships/hyperlink" Target="https://drive.google.com/open?id=1gSqponAO_29zt3P0egTKxJUtj0kBDxM5" TargetMode="External"/><Relationship Id="rId18" Type="http://schemas.openxmlformats.org/officeDocument/2006/relationships/hyperlink" Target="https://drive.google.com/open?id=1DkiGuPWNrrJ17ziZzyj9FJD6S56uqueV" TargetMode="External"/><Relationship Id="rId80" Type="http://schemas.openxmlformats.org/officeDocument/2006/relationships/drawing" Target="../drawings/drawing13.xml"/><Relationship Id="rId73" Type="http://schemas.openxmlformats.org/officeDocument/2006/relationships/hyperlink" Target="https://drive.google.com/open?id=14YFIFfv8KmQJ4sk76AtHpP0CSZFUQwa7" TargetMode="External"/><Relationship Id="rId72" Type="http://schemas.openxmlformats.org/officeDocument/2006/relationships/hyperlink" Target="https://drive.google.com/open?id=1uUNqNBbIOP9Q9-w0fQjDIQ65HGgFGtqU" TargetMode="External"/><Relationship Id="rId75" Type="http://schemas.openxmlformats.org/officeDocument/2006/relationships/hyperlink" Target="https://drive.google.com/open?id=14jyjf351Oy7MTPqFB_6oRWFkjLNaCR0E" TargetMode="External"/><Relationship Id="rId74" Type="http://schemas.openxmlformats.org/officeDocument/2006/relationships/hyperlink" Target="https://drive.google.com/open?id=1NqFlC7Bath7G7K4zUCxJOED0H4RgXyES" TargetMode="External"/><Relationship Id="rId77" Type="http://schemas.openxmlformats.org/officeDocument/2006/relationships/hyperlink" Target="https://drive.google.com/open?id=1YtlfhK7lju5pkuuEWikuWdBM_l5C2HXR" TargetMode="External"/><Relationship Id="rId76" Type="http://schemas.openxmlformats.org/officeDocument/2006/relationships/hyperlink" Target="https://drive.google.com/open?id=14xRbameMklw4aLyQQ7JrvSt-52Quugae" TargetMode="External"/><Relationship Id="rId79" Type="http://schemas.openxmlformats.org/officeDocument/2006/relationships/hyperlink" Target="https://drive.google.com/open?id=1BaCJd_H-1DAYUg4AfvjdtnF26UnFACPG" TargetMode="External"/><Relationship Id="rId78" Type="http://schemas.openxmlformats.org/officeDocument/2006/relationships/hyperlink" Target="https://drive.google.com/open?id=12ywiUkvTvVoa1CJL8hBOP0h8WHblH_7R" TargetMode="External"/><Relationship Id="rId71" Type="http://schemas.openxmlformats.org/officeDocument/2006/relationships/hyperlink" Target="https://drive.google.com/open?id=15dCKuHgYSYyWdEhK8CrzVV8ekecVY3pQ" TargetMode="External"/><Relationship Id="rId70" Type="http://schemas.openxmlformats.org/officeDocument/2006/relationships/hyperlink" Target="https://drive.google.com/open?id=1uzVLqon8EB68uEiLLRH3XQi8tyaXd4uV" TargetMode="External"/><Relationship Id="rId62" Type="http://schemas.openxmlformats.org/officeDocument/2006/relationships/hyperlink" Target="https://drive.google.com/open?id=1UH4S_W_AVPs96zXmSoZ10StSHm20Vzhf" TargetMode="External"/><Relationship Id="rId61" Type="http://schemas.openxmlformats.org/officeDocument/2006/relationships/hyperlink" Target="https://drive.google.com/open?id=1VqEA1AaA1YYsrUB7lhpw7VddimQkfcmN" TargetMode="External"/><Relationship Id="rId64" Type="http://schemas.openxmlformats.org/officeDocument/2006/relationships/hyperlink" Target="https://drive.google.com/open?id=1RZ0uCy-_nL0lmgck8ElNmvYXhR14G5m9" TargetMode="External"/><Relationship Id="rId63" Type="http://schemas.openxmlformats.org/officeDocument/2006/relationships/hyperlink" Target="https://drive.google.com/open?id=1-BdXQbkyt0RmGAEsTOC7ZoBj8xF4SQ5V" TargetMode="External"/><Relationship Id="rId66" Type="http://schemas.openxmlformats.org/officeDocument/2006/relationships/hyperlink" Target="https://drive.google.com/open?id=1z57u__kbU8XZjNGGRTARL__Ij-saq-OH" TargetMode="External"/><Relationship Id="rId65" Type="http://schemas.openxmlformats.org/officeDocument/2006/relationships/hyperlink" Target="https://drive.google.com/open?id=1UAS6rtzj11Z0_SOi12EA_6cFFy9O-tnk" TargetMode="External"/><Relationship Id="rId68" Type="http://schemas.openxmlformats.org/officeDocument/2006/relationships/hyperlink" Target="https://drive.google.com/open?id=1Vj3U1DgkrQJDxJWQ_hMPnQtaQpkU7TIJ" TargetMode="External"/><Relationship Id="rId67" Type="http://schemas.openxmlformats.org/officeDocument/2006/relationships/hyperlink" Target="https://drive.google.com/open?id=1ExtAb3ShF6yWfO7pPD0Rwof0ao8GRMIf" TargetMode="External"/><Relationship Id="rId60" Type="http://schemas.openxmlformats.org/officeDocument/2006/relationships/hyperlink" Target="https://drive.google.com/open?id=12rTU4jG8tcrAz8LiJ33uRa8PfNT2Qxpw" TargetMode="External"/><Relationship Id="rId69" Type="http://schemas.openxmlformats.org/officeDocument/2006/relationships/hyperlink" Target="https://drive.google.com/open?id=1iVqHCUjmEYvWU-0Nzqjq7zyZZk5dFiT5" TargetMode="External"/><Relationship Id="rId51" Type="http://schemas.openxmlformats.org/officeDocument/2006/relationships/hyperlink" Target="https://drive.google.com/open?id=1SJ77RbJvhha7Ixqu9_K1Mj891gesr6jJ" TargetMode="External"/><Relationship Id="rId50" Type="http://schemas.openxmlformats.org/officeDocument/2006/relationships/hyperlink" Target="https://drive.google.com/open?id=1rur1MIBRmakoHW0PG-WRkLUbz7xGtELk" TargetMode="External"/><Relationship Id="rId53" Type="http://schemas.openxmlformats.org/officeDocument/2006/relationships/hyperlink" Target="https://drive.google.com/open?id=1E8igZRSp5FI396jnkfTgwu5IJlHZfWol" TargetMode="External"/><Relationship Id="rId52" Type="http://schemas.openxmlformats.org/officeDocument/2006/relationships/hyperlink" Target="https://drive.google.com/open?id=1RqkczE9AyMhEK147VBBtVh5cSdIieWKN" TargetMode="External"/><Relationship Id="rId55" Type="http://schemas.openxmlformats.org/officeDocument/2006/relationships/hyperlink" Target="https://drive.google.com/open?id=1YP4_waRixUhOZpsEhOc70FDSoErnVSsW" TargetMode="External"/><Relationship Id="rId54" Type="http://schemas.openxmlformats.org/officeDocument/2006/relationships/hyperlink" Target="https://drive.google.com/open?id=1rFAppWC-72fQPrU4o8uPvGih8eD1oEDz" TargetMode="External"/><Relationship Id="rId57" Type="http://schemas.openxmlformats.org/officeDocument/2006/relationships/hyperlink" Target="https://drive.google.com/open?id=1p5-HbiZyGgZdl2vroKQPYUKklhEWweY-" TargetMode="External"/><Relationship Id="rId56" Type="http://schemas.openxmlformats.org/officeDocument/2006/relationships/hyperlink" Target="https://drive.google.com/open?id=1hstXQ_rkvbzK5KWZpu81SJe3YLtZFkJm" TargetMode="External"/><Relationship Id="rId59" Type="http://schemas.openxmlformats.org/officeDocument/2006/relationships/hyperlink" Target="https://drive.google.com/open?id=1Q123BBUxI1L9zmyqsMZASDg90DO_z1Yz" TargetMode="External"/><Relationship Id="rId58" Type="http://schemas.openxmlformats.org/officeDocument/2006/relationships/hyperlink" Target="https://drive.google.com/open?id=1-gJsyg_GwG0B9yU1z85C9j7zOc7dCjCb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PjR39K2HwkwQPNZ5t-nniB3dOKXMOnAs" TargetMode="External"/><Relationship Id="rId2" Type="http://schemas.openxmlformats.org/officeDocument/2006/relationships/hyperlink" Target="https://drive.google.com/open?id=1c_dom1yBEfrg7AcSOQr54fVgwxMKaGJK" TargetMode="External"/><Relationship Id="rId3" Type="http://schemas.openxmlformats.org/officeDocument/2006/relationships/hyperlink" Target="https://drive.google.com/open?id=1lmrb71Nm-41_5xPCanOYRZqI2qrZVI5Q" TargetMode="External"/><Relationship Id="rId4" Type="http://schemas.openxmlformats.org/officeDocument/2006/relationships/hyperlink" Target="https://drive.google.com/open?id=1QIXtVuPtDJ-tn8Cng1QKSSt3CNyRaikQ" TargetMode="External"/><Relationship Id="rId5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RxQJURGeMsrUZuJpXuO9L3e9voYAgdDo" TargetMode="External"/><Relationship Id="rId2" Type="http://schemas.openxmlformats.org/officeDocument/2006/relationships/hyperlink" Target="https://drive.google.com/open?id=1lCQIP6NcvtwOI3Qp-ygztSrRYNle8Fno" TargetMode="External"/><Relationship Id="rId3" Type="http://schemas.openxmlformats.org/officeDocument/2006/relationships/hyperlink" Target="https://drive.google.com/open?id=1pXi0t5byqcGcH9faXaSFlImJi7ZXoM8S" TargetMode="External"/><Relationship Id="rId4" Type="http://schemas.openxmlformats.org/officeDocument/2006/relationships/hyperlink" Target="https://drive.google.com/open?id=1AeoCf75DFmus-547YYjYZdDtYHiUXCrr" TargetMode="External"/><Relationship Id="rId9" Type="http://schemas.openxmlformats.org/officeDocument/2006/relationships/hyperlink" Target="https://drive.google.com/open?id=1bwDxYdSnyhPYJbt675S5Kc4kfEadm1xf" TargetMode="External"/><Relationship Id="rId5" Type="http://schemas.openxmlformats.org/officeDocument/2006/relationships/hyperlink" Target="https://drive.google.com/open?id=1kQAU-tOs-0tvu_Vylj2B4e_FYdYkkup4" TargetMode="External"/><Relationship Id="rId6" Type="http://schemas.openxmlformats.org/officeDocument/2006/relationships/hyperlink" Target="https://drive.google.com/open?id=1stKWQG_enFOYdDbP2puflITk4RHtpwWk" TargetMode="External"/><Relationship Id="rId7" Type="http://schemas.openxmlformats.org/officeDocument/2006/relationships/hyperlink" Target="https://drive.google.com/open?id=1dSDVLhcrt7gnGStAc0MGnLY3tlUVTYjV" TargetMode="External"/><Relationship Id="rId8" Type="http://schemas.openxmlformats.org/officeDocument/2006/relationships/hyperlink" Target="https://drive.google.com/open?id=1JpE2auCKA5RfRKrN-Atrab1tc03vtYcQ" TargetMode="External"/><Relationship Id="rId11" Type="http://schemas.openxmlformats.org/officeDocument/2006/relationships/drawing" Target="../drawings/drawing16.xml"/><Relationship Id="rId10" Type="http://schemas.openxmlformats.org/officeDocument/2006/relationships/hyperlink" Target="https://drive.google.com/open?id=13rIliY7PZEFLkXY66UtyIY9S5UkiZvVE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2g2wjrfUifDh3Gx7TlgWMhP8oc4dxI9d" TargetMode="External"/><Relationship Id="rId2" Type="http://schemas.openxmlformats.org/officeDocument/2006/relationships/hyperlink" Target="https://drive.google.com/open?id=1WUmGmLGyf8ZbZCJ8S4Y5ZUMjDsGOZsFK" TargetMode="External"/><Relationship Id="rId3" Type="http://schemas.openxmlformats.org/officeDocument/2006/relationships/hyperlink" Target="https://drive.google.com/open?id=1_fR-LdhuKTTzZxiOKp3PDnIv3EijWFWW" TargetMode="External"/><Relationship Id="rId4" Type="http://schemas.openxmlformats.org/officeDocument/2006/relationships/hyperlink" Target="https://drive.google.com/open?id=1uk8fg4IYYCEf7-Gu0dZr-ENgBY6pXBXP" TargetMode="External"/><Relationship Id="rId5" Type="http://schemas.openxmlformats.org/officeDocument/2006/relationships/hyperlink" Target="https://drive.google.com/open?id=1tCFSDUGZcL96PWWWsBS3guVCHlFkThUP" TargetMode="External"/><Relationship Id="rId6" Type="http://schemas.openxmlformats.org/officeDocument/2006/relationships/hyperlink" Target="https://drive.google.com/open?id=17PSfjaHhZ5KbvbtyPaY3nWdl-EvvOQwa" TargetMode="External"/><Relationship Id="rId7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JDkbWTWW31HZtahRtdxiRWL1l2STgDcF" TargetMode="External"/><Relationship Id="rId2" Type="http://schemas.openxmlformats.org/officeDocument/2006/relationships/hyperlink" Target="https://drive.google.com/open?id=1kl_yv6lEbe4MkUx-7DDutSvZygUj_uo8" TargetMode="External"/><Relationship Id="rId3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njaOo2FQclLRPfdKvfW1gZpxGn7_94Ih" TargetMode="External"/><Relationship Id="rId2" Type="http://schemas.openxmlformats.org/officeDocument/2006/relationships/hyperlink" Target="https://drive.google.com/open?id=1M75Zuz94mobCB2u7SAfxI6p_Ap3Wqno0" TargetMode="External"/><Relationship Id="rId3" Type="http://schemas.openxmlformats.org/officeDocument/2006/relationships/hyperlink" Target="https://drive.google.com/open?id=14_zULZ6Hd6xjm0n-EZCNgOfM0U3palZz" TargetMode="External"/><Relationship Id="rId4" Type="http://schemas.openxmlformats.org/officeDocument/2006/relationships/hyperlink" Target="https://drive.google.com/open?id=1n27dXeSQi_XbyI0Qxh545-88cmtBtSqd" TargetMode="External"/><Relationship Id="rId9" Type="http://schemas.openxmlformats.org/officeDocument/2006/relationships/hyperlink" Target="https://drive.google.com/open?id=182CeUHgul8js2A2Xhtd4IrhsNNqCMqVI" TargetMode="External"/><Relationship Id="rId5" Type="http://schemas.openxmlformats.org/officeDocument/2006/relationships/hyperlink" Target="https://drive.google.com/open?id=1eqRDfKf6TAFamnY0kDJLrMwUjrnB1G6L" TargetMode="External"/><Relationship Id="rId6" Type="http://schemas.openxmlformats.org/officeDocument/2006/relationships/hyperlink" Target="https://drive.google.com/open?id=1TzKAWwUItopmdVYKWq0Fxz3cBchc2C9s" TargetMode="External"/><Relationship Id="rId7" Type="http://schemas.openxmlformats.org/officeDocument/2006/relationships/hyperlink" Target="https://drive.google.com/open?id=1LCsKkG24i9wmznr03mspYdIeItEzVxqQ" TargetMode="External"/><Relationship Id="rId8" Type="http://schemas.openxmlformats.org/officeDocument/2006/relationships/hyperlink" Target="https://drive.google.com/open?id=1rRH2ZCJXnOgm37WwXkGf_PG02fe6BEU5" TargetMode="External"/><Relationship Id="rId40" Type="http://schemas.openxmlformats.org/officeDocument/2006/relationships/hyperlink" Target="https://drive.google.com/open?id=1EDQ4Q2i0hjkmh99LPVKvOHUeTL69iJz-" TargetMode="External"/><Relationship Id="rId42" Type="http://schemas.openxmlformats.org/officeDocument/2006/relationships/hyperlink" Target="https://drive.google.com/open?id=10Ku5E62Gd_X9NlW3SyI23bLo1nHVOOTr" TargetMode="External"/><Relationship Id="rId41" Type="http://schemas.openxmlformats.org/officeDocument/2006/relationships/hyperlink" Target="https://drive.google.com/open?id=1PRE1qe4Sha5GpZbyDT-TrczxIuR5f2Bv" TargetMode="External"/><Relationship Id="rId44" Type="http://schemas.openxmlformats.org/officeDocument/2006/relationships/hyperlink" Target="https://drive.google.com/open?id=1Fq8ntn83IQFZjCmTbG2xuGOFjEVnA7oP" TargetMode="External"/><Relationship Id="rId43" Type="http://schemas.openxmlformats.org/officeDocument/2006/relationships/hyperlink" Target="https://drive.google.com/open?id=1aoUkZBcN2ML6PLKzMhKZOLGvSduWTyzX" TargetMode="External"/><Relationship Id="rId46" Type="http://schemas.openxmlformats.org/officeDocument/2006/relationships/hyperlink" Target="https://drive.google.com/open?id=1E5XqRSmk05zWihTMLgZg6Ql9IoaxNiDl" TargetMode="External"/><Relationship Id="rId45" Type="http://schemas.openxmlformats.org/officeDocument/2006/relationships/hyperlink" Target="https://drive.google.com/open?id=1kDF-MB6lGC-Z5LbMtHfLutR5nCFaEE1X" TargetMode="External"/><Relationship Id="rId48" Type="http://schemas.openxmlformats.org/officeDocument/2006/relationships/hyperlink" Target="https://drive.google.com/open?id=18-a0w47scSsmZJAzorKo9Sn3YYYe_smU" TargetMode="External"/><Relationship Id="rId47" Type="http://schemas.openxmlformats.org/officeDocument/2006/relationships/hyperlink" Target="https://drive.google.com/open?id=1sdkBp2g2wlH95wnFfXO8E9JBzRju_s2I" TargetMode="External"/><Relationship Id="rId49" Type="http://schemas.openxmlformats.org/officeDocument/2006/relationships/hyperlink" Target="https://drive.google.com/open?id=1zVX-SuzGECg7LzbRtMFuZdxD-iQBGGF_" TargetMode="External"/><Relationship Id="rId31" Type="http://schemas.openxmlformats.org/officeDocument/2006/relationships/hyperlink" Target="https://drive.google.com/open?id=18CSIBf0DwDGccDZjuZgC5i44VXJQgrE0" TargetMode="External"/><Relationship Id="rId30" Type="http://schemas.openxmlformats.org/officeDocument/2006/relationships/hyperlink" Target="https://drive.google.com/open?id=12IpAFvbUR9zj0mziUqWU7AgiiGFeWJDn" TargetMode="External"/><Relationship Id="rId33" Type="http://schemas.openxmlformats.org/officeDocument/2006/relationships/hyperlink" Target="https://drive.google.com/open?id=1kI4PwakFQ2t4yeEjeLQQ1x8M8NSXTHlj" TargetMode="External"/><Relationship Id="rId32" Type="http://schemas.openxmlformats.org/officeDocument/2006/relationships/hyperlink" Target="https://drive.google.com/open?id=1xnS1kpvZ4yuMLZLTiAlOP-A_y-Vyza1i" TargetMode="External"/><Relationship Id="rId35" Type="http://schemas.openxmlformats.org/officeDocument/2006/relationships/hyperlink" Target="https://drive.google.com/open?id=1xh-6CUN_jqOL7YsUT-Wu8T20JJbUj-UT" TargetMode="External"/><Relationship Id="rId34" Type="http://schemas.openxmlformats.org/officeDocument/2006/relationships/hyperlink" Target="https://drive.google.com/open?id=1SzwVma1bvQzySAMcnIUyR86UB4_jEDZx" TargetMode="External"/><Relationship Id="rId37" Type="http://schemas.openxmlformats.org/officeDocument/2006/relationships/hyperlink" Target="https://drive.google.com/open?id=1HxRFFojddfZhy4pNdOKAY6TXBt1DeE3G" TargetMode="External"/><Relationship Id="rId36" Type="http://schemas.openxmlformats.org/officeDocument/2006/relationships/hyperlink" Target="https://drive.google.com/open?id=1oQTlIUlLTU4l6H3Z8lsz7HxqgYeHhzzs" TargetMode="External"/><Relationship Id="rId39" Type="http://schemas.openxmlformats.org/officeDocument/2006/relationships/hyperlink" Target="https://drive.google.com/open?id=1Gi_5ij4VeUVfCmlwcC-fub9ubQUZaqe2" TargetMode="External"/><Relationship Id="rId38" Type="http://schemas.openxmlformats.org/officeDocument/2006/relationships/hyperlink" Target="https://drive.google.com/open?id=1v9JLEHywb-uUy8bGNC3GjW6SgkJmpS0c" TargetMode="External"/><Relationship Id="rId20" Type="http://schemas.openxmlformats.org/officeDocument/2006/relationships/hyperlink" Target="https://drive.google.com/open?id=11I6_ATL91tvllYsQB01c8ZC_aPNM__yt" TargetMode="External"/><Relationship Id="rId22" Type="http://schemas.openxmlformats.org/officeDocument/2006/relationships/hyperlink" Target="https://drive.google.com/open?id=1WqlqoKN7RCPaHZu3tKUP64aR1eTIIRms" TargetMode="External"/><Relationship Id="rId21" Type="http://schemas.openxmlformats.org/officeDocument/2006/relationships/hyperlink" Target="https://drive.google.com/open?id=1WPQVCAEf6avo8QyVvfSh5zhD9uLCPNij" TargetMode="External"/><Relationship Id="rId24" Type="http://schemas.openxmlformats.org/officeDocument/2006/relationships/hyperlink" Target="https://drive.google.com/open?id=1Sc50u7O2yN6wdOggs836WOqMRMciijHi" TargetMode="External"/><Relationship Id="rId23" Type="http://schemas.openxmlformats.org/officeDocument/2006/relationships/hyperlink" Target="https://drive.google.com/open?id=1mupstIOV7geibVsKyebzZh5v-A2TfVam" TargetMode="External"/><Relationship Id="rId26" Type="http://schemas.openxmlformats.org/officeDocument/2006/relationships/hyperlink" Target="https://drive.google.com/open?id=1b_sBzr_AVYvGHgUPUw4RBFGXzGbjNYxw" TargetMode="External"/><Relationship Id="rId25" Type="http://schemas.openxmlformats.org/officeDocument/2006/relationships/hyperlink" Target="https://drive.google.com/open?id=1ygSpxfiwRrg2HFxEQJvY4dUJ1FceX5cU" TargetMode="External"/><Relationship Id="rId28" Type="http://schemas.openxmlformats.org/officeDocument/2006/relationships/hyperlink" Target="https://drive.google.com/open?id=1KuNBmpMZS_uA0_73kYuTsGnKJkSaxJNR" TargetMode="External"/><Relationship Id="rId27" Type="http://schemas.openxmlformats.org/officeDocument/2006/relationships/hyperlink" Target="https://drive.google.com/open?id=1nZEMt24baX0onTXz2Liyrd92-XxHFnF0" TargetMode="External"/><Relationship Id="rId29" Type="http://schemas.openxmlformats.org/officeDocument/2006/relationships/hyperlink" Target="https://drive.google.com/open?id=1hBqV4sg4Pw3O_UkYZNPEOc25dVaFCQ2c" TargetMode="External"/><Relationship Id="rId11" Type="http://schemas.openxmlformats.org/officeDocument/2006/relationships/hyperlink" Target="https://drive.google.com/open?id=1AdnImYkBMQpTsxJI24rJgH5FhywglYup" TargetMode="External"/><Relationship Id="rId10" Type="http://schemas.openxmlformats.org/officeDocument/2006/relationships/hyperlink" Target="https://drive.google.com/open?id=1R4u3fohaTi7TEZxouCeFMmE0I7vah8Pd" TargetMode="External"/><Relationship Id="rId13" Type="http://schemas.openxmlformats.org/officeDocument/2006/relationships/hyperlink" Target="https://drive.google.com/open?id=1SQnF_8DCN91WHC55Or2_3svZTsc2qfWR" TargetMode="External"/><Relationship Id="rId12" Type="http://schemas.openxmlformats.org/officeDocument/2006/relationships/hyperlink" Target="https://drive.google.com/open?id=1oKlHFLgb197iFG06xERQ80MBgMyQFlCO" TargetMode="External"/><Relationship Id="rId15" Type="http://schemas.openxmlformats.org/officeDocument/2006/relationships/hyperlink" Target="https://drive.google.com/open?id=15v-MfMEFmUzEFJ3ZTLKtrm2EVBoDx79w" TargetMode="External"/><Relationship Id="rId14" Type="http://schemas.openxmlformats.org/officeDocument/2006/relationships/hyperlink" Target="https://drive.google.com/open?id=1MyYAqkRZDWCeVSdVFKaTl8YKOzJnYgtW" TargetMode="External"/><Relationship Id="rId17" Type="http://schemas.openxmlformats.org/officeDocument/2006/relationships/hyperlink" Target="https://drive.google.com/open?id=1oE8-5Rv1pgHd2n7iM2-tekmBSDdmdp1X" TargetMode="External"/><Relationship Id="rId16" Type="http://schemas.openxmlformats.org/officeDocument/2006/relationships/hyperlink" Target="https://drive.google.com/open?id=1rlINLdDNg-MSnn6DBnOVVMwxnH4wwjcj" TargetMode="External"/><Relationship Id="rId19" Type="http://schemas.openxmlformats.org/officeDocument/2006/relationships/hyperlink" Target="https://drive.google.com/open?id=1dKrpoYYtE0hUM6zbt2JQ32HhCmpAw7eb" TargetMode="External"/><Relationship Id="rId18" Type="http://schemas.openxmlformats.org/officeDocument/2006/relationships/hyperlink" Target="https://drive.google.com/open?id=15n55aEqfKyP6UPUXflhsoxybtRV7Im2Z" TargetMode="External"/><Relationship Id="rId51" Type="http://schemas.openxmlformats.org/officeDocument/2006/relationships/hyperlink" Target="https://drive.google.com/open?id=16vJ2c7Sz-n251ixoB4r11aHuR7ZrMQU6" TargetMode="External"/><Relationship Id="rId50" Type="http://schemas.openxmlformats.org/officeDocument/2006/relationships/hyperlink" Target="https://drive.google.com/open?id=1VxliUCGOODJ1C5PpsB812wypWpNRq2HE" TargetMode="External"/><Relationship Id="rId53" Type="http://schemas.openxmlformats.org/officeDocument/2006/relationships/hyperlink" Target="https://drive.google.com/open?id=1cyON3c8nXK_FYMBZYNBrHQbAuLtneQDw" TargetMode="External"/><Relationship Id="rId52" Type="http://schemas.openxmlformats.org/officeDocument/2006/relationships/hyperlink" Target="https://drive.google.com/open?id=1mrksKbOLasPCDh4N0rELWArGlMLbYDww" TargetMode="External"/><Relationship Id="rId54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5"/>
    <col hidden="1" min="2" max="5" width="12.63"/>
  </cols>
  <sheetData>
    <row r="1" ht="28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ht="28.5" customHeight="1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ht="28.5" customHeight="1">
      <c r="A3" s="7" t="s">
        <v>10</v>
      </c>
      <c r="B3" s="8">
        <f>COUNTIFS('S1 Student Journal Pub'!R2:R199, "=S1: Student Journal Pub", 'S1 Student Journal Pub'!Q2:Q199, "=2014-2018")</f>
        <v>0</v>
      </c>
      <c r="C3" s="8">
        <f>COUNTIFS('S1 Student Journal Pub'!R2:R199, "=S1: Student Journal Pub", 'S1 Student Journal Pub'!Q2:Q199, "=2015-2019")</f>
        <v>0</v>
      </c>
      <c r="D3" s="8">
        <f>COUNTIFS('S1 Student Journal Pub'!R2:R199, "=S1: Student Journal Pub", 'S1 Student Journal Pub'!Q2:Q199, "=2016-2020")</f>
        <v>0</v>
      </c>
      <c r="E3" s="8">
        <f>COUNTIFS('S1 Student Journal Pub'!R2:R199, "=S1: Student Journal Pub", 'S1 Student Journal Pub'!Q2:Q199, "=2017-2021")</f>
        <v>0</v>
      </c>
      <c r="F3" s="8">
        <f>COUNTIFS('S1 Student Journal Pub'!R2:R199, "=S1: Student Journal Pub", 'S1 Student Journal Pub'!Q2:Q199, "=2018-2022")</f>
        <v>0</v>
      </c>
      <c r="G3" s="8">
        <f>COUNTIFS('S1 Student Journal Pub'!R2:R199, "=S1: Student Journal Pub", 'S1 Student Journal Pub'!Q2:Q199, "=2019-2023")</f>
        <v>0</v>
      </c>
      <c r="H3" s="8">
        <f>COUNTIFS('S1 Student Journal Pub'!R2:R199, "=S1: Student Journal Pub", 'S1 Student Journal Pub'!Q2:Q199, "=2020-2024")</f>
        <v>0</v>
      </c>
      <c r="I3" s="8">
        <f>COUNTIFS('S1 Student Journal Pub'!R2:R199, "=S1: Student Journal Pub", 'S1 Student Journal Pub'!Q2:Q199, "=2021-2025")</f>
        <v>0</v>
      </c>
    </row>
    <row r="4" ht="28.5" customHeight="1">
      <c r="A4" s="7" t="s">
        <v>11</v>
      </c>
      <c r="B4" s="9">
        <f>COUNTIFS('S2 Student Conference Publicati'!W2:W199, "=S2: Student Conference Publication", 'S2 Student Conference Publicati'!V2:V199, "=2014-2018")</f>
        <v>0</v>
      </c>
      <c r="C4" s="9">
        <f>COUNTIFS('S2 Student Conference Publicati'!W2:W199, "=S2: Student Conference Publication", 'S2 Student Conference Publicati'!V2:V199, "=2015-2019")</f>
        <v>0</v>
      </c>
      <c r="D4" s="9">
        <f>COUNTIFS('S2 Student Conference Publicati'!W2:W199, "=S2: Student Conference Publication", 'S2 Student Conference Publicati'!V2:V199, "=2016-2020")</f>
        <v>0</v>
      </c>
      <c r="E4" s="9">
        <f>COUNTIFS('S2 Student Conference Publicati'!W2:W199, "=S2: Student Conference Publication", 'S2 Student Conference Publicati'!V2:V199, "=2017-2021")</f>
        <v>0</v>
      </c>
      <c r="F4" s="9">
        <f>COUNTIFS('S2 Student Conference Publicati'!W2:W199, "=S2: Student Conference Publication", 'S2 Student Conference Publicati'!V2:V199, "=2018-2022")</f>
        <v>0</v>
      </c>
      <c r="G4" s="9">
        <f>COUNTIFS('S2 Student Conference Publicati'!W2:W199, "=S2: Student Conference Publication", 'S2 Student Conference Publicati'!V2:V199, "=2019-2023")</f>
        <v>0</v>
      </c>
      <c r="H4" s="9">
        <f>COUNTIFS('S2 Student Conference Publicati'!W2:W199, "=S2: Student Conference Publication", 'S2 Student Conference Publicati'!V2:V199, "=2020-2024")</f>
        <v>0</v>
      </c>
      <c r="I4" s="9">
        <f>COUNTIFS('S2 Student Conference Publicati'!W2:W199, "=S2: Student Conference Publication", 'S2 Student Conference Publicati'!V2:V199, "=2021-2025")</f>
        <v>0</v>
      </c>
    </row>
    <row r="5" ht="28.5" customHeight="1">
      <c r="A5" s="7" t="s">
        <v>12</v>
      </c>
      <c r="B5" s="9">
        <f>COUNTIFS('S3 Student Internships'!L2:L199, "=S3: Student Internships", 'S3 Student Internships'!K2:K199, "=2014-2018")</f>
        <v>0</v>
      </c>
      <c r="C5" s="9">
        <f>COUNTIFS('S3 Student Internships'!L2:L199, "=S3: Student Internships", 'S3 Student Internships'!K2:K199, "=2015-2019")</f>
        <v>0</v>
      </c>
      <c r="D5" s="9">
        <f>COUNTIFS('S3 Student Internships'!L2:L199, "=S3: Student Internships", 'S3 Student Internships'!K2:K199, "=2016-2020")</f>
        <v>0</v>
      </c>
      <c r="E5" s="9">
        <f>COUNTIFS('S3 Student Internships'!L2:L199, "=S3: Student Internships", 'S3 Student Internships'!K2:K199, "=2017-2021")</f>
        <v>0</v>
      </c>
      <c r="F5" s="9">
        <f>COUNTIFS('S3 Student Internships'!L2:L199, "=S3: Student Internships", 'S3 Student Internships'!K2:K199, "=2018-2022")</f>
        <v>114</v>
      </c>
      <c r="G5" s="10">
        <f>COUNTIFS('S3 Student Internships'!L2:L199, "=S3: Student Internships", 'S3 Student Internships'!K2:K199, "=2019-2023")</f>
        <v>49</v>
      </c>
      <c r="H5" s="9">
        <f>COUNTIFS('S3 Student Internships'!L2:L199, "=S3: Student Internships", 'S3 Student Internships'!K2:K199, "=2020-2024")</f>
        <v>35</v>
      </c>
      <c r="I5" s="9">
        <f>COUNTIFS('S3 Student Internships'!L2:L199, "=S3: Student Internships", 'S3 Student Internships'!K2:K199, "=2021-2025")</f>
        <v>0</v>
      </c>
    </row>
    <row r="6" ht="28.5" customHeight="1">
      <c r="A6" s="7" t="s">
        <v>13</v>
      </c>
      <c r="B6" s="9">
        <f>COUNTIFS('S4 Student Certifications'!M2:M1500, "=S4: Student Certifications", 'S4 Student Certifications'!L2:L1500, "=2014-2018")</f>
        <v>0</v>
      </c>
      <c r="C6" s="9">
        <f>COUNTIFS('S4 Student Certifications'!M2:M1500, "=S4: Student Certifications", 'S4 Student Certifications'!L2:L1500, "=2015-2019")</f>
        <v>0</v>
      </c>
      <c r="D6" s="9">
        <f>COUNTIFS('S4 Student Certifications'!M2:M1500, "=S4: Student Certifications", 'S4 Student Certifications'!L2:L1500, "=2016-2020")</f>
        <v>0</v>
      </c>
      <c r="E6" s="9">
        <f>COUNTIFS('S4 Student Certifications'!M2:M1500, "=S4: Student Certifications", 'S4 Student Certifications'!L2:L1500, "=2017-2021")</f>
        <v>0</v>
      </c>
      <c r="F6" s="9">
        <f>COUNTIFS('S4 Student Certifications'!M2:M1500, "=S4: Student Certifications", 'S4 Student Certifications'!L2:L1500, "=2018-2022")</f>
        <v>598</v>
      </c>
      <c r="G6" s="9">
        <f>COUNTIFS('S4 Student Certifications'!M2:M1500, "=S4: Student Certifications", 'S4 Student Certifications'!L2:L1500, "=2019-2023")</f>
        <v>416</v>
      </c>
      <c r="H6" s="9">
        <f>COUNTIFS('S4 Student Certifications'!M2:M1500, "=S4: Student Certifications", 'S4 Student Certifications'!L2:L1500, "=2020-2024")</f>
        <v>77</v>
      </c>
      <c r="I6" s="9">
        <f>COUNTIFS('S4 Student Certifications'!M2:M1500, "=S4: Student Certifications", 'S4 Student Certifications'!L2:L1500, "=2021-2025")</f>
        <v>0</v>
      </c>
    </row>
    <row r="7" ht="28.5" customHeight="1">
      <c r="A7" s="7" t="s">
        <v>14</v>
      </c>
      <c r="B7" s="9">
        <f>COUNTIFS('S5 Student WorkshopsConf attend'!P2:P1000, "=S5: Student Workshops/Conf attended", 'S5 Student WorkshopsConf attend'!O2:O1000, "=2014-2018")</f>
        <v>0</v>
      </c>
      <c r="C7" s="9">
        <f>COUNTIFS('S5 Student WorkshopsConf attend'!P2:P1000, "=S5: Student Workshops/Conf attended", 'S5 Student WorkshopsConf attend'!O2:O1000, "=2015-2019")</f>
        <v>0</v>
      </c>
      <c r="D7" s="11">
        <f>COUNTIFS('S5 Student WorkshopsConf attend'!P2:P1000, "=S5: Student Workshops/Conf attended", 'S5 Student WorkshopsConf attend'!O2:O1000, "=2016-2020")</f>
        <v>0</v>
      </c>
      <c r="E7" s="9">
        <f>COUNTIFS('S5 Student WorkshopsConf attend'!P2:P1000, "=S5: Student Workshops/Conf attended", 'S5 Student WorkshopsConf attend'!O2:O1000, "=2017-2021")</f>
        <v>0</v>
      </c>
      <c r="F7" s="9">
        <f>COUNTIFS('S5 Student WorkshopsConf attend'!P2:P1000, "=S5: Student Workshops/Conf attended", 'S5 Student WorkshopsConf attend'!O2:O1000, "=2018-2022")</f>
        <v>94</v>
      </c>
      <c r="G7" s="9">
        <f>COUNTIFS('S5 Student WorkshopsConf attend'!P2:P1000, "=S5: Student Workshops/Conf attended", 'S5 Student WorkshopsConf attend'!O2:O1000, "=2019-2023")</f>
        <v>26</v>
      </c>
      <c r="H7" s="9">
        <f>COUNTIFS('S5 Student WorkshopsConf attend'!P2:P1000, "=S5: Student Workshops/Conf attended", 'S5 Student WorkshopsConf attend'!O2:O1000, "=2020-2024")</f>
        <v>11</v>
      </c>
      <c r="I7" s="9">
        <f>COUNTIFS('S5 Student WorkshopsConf attend'!P2:P1000, "=S5: Student Workshops/Conf attended", 'S5 Student WorkshopsConf attend'!O2:O1000, "=2021-2025")</f>
        <v>4</v>
      </c>
      <c r="N7" s="12"/>
    </row>
    <row r="8" ht="28.5" customHeight="1">
      <c r="A8" s="7" t="s">
        <v>15</v>
      </c>
      <c r="B8" s="9">
        <f>COUNTIFS('S6 Student NPTEL'!L2:L1001, "=S6: Student NPTEL", 'S6 Student NPTEL'!K2:K1001, "=2014-2018")</f>
        <v>0</v>
      </c>
      <c r="C8" s="9">
        <f>COUNTIFS('S6 Student NPTEL'!L2:L1001, "=S6: Student NPTEL", 'S6 Student NPTEL'!K2:K1001, "=2015-2019")</f>
        <v>0</v>
      </c>
      <c r="D8" s="9">
        <f>COUNTIFS('S6 Student NPTEL'!L2:L1001, "=S6: Student NPTEL", 'S6 Student NPTEL'!K2:K1001, "=2016-2020")</f>
        <v>0</v>
      </c>
      <c r="E8" s="9">
        <f>COUNTIFS('S6 Student NPTEL'!L2:L1001, "=S6: Student NPTEL", 'S6 Student NPTEL'!K2:K1001, "=2017-2021")</f>
        <v>0</v>
      </c>
      <c r="F8" s="9">
        <f>COUNTIFS('S6 Student NPTEL'!L2:L1001, "=S6: Student NPTEL", 'S6 Student NPTEL'!K2:K1001, "=2018-2022")</f>
        <v>23</v>
      </c>
      <c r="G8" s="9">
        <f>COUNTIFS('S6 Student NPTEL'!L2:L1001, "=S6: Student NPTEL", 'S6 Student NPTEL'!K2:K1001, "=2019-2023")</f>
        <v>4</v>
      </c>
      <c r="H8" s="9">
        <f>COUNTIFS('S6 Student NPTEL'!L2:L1001, "=S6: Student NPTEL", 'S6 Student NPTEL'!K2:K1001, "=2020-2024")</f>
        <v>0</v>
      </c>
      <c r="I8" s="9">
        <f>COUNTIFS('S6 Student NPTEL'!L2:L1001, "=S6: Student NPTEL", 'S6 Student NPTEL'!K2:K1001, "=2021-2025")</f>
        <v>0</v>
      </c>
    </row>
    <row r="9" ht="28.5" customHeight="1">
      <c r="A9" s="7" t="s">
        <v>16</v>
      </c>
      <c r="B9" s="9">
        <f>COUNTIFS('S7 Student Workshops Organized'!L2:L1002, "=S7: Student Workshops Organized", 'S7 Student Workshops Organized'!K2:K1002, "=2014-2018")</f>
        <v>0</v>
      </c>
      <c r="C9" s="9">
        <f>COUNTIFS('S7 Student Workshops Organized'!L2:L1002, "=S7: Student Workshops Organized", 'S7 Student Workshops Organized'!K2:K1002, "=2015-2019")</f>
        <v>0</v>
      </c>
      <c r="D9" s="9">
        <f>COUNTIFS('S7 Student Workshops Organized'!L2:L1002, "=S7: Student Workshops Organized", 'S7 Student Workshops Organized'!K2:K1002, "=2016-2020")</f>
        <v>0</v>
      </c>
      <c r="E9" s="9">
        <f>COUNTIFS('S7 Student Workshops Organized'!L2:L1002, "=S7: Student Workshops Organized", 'S7 Student Workshops Organized'!K2:K1002, "=2017-2021")</f>
        <v>0</v>
      </c>
      <c r="F9" s="9">
        <f>COUNTIFS('S7 Student Workshops Organized'!L2:L1002, "=S7: Student Workshops Organized", 'S7 Student Workshops Organized'!K2:K1002, "=2018-2022")</f>
        <v>0</v>
      </c>
      <c r="G9" s="9">
        <f>COUNTIFS('S7 Student Workshops Organized'!L2:L1002, "=S7: Student Workshops Organized", 'S7 Student Workshops Organized'!K2:K1002, "=2019-2023")</f>
        <v>0</v>
      </c>
      <c r="H9" s="9">
        <f>COUNTIFS('S7 Student Workshops Organized'!L2:L1002, "=S7: Student Workshops Organized", 'S7 Student Workshops Organized'!K2:K1002, "=2020-2024")</f>
        <v>0</v>
      </c>
      <c r="I9" s="9">
        <f>COUNTIFS('S7 Student Workshops Organized'!L2:L1002, "=S7: Student Workshops Organized", 'S7 Student Workshops Organized'!K2:K1002, "=2021-2025")</f>
        <v>0</v>
      </c>
    </row>
    <row r="10" ht="28.5" customHeight="1">
      <c r="A10" s="7" t="s">
        <v>17</v>
      </c>
      <c r="B10" s="9">
        <f>COUNTIFS('S8 Student Events Organized'!M2:M1003, "=S8: Student Events Organized", 'S8 Student Events Organized'!L2:L1003, "=2014-2018")</f>
        <v>0</v>
      </c>
      <c r="C10" s="9">
        <f>COUNTIFS('S8 Student Events Organized'!M2:M1003, "=S8: Student Events Organized", 'S8 Student Events Organized'!L2:L1003, "=2015-2019")</f>
        <v>0</v>
      </c>
      <c r="D10" s="9">
        <f>COUNTIFS('S8 Student Events Organized'!M2:M1003, "=S8: Student Events Organized", 'S8 Student Events Organized'!L2:L1003, "=2016-2020")</f>
        <v>0</v>
      </c>
      <c r="E10" s="9">
        <f>COUNTIFS('S8 Student Events Organized'!M2:M1003, "=S8: Student Events Organized", 'S8 Student Events Organized'!L2:L1003, "=2017-2021")</f>
        <v>0</v>
      </c>
      <c r="F10" s="9">
        <f>COUNTIFS('S8 Student Events Organized'!M2:M1003, "=S8: Student Events Organized", 'S8 Student Events Organized'!L2:L1003, "=2018-2022")</f>
        <v>3</v>
      </c>
      <c r="G10" s="9">
        <f>COUNTIFS('S8 Student Events Organized'!M2:M1003, "=S8: Student Events Organized", 'S8 Student Events Organized'!L2:L1003, "=2019-2023")</f>
        <v>2</v>
      </c>
      <c r="H10" s="9">
        <f>COUNTIFS('S8 Student Events Organized'!M2:M1003, "=S8: Student Events Organized", 'S8 Student Events Organized'!L2:L1003, "=2020-2024")</f>
        <v>0</v>
      </c>
      <c r="I10" s="9">
        <f>COUNTIFS('S8 Student Events Organized'!M2:M1003, "=S8: Student Events Organized", 'S8 Student Events Organized'!L2:L1003, "=2021-2025")</f>
        <v>0</v>
      </c>
    </row>
    <row r="11" ht="28.5" customHeight="1">
      <c r="A11" s="7" t="s">
        <v>18</v>
      </c>
      <c r="B11" s="9">
        <f>COUNTIFS('S9: Student Guest Lecutres Organized'!P2:P1004, "=S9: Student Guest Lecutres Organized", 'S9: Student Guest Lecutres Organized'!O2:O1004, "=2014-2018")</f>
        <v>0</v>
      </c>
      <c r="C11" s="9">
        <f>COUNTIFS('S9: Student Guest Lecutres Organized'!P2:P1004, "=S9: Student Guest Lecutres Organized", 'S9: Student Guest Lecutres Organized'!O2:O1004, "=2015-2019")</f>
        <v>0</v>
      </c>
      <c r="D11" s="9">
        <f>COUNTIFS('S9: Student Guest Lecutres Organized'!P2:P1004, "=S9: Student Guest Lecutres Organized", 'S9: Student Guest Lecutres Organized'!O2:O1004, "=2016-2020")</f>
        <v>0</v>
      </c>
      <c r="E11" s="9">
        <f>COUNTIFS('S9: Student Guest Lecutres Organized'!P2:P1004, "=S9: Student Guest Lecutres Organized", 'S9: Student Guest Lecutres Organized'!O2:O1004, "=2017-2021")</f>
        <v>0</v>
      </c>
      <c r="F11" s="9">
        <f>COUNTIFS('S9: Student Guest Lecutres Organized'!P2:P1004, "=S9: Student Guest Lecutres Organized", 'S9: Student Guest Lecutres Organized'!O2:O1004, "=2018-2022")</f>
        <v>0</v>
      </c>
      <c r="G11" s="9">
        <f>COUNTIFS('S9: Student Guest Lecutres Organized'!P2:P1004, "=S9: Student Guest Lecutres Organized", 'S9: Student Guest Lecutres Organized'!O2:O1004, "=2019-2023")</f>
        <v>0</v>
      </c>
      <c r="H11" s="9">
        <f>COUNTIFS('S9: Student Guest Lecutres Organized'!P2:P1004, "=S9: Student Guest Lecutres Organized", 'S9: Student Guest Lecutres Organized'!O2:O1004, "=2020-2024")</f>
        <v>0</v>
      </c>
      <c r="I11" s="9">
        <f>COUNTIFS('S9: Student Guest Lecutres Organized'!P2:P1004, "=S9: Student Guest Lecutres Organized", 'S9: Student Guest Lecutres Organized'!O2:O1004, "=2021-2025")</f>
        <v>0</v>
      </c>
    </row>
    <row r="12" ht="28.5" customHeight="1">
      <c r="A12" s="7" t="s">
        <v>19</v>
      </c>
      <c r="B12" s="9">
        <f>COUNTIFS('S10 Student Prof. Body'!L2:L1005, "=S10: Student Prof. Body", 'S10 Student Prof. Body'!K2:K1005, "=2014-2018")</f>
        <v>0</v>
      </c>
      <c r="C12" s="9">
        <f>COUNTIFS('S10 Student Prof. Body'!L2:L1005, "=S10: Student Prof. Body", 'S10 Student Prof. Body'!K2:K1005, "=2015-2019")</f>
        <v>0</v>
      </c>
      <c r="D12" s="9">
        <f>COUNTIFS('S10 Student Prof. Body'!L2:L1005, "=S10: Student Prof. Body", 'S10 Student Prof. Body'!K2:K1005, "=2016-2020")</f>
        <v>0</v>
      </c>
      <c r="E12" s="9">
        <f>COUNTIFS('S10 Student Prof. Body'!L2:L1005, "=S10: Student Prof. Body", 'S10 Student Prof. Body'!K2:K1005, "=2017-2021")</f>
        <v>0</v>
      </c>
      <c r="F12" s="9">
        <f>COUNTIFS('S10 Student Prof. Body'!L2:L1005, "=S10: Student Prof. Body", 'S10 Student Prof. Body'!K2:K1005, "=2018-2022")</f>
        <v>0</v>
      </c>
      <c r="G12" s="9">
        <f>COUNTIFS('S10 Student Prof. Body'!L2:L1005, "=S10: Student Prof. Body", 'S10 Student Prof. Body'!K2:K1005, "=2019-2023")</f>
        <v>3</v>
      </c>
      <c r="H12" s="9">
        <f>COUNTIFS('S10 Student Prof. Body'!L2:L1005, "=S10: Student Prof. Body", 'S10 Student Prof. Body'!K2:K1005, "=2020-2024")</f>
        <v>0</v>
      </c>
      <c r="I12" s="9">
        <f>COUNTIFS('S10 Student Prof. Body'!L2:L1005, "=S10: Student Prof. Body", 'S10 Student Prof. Body'!K2:K1005, "=2021-2025")</f>
        <v>0</v>
      </c>
    </row>
    <row r="13" ht="28.5" customHeight="1">
      <c r="A13" s="7" t="s">
        <v>20</v>
      </c>
      <c r="B13" s="9">
        <f>COUNTIFS('S11 Student Awards'!I2:I1006, "=S11: Student Awards", 'S11 Student Awards'!H2:H1006, "=2014-2018")</f>
        <v>0</v>
      </c>
      <c r="C13" s="9">
        <f>COUNTIFS('S11 Student Awards'!I2:I1006, "=S11: Student Awards", 'S11 Student Awards'!H2:H1006, "=2015-2019")</f>
        <v>0</v>
      </c>
      <c r="D13" s="9">
        <f>COUNTIFS('S11 Student Awards'!I2:I1006, "=S11: Student Awards", 'S11 Student Awards'!H2:H1006, "=2016-2020")</f>
        <v>0</v>
      </c>
      <c r="E13" s="9">
        <f>COUNTIFS('S11 Student Awards'!I2:I1006, "=S11: Student Awards", 'S11 Student Awards'!H2:H1006, "=2017-2021")</f>
        <v>0</v>
      </c>
      <c r="F13" s="9">
        <f>COUNTIFS('S11 Student Awards'!I2:I1006, "=S11: Student Awards", 'S11 Student Awards'!H2:H1006, "=2018-2022")</f>
        <v>61</v>
      </c>
      <c r="G13" s="9">
        <f>COUNTIFS('S11 Student Awards'!I2:I1006, "=S11: Student Awards", 'S11 Student Awards'!H2:H1006, "=2019-2023")</f>
        <v>16</v>
      </c>
      <c r="H13" s="9">
        <f>COUNTIFS('S11 Student Awards'!I2:I1006, "=S11: Student Awards", 'S11 Student Awards'!H2:H1006, "=2020-2024")</f>
        <v>1</v>
      </c>
      <c r="I13" s="9">
        <f>COUNTIFS('S11 Student Awards'!I2:I1006, "=S11: Student Awards", 'S11 Student Awards'!H2:H1006, "=2021-2025")</f>
        <v>0</v>
      </c>
    </row>
    <row r="14" ht="28.5" customHeight="1">
      <c r="A14" s="7" t="s">
        <v>21</v>
      </c>
      <c r="B14" s="9">
        <f>COUNTIFS('S12 Student capabilities enhanc'!O2:O1007, "=S12: Student capabilities enhancement", 'S12 Student capabilities enhanc'!N2:N1007, "=2014-2018")</f>
        <v>0</v>
      </c>
      <c r="C14" s="9">
        <f>COUNTIFS('S12 Student capabilities enhanc'!O2:O1007, "=S12: Student capabilities enhancement", 'S12 Student capabilities enhanc'!N2:N1007, "=2015-2019")</f>
        <v>0</v>
      </c>
      <c r="D14" s="9">
        <f>COUNTIFS('S12 Student capabilities enhanc'!O2:O1007, "=S12: Student capabilities enhancement", 'S12 Student capabilities enhanc'!N2:N1007, "=2016-2020")</f>
        <v>0</v>
      </c>
      <c r="E14" s="9">
        <f>COUNTIFS('S12 Student capabilities enhanc'!O2:O1007, "=S12: Student capabilities enhancement", 'S12 Student capabilities enhanc'!N2:N1007, "=2017-2021")</f>
        <v>0</v>
      </c>
      <c r="F14" s="9">
        <f>COUNTIFS('S12 Student capabilities enhanc'!O2:O1007, "=S12: Student capabilities enhancement", 'S12 Student capabilities enhanc'!N2:N1007, "=2018-2022")</f>
        <v>0</v>
      </c>
      <c r="G14" s="13">
        <f>COUNTIFS('S12 Student capabilities enhanc'!O2:O1007, "=S12: Student capabilities enhancement", 'S12 Student capabilities enhanc'!N2:N1007, "=2019-2023")</f>
        <v>0</v>
      </c>
      <c r="H14" s="9">
        <f>COUNTIFS('S12 Student capabilities enhanc'!O2:O1007, "=S12: Student capabilities enhancement", 'S12 Student capabilities enhanc'!N2:N1007, "=2020-2024")</f>
        <v>0</v>
      </c>
      <c r="I14" s="9">
        <f>COUNTIFS('S12 Student capabilities enhanc'!O2:O1007, "=S12: Student capabilities enhancement", 'S12 Student capabilities enhanc'!N2:N1007, "=2021-2025")</f>
        <v>0</v>
      </c>
    </row>
    <row r="15" ht="28.5" customHeight="1">
      <c r="A15" s="7" t="s">
        <v>22</v>
      </c>
      <c r="B15" s="9">
        <f>COUNTIFS('S13 Students Higher Edu.'!H2:H1008, "=S13: Students Higher Edu.", 'S13 Students Higher Edu.'!G2:G1008, "=2014-2018")</f>
        <v>1</v>
      </c>
      <c r="C15" s="9">
        <f>COUNTIFS('S13 Students Higher Edu.'!H2:H1008, "=S13: Students Higher Edu.", 'S13 Students Higher Edu.'!G2:G1008, "=2015-2019")</f>
        <v>0</v>
      </c>
      <c r="D15" s="13">
        <f>COUNTIFS('S13 Students Higher Edu.'!H2:H1008, "=S13: Students Higher Edu.", 'S13 Students Higher Edu.'!G2:G1008, "=2016-2020")</f>
        <v>1</v>
      </c>
      <c r="E15" s="9">
        <f>COUNTIFS('S13 Students Higher Edu.'!H2:H1008, "=S13: Students Higher Edu.", 'S13 Students Higher Edu.'!G2:G1008, "=2017-2021")</f>
        <v>2</v>
      </c>
      <c r="F15" s="9">
        <f>COUNTIFS('S13 Students Higher Edu.'!H2:H1008, "=S13: Students Higher Edu.", 'S13 Students Higher Edu.'!G2:G1008, "=2018-2022")</f>
        <v>0</v>
      </c>
      <c r="G15" s="9">
        <f>COUNTIFS('S13 Students Higher Edu.'!H2:H1008, "=S13: Students Higher Edu.", 'S13 Students Higher Edu.'!G2:G1008, "=2019-2023")</f>
        <v>0</v>
      </c>
      <c r="H15" s="9">
        <f>COUNTIFS('S13 Students Higher Edu.'!H2:H1008, "=S13: Students Higher Edu.", 'S13 Students Higher Edu.'!G2:G1008, "=2020-2024")</f>
        <v>0</v>
      </c>
      <c r="I15" s="9">
        <f>COUNTIFS('S13 Students Higher Edu.'!H2:H1008, "=S13: Students Higher Edu.", 'S13 Students Higher Edu.'!G2:G1008, "=2021-2025")</f>
        <v>0</v>
      </c>
    </row>
    <row r="16" ht="28.5" customHeight="1">
      <c r="A16" s="7" t="s">
        <v>23</v>
      </c>
      <c r="B16" s="9">
        <f>COUNTIFS('S14 Students Competitive Exams'!G2:G1009, "=S14: Students Competitive Exams", 'S14 Students Competitive Exams'!F2:F1009, "=2014-2018")</f>
        <v>0</v>
      </c>
      <c r="C16" s="9">
        <f>COUNTIFS('S14 Students Competitive Exams'!G2:G1009, "=S14: Students Competitive Exams", 'S14 Students Competitive Exams'!F2:F1009, "=2015-2019")</f>
        <v>0</v>
      </c>
      <c r="D16" s="9">
        <f>COUNTIFS('S14 Students Competitive Exams'!G2:G1009, "=S14: Students Competitive Exams", 'S14 Students Competitive Exams'!F2:F1009, "=2016-2020")</f>
        <v>0</v>
      </c>
      <c r="E16" s="9">
        <f>COUNTIFS('S14 Students Competitive Exams'!G2:G1009, "=S14: Students Competitive Exams", 'S14 Students Competitive Exams'!F2:F1009, "=2017-2021")</f>
        <v>0</v>
      </c>
      <c r="F16" s="9">
        <f>COUNTIFS('S14 Students Competitive Exams'!G2:G1009, "=S14: Students Competitive Exams", 'S14 Students Competitive Exams'!F2:F1009, "=2018-2022")</f>
        <v>7</v>
      </c>
      <c r="G16" s="9">
        <f>COUNTIFS('S14 Students Competitive Exams'!G2:G1009, "=S14: Students Competitive Exams", 'S14 Students Competitive Exams'!F2:F1009, "=2019-2023")</f>
        <v>3</v>
      </c>
      <c r="H16" s="9">
        <f>COUNTIFS('S14 Students Competitive Exams'!G2:G1009, "=S14: Students Competitive Exams", 'S14 Students Competitive Exams'!F2:F1009, "=2020-2024")</f>
        <v>0</v>
      </c>
      <c r="I16" s="9">
        <f>COUNTIFS('S14 Students Competitive Exams'!G2:G1009, "=S14: Students Competitive Exams", 'S14 Students Competitive Exams'!F2:F1009, "=2021-2025")</f>
        <v>0</v>
      </c>
    </row>
    <row r="17" ht="28.5" customHeight="1">
      <c r="A17" s="7" t="s">
        <v>24</v>
      </c>
      <c r="B17" s="9">
        <f>COUNTIFS('S15 Students Industry Visit'!B2:B1010, "=S15: Students Industry Visit", 'S15 Students Industry Visit'!A2:A1010, "=2014-2018")</f>
        <v>0</v>
      </c>
      <c r="C17" s="9">
        <f>COUNTIFS('S15 Students Industry Visit'!B2:B1010, "=S15: Students Industry Visit", 'S15 Students Industry Visit'!A2:A1010, "=2015-2019")</f>
        <v>0</v>
      </c>
      <c r="D17" s="9">
        <f>COUNTIFS('S15 Students Industry Visit'!B2:B1010, "=S15: Students Industry Visit", 'S15 Students Industry Visit'!A2:A1010, "=2016-2020")</f>
        <v>0</v>
      </c>
      <c r="E17" s="9">
        <f>COUNTIFS('S15 Students Industry Visit'!B2:B1010, "=S15: Students Industry Visit", 'S15 Students Industry Visit'!A2:A1010, "=2017-2021")</f>
        <v>0</v>
      </c>
      <c r="F17" s="9">
        <f>COUNTIFS('S15 Students Industry Visit'!B2:B1010, "=S15: Students Industry Visit", 'S15 Students Industry Visit'!A2:A1010, "=2018-2022")</f>
        <v>0</v>
      </c>
      <c r="G17" s="9">
        <f>COUNTIFS('S15 Students Industry Visit'!B2:B1010, "=S15: Students Industry Visit", 'S15 Students Industry Visit'!A2:A1010, "=2019-2023")</f>
        <v>0</v>
      </c>
      <c r="H17" s="9">
        <f>COUNTIFS('S15 Students Industry Visit'!B2:B1010, "=S15: Students Industry Visit", 'S15 Students Industry Visit'!A2:A1010, "=2020-2024")</f>
        <v>0</v>
      </c>
      <c r="I17" s="9">
        <f>COUNTIFS('S15 Students Industry Visit'!B2:B1010, "=S15: Students Industry Visit", 'S15 Students Industry Visit'!A2:A1010, "=2021-2025")</f>
        <v>0</v>
      </c>
    </row>
    <row r="18" ht="28.5" customHeight="1">
      <c r="A18" s="7" t="s">
        <v>25</v>
      </c>
      <c r="B18" s="9">
        <f>COUNTIFS('S16 Students Social Service Pro'!B2:B1011, "=S16: Students Social Service Programs", 'S16 Students Social Service Pro'!A2:A1011, "=2014-2018")</f>
        <v>0</v>
      </c>
      <c r="C18" s="9">
        <f>COUNTIFS('S16 Students Social Service Pro'!B2:B1011, "=S16: Students Social Service Programs", 'S16 Students Social Service Pro'!A2:A1011, "=2015-2019")</f>
        <v>0</v>
      </c>
      <c r="D18" s="9">
        <f>COUNTIFS('S16 Students Social Service Pro'!B2:B1011, "=S16: Students Social Service Programs", 'S16 Students Social Service Pro'!A2:A1011, "=2016-2020")</f>
        <v>0</v>
      </c>
      <c r="E18" s="9">
        <f>COUNTIFS('S16 Students Social Service Pro'!B2:B1011, "=S16: Students Social Service Programs", 'S16 Students Social Service Pro'!A2:A1011, "=2017-2021")</f>
        <v>0</v>
      </c>
      <c r="F18" s="9">
        <f>COUNTIFS('S16 Students Social Service Pro'!B2:B1011, "=S16: Students Social Service Programs", 'S16 Students Social Service Pro'!A2:A1011, "=2018-2022")</f>
        <v>5</v>
      </c>
      <c r="G18" s="9">
        <f>COUNTIFS('S16 Students Social Service Pro'!B2:B1011, "=S16: Students Social Service Programs", 'S16 Students Social Service Pro'!A2:A1011, "=2019-2023")</f>
        <v>1</v>
      </c>
      <c r="H18" s="9">
        <f>COUNTIFS('S16 Students Social Service Pro'!B2:B1011, "=S16: Students Social Service Programs", 'S16 Students Social Service Pro'!A2:A1011, "=2020-2024")</f>
        <v>0</v>
      </c>
      <c r="I18" s="9">
        <f>COUNTIFS('S16 Students Social Service Pro'!B2:B1011, "=S16: Students Social Service Programs", 'S16 Students Social Service Pro'!A2:A1011, "=2021-2025")</f>
        <v>0</v>
      </c>
    </row>
    <row r="19" ht="28.5" customHeight="1">
      <c r="A19" s="7" t="s">
        <v>26</v>
      </c>
      <c r="B19" s="9">
        <f>COUNTIFS('S17 Students Leadership &amp; Volun'!B2:B1012, "=S17: Students Leadership &amp; Volunteering Activities", 'S17 Students Leadership &amp; Volun'!A2:A1012, "=2014-2018")</f>
        <v>0</v>
      </c>
      <c r="C19" s="9">
        <f>COUNTIFS('S17 Students Leadership &amp; Volun'!B2:B1012, "=S17: Students Leadership &amp; Volunteering Activities", 'S17 Students Leadership &amp; Volun'!A2:A1012, "=2015-2019")</f>
        <v>0</v>
      </c>
      <c r="D19" s="9">
        <f>COUNTIFS('S17 Students Leadership &amp; Volun'!B2:B1012, "=S17: Students Leadership &amp; Volunteering Activities", 'S17 Students Leadership &amp; Volun'!A2:A1012, "=2016-2020")</f>
        <v>0</v>
      </c>
      <c r="E19" s="9">
        <f>COUNTIFS('S17 Students Leadership &amp; Volun'!B2:B1012, "=S17: Students Leadership &amp; Volunteering Activities", 'S17 Students Leadership &amp; Volun'!A2:A1012, "=2017-2021")</f>
        <v>0</v>
      </c>
      <c r="F19" s="9">
        <f>COUNTIFS('S17 Students Leadership &amp; Volun'!B2:B1012, "=S17: Students Leadership &amp; Volunteering Activities", 'S17 Students Leadership &amp; Volun'!A2:A1012, "=2018-2022")</f>
        <v>4</v>
      </c>
      <c r="G19" s="9">
        <f>COUNTIFS('S17 Students Leadership &amp; Volun'!B2:B1012, "=S17: Students Leadership &amp; Volunteering Activities", 'S17 Students Leadership &amp; Volun'!A2:A1012, "=2019-2023")</f>
        <v>2</v>
      </c>
      <c r="H19" s="9">
        <f>COUNTIFS('S17 Students Leadership &amp; Volun'!B2:B1012, "=S17: Students Leadership &amp; Volunteering Activities", 'S17 Students Leadership &amp; Volun'!A2:A1012, "=2020-2024")</f>
        <v>0</v>
      </c>
      <c r="I19" s="9">
        <f>COUNTIFS('S17 Students Leadership &amp; Volun'!B2:B1012, "=S17: Students Leadership &amp; Volunteering Activities", 'S17 Students Leadership &amp; Volun'!A2:A1012, "=2021-2025")</f>
        <v>0</v>
      </c>
    </row>
    <row r="20" ht="28.5" customHeight="1">
      <c r="A20" s="7" t="s">
        <v>27</v>
      </c>
      <c r="B20" s="9">
        <f>COUNTIFS('S18 Students Placements'!B2:B1013, "=S18: Students Placements", 'S18 Students Placements'!A2:A1013, "=2014-2018")</f>
        <v>0</v>
      </c>
      <c r="C20" s="9">
        <f>COUNTIFS('S18 Students Placements'!B2:B1013, "=S18: Students Placements", 'S18 Students Placements'!A2:A1013, "=2015-2019")</f>
        <v>0</v>
      </c>
      <c r="D20" s="9">
        <f>COUNTIFS('S18 Students Placements'!B2:B1013, "=S18: Students Placements", 'S18 Students Placements'!A2:A1013, "=2016-2020")</f>
        <v>0</v>
      </c>
      <c r="E20" s="9">
        <f>COUNTIFS('S18 Students Placements'!B2:B1013, "=S18: Students Placements", 'S18 Students Placements'!A2:A1013, "=2017-2021")</f>
        <v>0</v>
      </c>
      <c r="F20" s="9">
        <f>COUNTIFS('S18 Students Placements'!B2:B1013, "=S18: Students Placements", 'S18 Students Placements'!A2:A1013, "=2018-2022")</f>
        <v>53</v>
      </c>
      <c r="G20" s="9">
        <f>COUNTIFS('S18 Students Placements'!B2:B1013, "=S18: Students Placements", 'S18 Students Placements'!A2:A1013, "=2019-2023")</f>
        <v>0</v>
      </c>
      <c r="H20" s="9">
        <f>COUNTIFS('S18 Students Placements'!B2:B1013, "=S18: Students Placements", 'S18 Students Placements'!A2:A1013, "=2020-2024")</f>
        <v>0</v>
      </c>
      <c r="I20" s="9">
        <f>COUNTIFS('S18 Students Placements'!B2:B1013, "=S18: Students Placements", 'S18 Students Placements'!A2:A1013, "=2021-2025")</f>
        <v>0</v>
      </c>
    </row>
    <row r="21" ht="28.5" customHeight="1">
      <c r="B21" s="14"/>
      <c r="C21" s="14"/>
      <c r="D21" s="14"/>
      <c r="E21" s="14"/>
      <c r="F21" s="14"/>
      <c r="G21" s="14"/>
      <c r="H21" s="14"/>
      <c r="I21" s="14"/>
    </row>
    <row r="22" ht="28.5" customHeight="1">
      <c r="A22" s="4"/>
      <c r="B22" s="14"/>
      <c r="C22" s="14"/>
      <c r="D22" s="14"/>
      <c r="E22" s="14"/>
      <c r="F22" s="14"/>
      <c r="G22" s="14"/>
      <c r="H22" s="14"/>
      <c r="I22" s="14"/>
    </row>
    <row r="23" ht="28.5" customHeight="1">
      <c r="A23" s="4"/>
      <c r="B23" s="14"/>
      <c r="C23" s="14"/>
      <c r="D23" s="14"/>
      <c r="E23" s="14"/>
      <c r="F23" s="14"/>
      <c r="G23" s="14"/>
      <c r="H23" s="14"/>
      <c r="I23" s="14"/>
    </row>
    <row r="24" ht="28.5" customHeight="1">
      <c r="A24" s="4"/>
      <c r="B24" s="14"/>
      <c r="C24" s="14"/>
      <c r="D24" s="14"/>
      <c r="E24" s="14"/>
      <c r="F24" s="14"/>
      <c r="G24" s="14"/>
      <c r="H24" s="14"/>
      <c r="I24" s="14"/>
    </row>
    <row r="25" ht="28.5" customHeight="1">
      <c r="A25" s="4"/>
      <c r="B25" s="14"/>
      <c r="C25" s="14"/>
      <c r="D25" s="14"/>
      <c r="E25" s="14"/>
      <c r="F25" s="14"/>
      <c r="G25" s="14"/>
      <c r="H25" s="14"/>
      <c r="I25" s="14"/>
    </row>
    <row r="26" ht="28.5" customHeight="1">
      <c r="A26" s="4"/>
      <c r="B26" s="14"/>
      <c r="C26" s="14"/>
      <c r="D26" s="14"/>
      <c r="E26" s="14"/>
      <c r="F26" s="14"/>
      <c r="G26" s="14"/>
      <c r="H26" s="14"/>
      <c r="I26" s="14"/>
    </row>
    <row r="27" ht="28.5" customHeight="1">
      <c r="A27" s="4"/>
      <c r="B27" s="14"/>
      <c r="C27" s="14"/>
      <c r="D27" s="14"/>
      <c r="E27" s="14"/>
      <c r="F27" s="14"/>
      <c r="G27" s="14"/>
      <c r="H27" s="14"/>
      <c r="I27" s="14"/>
    </row>
    <row r="28" ht="28.5" customHeight="1">
      <c r="A28" s="4"/>
      <c r="B28" s="14"/>
      <c r="C28" s="14"/>
      <c r="D28" s="14"/>
      <c r="E28" s="14"/>
      <c r="F28" s="14"/>
      <c r="G28" s="14"/>
      <c r="H28" s="14"/>
      <c r="I28" s="14"/>
    </row>
    <row r="29" ht="28.5" customHeight="1">
      <c r="A29" s="4"/>
      <c r="B29" s="14"/>
      <c r="C29" s="14"/>
      <c r="D29" s="14"/>
      <c r="E29" s="14"/>
      <c r="F29" s="14"/>
      <c r="G29" s="14"/>
      <c r="H29" s="14"/>
      <c r="I29" s="14"/>
    </row>
    <row r="30" ht="28.5" customHeight="1">
      <c r="A30" s="4"/>
      <c r="B30" s="14"/>
      <c r="C30" s="14"/>
      <c r="D30" s="14"/>
      <c r="E30" s="14"/>
      <c r="F30" s="14"/>
      <c r="G30" s="14"/>
      <c r="H30" s="14"/>
      <c r="I30" s="14"/>
    </row>
    <row r="31" ht="28.5" customHeight="1">
      <c r="A31" s="4"/>
      <c r="B31" s="14"/>
      <c r="C31" s="14"/>
      <c r="D31" s="14"/>
      <c r="E31" s="14"/>
      <c r="F31" s="14"/>
      <c r="G31" s="14"/>
      <c r="H31" s="14"/>
      <c r="I31" s="14"/>
    </row>
    <row r="32" ht="28.5" customHeight="1">
      <c r="A32" s="4"/>
      <c r="B32" s="14"/>
      <c r="C32" s="14"/>
      <c r="D32" s="14"/>
      <c r="E32" s="14"/>
      <c r="F32" s="14"/>
      <c r="G32" s="14"/>
      <c r="H32" s="14"/>
      <c r="I32" s="14"/>
    </row>
    <row r="33" ht="28.5" customHeight="1">
      <c r="A33" s="4"/>
      <c r="B33" s="14"/>
      <c r="C33" s="14"/>
      <c r="D33" s="14"/>
      <c r="E33" s="14"/>
      <c r="F33" s="14"/>
      <c r="G33" s="14"/>
      <c r="H33" s="14"/>
      <c r="I33" s="14"/>
    </row>
    <row r="34" ht="28.5" customHeight="1">
      <c r="A34" s="4"/>
      <c r="B34" s="14"/>
      <c r="C34" s="14"/>
      <c r="D34" s="14"/>
      <c r="E34" s="14"/>
      <c r="F34" s="14"/>
      <c r="G34" s="14"/>
      <c r="H34" s="14"/>
      <c r="I34" s="14"/>
    </row>
    <row r="35" ht="28.5" customHeight="1">
      <c r="A35" s="4"/>
      <c r="B35" s="14"/>
      <c r="C35" s="14"/>
      <c r="D35" s="14"/>
      <c r="E35" s="14"/>
      <c r="F35" s="14"/>
      <c r="G35" s="14"/>
      <c r="H35" s="14"/>
      <c r="I35" s="14"/>
    </row>
    <row r="36" ht="28.5" customHeight="1">
      <c r="A36" s="4"/>
      <c r="B36" s="14"/>
      <c r="C36" s="14"/>
      <c r="D36" s="14"/>
      <c r="E36" s="14"/>
      <c r="F36" s="14"/>
      <c r="G36" s="14"/>
      <c r="H36" s="14"/>
      <c r="I36" s="14"/>
    </row>
    <row r="37" ht="28.5" customHeight="1">
      <c r="A37" s="4"/>
      <c r="B37" s="14"/>
      <c r="C37" s="14"/>
      <c r="D37" s="14"/>
      <c r="E37" s="14"/>
      <c r="F37" s="14"/>
      <c r="G37" s="14"/>
      <c r="H37" s="14"/>
      <c r="I37" s="14"/>
    </row>
    <row r="38" ht="28.5" customHeight="1">
      <c r="A38" s="4"/>
      <c r="B38" s="14"/>
      <c r="C38" s="14"/>
      <c r="D38" s="14"/>
      <c r="E38" s="14"/>
      <c r="F38" s="14"/>
      <c r="G38" s="14"/>
      <c r="H38" s="14"/>
      <c r="I38" s="14"/>
    </row>
    <row r="39" ht="28.5" customHeight="1">
      <c r="A39" s="4"/>
      <c r="B39" s="14"/>
      <c r="C39" s="14"/>
      <c r="D39" s="14"/>
      <c r="E39" s="14"/>
      <c r="F39" s="14"/>
      <c r="G39" s="14"/>
      <c r="H39" s="14"/>
      <c r="I39" s="14"/>
    </row>
    <row r="40" ht="28.5" customHeight="1">
      <c r="A40" s="4"/>
      <c r="B40" s="14"/>
      <c r="C40" s="14"/>
      <c r="D40" s="14"/>
      <c r="E40" s="14"/>
      <c r="F40" s="14"/>
      <c r="G40" s="14"/>
      <c r="H40" s="14"/>
      <c r="I40" s="14"/>
    </row>
    <row r="41" ht="28.5" customHeight="1">
      <c r="A41" s="4"/>
      <c r="B41" s="14"/>
      <c r="C41" s="14"/>
      <c r="D41" s="14"/>
      <c r="E41" s="14"/>
      <c r="F41" s="14"/>
      <c r="G41" s="14"/>
      <c r="H41" s="14"/>
      <c r="I41" s="14"/>
    </row>
    <row r="42" ht="28.5" customHeight="1">
      <c r="A42" s="4"/>
      <c r="B42" s="14"/>
      <c r="C42" s="14"/>
      <c r="D42" s="14"/>
      <c r="E42" s="14"/>
      <c r="F42" s="14"/>
      <c r="G42" s="14"/>
      <c r="H42" s="14"/>
      <c r="I42" s="14"/>
    </row>
    <row r="43" ht="28.5" customHeight="1">
      <c r="A43" s="4"/>
      <c r="B43" s="14"/>
      <c r="C43" s="14"/>
      <c r="D43" s="14"/>
      <c r="E43" s="14"/>
      <c r="F43" s="14"/>
      <c r="G43" s="14"/>
      <c r="H43" s="14"/>
      <c r="I43" s="14"/>
    </row>
    <row r="44" ht="28.5" customHeight="1">
      <c r="A44" s="4"/>
      <c r="B44" s="14"/>
      <c r="C44" s="14"/>
      <c r="D44" s="14"/>
      <c r="E44" s="14"/>
      <c r="F44" s="14"/>
      <c r="G44" s="14"/>
      <c r="H44" s="14"/>
      <c r="I44" s="14"/>
    </row>
    <row r="45" ht="28.5" customHeight="1">
      <c r="A45" s="4"/>
      <c r="B45" s="14"/>
      <c r="C45" s="14"/>
      <c r="D45" s="14"/>
      <c r="E45" s="14"/>
      <c r="F45" s="14"/>
      <c r="G45" s="14"/>
      <c r="H45" s="14"/>
      <c r="I45" s="14"/>
    </row>
    <row r="46" ht="28.5" customHeight="1">
      <c r="A46" s="4"/>
      <c r="B46" s="14"/>
      <c r="C46" s="14"/>
      <c r="D46" s="14"/>
      <c r="E46" s="14"/>
      <c r="F46" s="14"/>
      <c r="G46" s="14"/>
      <c r="H46" s="14"/>
      <c r="I46" s="14"/>
    </row>
    <row r="47" ht="28.5" customHeight="1">
      <c r="A47" s="4"/>
      <c r="B47" s="14"/>
      <c r="C47" s="14"/>
      <c r="D47" s="14"/>
      <c r="E47" s="14"/>
      <c r="F47" s="14"/>
      <c r="G47" s="14"/>
      <c r="H47" s="14"/>
      <c r="I47" s="14"/>
    </row>
    <row r="48" ht="28.5" customHeight="1">
      <c r="A48" s="4"/>
      <c r="B48" s="14"/>
      <c r="C48" s="14"/>
      <c r="D48" s="14"/>
      <c r="E48" s="14"/>
      <c r="F48" s="14"/>
      <c r="G48" s="14"/>
      <c r="H48" s="14"/>
      <c r="I48" s="14"/>
    </row>
    <row r="49" ht="28.5" customHeight="1">
      <c r="A49" s="4"/>
      <c r="B49" s="14"/>
      <c r="C49" s="14"/>
      <c r="D49" s="14"/>
      <c r="E49" s="14"/>
      <c r="F49" s="14"/>
      <c r="G49" s="14"/>
      <c r="H49" s="14"/>
      <c r="I49" s="14"/>
    </row>
    <row r="50" ht="28.5" customHeight="1">
      <c r="A50" s="4"/>
      <c r="B50" s="14"/>
      <c r="C50" s="14"/>
      <c r="D50" s="14"/>
      <c r="E50" s="14"/>
      <c r="F50" s="14"/>
      <c r="G50" s="14"/>
      <c r="H50" s="14"/>
      <c r="I50" s="14"/>
    </row>
    <row r="51" ht="28.5" customHeight="1">
      <c r="A51" s="4"/>
      <c r="B51" s="14"/>
      <c r="C51" s="14"/>
      <c r="D51" s="14"/>
      <c r="E51" s="14"/>
      <c r="F51" s="14"/>
      <c r="G51" s="14"/>
      <c r="H51" s="14"/>
      <c r="I51" s="14"/>
    </row>
    <row r="52" ht="28.5" customHeight="1">
      <c r="A52" s="4"/>
      <c r="B52" s="14"/>
      <c r="C52" s="14"/>
      <c r="D52" s="14"/>
      <c r="E52" s="14"/>
      <c r="F52" s="14"/>
      <c r="G52" s="14"/>
      <c r="H52" s="14"/>
      <c r="I52" s="14"/>
    </row>
    <row r="53" ht="28.5" customHeight="1">
      <c r="A53" s="4"/>
      <c r="B53" s="14"/>
      <c r="C53" s="14"/>
      <c r="D53" s="14"/>
      <c r="E53" s="14"/>
      <c r="F53" s="14"/>
      <c r="G53" s="14"/>
      <c r="H53" s="14"/>
      <c r="I53" s="14"/>
    </row>
    <row r="54" ht="28.5" customHeight="1">
      <c r="A54" s="4"/>
      <c r="B54" s="14"/>
      <c r="C54" s="14"/>
      <c r="D54" s="14"/>
      <c r="E54" s="14"/>
      <c r="F54" s="14"/>
      <c r="G54" s="14"/>
      <c r="H54" s="14"/>
      <c r="I54" s="14"/>
    </row>
    <row r="55" ht="28.5" customHeight="1">
      <c r="A55" s="4"/>
      <c r="B55" s="14"/>
      <c r="C55" s="14"/>
      <c r="D55" s="14"/>
      <c r="E55" s="14"/>
      <c r="F55" s="14"/>
      <c r="G55" s="14"/>
      <c r="H55" s="14"/>
      <c r="I55" s="14"/>
    </row>
    <row r="56" ht="28.5" customHeight="1">
      <c r="A56" s="4"/>
      <c r="B56" s="14"/>
      <c r="C56" s="14"/>
      <c r="D56" s="14"/>
      <c r="E56" s="14"/>
      <c r="F56" s="14"/>
      <c r="G56" s="14"/>
      <c r="H56" s="14"/>
      <c r="I56" s="14"/>
    </row>
    <row r="57" ht="28.5" customHeight="1">
      <c r="A57" s="4"/>
      <c r="B57" s="14"/>
      <c r="C57" s="14"/>
      <c r="D57" s="14"/>
      <c r="E57" s="14"/>
      <c r="F57" s="14"/>
      <c r="G57" s="14"/>
      <c r="H57" s="14"/>
      <c r="I57" s="14"/>
    </row>
    <row r="58" ht="28.5" customHeight="1">
      <c r="A58" s="4"/>
      <c r="B58" s="14"/>
      <c r="C58" s="14"/>
      <c r="D58" s="14"/>
      <c r="E58" s="14"/>
      <c r="F58" s="14"/>
      <c r="G58" s="14"/>
      <c r="H58" s="14"/>
      <c r="I58" s="14"/>
    </row>
    <row r="59" ht="28.5" customHeight="1">
      <c r="A59" s="4"/>
      <c r="B59" s="14"/>
      <c r="C59" s="14"/>
      <c r="D59" s="14"/>
      <c r="E59" s="14"/>
      <c r="F59" s="14"/>
      <c r="G59" s="14"/>
      <c r="H59" s="14"/>
      <c r="I59" s="14"/>
    </row>
    <row r="60" ht="28.5" customHeight="1">
      <c r="A60" s="4"/>
      <c r="B60" s="14"/>
      <c r="C60" s="14"/>
      <c r="D60" s="14"/>
      <c r="E60" s="14"/>
      <c r="F60" s="14"/>
      <c r="G60" s="14"/>
      <c r="H60" s="14"/>
      <c r="I60" s="14"/>
    </row>
    <row r="61" ht="28.5" customHeight="1">
      <c r="A61" s="4"/>
      <c r="B61" s="14"/>
      <c r="C61" s="14"/>
      <c r="D61" s="14"/>
      <c r="E61" s="14"/>
      <c r="F61" s="14"/>
      <c r="G61" s="14"/>
      <c r="H61" s="14"/>
      <c r="I61" s="14"/>
    </row>
    <row r="62" ht="28.5" customHeight="1">
      <c r="A62" s="4"/>
      <c r="B62" s="14"/>
      <c r="C62" s="14"/>
      <c r="D62" s="14"/>
      <c r="E62" s="14"/>
      <c r="F62" s="14"/>
      <c r="G62" s="14"/>
      <c r="H62" s="14"/>
      <c r="I62" s="14"/>
    </row>
    <row r="63" ht="28.5" customHeight="1">
      <c r="A63" s="4"/>
      <c r="B63" s="14"/>
      <c r="C63" s="14"/>
      <c r="D63" s="14"/>
      <c r="E63" s="14"/>
      <c r="F63" s="14"/>
      <c r="G63" s="14"/>
      <c r="H63" s="14"/>
      <c r="I63" s="14"/>
    </row>
    <row r="64" ht="28.5" customHeight="1">
      <c r="A64" s="4"/>
      <c r="B64" s="14"/>
      <c r="C64" s="14"/>
      <c r="D64" s="14"/>
      <c r="E64" s="14"/>
      <c r="F64" s="14"/>
      <c r="G64" s="14"/>
      <c r="H64" s="14"/>
      <c r="I64" s="14"/>
    </row>
    <row r="65" ht="28.5" customHeight="1">
      <c r="A65" s="4"/>
      <c r="B65" s="14"/>
      <c r="C65" s="14"/>
      <c r="D65" s="14"/>
      <c r="E65" s="14"/>
      <c r="F65" s="14"/>
      <c r="G65" s="14"/>
      <c r="H65" s="14"/>
      <c r="I65" s="14"/>
    </row>
    <row r="66" ht="28.5" customHeight="1">
      <c r="A66" s="4"/>
      <c r="B66" s="14"/>
      <c r="C66" s="14"/>
      <c r="D66" s="14"/>
      <c r="E66" s="14"/>
      <c r="F66" s="14"/>
      <c r="G66" s="14"/>
      <c r="H66" s="14"/>
      <c r="I66" s="14"/>
    </row>
    <row r="67" ht="28.5" customHeight="1">
      <c r="A67" s="4"/>
      <c r="B67" s="14"/>
      <c r="C67" s="14"/>
      <c r="D67" s="14"/>
      <c r="E67" s="14"/>
      <c r="F67" s="14"/>
      <c r="G67" s="14"/>
      <c r="H67" s="14"/>
      <c r="I67" s="14"/>
    </row>
    <row r="68" ht="28.5" customHeight="1">
      <c r="A68" s="4"/>
      <c r="B68" s="14"/>
      <c r="C68" s="14"/>
      <c r="D68" s="14"/>
      <c r="E68" s="14"/>
      <c r="F68" s="14"/>
      <c r="G68" s="14"/>
      <c r="H68" s="14"/>
      <c r="I68" s="14"/>
    </row>
    <row r="69" ht="28.5" customHeight="1">
      <c r="A69" s="4"/>
      <c r="B69" s="14"/>
      <c r="C69" s="14"/>
      <c r="D69" s="14"/>
      <c r="E69" s="14"/>
      <c r="F69" s="14"/>
      <c r="G69" s="14"/>
      <c r="H69" s="14"/>
      <c r="I69" s="14"/>
    </row>
    <row r="70" ht="28.5" customHeight="1">
      <c r="A70" s="4"/>
      <c r="B70" s="14"/>
      <c r="C70" s="14"/>
      <c r="D70" s="14"/>
      <c r="E70" s="14"/>
      <c r="F70" s="14"/>
      <c r="G70" s="14"/>
      <c r="H70" s="14"/>
      <c r="I70" s="14"/>
    </row>
    <row r="71" ht="28.5" customHeight="1">
      <c r="A71" s="4"/>
      <c r="B71" s="14"/>
      <c r="C71" s="14"/>
      <c r="D71" s="14"/>
      <c r="E71" s="14"/>
      <c r="F71" s="14"/>
      <c r="G71" s="14"/>
      <c r="H71" s="14"/>
      <c r="I71" s="14"/>
    </row>
    <row r="72" ht="28.5" customHeight="1">
      <c r="A72" s="4"/>
      <c r="B72" s="14"/>
      <c r="C72" s="14"/>
      <c r="D72" s="14"/>
      <c r="E72" s="14"/>
      <c r="F72" s="14"/>
      <c r="G72" s="14"/>
      <c r="H72" s="14"/>
      <c r="I72" s="14"/>
    </row>
    <row r="73" ht="28.5" customHeight="1">
      <c r="A73" s="4"/>
      <c r="B73" s="14"/>
      <c r="C73" s="14"/>
      <c r="D73" s="14"/>
      <c r="E73" s="14"/>
      <c r="F73" s="14"/>
      <c r="G73" s="14"/>
      <c r="H73" s="14"/>
      <c r="I73" s="14"/>
    </row>
    <row r="74" ht="28.5" customHeight="1">
      <c r="A74" s="4"/>
      <c r="B74" s="14"/>
      <c r="C74" s="14"/>
      <c r="D74" s="14"/>
      <c r="E74" s="14"/>
      <c r="F74" s="14"/>
      <c r="G74" s="14"/>
      <c r="H74" s="14"/>
      <c r="I74" s="14"/>
    </row>
    <row r="75" ht="28.5" customHeight="1">
      <c r="A75" s="4"/>
      <c r="B75" s="14"/>
      <c r="C75" s="14"/>
      <c r="D75" s="14"/>
      <c r="E75" s="14"/>
      <c r="F75" s="14"/>
      <c r="G75" s="14"/>
      <c r="H75" s="14"/>
      <c r="I75" s="14"/>
    </row>
    <row r="76" ht="28.5" customHeight="1">
      <c r="A76" s="4"/>
      <c r="B76" s="14"/>
      <c r="C76" s="14"/>
      <c r="D76" s="14"/>
      <c r="E76" s="14"/>
      <c r="F76" s="14"/>
      <c r="G76" s="14"/>
      <c r="H76" s="14"/>
      <c r="I76" s="14"/>
    </row>
    <row r="77" ht="28.5" customHeight="1">
      <c r="A77" s="4"/>
      <c r="B77" s="14"/>
      <c r="C77" s="14"/>
      <c r="D77" s="14"/>
      <c r="E77" s="14"/>
      <c r="F77" s="14"/>
      <c r="G77" s="14"/>
      <c r="H77" s="14"/>
      <c r="I77" s="14"/>
    </row>
    <row r="78" ht="28.5" customHeight="1">
      <c r="A78" s="4"/>
      <c r="B78" s="14"/>
      <c r="C78" s="14"/>
      <c r="D78" s="14"/>
      <c r="E78" s="14"/>
      <c r="F78" s="14"/>
      <c r="G78" s="14"/>
      <c r="H78" s="14"/>
      <c r="I78" s="14"/>
    </row>
    <row r="79" ht="28.5" customHeight="1">
      <c r="A79" s="4"/>
      <c r="B79" s="14"/>
      <c r="C79" s="14"/>
      <c r="D79" s="14"/>
      <c r="E79" s="14"/>
      <c r="F79" s="14"/>
      <c r="G79" s="14"/>
      <c r="H79" s="14"/>
      <c r="I79" s="14"/>
    </row>
    <row r="80" ht="28.5" customHeight="1">
      <c r="A80" s="4"/>
      <c r="B80" s="14"/>
      <c r="C80" s="14"/>
      <c r="D80" s="14"/>
      <c r="E80" s="14"/>
      <c r="F80" s="14"/>
      <c r="G80" s="14"/>
      <c r="H80" s="14"/>
      <c r="I80" s="14"/>
    </row>
    <row r="81" ht="28.5" customHeight="1">
      <c r="A81" s="4"/>
      <c r="B81" s="14"/>
      <c r="C81" s="14"/>
      <c r="D81" s="14"/>
      <c r="E81" s="14"/>
      <c r="F81" s="14"/>
      <c r="G81" s="14"/>
      <c r="H81" s="14"/>
      <c r="I81" s="14"/>
    </row>
    <row r="82" ht="28.5" customHeight="1">
      <c r="A82" s="4"/>
      <c r="B82" s="14"/>
      <c r="C82" s="14"/>
      <c r="D82" s="14"/>
      <c r="E82" s="14"/>
      <c r="F82" s="14"/>
      <c r="G82" s="14"/>
      <c r="H82" s="14"/>
      <c r="I82" s="14"/>
    </row>
    <row r="83" ht="28.5" customHeight="1">
      <c r="A83" s="4"/>
      <c r="B83" s="14"/>
      <c r="C83" s="14"/>
      <c r="D83" s="14"/>
      <c r="E83" s="14"/>
      <c r="F83" s="14"/>
      <c r="G83" s="14"/>
      <c r="H83" s="14"/>
      <c r="I83" s="14"/>
    </row>
    <row r="84" ht="28.5" customHeight="1">
      <c r="A84" s="4"/>
      <c r="B84" s="14"/>
      <c r="C84" s="14"/>
      <c r="D84" s="14"/>
      <c r="E84" s="14"/>
      <c r="F84" s="14"/>
      <c r="G84" s="14"/>
      <c r="H84" s="14"/>
      <c r="I84" s="14"/>
    </row>
    <row r="85" ht="28.5" customHeight="1">
      <c r="A85" s="4"/>
      <c r="B85" s="14"/>
      <c r="C85" s="14"/>
      <c r="D85" s="14"/>
      <c r="E85" s="14"/>
      <c r="F85" s="14"/>
      <c r="G85" s="14"/>
      <c r="H85" s="14"/>
      <c r="I85" s="14"/>
    </row>
    <row r="86" ht="28.5" customHeight="1">
      <c r="A86" s="4"/>
      <c r="B86" s="14"/>
      <c r="C86" s="14"/>
      <c r="D86" s="14"/>
      <c r="E86" s="14"/>
      <c r="F86" s="14"/>
      <c r="G86" s="14"/>
      <c r="H86" s="14"/>
      <c r="I86" s="14"/>
    </row>
    <row r="87" ht="28.5" customHeight="1">
      <c r="A87" s="4"/>
      <c r="B87" s="14"/>
      <c r="C87" s="14"/>
      <c r="D87" s="14"/>
      <c r="E87" s="14"/>
      <c r="F87" s="14"/>
      <c r="G87" s="14"/>
      <c r="H87" s="14"/>
      <c r="I87" s="14"/>
    </row>
    <row r="88" ht="28.5" customHeight="1">
      <c r="A88" s="4"/>
      <c r="B88" s="14"/>
      <c r="C88" s="14"/>
      <c r="D88" s="14"/>
      <c r="E88" s="14"/>
      <c r="F88" s="14"/>
      <c r="G88" s="14"/>
      <c r="H88" s="14"/>
      <c r="I88" s="14"/>
    </row>
    <row r="89" ht="28.5" customHeight="1">
      <c r="A89" s="4"/>
      <c r="B89" s="14"/>
      <c r="C89" s="14"/>
      <c r="D89" s="14"/>
      <c r="E89" s="14"/>
      <c r="F89" s="14"/>
      <c r="G89" s="14"/>
      <c r="H89" s="14"/>
      <c r="I89" s="14"/>
    </row>
    <row r="90" ht="28.5" customHeight="1">
      <c r="A90" s="4"/>
      <c r="B90" s="14"/>
      <c r="C90" s="14"/>
      <c r="D90" s="14"/>
      <c r="E90" s="14"/>
      <c r="F90" s="14"/>
      <c r="G90" s="14"/>
      <c r="H90" s="14"/>
      <c r="I90" s="14"/>
    </row>
    <row r="91" ht="28.5" customHeight="1">
      <c r="A91" s="4"/>
      <c r="B91" s="14"/>
      <c r="C91" s="14"/>
      <c r="D91" s="14"/>
      <c r="E91" s="14"/>
      <c r="F91" s="14"/>
      <c r="G91" s="14"/>
      <c r="H91" s="14"/>
      <c r="I91" s="14"/>
    </row>
    <row r="92" ht="28.5" customHeight="1">
      <c r="A92" s="4"/>
      <c r="B92" s="14"/>
      <c r="C92" s="14"/>
      <c r="D92" s="14"/>
      <c r="E92" s="14"/>
      <c r="F92" s="14"/>
      <c r="G92" s="14"/>
      <c r="H92" s="14"/>
      <c r="I92" s="14"/>
    </row>
    <row r="93" ht="28.5" customHeight="1">
      <c r="A93" s="4"/>
      <c r="B93" s="14"/>
      <c r="C93" s="14"/>
      <c r="D93" s="14"/>
      <c r="E93" s="14"/>
      <c r="F93" s="14"/>
      <c r="G93" s="14"/>
      <c r="H93" s="14"/>
      <c r="I93" s="14"/>
    </row>
    <row r="94" ht="28.5" customHeight="1">
      <c r="A94" s="4"/>
      <c r="B94" s="14"/>
      <c r="C94" s="14"/>
      <c r="D94" s="14"/>
      <c r="E94" s="14"/>
      <c r="F94" s="14"/>
      <c r="G94" s="14"/>
      <c r="H94" s="14"/>
      <c r="I94" s="14"/>
    </row>
    <row r="95" ht="28.5" customHeight="1">
      <c r="A95" s="4"/>
      <c r="B95" s="14"/>
      <c r="C95" s="14"/>
      <c r="D95" s="14"/>
      <c r="E95" s="14"/>
      <c r="F95" s="14"/>
      <c r="G95" s="14"/>
      <c r="H95" s="14"/>
      <c r="I95" s="14"/>
    </row>
    <row r="96" ht="28.5" customHeight="1">
      <c r="A96" s="4"/>
      <c r="B96" s="14"/>
      <c r="C96" s="14"/>
      <c r="D96" s="14"/>
      <c r="E96" s="14"/>
      <c r="F96" s="14"/>
      <c r="G96" s="14"/>
      <c r="H96" s="14"/>
      <c r="I96" s="14"/>
    </row>
    <row r="97" ht="28.5" customHeight="1">
      <c r="A97" s="4"/>
      <c r="B97" s="14"/>
      <c r="C97" s="14"/>
      <c r="D97" s="14"/>
      <c r="E97" s="14"/>
      <c r="F97" s="14"/>
      <c r="G97" s="14"/>
      <c r="H97" s="14"/>
      <c r="I97" s="14"/>
    </row>
    <row r="98" ht="28.5" customHeight="1">
      <c r="A98" s="4"/>
      <c r="B98" s="14"/>
      <c r="C98" s="14"/>
      <c r="D98" s="14"/>
      <c r="E98" s="14"/>
      <c r="F98" s="14"/>
      <c r="G98" s="14"/>
      <c r="H98" s="14"/>
      <c r="I98" s="14"/>
    </row>
    <row r="99" ht="28.5" customHeight="1">
      <c r="A99" s="4"/>
      <c r="B99" s="14"/>
      <c r="C99" s="14"/>
      <c r="D99" s="14"/>
      <c r="E99" s="14"/>
      <c r="F99" s="14"/>
      <c r="G99" s="14"/>
      <c r="H99" s="14"/>
      <c r="I99" s="14"/>
    </row>
    <row r="100" ht="28.5" customHeight="1">
      <c r="A100" s="4"/>
      <c r="B100" s="14"/>
      <c r="C100" s="14"/>
      <c r="D100" s="14"/>
      <c r="E100" s="14"/>
      <c r="F100" s="14"/>
      <c r="G100" s="14"/>
      <c r="H100" s="14"/>
      <c r="I100" s="14"/>
    </row>
    <row r="101" ht="28.5" customHeight="1">
      <c r="A101" s="4"/>
      <c r="B101" s="14"/>
      <c r="C101" s="14"/>
      <c r="D101" s="14"/>
      <c r="E101" s="14"/>
      <c r="F101" s="14"/>
      <c r="G101" s="14"/>
      <c r="H101" s="14"/>
      <c r="I101" s="14"/>
    </row>
    <row r="102" ht="28.5" customHeight="1">
      <c r="A102" s="4"/>
      <c r="B102" s="14"/>
      <c r="C102" s="14"/>
      <c r="D102" s="14"/>
      <c r="E102" s="14"/>
      <c r="F102" s="14"/>
      <c r="G102" s="14"/>
      <c r="H102" s="14"/>
      <c r="I102" s="14"/>
    </row>
    <row r="103" ht="28.5" customHeight="1">
      <c r="A103" s="4"/>
      <c r="B103" s="14"/>
      <c r="C103" s="14"/>
      <c r="D103" s="14"/>
      <c r="E103" s="14"/>
      <c r="F103" s="14"/>
      <c r="G103" s="14"/>
      <c r="H103" s="14"/>
      <c r="I103" s="14"/>
    </row>
    <row r="104" ht="28.5" customHeight="1">
      <c r="A104" s="4"/>
      <c r="B104" s="14"/>
      <c r="C104" s="14"/>
      <c r="D104" s="14"/>
      <c r="E104" s="14"/>
      <c r="F104" s="14"/>
      <c r="G104" s="14"/>
      <c r="H104" s="14"/>
      <c r="I104" s="14"/>
    </row>
    <row r="105" ht="28.5" customHeight="1">
      <c r="A105" s="4"/>
      <c r="B105" s="14"/>
      <c r="C105" s="14"/>
      <c r="D105" s="14"/>
      <c r="E105" s="14"/>
      <c r="F105" s="14"/>
      <c r="G105" s="14"/>
      <c r="H105" s="14"/>
      <c r="I105" s="14"/>
    </row>
    <row r="106" ht="28.5" customHeight="1">
      <c r="A106" s="4"/>
      <c r="B106" s="14"/>
      <c r="C106" s="14"/>
      <c r="D106" s="14"/>
      <c r="E106" s="14"/>
      <c r="F106" s="14"/>
      <c r="G106" s="14"/>
      <c r="H106" s="14"/>
      <c r="I106" s="14"/>
    </row>
    <row r="107" ht="28.5" customHeight="1">
      <c r="A107" s="4"/>
      <c r="B107" s="14"/>
      <c r="C107" s="14"/>
      <c r="D107" s="14"/>
      <c r="E107" s="14"/>
      <c r="F107" s="14"/>
      <c r="G107" s="14"/>
      <c r="H107" s="14"/>
      <c r="I107" s="14"/>
    </row>
    <row r="108" ht="28.5" customHeight="1">
      <c r="A108" s="4"/>
      <c r="B108" s="14"/>
      <c r="C108" s="14"/>
      <c r="D108" s="14"/>
      <c r="E108" s="14"/>
      <c r="F108" s="14"/>
      <c r="G108" s="14"/>
      <c r="H108" s="14"/>
      <c r="I108" s="14"/>
    </row>
    <row r="109" ht="28.5" customHeight="1">
      <c r="A109" s="4"/>
      <c r="B109" s="14"/>
      <c r="C109" s="14"/>
      <c r="D109" s="14"/>
      <c r="E109" s="14"/>
      <c r="F109" s="14"/>
      <c r="G109" s="14"/>
      <c r="H109" s="14"/>
      <c r="I109" s="14"/>
    </row>
    <row r="110" ht="28.5" customHeight="1">
      <c r="A110" s="4"/>
      <c r="B110" s="14"/>
      <c r="C110" s="14"/>
      <c r="D110" s="14"/>
      <c r="E110" s="14"/>
      <c r="F110" s="14"/>
      <c r="G110" s="14"/>
      <c r="H110" s="14"/>
      <c r="I110" s="14"/>
    </row>
    <row r="111" ht="28.5" customHeight="1">
      <c r="A111" s="4"/>
      <c r="B111" s="14"/>
      <c r="C111" s="14"/>
      <c r="D111" s="14"/>
      <c r="E111" s="14"/>
      <c r="F111" s="14"/>
      <c r="G111" s="14"/>
      <c r="H111" s="14"/>
      <c r="I111" s="14"/>
    </row>
    <row r="112" ht="28.5" customHeight="1">
      <c r="A112" s="4"/>
      <c r="B112" s="14"/>
      <c r="C112" s="14"/>
      <c r="D112" s="14"/>
      <c r="E112" s="14"/>
      <c r="F112" s="14"/>
      <c r="G112" s="14"/>
      <c r="H112" s="14"/>
      <c r="I112" s="14"/>
    </row>
    <row r="113" ht="28.5" customHeight="1">
      <c r="A113" s="4"/>
      <c r="B113" s="14"/>
      <c r="C113" s="14"/>
      <c r="D113" s="14"/>
      <c r="E113" s="14"/>
      <c r="F113" s="14"/>
      <c r="G113" s="14"/>
      <c r="H113" s="14"/>
      <c r="I113" s="14"/>
    </row>
    <row r="114" ht="28.5" customHeight="1">
      <c r="A114" s="4"/>
      <c r="B114" s="14"/>
      <c r="C114" s="14"/>
      <c r="D114" s="14"/>
      <c r="E114" s="14"/>
      <c r="F114" s="14"/>
      <c r="G114" s="14"/>
      <c r="H114" s="14"/>
      <c r="I114" s="14"/>
    </row>
    <row r="115" ht="28.5" customHeight="1">
      <c r="A115" s="4"/>
      <c r="B115" s="14"/>
      <c r="C115" s="14"/>
      <c r="D115" s="14"/>
      <c r="E115" s="14"/>
      <c r="F115" s="14"/>
      <c r="G115" s="14"/>
      <c r="H115" s="14"/>
      <c r="I115" s="14"/>
    </row>
    <row r="116" ht="28.5" customHeight="1">
      <c r="A116" s="4"/>
      <c r="B116" s="14"/>
      <c r="C116" s="14"/>
      <c r="D116" s="14"/>
      <c r="E116" s="14"/>
      <c r="F116" s="14"/>
      <c r="G116" s="14"/>
      <c r="H116" s="14"/>
      <c r="I116" s="14"/>
    </row>
    <row r="117" ht="28.5" customHeight="1">
      <c r="A117" s="4"/>
      <c r="B117" s="14"/>
      <c r="C117" s="14"/>
      <c r="D117" s="14"/>
      <c r="E117" s="14"/>
      <c r="F117" s="14"/>
      <c r="G117" s="14"/>
      <c r="H117" s="14"/>
      <c r="I117" s="14"/>
    </row>
    <row r="118" ht="28.5" customHeight="1">
      <c r="A118" s="4"/>
      <c r="B118" s="14"/>
      <c r="C118" s="14"/>
      <c r="D118" s="14"/>
      <c r="E118" s="14"/>
      <c r="F118" s="14"/>
      <c r="G118" s="14"/>
      <c r="H118" s="14"/>
      <c r="I118" s="14"/>
    </row>
    <row r="119" ht="28.5" customHeight="1">
      <c r="A119" s="4"/>
      <c r="B119" s="14"/>
      <c r="C119" s="14"/>
      <c r="D119" s="14"/>
      <c r="E119" s="14"/>
      <c r="F119" s="14"/>
      <c r="G119" s="14"/>
      <c r="H119" s="14"/>
      <c r="I119" s="14"/>
    </row>
    <row r="120" ht="28.5" customHeight="1">
      <c r="A120" s="4"/>
      <c r="B120" s="14"/>
      <c r="C120" s="14"/>
      <c r="D120" s="14"/>
      <c r="E120" s="14"/>
      <c r="F120" s="14"/>
      <c r="G120" s="14"/>
      <c r="H120" s="14"/>
      <c r="I120" s="14"/>
    </row>
    <row r="121" ht="28.5" customHeight="1">
      <c r="A121" s="4"/>
      <c r="B121" s="14"/>
      <c r="C121" s="14"/>
      <c r="D121" s="14"/>
      <c r="E121" s="14"/>
      <c r="F121" s="14"/>
      <c r="G121" s="14"/>
      <c r="H121" s="14"/>
      <c r="I121" s="14"/>
    </row>
    <row r="122" ht="28.5" customHeight="1">
      <c r="A122" s="4"/>
      <c r="B122" s="14"/>
      <c r="C122" s="14"/>
      <c r="D122" s="14"/>
      <c r="E122" s="14"/>
      <c r="F122" s="14"/>
      <c r="G122" s="14"/>
      <c r="H122" s="14"/>
      <c r="I122" s="14"/>
    </row>
    <row r="123" ht="28.5" customHeight="1">
      <c r="A123" s="4"/>
      <c r="B123" s="14"/>
      <c r="C123" s="14"/>
      <c r="D123" s="14"/>
      <c r="E123" s="14"/>
      <c r="F123" s="14"/>
      <c r="G123" s="14"/>
      <c r="H123" s="14"/>
      <c r="I123" s="14"/>
    </row>
    <row r="124" ht="28.5" customHeight="1">
      <c r="A124" s="4"/>
      <c r="B124" s="14"/>
      <c r="C124" s="14"/>
      <c r="D124" s="14"/>
      <c r="E124" s="14"/>
      <c r="F124" s="14"/>
      <c r="G124" s="14"/>
      <c r="H124" s="14"/>
      <c r="I124" s="14"/>
    </row>
    <row r="125" ht="28.5" customHeight="1">
      <c r="A125" s="4"/>
      <c r="B125" s="14"/>
      <c r="C125" s="14"/>
      <c r="D125" s="14"/>
      <c r="E125" s="14"/>
      <c r="F125" s="14"/>
      <c r="G125" s="14"/>
      <c r="H125" s="14"/>
      <c r="I125" s="14"/>
    </row>
    <row r="126" ht="28.5" customHeight="1">
      <c r="A126" s="4"/>
      <c r="B126" s="14"/>
      <c r="C126" s="14"/>
      <c r="D126" s="14"/>
      <c r="E126" s="14"/>
      <c r="F126" s="14"/>
      <c r="G126" s="14"/>
      <c r="H126" s="14"/>
      <c r="I126" s="14"/>
    </row>
    <row r="127" ht="28.5" customHeight="1">
      <c r="A127" s="4"/>
      <c r="B127" s="14"/>
      <c r="C127" s="14"/>
      <c r="D127" s="14"/>
      <c r="E127" s="14"/>
      <c r="F127" s="14"/>
      <c r="G127" s="14"/>
      <c r="H127" s="14"/>
      <c r="I127" s="14"/>
    </row>
    <row r="128" ht="28.5" customHeight="1">
      <c r="A128" s="4"/>
      <c r="B128" s="14"/>
      <c r="C128" s="14"/>
      <c r="D128" s="14"/>
      <c r="E128" s="14"/>
      <c r="F128" s="14"/>
      <c r="G128" s="14"/>
      <c r="H128" s="14"/>
      <c r="I128" s="14"/>
    </row>
    <row r="129" ht="28.5" customHeight="1">
      <c r="A129" s="4"/>
      <c r="B129" s="14"/>
      <c r="C129" s="14"/>
      <c r="D129" s="14"/>
      <c r="E129" s="14"/>
      <c r="F129" s="14"/>
      <c r="G129" s="14"/>
      <c r="H129" s="14"/>
      <c r="I129" s="14"/>
    </row>
    <row r="130" ht="28.5" customHeight="1">
      <c r="A130" s="4"/>
      <c r="B130" s="14"/>
      <c r="C130" s="14"/>
      <c r="D130" s="14"/>
      <c r="E130" s="14"/>
      <c r="F130" s="14"/>
      <c r="G130" s="14"/>
      <c r="H130" s="14"/>
      <c r="I130" s="14"/>
    </row>
    <row r="131" ht="28.5" customHeight="1">
      <c r="A131" s="4"/>
      <c r="B131" s="14"/>
      <c r="C131" s="14"/>
      <c r="D131" s="14"/>
      <c r="E131" s="14"/>
      <c r="F131" s="14"/>
      <c r="G131" s="14"/>
      <c r="H131" s="14"/>
      <c r="I131" s="14"/>
    </row>
    <row r="132" ht="28.5" customHeight="1">
      <c r="A132" s="4"/>
      <c r="B132" s="14"/>
      <c r="C132" s="14"/>
      <c r="D132" s="14"/>
      <c r="E132" s="14"/>
      <c r="F132" s="14"/>
      <c r="G132" s="14"/>
      <c r="H132" s="14"/>
      <c r="I132" s="14"/>
    </row>
    <row r="133" ht="28.5" customHeight="1">
      <c r="A133" s="4"/>
      <c r="B133" s="14"/>
      <c r="C133" s="14"/>
      <c r="D133" s="14"/>
      <c r="E133" s="14"/>
      <c r="F133" s="14"/>
      <c r="G133" s="14"/>
      <c r="H133" s="14"/>
      <c r="I133" s="14"/>
    </row>
    <row r="134" ht="28.5" customHeight="1">
      <c r="A134" s="4"/>
      <c r="B134" s="14"/>
      <c r="C134" s="14"/>
      <c r="D134" s="14"/>
      <c r="E134" s="14"/>
      <c r="F134" s="14"/>
      <c r="G134" s="14"/>
      <c r="H134" s="14"/>
      <c r="I134" s="14"/>
    </row>
    <row r="135" ht="28.5" customHeight="1">
      <c r="A135" s="4"/>
      <c r="B135" s="14"/>
      <c r="C135" s="14"/>
      <c r="D135" s="14"/>
      <c r="E135" s="14"/>
      <c r="F135" s="14"/>
      <c r="G135" s="14"/>
      <c r="H135" s="14"/>
      <c r="I135" s="14"/>
    </row>
    <row r="136" ht="28.5" customHeight="1">
      <c r="A136" s="4"/>
      <c r="B136" s="14"/>
      <c r="C136" s="14"/>
      <c r="D136" s="14"/>
      <c r="E136" s="14"/>
      <c r="F136" s="14"/>
      <c r="G136" s="14"/>
      <c r="H136" s="14"/>
      <c r="I136" s="14"/>
    </row>
    <row r="137" ht="28.5" customHeight="1">
      <c r="A137" s="4"/>
      <c r="B137" s="14"/>
      <c r="C137" s="14"/>
      <c r="D137" s="14"/>
      <c r="E137" s="14"/>
      <c r="F137" s="14"/>
      <c r="G137" s="14"/>
      <c r="H137" s="14"/>
      <c r="I137" s="14"/>
    </row>
    <row r="138" ht="28.5" customHeight="1">
      <c r="A138" s="4"/>
      <c r="B138" s="14"/>
      <c r="C138" s="14"/>
      <c r="D138" s="14"/>
      <c r="E138" s="14"/>
      <c r="F138" s="14"/>
      <c r="G138" s="14"/>
      <c r="H138" s="14"/>
      <c r="I138" s="14"/>
    </row>
    <row r="139" ht="28.5" customHeight="1">
      <c r="A139" s="4"/>
      <c r="B139" s="14"/>
      <c r="C139" s="14"/>
      <c r="D139" s="14"/>
      <c r="E139" s="14"/>
      <c r="F139" s="14"/>
      <c r="G139" s="14"/>
      <c r="H139" s="14"/>
      <c r="I139" s="14"/>
    </row>
    <row r="140" ht="28.5" customHeight="1">
      <c r="A140" s="4"/>
      <c r="B140" s="14"/>
      <c r="C140" s="14"/>
      <c r="D140" s="14"/>
      <c r="E140" s="14"/>
      <c r="F140" s="14"/>
      <c r="G140" s="14"/>
      <c r="H140" s="14"/>
      <c r="I140" s="14"/>
    </row>
    <row r="141" ht="28.5" customHeight="1">
      <c r="A141" s="4"/>
      <c r="B141" s="14"/>
      <c r="C141" s="14"/>
      <c r="D141" s="14"/>
      <c r="E141" s="14"/>
      <c r="F141" s="14"/>
      <c r="G141" s="14"/>
      <c r="H141" s="14"/>
      <c r="I141" s="14"/>
    </row>
    <row r="142" ht="28.5" customHeight="1">
      <c r="A142" s="4"/>
      <c r="B142" s="14"/>
      <c r="C142" s="14"/>
      <c r="D142" s="14"/>
      <c r="E142" s="14"/>
      <c r="F142" s="14"/>
      <c r="G142" s="14"/>
      <c r="H142" s="14"/>
      <c r="I142" s="14"/>
    </row>
    <row r="143" ht="28.5" customHeight="1">
      <c r="A143" s="4"/>
      <c r="B143" s="14"/>
      <c r="C143" s="14"/>
      <c r="D143" s="14"/>
      <c r="E143" s="14"/>
      <c r="F143" s="14"/>
      <c r="G143" s="14"/>
      <c r="H143" s="14"/>
      <c r="I143" s="14"/>
    </row>
    <row r="144" ht="28.5" customHeight="1">
      <c r="A144" s="4"/>
      <c r="B144" s="14"/>
      <c r="C144" s="14"/>
      <c r="D144" s="14"/>
      <c r="E144" s="14"/>
      <c r="F144" s="14"/>
      <c r="G144" s="14"/>
      <c r="H144" s="14"/>
      <c r="I144" s="14"/>
    </row>
    <row r="145" ht="28.5" customHeight="1">
      <c r="A145" s="4"/>
      <c r="B145" s="14"/>
      <c r="C145" s="14"/>
      <c r="D145" s="14"/>
      <c r="E145" s="14"/>
      <c r="F145" s="14"/>
      <c r="G145" s="14"/>
      <c r="H145" s="14"/>
      <c r="I145" s="14"/>
    </row>
    <row r="146" ht="28.5" customHeight="1">
      <c r="A146" s="4"/>
      <c r="B146" s="14"/>
      <c r="C146" s="14"/>
      <c r="D146" s="14"/>
      <c r="E146" s="14"/>
      <c r="F146" s="14"/>
      <c r="G146" s="14"/>
      <c r="H146" s="14"/>
      <c r="I146" s="14"/>
    </row>
    <row r="147" ht="28.5" customHeight="1">
      <c r="A147" s="4"/>
      <c r="B147" s="14"/>
      <c r="C147" s="14"/>
      <c r="D147" s="14"/>
      <c r="E147" s="14"/>
      <c r="F147" s="14"/>
      <c r="G147" s="14"/>
      <c r="H147" s="14"/>
      <c r="I147" s="14"/>
    </row>
    <row r="148" ht="28.5" customHeight="1">
      <c r="A148" s="4"/>
      <c r="B148" s="14"/>
      <c r="C148" s="14"/>
      <c r="D148" s="14"/>
      <c r="E148" s="14"/>
      <c r="F148" s="14"/>
      <c r="G148" s="14"/>
      <c r="H148" s="14"/>
      <c r="I148" s="14"/>
    </row>
    <row r="149" ht="28.5" customHeight="1">
      <c r="A149" s="4"/>
      <c r="B149" s="14"/>
      <c r="C149" s="14"/>
      <c r="D149" s="14"/>
      <c r="E149" s="14"/>
      <c r="F149" s="14"/>
      <c r="G149" s="14"/>
      <c r="H149" s="14"/>
      <c r="I149" s="14"/>
    </row>
    <row r="150" ht="28.5" customHeight="1">
      <c r="A150" s="4"/>
      <c r="B150" s="14"/>
      <c r="C150" s="14"/>
      <c r="D150" s="14"/>
      <c r="E150" s="14"/>
      <c r="F150" s="14"/>
      <c r="G150" s="14"/>
      <c r="H150" s="14"/>
      <c r="I150" s="14"/>
    </row>
    <row r="151" ht="28.5" customHeight="1">
      <c r="A151" s="4"/>
      <c r="B151" s="14"/>
      <c r="C151" s="14"/>
      <c r="D151" s="14"/>
      <c r="E151" s="14"/>
      <c r="F151" s="14"/>
      <c r="G151" s="14"/>
      <c r="H151" s="14"/>
      <c r="I151" s="14"/>
    </row>
    <row r="152" ht="28.5" customHeight="1">
      <c r="A152" s="4"/>
      <c r="B152" s="14"/>
      <c r="C152" s="14"/>
      <c r="D152" s="14"/>
      <c r="E152" s="14"/>
      <c r="F152" s="14"/>
      <c r="G152" s="14"/>
      <c r="H152" s="14"/>
      <c r="I152" s="14"/>
    </row>
    <row r="153" ht="28.5" customHeight="1">
      <c r="A153" s="4"/>
      <c r="B153" s="14"/>
      <c r="C153" s="14"/>
      <c r="D153" s="14"/>
      <c r="E153" s="14"/>
      <c r="F153" s="14"/>
      <c r="G153" s="14"/>
      <c r="H153" s="14"/>
      <c r="I153" s="14"/>
    </row>
    <row r="154" ht="28.5" customHeight="1">
      <c r="A154" s="4"/>
      <c r="B154" s="14"/>
      <c r="C154" s="14"/>
      <c r="D154" s="14"/>
      <c r="E154" s="14"/>
      <c r="F154" s="14"/>
      <c r="G154" s="14"/>
      <c r="H154" s="14"/>
      <c r="I154" s="14"/>
    </row>
    <row r="155" ht="28.5" customHeight="1">
      <c r="A155" s="4"/>
      <c r="B155" s="14"/>
      <c r="C155" s="14"/>
      <c r="D155" s="14"/>
      <c r="E155" s="14"/>
      <c r="F155" s="14"/>
      <c r="G155" s="14"/>
      <c r="H155" s="14"/>
      <c r="I155" s="14"/>
    </row>
    <row r="156" ht="28.5" customHeight="1">
      <c r="A156" s="4"/>
      <c r="B156" s="14"/>
      <c r="C156" s="14"/>
      <c r="D156" s="14"/>
      <c r="E156" s="14"/>
      <c r="F156" s="14"/>
      <c r="G156" s="14"/>
      <c r="H156" s="14"/>
      <c r="I156" s="14"/>
    </row>
    <row r="157" ht="28.5" customHeight="1">
      <c r="A157" s="4"/>
      <c r="B157" s="14"/>
      <c r="C157" s="14"/>
      <c r="D157" s="14"/>
      <c r="E157" s="14"/>
      <c r="F157" s="14"/>
      <c r="G157" s="14"/>
      <c r="H157" s="14"/>
      <c r="I157" s="14"/>
    </row>
    <row r="158" ht="28.5" customHeight="1">
      <c r="A158" s="4"/>
      <c r="B158" s="14"/>
      <c r="C158" s="14"/>
      <c r="D158" s="14"/>
      <c r="E158" s="14"/>
      <c r="F158" s="14"/>
      <c r="G158" s="14"/>
      <c r="H158" s="14"/>
      <c r="I158" s="14"/>
    </row>
    <row r="159" ht="28.5" customHeight="1">
      <c r="A159" s="4"/>
      <c r="B159" s="14"/>
      <c r="C159" s="14"/>
      <c r="D159" s="14"/>
      <c r="E159" s="14"/>
      <c r="F159" s="14"/>
      <c r="G159" s="14"/>
      <c r="H159" s="14"/>
      <c r="I159" s="14"/>
    </row>
    <row r="160" ht="28.5" customHeight="1">
      <c r="A160" s="4"/>
      <c r="B160" s="14"/>
      <c r="C160" s="14"/>
      <c r="D160" s="14"/>
      <c r="E160" s="14"/>
      <c r="F160" s="14"/>
      <c r="G160" s="14"/>
      <c r="H160" s="14"/>
      <c r="I160" s="14"/>
    </row>
    <row r="161" ht="28.5" customHeight="1">
      <c r="A161" s="4"/>
      <c r="B161" s="14"/>
      <c r="C161" s="14"/>
      <c r="D161" s="14"/>
      <c r="E161" s="14"/>
      <c r="F161" s="14"/>
      <c r="G161" s="14"/>
      <c r="H161" s="14"/>
      <c r="I161" s="14"/>
    </row>
    <row r="162" ht="28.5" customHeight="1">
      <c r="A162" s="4"/>
      <c r="B162" s="14"/>
      <c r="C162" s="14"/>
      <c r="D162" s="14"/>
      <c r="E162" s="14"/>
      <c r="F162" s="14"/>
      <c r="G162" s="14"/>
      <c r="H162" s="14"/>
      <c r="I162" s="14"/>
    </row>
    <row r="163" ht="28.5" customHeight="1">
      <c r="A163" s="4"/>
      <c r="B163" s="14"/>
      <c r="C163" s="14"/>
      <c r="D163" s="14"/>
      <c r="E163" s="14"/>
      <c r="F163" s="14"/>
      <c r="G163" s="14"/>
      <c r="H163" s="14"/>
      <c r="I163" s="14"/>
    </row>
    <row r="164" ht="28.5" customHeight="1">
      <c r="A164" s="4"/>
      <c r="B164" s="14"/>
      <c r="C164" s="14"/>
      <c r="D164" s="14"/>
      <c r="E164" s="14"/>
      <c r="F164" s="14"/>
      <c r="G164" s="14"/>
      <c r="H164" s="14"/>
      <c r="I164" s="14"/>
    </row>
    <row r="165" ht="28.5" customHeight="1">
      <c r="A165" s="4"/>
      <c r="B165" s="14"/>
      <c r="C165" s="14"/>
      <c r="D165" s="14"/>
      <c r="E165" s="14"/>
      <c r="F165" s="14"/>
      <c r="G165" s="14"/>
      <c r="H165" s="14"/>
      <c r="I165" s="14"/>
    </row>
    <row r="166" ht="28.5" customHeight="1">
      <c r="A166" s="4"/>
      <c r="B166" s="14"/>
      <c r="C166" s="14"/>
      <c r="D166" s="14"/>
      <c r="E166" s="14"/>
      <c r="F166" s="14"/>
      <c r="G166" s="14"/>
      <c r="H166" s="14"/>
      <c r="I166" s="14"/>
    </row>
    <row r="167" ht="28.5" customHeight="1">
      <c r="A167" s="4"/>
      <c r="B167" s="14"/>
      <c r="C167" s="14"/>
      <c r="D167" s="14"/>
      <c r="E167" s="14"/>
      <c r="F167" s="14"/>
      <c r="G167" s="14"/>
      <c r="H167" s="14"/>
      <c r="I167" s="14"/>
    </row>
    <row r="168" ht="28.5" customHeight="1">
      <c r="A168" s="4"/>
      <c r="B168" s="14"/>
      <c r="C168" s="14"/>
      <c r="D168" s="14"/>
      <c r="E168" s="14"/>
      <c r="F168" s="14"/>
      <c r="G168" s="14"/>
      <c r="H168" s="14"/>
      <c r="I168" s="14"/>
    </row>
    <row r="169" ht="28.5" customHeight="1">
      <c r="A169" s="4"/>
      <c r="B169" s="14"/>
      <c r="C169" s="14"/>
      <c r="D169" s="14"/>
      <c r="E169" s="14"/>
      <c r="F169" s="14"/>
      <c r="G169" s="14"/>
      <c r="H169" s="14"/>
      <c r="I169" s="14"/>
    </row>
    <row r="170" ht="28.5" customHeight="1">
      <c r="A170" s="4"/>
      <c r="B170" s="14"/>
      <c r="C170" s="14"/>
      <c r="D170" s="14"/>
      <c r="E170" s="14"/>
      <c r="F170" s="14"/>
      <c r="G170" s="14"/>
      <c r="H170" s="14"/>
      <c r="I170" s="14"/>
    </row>
    <row r="171" ht="28.5" customHeight="1">
      <c r="A171" s="4"/>
      <c r="B171" s="14"/>
      <c r="C171" s="14"/>
      <c r="D171" s="14"/>
      <c r="E171" s="14"/>
      <c r="F171" s="14"/>
      <c r="G171" s="14"/>
      <c r="H171" s="14"/>
      <c r="I171" s="14"/>
    </row>
    <row r="172" ht="28.5" customHeight="1">
      <c r="A172" s="4"/>
      <c r="B172" s="14"/>
      <c r="C172" s="14"/>
      <c r="D172" s="14"/>
      <c r="E172" s="14"/>
      <c r="F172" s="14"/>
      <c r="G172" s="14"/>
      <c r="H172" s="14"/>
      <c r="I172" s="14"/>
    </row>
    <row r="173" ht="28.5" customHeight="1">
      <c r="A173" s="4"/>
      <c r="B173" s="14"/>
      <c r="C173" s="14"/>
      <c r="D173" s="14"/>
      <c r="E173" s="14"/>
      <c r="F173" s="14"/>
      <c r="G173" s="14"/>
      <c r="H173" s="14"/>
      <c r="I173" s="14"/>
    </row>
    <row r="174" ht="28.5" customHeight="1">
      <c r="A174" s="4"/>
      <c r="B174" s="14"/>
      <c r="C174" s="14"/>
      <c r="D174" s="14"/>
      <c r="E174" s="14"/>
      <c r="F174" s="14"/>
      <c r="G174" s="14"/>
      <c r="H174" s="14"/>
      <c r="I174" s="14"/>
    </row>
    <row r="175" ht="28.5" customHeight="1">
      <c r="A175" s="4"/>
      <c r="B175" s="14"/>
      <c r="C175" s="14"/>
      <c r="D175" s="14"/>
      <c r="E175" s="14"/>
      <c r="F175" s="14"/>
      <c r="G175" s="14"/>
      <c r="H175" s="14"/>
      <c r="I175" s="14"/>
    </row>
    <row r="176" ht="28.5" customHeight="1">
      <c r="A176" s="4"/>
      <c r="B176" s="14"/>
      <c r="C176" s="14"/>
      <c r="D176" s="14"/>
      <c r="E176" s="14"/>
      <c r="F176" s="14"/>
      <c r="G176" s="14"/>
      <c r="H176" s="14"/>
      <c r="I176" s="14"/>
    </row>
    <row r="177" ht="28.5" customHeight="1">
      <c r="A177" s="4"/>
      <c r="B177" s="14"/>
      <c r="C177" s="14"/>
      <c r="D177" s="14"/>
      <c r="E177" s="14"/>
      <c r="F177" s="14"/>
      <c r="G177" s="14"/>
      <c r="H177" s="14"/>
      <c r="I177" s="14"/>
    </row>
    <row r="178" ht="28.5" customHeight="1">
      <c r="A178" s="4"/>
      <c r="B178" s="14"/>
      <c r="C178" s="14"/>
      <c r="D178" s="14"/>
      <c r="E178" s="14"/>
      <c r="F178" s="14"/>
      <c r="G178" s="14"/>
      <c r="H178" s="14"/>
      <c r="I178" s="14"/>
    </row>
    <row r="179" ht="28.5" customHeight="1">
      <c r="A179" s="4"/>
      <c r="B179" s="14"/>
      <c r="C179" s="14"/>
      <c r="D179" s="14"/>
      <c r="E179" s="14"/>
      <c r="F179" s="14"/>
      <c r="G179" s="14"/>
      <c r="H179" s="14"/>
      <c r="I179" s="14"/>
    </row>
    <row r="180" ht="28.5" customHeight="1">
      <c r="A180" s="4"/>
      <c r="B180" s="14"/>
      <c r="C180" s="14"/>
      <c r="D180" s="14"/>
      <c r="E180" s="14"/>
      <c r="F180" s="14"/>
      <c r="G180" s="14"/>
      <c r="H180" s="14"/>
      <c r="I180" s="14"/>
    </row>
    <row r="181" ht="28.5" customHeight="1">
      <c r="A181" s="4"/>
      <c r="B181" s="14"/>
      <c r="C181" s="14"/>
      <c r="D181" s="14"/>
      <c r="E181" s="14"/>
      <c r="F181" s="14"/>
      <c r="G181" s="14"/>
      <c r="H181" s="14"/>
      <c r="I181" s="14"/>
    </row>
    <row r="182" ht="28.5" customHeight="1">
      <c r="A182" s="4"/>
      <c r="B182" s="14"/>
      <c r="C182" s="14"/>
      <c r="D182" s="14"/>
      <c r="E182" s="14"/>
      <c r="F182" s="14"/>
      <c r="G182" s="14"/>
      <c r="H182" s="14"/>
      <c r="I182" s="14"/>
    </row>
    <row r="183" ht="28.5" customHeight="1">
      <c r="A183" s="4"/>
      <c r="B183" s="14"/>
      <c r="C183" s="14"/>
      <c r="D183" s="14"/>
      <c r="E183" s="14"/>
      <c r="F183" s="14"/>
      <c r="G183" s="14"/>
      <c r="H183" s="14"/>
      <c r="I183" s="14"/>
    </row>
    <row r="184" ht="28.5" customHeight="1">
      <c r="A184" s="4"/>
      <c r="B184" s="14"/>
      <c r="C184" s="14"/>
      <c r="D184" s="14"/>
      <c r="E184" s="14"/>
      <c r="F184" s="14"/>
      <c r="G184" s="14"/>
      <c r="H184" s="14"/>
      <c r="I184" s="14"/>
    </row>
    <row r="185" ht="28.5" customHeight="1">
      <c r="A185" s="4"/>
      <c r="B185" s="14"/>
      <c r="C185" s="14"/>
      <c r="D185" s="14"/>
      <c r="E185" s="14"/>
      <c r="F185" s="14"/>
      <c r="G185" s="14"/>
      <c r="H185" s="14"/>
      <c r="I185" s="14"/>
    </row>
    <row r="186" ht="28.5" customHeight="1">
      <c r="A186" s="4"/>
      <c r="B186" s="14"/>
      <c r="C186" s="14"/>
      <c r="D186" s="14"/>
      <c r="E186" s="14"/>
      <c r="F186" s="14"/>
      <c r="G186" s="14"/>
      <c r="H186" s="14"/>
      <c r="I186" s="14"/>
    </row>
    <row r="187" ht="28.5" customHeight="1">
      <c r="A187" s="4"/>
      <c r="B187" s="14"/>
      <c r="C187" s="14"/>
      <c r="D187" s="14"/>
      <c r="E187" s="14"/>
      <c r="F187" s="14"/>
      <c r="G187" s="14"/>
      <c r="H187" s="14"/>
      <c r="I187" s="14"/>
    </row>
    <row r="188" ht="28.5" customHeight="1">
      <c r="A188" s="4"/>
      <c r="B188" s="14"/>
      <c r="C188" s="14"/>
      <c r="D188" s="14"/>
      <c r="E188" s="14"/>
      <c r="F188" s="14"/>
      <c r="G188" s="14"/>
      <c r="H188" s="14"/>
      <c r="I188" s="14"/>
    </row>
    <row r="189" ht="28.5" customHeight="1">
      <c r="A189" s="4"/>
      <c r="B189" s="14"/>
      <c r="C189" s="14"/>
      <c r="D189" s="14"/>
      <c r="E189" s="14"/>
      <c r="F189" s="14"/>
      <c r="G189" s="14"/>
      <c r="H189" s="14"/>
      <c r="I189" s="14"/>
    </row>
    <row r="190" ht="28.5" customHeight="1">
      <c r="A190" s="4"/>
      <c r="B190" s="14"/>
      <c r="C190" s="14"/>
      <c r="D190" s="14"/>
      <c r="E190" s="14"/>
      <c r="F190" s="14"/>
      <c r="G190" s="14"/>
      <c r="H190" s="14"/>
      <c r="I190" s="14"/>
    </row>
    <row r="191" ht="28.5" customHeight="1">
      <c r="A191" s="4"/>
      <c r="B191" s="14"/>
      <c r="C191" s="14"/>
      <c r="D191" s="14"/>
      <c r="E191" s="14"/>
      <c r="F191" s="14"/>
      <c r="G191" s="14"/>
      <c r="H191" s="14"/>
      <c r="I191" s="14"/>
    </row>
    <row r="192" ht="28.5" customHeight="1">
      <c r="A192" s="4"/>
      <c r="B192" s="14"/>
      <c r="C192" s="14"/>
      <c r="D192" s="14"/>
      <c r="E192" s="14"/>
      <c r="F192" s="14"/>
      <c r="G192" s="14"/>
      <c r="H192" s="14"/>
      <c r="I192" s="14"/>
    </row>
    <row r="193" ht="28.5" customHeight="1">
      <c r="A193" s="4"/>
      <c r="B193" s="14"/>
      <c r="C193" s="14"/>
      <c r="D193" s="14"/>
      <c r="E193" s="14"/>
      <c r="F193" s="14"/>
      <c r="G193" s="14"/>
      <c r="H193" s="14"/>
      <c r="I193" s="14"/>
    </row>
    <row r="194" ht="28.5" customHeight="1">
      <c r="A194" s="4"/>
      <c r="B194" s="14"/>
      <c r="C194" s="14"/>
      <c r="D194" s="14"/>
      <c r="E194" s="14"/>
      <c r="F194" s="14"/>
      <c r="G194" s="14"/>
      <c r="H194" s="14"/>
      <c r="I194" s="14"/>
    </row>
    <row r="195" ht="28.5" customHeight="1">
      <c r="A195" s="4"/>
      <c r="B195" s="14"/>
      <c r="C195" s="14"/>
      <c r="D195" s="14"/>
      <c r="E195" s="14"/>
      <c r="F195" s="14"/>
      <c r="G195" s="14"/>
      <c r="H195" s="14"/>
      <c r="I195" s="14"/>
    </row>
    <row r="196" ht="28.5" customHeight="1">
      <c r="A196" s="4"/>
      <c r="B196" s="14"/>
      <c r="C196" s="14"/>
      <c r="D196" s="14"/>
      <c r="E196" s="14"/>
      <c r="F196" s="14"/>
      <c r="G196" s="14"/>
      <c r="H196" s="14"/>
      <c r="I196" s="14"/>
    </row>
    <row r="197" ht="28.5" customHeight="1">
      <c r="A197" s="4"/>
      <c r="B197" s="14"/>
      <c r="C197" s="14"/>
      <c r="D197" s="14"/>
      <c r="E197" s="14"/>
      <c r="F197" s="14"/>
      <c r="G197" s="14"/>
      <c r="H197" s="14"/>
      <c r="I197" s="14"/>
    </row>
    <row r="198" ht="28.5" customHeight="1">
      <c r="A198" s="4"/>
      <c r="B198" s="14"/>
      <c r="C198" s="14"/>
      <c r="D198" s="14"/>
      <c r="E198" s="14"/>
      <c r="F198" s="14"/>
      <c r="G198" s="14"/>
      <c r="H198" s="14"/>
      <c r="I198" s="14"/>
    </row>
    <row r="199" ht="28.5" customHeight="1">
      <c r="A199" s="4"/>
      <c r="B199" s="14"/>
      <c r="C199" s="14"/>
      <c r="D199" s="14"/>
      <c r="E199" s="14"/>
      <c r="F199" s="14"/>
      <c r="G199" s="14"/>
      <c r="H199" s="14"/>
      <c r="I199" s="14"/>
    </row>
    <row r="200" ht="28.5" customHeight="1">
      <c r="A200" s="4"/>
      <c r="B200" s="14"/>
      <c r="C200" s="14"/>
      <c r="D200" s="14"/>
      <c r="E200" s="14"/>
      <c r="F200" s="14"/>
      <c r="G200" s="14"/>
      <c r="H200" s="14"/>
      <c r="I200" s="14"/>
    </row>
    <row r="201" ht="28.5" customHeight="1">
      <c r="A201" s="4"/>
      <c r="B201" s="14"/>
      <c r="C201" s="14"/>
      <c r="D201" s="14"/>
      <c r="E201" s="14"/>
      <c r="F201" s="14"/>
      <c r="G201" s="14"/>
      <c r="H201" s="14"/>
      <c r="I201" s="14"/>
    </row>
    <row r="202" ht="28.5" customHeight="1">
      <c r="A202" s="4"/>
      <c r="B202" s="14"/>
      <c r="C202" s="14"/>
      <c r="D202" s="14"/>
      <c r="E202" s="14"/>
      <c r="F202" s="14"/>
      <c r="G202" s="14"/>
      <c r="H202" s="14"/>
      <c r="I202" s="14"/>
    </row>
    <row r="203" ht="28.5" customHeight="1">
      <c r="A203" s="4"/>
      <c r="B203" s="14"/>
      <c r="C203" s="14"/>
      <c r="D203" s="14"/>
      <c r="E203" s="14"/>
      <c r="F203" s="14"/>
      <c r="G203" s="14"/>
      <c r="H203" s="14"/>
      <c r="I203" s="14"/>
    </row>
    <row r="204" ht="28.5" customHeight="1">
      <c r="A204" s="4"/>
      <c r="B204" s="14"/>
      <c r="C204" s="14"/>
      <c r="D204" s="14"/>
      <c r="E204" s="14"/>
      <c r="F204" s="14"/>
      <c r="G204" s="14"/>
      <c r="H204" s="14"/>
      <c r="I204" s="14"/>
    </row>
    <row r="205" ht="28.5" customHeight="1">
      <c r="A205" s="4"/>
      <c r="B205" s="14"/>
      <c r="C205" s="14"/>
      <c r="D205" s="14"/>
      <c r="E205" s="14"/>
      <c r="F205" s="14"/>
      <c r="G205" s="14"/>
      <c r="H205" s="14"/>
      <c r="I205" s="14"/>
    </row>
    <row r="206" ht="28.5" customHeight="1">
      <c r="A206" s="4"/>
      <c r="B206" s="14"/>
      <c r="C206" s="14"/>
      <c r="D206" s="14"/>
      <c r="E206" s="14"/>
      <c r="F206" s="14"/>
      <c r="G206" s="14"/>
      <c r="H206" s="14"/>
      <c r="I206" s="14"/>
    </row>
    <row r="207" ht="28.5" customHeight="1">
      <c r="A207" s="4"/>
      <c r="B207" s="14"/>
      <c r="C207" s="14"/>
      <c r="D207" s="14"/>
      <c r="E207" s="14"/>
      <c r="F207" s="14"/>
      <c r="G207" s="14"/>
      <c r="H207" s="14"/>
      <c r="I207" s="14"/>
    </row>
    <row r="208" ht="28.5" customHeight="1">
      <c r="A208" s="4"/>
      <c r="B208" s="14"/>
      <c r="C208" s="14"/>
      <c r="D208" s="14"/>
      <c r="E208" s="14"/>
      <c r="F208" s="14"/>
      <c r="G208" s="14"/>
      <c r="H208" s="14"/>
      <c r="I208" s="14"/>
    </row>
    <row r="209" ht="28.5" customHeight="1">
      <c r="A209" s="4"/>
      <c r="B209" s="14"/>
      <c r="C209" s="14"/>
      <c r="D209" s="14"/>
      <c r="E209" s="14"/>
      <c r="F209" s="14"/>
      <c r="G209" s="14"/>
      <c r="H209" s="14"/>
      <c r="I209" s="14"/>
    </row>
    <row r="210" ht="28.5" customHeight="1">
      <c r="A210" s="4"/>
      <c r="B210" s="14"/>
      <c r="C210" s="14"/>
      <c r="D210" s="14"/>
      <c r="E210" s="14"/>
      <c r="F210" s="14"/>
      <c r="G210" s="14"/>
      <c r="H210" s="14"/>
      <c r="I210" s="14"/>
    </row>
    <row r="211" ht="28.5" customHeight="1">
      <c r="A211" s="4"/>
      <c r="B211" s="14"/>
      <c r="C211" s="14"/>
      <c r="D211" s="14"/>
      <c r="E211" s="14"/>
      <c r="F211" s="14"/>
      <c r="G211" s="14"/>
      <c r="H211" s="14"/>
      <c r="I211" s="14"/>
    </row>
    <row r="212" ht="28.5" customHeight="1">
      <c r="A212" s="4"/>
      <c r="B212" s="14"/>
      <c r="C212" s="14"/>
      <c r="D212" s="14"/>
      <c r="E212" s="14"/>
      <c r="F212" s="14"/>
      <c r="G212" s="14"/>
      <c r="H212" s="14"/>
      <c r="I212" s="14"/>
    </row>
    <row r="213" ht="28.5" customHeight="1">
      <c r="A213" s="4"/>
      <c r="B213" s="14"/>
      <c r="C213" s="14"/>
      <c r="D213" s="14"/>
      <c r="E213" s="14"/>
      <c r="F213" s="14"/>
      <c r="G213" s="14"/>
      <c r="H213" s="14"/>
      <c r="I213" s="14"/>
    </row>
    <row r="214" ht="28.5" customHeight="1">
      <c r="A214" s="4"/>
      <c r="B214" s="14"/>
      <c r="C214" s="14"/>
      <c r="D214" s="14"/>
      <c r="E214" s="14"/>
      <c r="F214" s="14"/>
      <c r="G214" s="14"/>
      <c r="H214" s="14"/>
      <c r="I214" s="14"/>
    </row>
    <row r="215" ht="28.5" customHeight="1">
      <c r="A215" s="4"/>
      <c r="B215" s="14"/>
      <c r="C215" s="14"/>
      <c r="D215" s="14"/>
      <c r="E215" s="14"/>
      <c r="F215" s="14"/>
      <c r="G215" s="14"/>
      <c r="H215" s="14"/>
      <c r="I215" s="14"/>
    </row>
    <row r="216" ht="28.5" customHeight="1">
      <c r="A216" s="4"/>
      <c r="B216" s="14"/>
      <c r="C216" s="14"/>
      <c r="D216" s="14"/>
      <c r="E216" s="14"/>
      <c r="F216" s="14"/>
      <c r="G216" s="14"/>
      <c r="H216" s="14"/>
      <c r="I216" s="14"/>
    </row>
    <row r="217" ht="28.5" customHeight="1">
      <c r="A217" s="4"/>
      <c r="B217" s="14"/>
      <c r="C217" s="14"/>
      <c r="D217" s="14"/>
      <c r="E217" s="14"/>
      <c r="F217" s="14"/>
      <c r="G217" s="14"/>
      <c r="H217" s="14"/>
      <c r="I217" s="14"/>
    </row>
    <row r="218" ht="28.5" customHeight="1">
      <c r="A218" s="4"/>
      <c r="B218" s="14"/>
      <c r="C218" s="14"/>
      <c r="D218" s="14"/>
      <c r="E218" s="14"/>
      <c r="F218" s="14"/>
      <c r="G218" s="14"/>
      <c r="H218" s="14"/>
      <c r="I218" s="14"/>
    </row>
    <row r="219" ht="28.5" customHeight="1">
      <c r="A219" s="4"/>
      <c r="B219" s="14"/>
      <c r="C219" s="14"/>
      <c r="D219" s="14"/>
      <c r="E219" s="14"/>
      <c r="F219" s="14"/>
      <c r="G219" s="14"/>
      <c r="H219" s="14"/>
      <c r="I219" s="14"/>
    </row>
    <row r="220" ht="28.5" customHeight="1">
      <c r="A220" s="4"/>
      <c r="B220" s="14"/>
      <c r="C220" s="14"/>
      <c r="D220" s="14"/>
      <c r="E220" s="14"/>
      <c r="F220" s="14"/>
      <c r="G220" s="14"/>
      <c r="H220" s="14"/>
      <c r="I220" s="14"/>
    </row>
    <row r="221" ht="28.5" customHeight="1">
      <c r="A221" s="4"/>
      <c r="B221" s="14"/>
      <c r="C221" s="14"/>
      <c r="D221" s="14"/>
      <c r="E221" s="14"/>
      <c r="F221" s="14"/>
      <c r="G221" s="14"/>
      <c r="H221" s="14"/>
      <c r="I221" s="14"/>
    </row>
    <row r="222" ht="28.5" customHeight="1">
      <c r="A222" s="4"/>
      <c r="B222" s="14"/>
      <c r="C222" s="14"/>
      <c r="D222" s="14"/>
      <c r="E222" s="14"/>
      <c r="F222" s="14"/>
      <c r="G222" s="14"/>
      <c r="H222" s="14"/>
      <c r="I222" s="14"/>
    </row>
    <row r="223" ht="28.5" customHeight="1">
      <c r="A223" s="4"/>
      <c r="B223" s="14"/>
      <c r="C223" s="14"/>
      <c r="D223" s="14"/>
      <c r="E223" s="14"/>
      <c r="F223" s="14"/>
      <c r="G223" s="14"/>
      <c r="H223" s="14"/>
      <c r="I223" s="14"/>
    </row>
    <row r="224" ht="28.5" customHeight="1">
      <c r="A224" s="4"/>
      <c r="B224" s="14"/>
      <c r="C224" s="14"/>
      <c r="D224" s="14"/>
      <c r="E224" s="14"/>
      <c r="F224" s="14"/>
      <c r="G224" s="14"/>
      <c r="H224" s="14"/>
      <c r="I224" s="14"/>
    </row>
    <row r="225" ht="28.5" customHeight="1">
      <c r="A225" s="4"/>
      <c r="B225" s="14"/>
      <c r="C225" s="14"/>
      <c r="D225" s="14"/>
      <c r="E225" s="14"/>
      <c r="F225" s="14"/>
      <c r="G225" s="14"/>
      <c r="H225" s="14"/>
      <c r="I225" s="14"/>
    </row>
    <row r="226" ht="28.5" customHeight="1">
      <c r="A226" s="4"/>
      <c r="B226" s="14"/>
      <c r="C226" s="14"/>
      <c r="D226" s="14"/>
      <c r="E226" s="14"/>
      <c r="F226" s="14"/>
      <c r="G226" s="14"/>
      <c r="H226" s="14"/>
      <c r="I226" s="14"/>
    </row>
    <row r="227" ht="28.5" customHeight="1">
      <c r="A227" s="4"/>
      <c r="B227" s="14"/>
      <c r="C227" s="14"/>
      <c r="D227" s="14"/>
      <c r="E227" s="14"/>
      <c r="F227" s="14"/>
      <c r="G227" s="14"/>
      <c r="H227" s="14"/>
      <c r="I227" s="14"/>
    </row>
    <row r="228" ht="28.5" customHeight="1">
      <c r="A228" s="4"/>
      <c r="B228" s="14"/>
      <c r="C228" s="14"/>
      <c r="D228" s="14"/>
      <c r="E228" s="14"/>
      <c r="F228" s="14"/>
      <c r="G228" s="14"/>
      <c r="H228" s="14"/>
      <c r="I228" s="14"/>
    </row>
    <row r="229" ht="28.5" customHeight="1">
      <c r="A229" s="4"/>
      <c r="B229" s="14"/>
      <c r="C229" s="14"/>
      <c r="D229" s="14"/>
      <c r="E229" s="14"/>
      <c r="F229" s="14"/>
      <c r="G229" s="14"/>
      <c r="H229" s="14"/>
      <c r="I229" s="14"/>
    </row>
    <row r="230" ht="28.5" customHeight="1">
      <c r="A230" s="4"/>
      <c r="B230" s="14"/>
      <c r="C230" s="14"/>
      <c r="D230" s="14"/>
      <c r="E230" s="14"/>
      <c r="F230" s="14"/>
      <c r="G230" s="14"/>
      <c r="H230" s="14"/>
      <c r="I230" s="14"/>
    </row>
    <row r="231" ht="28.5" customHeight="1">
      <c r="A231" s="4"/>
      <c r="B231" s="14"/>
      <c r="C231" s="14"/>
      <c r="D231" s="14"/>
      <c r="E231" s="14"/>
      <c r="F231" s="14"/>
      <c r="G231" s="14"/>
      <c r="H231" s="14"/>
      <c r="I231" s="14"/>
    </row>
    <row r="232" ht="28.5" customHeight="1">
      <c r="A232" s="4"/>
      <c r="B232" s="14"/>
      <c r="C232" s="14"/>
      <c r="D232" s="14"/>
      <c r="E232" s="14"/>
      <c r="F232" s="14"/>
      <c r="G232" s="14"/>
      <c r="H232" s="14"/>
      <c r="I232" s="14"/>
    </row>
    <row r="233" ht="28.5" customHeight="1">
      <c r="A233" s="4"/>
      <c r="B233" s="14"/>
      <c r="C233" s="14"/>
      <c r="D233" s="14"/>
      <c r="E233" s="14"/>
      <c r="F233" s="14"/>
      <c r="G233" s="14"/>
      <c r="H233" s="14"/>
      <c r="I233" s="14"/>
    </row>
    <row r="234" ht="28.5" customHeight="1">
      <c r="A234" s="4"/>
      <c r="B234" s="14"/>
      <c r="C234" s="14"/>
      <c r="D234" s="14"/>
      <c r="E234" s="14"/>
      <c r="F234" s="14"/>
      <c r="G234" s="14"/>
      <c r="H234" s="14"/>
      <c r="I234" s="14"/>
    </row>
    <row r="235" ht="28.5" customHeight="1">
      <c r="A235" s="4"/>
      <c r="B235" s="14"/>
      <c r="C235" s="14"/>
      <c r="D235" s="14"/>
      <c r="E235" s="14"/>
      <c r="F235" s="14"/>
      <c r="G235" s="14"/>
      <c r="H235" s="14"/>
      <c r="I235" s="14"/>
    </row>
    <row r="236" ht="28.5" customHeight="1">
      <c r="A236" s="4"/>
      <c r="B236" s="14"/>
      <c r="C236" s="14"/>
      <c r="D236" s="14"/>
      <c r="E236" s="14"/>
      <c r="F236" s="14"/>
      <c r="G236" s="14"/>
      <c r="H236" s="14"/>
      <c r="I236" s="14"/>
    </row>
    <row r="237" ht="28.5" customHeight="1">
      <c r="A237" s="4"/>
      <c r="B237" s="14"/>
      <c r="C237" s="14"/>
      <c r="D237" s="14"/>
      <c r="E237" s="14"/>
      <c r="F237" s="14"/>
      <c r="G237" s="14"/>
      <c r="H237" s="14"/>
      <c r="I237" s="14"/>
    </row>
    <row r="238" ht="28.5" customHeight="1">
      <c r="A238" s="4"/>
      <c r="B238" s="14"/>
      <c r="C238" s="14"/>
      <c r="D238" s="14"/>
      <c r="E238" s="14"/>
      <c r="F238" s="14"/>
      <c r="G238" s="14"/>
      <c r="H238" s="14"/>
      <c r="I238" s="14"/>
    </row>
    <row r="239" ht="28.5" customHeight="1">
      <c r="A239" s="4"/>
      <c r="B239" s="14"/>
      <c r="C239" s="14"/>
      <c r="D239" s="14"/>
      <c r="E239" s="14"/>
      <c r="F239" s="14"/>
      <c r="G239" s="14"/>
      <c r="H239" s="14"/>
      <c r="I239" s="14"/>
    </row>
    <row r="240" ht="28.5" customHeight="1">
      <c r="A240" s="4"/>
      <c r="B240" s="14"/>
      <c r="C240" s="14"/>
      <c r="D240" s="14"/>
      <c r="E240" s="14"/>
      <c r="F240" s="14"/>
      <c r="G240" s="14"/>
      <c r="H240" s="14"/>
      <c r="I240" s="14"/>
    </row>
    <row r="241" ht="28.5" customHeight="1">
      <c r="A241" s="4"/>
      <c r="B241" s="14"/>
      <c r="C241" s="14"/>
      <c r="D241" s="14"/>
      <c r="E241" s="14"/>
      <c r="F241" s="14"/>
      <c r="G241" s="14"/>
      <c r="H241" s="14"/>
      <c r="I241" s="14"/>
    </row>
    <row r="242" ht="28.5" customHeight="1">
      <c r="A242" s="4"/>
      <c r="B242" s="14"/>
      <c r="C242" s="14"/>
      <c r="D242" s="14"/>
      <c r="E242" s="14"/>
      <c r="F242" s="14"/>
      <c r="G242" s="14"/>
      <c r="H242" s="14"/>
      <c r="I242" s="14"/>
    </row>
    <row r="243" ht="28.5" customHeight="1">
      <c r="A243" s="4"/>
      <c r="B243" s="14"/>
      <c r="C243" s="14"/>
      <c r="D243" s="14"/>
      <c r="E243" s="14"/>
      <c r="F243" s="14"/>
      <c r="G243" s="14"/>
      <c r="H243" s="14"/>
      <c r="I243" s="14"/>
    </row>
    <row r="244" ht="28.5" customHeight="1">
      <c r="A244" s="4"/>
      <c r="B244" s="14"/>
      <c r="C244" s="14"/>
      <c r="D244" s="14"/>
      <c r="E244" s="14"/>
      <c r="F244" s="14"/>
      <c r="G244" s="14"/>
      <c r="H244" s="14"/>
      <c r="I244" s="14"/>
    </row>
    <row r="245" ht="28.5" customHeight="1">
      <c r="A245" s="4"/>
      <c r="B245" s="14"/>
      <c r="C245" s="14"/>
      <c r="D245" s="14"/>
      <c r="E245" s="14"/>
      <c r="F245" s="14"/>
      <c r="G245" s="14"/>
      <c r="H245" s="14"/>
      <c r="I245" s="14"/>
    </row>
    <row r="246" ht="28.5" customHeight="1">
      <c r="A246" s="4"/>
      <c r="B246" s="14"/>
      <c r="C246" s="14"/>
      <c r="D246" s="14"/>
      <c r="E246" s="14"/>
      <c r="F246" s="14"/>
      <c r="G246" s="14"/>
      <c r="H246" s="14"/>
      <c r="I246" s="14"/>
    </row>
    <row r="247" ht="28.5" customHeight="1">
      <c r="A247" s="4"/>
      <c r="B247" s="14"/>
      <c r="C247" s="14"/>
      <c r="D247" s="14"/>
      <c r="E247" s="14"/>
      <c r="F247" s="14"/>
      <c r="G247" s="14"/>
      <c r="H247" s="14"/>
      <c r="I247" s="14"/>
    </row>
    <row r="248" ht="28.5" customHeight="1">
      <c r="A248" s="4"/>
      <c r="B248" s="14"/>
      <c r="C248" s="14"/>
      <c r="D248" s="14"/>
      <c r="E248" s="14"/>
      <c r="F248" s="14"/>
      <c r="G248" s="14"/>
      <c r="H248" s="14"/>
      <c r="I248" s="14"/>
    </row>
    <row r="249" ht="28.5" customHeight="1">
      <c r="A249" s="4"/>
      <c r="B249" s="14"/>
      <c r="C249" s="14"/>
      <c r="D249" s="14"/>
      <c r="E249" s="14"/>
      <c r="F249" s="14"/>
      <c r="G249" s="14"/>
      <c r="H249" s="14"/>
      <c r="I249" s="14"/>
    </row>
    <row r="250" ht="28.5" customHeight="1">
      <c r="A250" s="4"/>
      <c r="B250" s="14"/>
      <c r="C250" s="14"/>
      <c r="D250" s="14"/>
      <c r="E250" s="14"/>
      <c r="F250" s="14"/>
      <c r="G250" s="14"/>
      <c r="H250" s="14"/>
      <c r="I250" s="14"/>
    </row>
    <row r="251" ht="28.5" customHeight="1">
      <c r="A251" s="4"/>
      <c r="B251" s="14"/>
      <c r="C251" s="14"/>
      <c r="D251" s="14"/>
      <c r="E251" s="14"/>
      <c r="F251" s="14"/>
      <c r="G251" s="14"/>
      <c r="H251" s="14"/>
      <c r="I251" s="14"/>
    </row>
    <row r="252" ht="28.5" customHeight="1">
      <c r="A252" s="4"/>
      <c r="B252" s="14"/>
      <c r="C252" s="14"/>
      <c r="D252" s="14"/>
      <c r="E252" s="14"/>
      <c r="F252" s="14"/>
      <c r="G252" s="14"/>
      <c r="H252" s="14"/>
      <c r="I252" s="14"/>
    </row>
    <row r="253" ht="28.5" customHeight="1">
      <c r="A253" s="4"/>
      <c r="B253" s="14"/>
      <c r="C253" s="14"/>
      <c r="D253" s="14"/>
      <c r="E253" s="14"/>
      <c r="F253" s="14"/>
      <c r="G253" s="14"/>
      <c r="H253" s="14"/>
      <c r="I253" s="14"/>
    </row>
    <row r="254" ht="28.5" customHeight="1">
      <c r="A254" s="4"/>
      <c r="B254" s="14"/>
      <c r="C254" s="14"/>
      <c r="D254" s="14"/>
      <c r="E254" s="14"/>
      <c r="F254" s="14"/>
      <c r="G254" s="14"/>
      <c r="H254" s="14"/>
      <c r="I254" s="14"/>
    </row>
    <row r="255" ht="28.5" customHeight="1">
      <c r="A255" s="4"/>
      <c r="B255" s="14"/>
      <c r="C255" s="14"/>
      <c r="D255" s="14"/>
      <c r="E255" s="14"/>
      <c r="F255" s="14"/>
      <c r="G255" s="14"/>
      <c r="H255" s="14"/>
      <c r="I255" s="14"/>
    </row>
    <row r="256" ht="28.5" customHeight="1">
      <c r="A256" s="4"/>
      <c r="B256" s="14"/>
      <c r="C256" s="14"/>
      <c r="D256" s="14"/>
      <c r="E256" s="14"/>
      <c r="F256" s="14"/>
      <c r="G256" s="14"/>
      <c r="H256" s="14"/>
      <c r="I256" s="14"/>
    </row>
    <row r="257" ht="28.5" customHeight="1">
      <c r="A257" s="4"/>
      <c r="B257" s="14"/>
      <c r="C257" s="14"/>
      <c r="D257" s="14"/>
      <c r="E257" s="14"/>
      <c r="F257" s="14"/>
      <c r="G257" s="14"/>
      <c r="H257" s="14"/>
      <c r="I257" s="14"/>
    </row>
    <row r="258" ht="28.5" customHeight="1">
      <c r="A258" s="4"/>
      <c r="B258" s="14"/>
      <c r="C258" s="14"/>
      <c r="D258" s="14"/>
      <c r="E258" s="14"/>
      <c r="F258" s="14"/>
      <c r="G258" s="14"/>
      <c r="H258" s="14"/>
      <c r="I258" s="14"/>
    </row>
    <row r="259" ht="28.5" customHeight="1">
      <c r="A259" s="4"/>
      <c r="B259" s="14"/>
      <c r="C259" s="14"/>
      <c r="D259" s="14"/>
      <c r="E259" s="14"/>
      <c r="F259" s="14"/>
      <c r="G259" s="14"/>
      <c r="H259" s="14"/>
      <c r="I259" s="14"/>
    </row>
    <row r="260" ht="28.5" customHeight="1">
      <c r="A260" s="4"/>
      <c r="B260" s="14"/>
      <c r="C260" s="14"/>
      <c r="D260" s="14"/>
      <c r="E260" s="14"/>
      <c r="F260" s="14"/>
      <c r="G260" s="14"/>
      <c r="H260" s="14"/>
      <c r="I260" s="14"/>
    </row>
    <row r="261" ht="28.5" customHeight="1">
      <c r="A261" s="4"/>
      <c r="B261" s="14"/>
      <c r="C261" s="14"/>
      <c r="D261" s="14"/>
      <c r="E261" s="14"/>
      <c r="F261" s="14"/>
      <c r="G261" s="14"/>
      <c r="H261" s="14"/>
      <c r="I261" s="14"/>
    </row>
    <row r="262" ht="28.5" customHeight="1">
      <c r="A262" s="4"/>
      <c r="B262" s="14"/>
      <c r="C262" s="14"/>
      <c r="D262" s="14"/>
      <c r="E262" s="14"/>
      <c r="F262" s="14"/>
      <c r="G262" s="14"/>
      <c r="H262" s="14"/>
      <c r="I262" s="14"/>
    </row>
    <row r="263" ht="28.5" customHeight="1">
      <c r="A263" s="4"/>
      <c r="B263" s="14"/>
      <c r="C263" s="14"/>
      <c r="D263" s="14"/>
      <c r="E263" s="14"/>
      <c r="F263" s="14"/>
      <c r="G263" s="14"/>
      <c r="H263" s="14"/>
      <c r="I263" s="14"/>
    </row>
    <row r="264" ht="28.5" customHeight="1">
      <c r="A264" s="4"/>
      <c r="B264" s="14"/>
      <c r="C264" s="14"/>
      <c r="D264" s="14"/>
      <c r="E264" s="14"/>
      <c r="F264" s="14"/>
      <c r="G264" s="14"/>
      <c r="H264" s="14"/>
      <c r="I264" s="14"/>
    </row>
    <row r="265" ht="28.5" customHeight="1">
      <c r="A265" s="4"/>
      <c r="B265" s="14"/>
      <c r="C265" s="14"/>
      <c r="D265" s="14"/>
      <c r="E265" s="14"/>
      <c r="F265" s="14"/>
      <c r="G265" s="14"/>
      <c r="H265" s="14"/>
      <c r="I265" s="14"/>
    </row>
    <row r="266" ht="28.5" customHeight="1">
      <c r="A266" s="4"/>
      <c r="B266" s="14"/>
      <c r="C266" s="14"/>
      <c r="D266" s="14"/>
      <c r="E266" s="14"/>
      <c r="F266" s="14"/>
      <c r="G266" s="14"/>
      <c r="H266" s="14"/>
      <c r="I266" s="14"/>
    </row>
    <row r="267" ht="28.5" customHeight="1">
      <c r="A267" s="4"/>
      <c r="B267" s="14"/>
      <c r="C267" s="14"/>
      <c r="D267" s="14"/>
      <c r="E267" s="14"/>
      <c r="F267" s="14"/>
      <c r="G267" s="14"/>
      <c r="H267" s="14"/>
      <c r="I267" s="14"/>
    </row>
    <row r="268" ht="28.5" customHeight="1">
      <c r="A268" s="4"/>
      <c r="B268" s="14"/>
      <c r="C268" s="14"/>
      <c r="D268" s="14"/>
      <c r="E268" s="14"/>
      <c r="F268" s="14"/>
      <c r="G268" s="14"/>
      <c r="H268" s="14"/>
      <c r="I268" s="14"/>
    </row>
    <row r="269" ht="28.5" customHeight="1">
      <c r="A269" s="4"/>
      <c r="B269" s="14"/>
      <c r="C269" s="14"/>
      <c r="D269" s="14"/>
      <c r="E269" s="14"/>
      <c r="F269" s="14"/>
      <c r="G269" s="14"/>
      <c r="H269" s="14"/>
      <c r="I269" s="14"/>
    </row>
    <row r="270" ht="28.5" customHeight="1">
      <c r="A270" s="4"/>
      <c r="B270" s="14"/>
      <c r="C270" s="14"/>
      <c r="D270" s="14"/>
      <c r="E270" s="14"/>
      <c r="F270" s="14"/>
      <c r="G270" s="14"/>
      <c r="H270" s="14"/>
      <c r="I270" s="14"/>
    </row>
    <row r="271" ht="28.5" customHeight="1">
      <c r="A271" s="4"/>
      <c r="B271" s="14"/>
      <c r="C271" s="14"/>
      <c r="D271" s="14"/>
      <c r="E271" s="14"/>
      <c r="F271" s="14"/>
      <c r="G271" s="14"/>
      <c r="H271" s="14"/>
      <c r="I271" s="14"/>
    </row>
    <row r="272" ht="28.5" customHeight="1">
      <c r="A272" s="4"/>
      <c r="B272" s="14"/>
      <c r="C272" s="14"/>
      <c r="D272" s="14"/>
      <c r="E272" s="14"/>
      <c r="F272" s="14"/>
      <c r="G272" s="14"/>
      <c r="H272" s="14"/>
      <c r="I272" s="14"/>
    </row>
    <row r="273" ht="28.5" customHeight="1">
      <c r="A273" s="4"/>
      <c r="B273" s="14"/>
      <c r="C273" s="14"/>
      <c r="D273" s="14"/>
      <c r="E273" s="14"/>
      <c r="F273" s="14"/>
      <c r="G273" s="14"/>
      <c r="H273" s="14"/>
      <c r="I273" s="14"/>
    </row>
    <row r="274" ht="28.5" customHeight="1">
      <c r="A274" s="4"/>
      <c r="B274" s="14"/>
      <c r="C274" s="14"/>
      <c r="D274" s="14"/>
      <c r="E274" s="14"/>
      <c r="F274" s="14"/>
      <c r="G274" s="14"/>
      <c r="H274" s="14"/>
      <c r="I274" s="14"/>
    </row>
    <row r="275" ht="28.5" customHeight="1">
      <c r="A275" s="4"/>
      <c r="B275" s="14"/>
      <c r="C275" s="14"/>
      <c r="D275" s="14"/>
      <c r="E275" s="14"/>
      <c r="F275" s="14"/>
      <c r="G275" s="14"/>
      <c r="H275" s="14"/>
      <c r="I275" s="14"/>
    </row>
    <row r="276" ht="28.5" customHeight="1">
      <c r="A276" s="4"/>
      <c r="B276" s="14"/>
      <c r="C276" s="14"/>
      <c r="D276" s="14"/>
      <c r="E276" s="14"/>
      <c r="F276" s="14"/>
      <c r="G276" s="14"/>
      <c r="H276" s="14"/>
      <c r="I276" s="14"/>
    </row>
    <row r="277" ht="28.5" customHeight="1">
      <c r="A277" s="4"/>
      <c r="B277" s="14"/>
      <c r="C277" s="14"/>
      <c r="D277" s="14"/>
      <c r="E277" s="14"/>
      <c r="F277" s="14"/>
      <c r="G277" s="14"/>
      <c r="H277" s="14"/>
      <c r="I277" s="14"/>
    </row>
    <row r="278" ht="28.5" customHeight="1">
      <c r="A278" s="4"/>
      <c r="B278" s="14"/>
      <c r="C278" s="14"/>
      <c r="D278" s="14"/>
      <c r="E278" s="14"/>
      <c r="F278" s="14"/>
      <c r="G278" s="14"/>
      <c r="H278" s="14"/>
      <c r="I278" s="14"/>
    </row>
    <row r="279" ht="28.5" customHeight="1">
      <c r="A279" s="4"/>
      <c r="B279" s="14"/>
      <c r="C279" s="14"/>
      <c r="D279" s="14"/>
      <c r="E279" s="14"/>
      <c r="F279" s="14"/>
      <c r="G279" s="14"/>
      <c r="H279" s="14"/>
      <c r="I279" s="14"/>
    </row>
    <row r="280" ht="28.5" customHeight="1">
      <c r="A280" s="4"/>
      <c r="B280" s="14"/>
      <c r="C280" s="14"/>
      <c r="D280" s="14"/>
      <c r="E280" s="14"/>
      <c r="F280" s="14"/>
      <c r="G280" s="14"/>
      <c r="H280" s="14"/>
      <c r="I280" s="14"/>
    </row>
    <row r="281" ht="28.5" customHeight="1">
      <c r="A281" s="4"/>
      <c r="B281" s="14"/>
      <c r="C281" s="14"/>
      <c r="D281" s="14"/>
      <c r="E281" s="14"/>
      <c r="F281" s="14"/>
      <c r="G281" s="14"/>
      <c r="H281" s="14"/>
      <c r="I281" s="14"/>
    </row>
    <row r="282" ht="28.5" customHeight="1">
      <c r="A282" s="4"/>
      <c r="B282" s="14"/>
      <c r="C282" s="14"/>
      <c r="D282" s="14"/>
      <c r="E282" s="14"/>
      <c r="F282" s="14"/>
      <c r="G282" s="14"/>
      <c r="H282" s="14"/>
      <c r="I282" s="14"/>
    </row>
    <row r="283" ht="28.5" customHeight="1">
      <c r="A283" s="4"/>
      <c r="B283" s="14"/>
      <c r="C283" s="14"/>
      <c r="D283" s="14"/>
      <c r="E283" s="14"/>
      <c r="F283" s="14"/>
      <c r="G283" s="14"/>
      <c r="H283" s="14"/>
      <c r="I283" s="14"/>
    </row>
    <row r="284" ht="28.5" customHeight="1">
      <c r="A284" s="4"/>
      <c r="B284" s="14"/>
      <c r="C284" s="14"/>
      <c r="D284" s="14"/>
      <c r="E284" s="14"/>
      <c r="F284" s="14"/>
      <c r="G284" s="14"/>
      <c r="H284" s="14"/>
      <c r="I284" s="14"/>
    </row>
    <row r="285" ht="28.5" customHeight="1">
      <c r="A285" s="4"/>
      <c r="B285" s="14"/>
      <c r="C285" s="14"/>
      <c r="D285" s="14"/>
      <c r="E285" s="14"/>
      <c r="F285" s="14"/>
      <c r="G285" s="14"/>
      <c r="H285" s="14"/>
      <c r="I285" s="14"/>
    </row>
    <row r="286" ht="28.5" customHeight="1">
      <c r="A286" s="4"/>
      <c r="B286" s="14"/>
      <c r="C286" s="14"/>
      <c r="D286" s="14"/>
      <c r="E286" s="14"/>
      <c r="F286" s="14"/>
      <c r="G286" s="14"/>
      <c r="H286" s="14"/>
      <c r="I286" s="14"/>
    </row>
    <row r="287" ht="28.5" customHeight="1">
      <c r="A287" s="4"/>
      <c r="B287" s="14"/>
      <c r="C287" s="14"/>
      <c r="D287" s="14"/>
      <c r="E287" s="14"/>
      <c r="F287" s="14"/>
      <c r="G287" s="14"/>
      <c r="H287" s="14"/>
      <c r="I287" s="14"/>
    </row>
    <row r="288" ht="28.5" customHeight="1">
      <c r="A288" s="4"/>
      <c r="B288" s="14"/>
      <c r="C288" s="14"/>
      <c r="D288" s="14"/>
      <c r="E288" s="14"/>
      <c r="F288" s="14"/>
      <c r="G288" s="14"/>
      <c r="H288" s="14"/>
      <c r="I288" s="14"/>
    </row>
    <row r="289" ht="28.5" customHeight="1">
      <c r="A289" s="4"/>
      <c r="B289" s="14"/>
      <c r="C289" s="14"/>
      <c r="D289" s="14"/>
      <c r="E289" s="14"/>
      <c r="F289" s="14"/>
      <c r="G289" s="14"/>
      <c r="H289" s="14"/>
      <c r="I289" s="14"/>
    </row>
    <row r="290" ht="28.5" customHeight="1">
      <c r="A290" s="4"/>
      <c r="B290" s="14"/>
      <c r="C290" s="14"/>
      <c r="D290" s="14"/>
      <c r="E290" s="14"/>
      <c r="F290" s="14"/>
      <c r="G290" s="14"/>
      <c r="H290" s="14"/>
      <c r="I290" s="14"/>
    </row>
    <row r="291" ht="28.5" customHeight="1">
      <c r="A291" s="4"/>
      <c r="B291" s="14"/>
      <c r="C291" s="14"/>
      <c r="D291" s="14"/>
      <c r="E291" s="14"/>
      <c r="F291" s="14"/>
      <c r="G291" s="14"/>
      <c r="H291" s="14"/>
      <c r="I291" s="14"/>
    </row>
    <row r="292" ht="28.5" customHeight="1">
      <c r="A292" s="4"/>
      <c r="B292" s="14"/>
      <c r="C292" s="14"/>
      <c r="D292" s="14"/>
      <c r="E292" s="14"/>
      <c r="F292" s="14"/>
      <c r="G292" s="14"/>
      <c r="H292" s="14"/>
      <c r="I292" s="14"/>
    </row>
    <row r="293" ht="28.5" customHeight="1">
      <c r="A293" s="4"/>
      <c r="B293" s="14"/>
      <c r="C293" s="14"/>
      <c r="D293" s="14"/>
      <c r="E293" s="14"/>
      <c r="F293" s="14"/>
      <c r="G293" s="14"/>
      <c r="H293" s="14"/>
      <c r="I293" s="14"/>
    </row>
    <row r="294" ht="28.5" customHeight="1">
      <c r="A294" s="4"/>
      <c r="B294" s="14"/>
      <c r="C294" s="14"/>
      <c r="D294" s="14"/>
      <c r="E294" s="14"/>
      <c r="F294" s="14"/>
      <c r="G294" s="14"/>
      <c r="H294" s="14"/>
      <c r="I294" s="14"/>
    </row>
    <row r="295" ht="28.5" customHeight="1">
      <c r="A295" s="4"/>
      <c r="B295" s="14"/>
      <c r="C295" s="14"/>
      <c r="D295" s="14"/>
      <c r="E295" s="14"/>
      <c r="F295" s="14"/>
      <c r="G295" s="14"/>
      <c r="H295" s="14"/>
      <c r="I295" s="14"/>
    </row>
    <row r="296" ht="28.5" customHeight="1">
      <c r="A296" s="4"/>
      <c r="B296" s="14"/>
      <c r="C296" s="14"/>
      <c r="D296" s="14"/>
      <c r="E296" s="14"/>
      <c r="F296" s="14"/>
      <c r="G296" s="14"/>
      <c r="H296" s="14"/>
      <c r="I296" s="14"/>
    </row>
    <row r="297" ht="28.5" customHeight="1">
      <c r="A297" s="4"/>
      <c r="B297" s="14"/>
      <c r="C297" s="14"/>
      <c r="D297" s="14"/>
      <c r="E297" s="14"/>
      <c r="F297" s="14"/>
      <c r="G297" s="14"/>
      <c r="H297" s="14"/>
      <c r="I297" s="14"/>
    </row>
    <row r="298" ht="28.5" customHeight="1">
      <c r="A298" s="4"/>
      <c r="B298" s="14"/>
      <c r="C298" s="14"/>
      <c r="D298" s="14"/>
      <c r="E298" s="14"/>
      <c r="F298" s="14"/>
      <c r="G298" s="14"/>
      <c r="H298" s="14"/>
      <c r="I298" s="14"/>
    </row>
    <row r="299" ht="28.5" customHeight="1">
      <c r="A299" s="4"/>
      <c r="B299" s="14"/>
      <c r="C299" s="14"/>
      <c r="D299" s="14"/>
      <c r="E299" s="14"/>
      <c r="F299" s="14"/>
      <c r="G299" s="14"/>
      <c r="H299" s="14"/>
      <c r="I299" s="14"/>
    </row>
    <row r="300" ht="28.5" customHeight="1">
      <c r="A300" s="4"/>
      <c r="B300" s="14"/>
      <c r="C300" s="14"/>
      <c r="D300" s="14"/>
      <c r="E300" s="14"/>
      <c r="F300" s="14"/>
      <c r="G300" s="14"/>
      <c r="H300" s="14"/>
      <c r="I300" s="14"/>
    </row>
    <row r="301" ht="28.5" customHeight="1">
      <c r="A301" s="4"/>
      <c r="B301" s="14"/>
      <c r="C301" s="14"/>
      <c r="D301" s="14"/>
      <c r="E301" s="14"/>
      <c r="F301" s="14"/>
      <c r="G301" s="14"/>
      <c r="H301" s="14"/>
      <c r="I301" s="14"/>
    </row>
    <row r="302" ht="28.5" customHeight="1">
      <c r="A302" s="4"/>
      <c r="B302" s="14"/>
      <c r="C302" s="14"/>
      <c r="D302" s="14"/>
      <c r="E302" s="14"/>
      <c r="F302" s="14"/>
      <c r="G302" s="14"/>
      <c r="H302" s="14"/>
      <c r="I302" s="14"/>
    </row>
    <row r="303" ht="28.5" customHeight="1">
      <c r="A303" s="4"/>
      <c r="B303" s="14"/>
      <c r="C303" s="14"/>
      <c r="D303" s="14"/>
      <c r="E303" s="14"/>
      <c r="F303" s="14"/>
      <c r="G303" s="14"/>
      <c r="H303" s="14"/>
      <c r="I303" s="14"/>
    </row>
    <row r="304" ht="28.5" customHeight="1">
      <c r="A304" s="4"/>
      <c r="B304" s="14"/>
      <c r="C304" s="14"/>
      <c r="D304" s="14"/>
      <c r="E304" s="14"/>
      <c r="F304" s="14"/>
      <c r="G304" s="14"/>
      <c r="H304" s="14"/>
      <c r="I304" s="14"/>
    </row>
    <row r="305" ht="28.5" customHeight="1">
      <c r="A305" s="4"/>
      <c r="B305" s="14"/>
      <c r="C305" s="14"/>
      <c r="D305" s="14"/>
      <c r="E305" s="14"/>
      <c r="F305" s="14"/>
      <c r="G305" s="14"/>
      <c r="H305" s="14"/>
      <c r="I305" s="14"/>
    </row>
    <row r="306" ht="28.5" customHeight="1">
      <c r="A306" s="4"/>
      <c r="B306" s="14"/>
      <c r="C306" s="14"/>
      <c r="D306" s="14"/>
      <c r="E306" s="14"/>
      <c r="F306" s="14"/>
      <c r="G306" s="14"/>
      <c r="H306" s="14"/>
      <c r="I306" s="14"/>
    </row>
    <row r="307" ht="28.5" customHeight="1">
      <c r="A307" s="4"/>
      <c r="B307" s="14"/>
      <c r="C307" s="14"/>
      <c r="D307" s="14"/>
      <c r="E307" s="14"/>
      <c r="F307" s="14"/>
      <c r="G307" s="14"/>
      <c r="H307" s="14"/>
      <c r="I307" s="14"/>
    </row>
    <row r="308" ht="28.5" customHeight="1">
      <c r="A308" s="4"/>
      <c r="B308" s="14"/>
      <c r="C308" s="14"/>
      <c r="D308" s="14"/>
      <c r="E308" s="14"/>
      <c r="F308" s="14"/>
      <c r="G308" s="14"/>
      <c r="H308" s="14"/>
      <c r="I308" s="14"/>
    </row>
    <row r="309" ht="28.5" customHeight="1">
      <c r="A309" s="4"/>
      <c r="B309" s="14"/>
      <c r="C309" s="14"/>
      <c r="D309" s="14"/>
      <c r="E309" s="14"/>
      <c r="F309" s="14"/>
      <c r="G309" s="14"/>
      <c r="H309" s="14"/>
      <c r="I309" s="14"/>
    </row>
    <row r="310" ht="28.5" customHeight="1">
      <c r="A310" s="4"/>
      <c r="B310" s="14"/>
      <c r="C310" s="14"/>
      <c r="D310" s="14"/>
      <c r="E310" s="14"/>
      <c r="F310" s="14"/>
      <c r="G310" s="14"/>
      <c r="H310" s="14"/>
      <c r="I310" s="14"/>
    </row>
    <row r="311" ht="28.5" customHeight="1">
      <c r="A311" s="4"/>
      <c r="B311" s="14"/>
      <c r="C311" s="14"/>
      <c r="D311" s="14"/>
      <c r="E311" s="14"/>
      <c r="F311" s="14"/>
      <c r="G311" s="14"/>
      <c r="H311" s="14"/>
      <c r="I311" s="14"/>
    </row>
    <row r="312" ht="28.5" customHeight="1">
      <c r="A312" s="4"/>
      <c r="B312" s="14"/>
      <c r="C312" s="14"/>
      <c r="D312" s="14"/>
      <c r="E312" s="14"/>
      <c r="F312" s="14"/>
      <c r="G312" s="14"/>
      <c r="H312" s="14"/>
      <c r="I312" s="14"/>
    </row>
    <row r="313" ht="28.5" customHeight="1">
      <c r="A313" s="4"/>
      <c r="B313" s="14"/>
      <c r="C313" s="14"/>
      <c r="D313" s="14"/>
      <c r="E313" s="14"/>
      <c r="F313" s="14"/>
      <c r="G313" s="14"/>
      <c r="H313" s="14"/>
      <c r="I313" s="14"/>
    </row>
    <row r="314" ht="28.5" customHeight="1">
      <c r="A314" s="4"/>
      <c r="B314" s="14"/>
      <c r="C314" s="14"/>
      <c r="D314" s="14"/>
      <c r="E314" s="14"/>
      <c r="F314" s="14"/>
      <c r="G314" s="14"/>
      <c r="H314" s="14"/>
      <c r="I314" s="14"/>
    </row>
    <row r="315" ht="28.5" customHeight="1">
      <c r="A315" s="4"/>
      <c r="B315" s="14"/>
      <c r="C315" s="14"/>
      <c r="D315" s="14"/>
      <c r="E315" s="14"/>
      <c r="F315" s="14"/>
      <c r="G315" s="14"/>
      <c r="H315" s="14"/>
      <c r="I315" s="14"/>
    </row>
    <row r="316" ht="28.5" customHeight="1">
      <c r="A316" s="4"/>
      <c r="B316" s="14"/>
      <c r="C316" s="14"/>
      <c r="D316" s="14"/>
      <c r="E316" s="14"/>
      <c r="F316" s="14"/>
      <c r="G316" s="14"/>
      <c r="H316" s="14"/>
      <c r="I316" s="14"/>
    </row>
    <row r="317" ht="28.5" customHeight="1">
      <c r="A317" s="4"/>
      <c r="B317" s="14"/>
      <c r="C317" s="14"/>
      <c r="D317" s="14"/>
      <c r="E317" s="14"/>
      <c r="F317" s="14"/>
      <c r="G317" s="14"/>
      <c r="H317" s="14"/>
      <c r="I317" s="14"/>
    </row>
    <row r="318" ht="28.5" customHeight="1">
      <c r="A318" s="4"/>
      <c r="B318" s="14"/>
      <c r="C318" s="14"/>
      <c r="D318" s="14"/>
      <c r="E318" s="14"/>
      <c r="F318" s="14"/>
      <c r="G318" s="14"/>
      <c r="H318" s="14"/>
      <c r="I318" s="14"/>
    </row>
    <row r="319" ht="28.5" customHeight="1">
      <c r="A319" s="4"/>
      <c r="B319" s="14"/>
      <c r="C319" s="14"/>
      <c r="D319" s="14"/>
      <c r="E319" s="14"/>
      <c r="F319" s="14"/>
      <c r="G319" s="14"/>
      <c r="H319" s="14"/>
      <c r="I319" s="14"/>
    </row>
    <row r="320" ht="28.5" customHeight="1">
      <c r="A320" s="4"/>
      <c r="B320" s="14"/>
      <c r="C320" s="14"/>
      <c r="D320" s="14"/>
      <c r="E320" s="14"/>
      <c r="F320" s="14"/>
      <c r="G320" s="14"/>
      <c r="H320" s="14"/>
      <c r="I320" s="14"/>
    </row>
    <row r="321" ht="28.5" customHeight="1">
      <c r="A321" s="4"/>
      <c r="B321" s="14"/>
      <c r="C321" s="14"/>
      <c r="D321" s="14"/>
      <c r="E321" s="14"/>
      <c r="F321" s="14"/>
      <c r="G321" s="14"/>
      <c r="H321" s="14"/>
      <c r="I321" s="14"/>
    </row>
    <row r="322" ht="28.5" customHeight="1">
      <c r="A322" s="4"/>
      <c r="B322" s="14"/>
      <c r="C322" s="14"/>
      <c r="D322" s="14"/>
      <c r="E322" s="14"/>
      <c r="F322" s="14"/>
      <c r="G322" s="14"/>
      <c r="H322" s="14"/>
      <c r="I322" s="14"/>
    </row>
    <row r="323" ht="28.5" customHeight="1">
      <c r="A323" s="4"/>
      <c r="B323" s="14"/>
      <c r="C323" s="14"/>
      <c r="D323" s="14"/>
      <c r="E323" s="14"/>
      <c r="F323" s="14"/>
      <c r="G323" s="14"/>
      <c r="H323" s="14"/>
      <c r="I323" s="14"/>
    </row>
    <row r="324" ht="28.5" customHeight="1">
      <c r="A324" s="4"/>
      <c r="B324" s="14"/>
      <c r="C324" s="14"/>
      <c r="D324" s="14"/>
      <c r="E324" s="14"/>
      <c r="F324" s="14"/>
      <c r="G324" s="14"/>
      <c r="H324" s="14"/>
      <c r="I324" s="14"/>
    </row>
    <row r="325" ht="28.5" customHeight="1">
      <c r="A325" s="4"/>
      <c r="B325" s="14"/>
      <c r="C325" s="14"/>
      <c r="D325" s="14"/>
      <c r="E325" s="14"/>
      <c r="F325" s="14"/>
      <c r="G325" s="14"/>
      <c r="H325" s="14"/>
      <c r="I325" s="14"/>
    </row>
    <row r="326" ht="28.5" customHeight="1">
      <c r="A326" s="4"/>
      <c r="B326" s="14"/>
      <c r="C326" s="14"/>
      <c r="D326" s="14"/>
      <c r="E326" s="14"/>
      <c r="F326" s="14"/>
      <c r="G326" s="14"/>
      <c r="H326" s="14"/>
      <c r="I326" s="14"/>
    </row>
    <row r="327" ht="28.5" customHeight="1">
      <c r="A327" s="4"/>
      <c r="B327" s="14"/>
      <c r="C327" s="14"/>
      <c r="D327" s="14"/>
      <c r="E327" s="14"/>
      <c r="F327" s="14"/>
      <c r="G327" s="14"/>
      <c r="H327" s="14"/>
      <c r="I327" s="14"/>
    </row>
    <row r="328" ht="28.5" customHeight="1">
      <c r="A328" s="4"/>
      <c r="B328" s="14"/>
      <c r="C328" s="14"/>
      <c r="D328" s="14"/>
      <c r="E328" s="14"/>
      <c r="F328" s="14"/>
      <c r="G328" s="14"/>
      <c r="H328" s="14"/>
      <c r="I328" s="14"/>
    </row>
    <row r="329" ht="28.5" customHeight="1">
      <c r="A329" s="4"/>
      <c r="B329" s="14"/>
      <c r="C329" s="14"/>
      <c r="D329" s="14"/>
      <c r="E329" s="14"/>
      <c r="F329" s="14"/>
      <c r="G329" s="14"/>
      <c r="H329" s="14"/>
      <c r="I329" s="14"/>
    </row>
    <row r="330" ht="28.5" customHeight="1">
      <c r="A330" s="4"/>
      <c r="B330" s="14"/>
      <c r="C330" s="14"/>
      <c r="D330" s="14"/>
      <c r="E330" s="14"/>
      <c r="F330" s="14"/>
      <c r="G330" s="14"/>
      <c r="H330" s="14"/>
      <c r="I330" s="14"/>
    </row>
    <row r="331" ht="28.5" customHeight="1">
      <c r="A331" s="4"/>
      <c r="B331" s="14"/>
      <c r="C331" s="14"/>
      <c r="D331" s="14"/>
      <c r="E331" s="14"/>
      <c r="F331" s="14"/>
      <c r="G331" s="14"/>
      <c r="H331" s="14"/>
      <c r="I331" s="14"/>
    </row>
    <row r="332" ht="28.5" customHeight="1">
      <c r="A332" s="4"/>
      <c r="B332" s="14"/>
      <c r="C332" s="14"/>
      <c r="D332" s="14"/>
      <c r="E332" s="14"/>
      <c r="F332" s="14"/>
      <c r="G332" s="14"/>
      <c r="H332" s="14"/>
      <c r="I332" s="14"/>
    </row>
    <row r="333" ht="28.5" customHeight="1">
      <c r="A333" s="4"/>
      <c r="B333" s="14"/>
      <c r="C333" s="14"/>
      <c r="D333" s="14"/>
      <c r="E333" s="14"/>
      <c r="F333" s="14"/>
      <c r="G333" s="14"/>
      <c r="H333" s="14"/>
      <c r="I333" s="14"/>
    </row>
    <row r="334" ht="28.5" customHeight="1">
      <c r="A334" s="4"/>
      <c r="B334" s="14"/>
      <c r="C334" s="14"/>
      <c r="D334" s="14"/>
      <c r="E334" s="14"/>
      <c r="F334" s="14"/>
      <c r="G334" s="14"/>
      <c r="H334" s="14"/>
      <c r="I334" s="14"/>
    </row>
    <row r="335" ht="28.5" customHeight="1">
      <c r="A335" s="4"/>
      <c r="B335" s="14"/>
      <c r="C335" s="14"/>
      <c r="D335" s="14"/>
      <c r="E335" s="14"/>
      <c r="F335" s="14"/>
      <c r="G335" s="14"/>
      <c r="H335" s="14"/>
      <c r="I335" s="14"/>
    </row>
    <row r="336" ht="28.5" customHeight="1">
      <c r="A336" s="4"/>
      <c r="B336" s="14"/>
      <c r="C336" s="14"/>
      <c r="D336" s="14"/>
      <c r="E336" s="14"/>
      <c r="F336" s="14"/>
      <c r="G336" s="14"/>
      <c r="H336" s="14"/>
      <c r="I336" s="14"/>
    </row>
    <row r="337" ht="28.5" customHeight="1">
      <c r="A337" s="4"/>
      <c r="B337" s="14"/>
      <c r="C337" s="14"/>
      <c r="D337" s="14"/>
      <c r="E337" s="14"/>
      <c r="F337" s="14"/>
      <c r="G337" s="14"/>
      <c r="H337" s="14"/>
      <c r="I337" s="14"/>
    </row>
    <row r="338" ht="28.5" customHeight="1">
      <c r="A338" s="4"/>
      <c r="B338" s="14"/>
      <c r="C338" s="14"/>
      <c r="D338" s="14"/>
      <c r="E338" s="14"/>
      <c r="F338" s="14"/>
      <c r="G338" s="14"/>
      <c r="H338" s="14"/>
      <c r="I338" s="14"/>
    </row>
    <row r="339" ht="28.5" customHeight="1">
      <c r="A339" s="4"/>
      <c r="B339" s="14"/>
      <c r="C339" s="14"/>
      <c r="D339" s="14"/>
      <c r="E339" s="14"/>
      <c r="F339" s="14"/>
      <c r="G339" s="14"/>
      <c r="H339" s="14"/>
      <c r="I339" s="14"/>
    </row>
    <row r="340" ht="28.5" customHeight="1">
      <c r="A340" s="4"/>
      <c r="B340" s="14"/>
      <c r="C340" s="14"/>
      <c r="D340" s="14"/>
      <c r="E340" s="14"/>
      <c r="F340" s="14"/>
      <c r="G340" s="14"/>
      <c r="H340" s="14"/>
      <c r="I340" s="14"/>
    </row>
    <row r="341" ht="28.5" customHeight="1">
      <c r="A341" s="4"/>
      <c r="B341" s="14"/>
      <c r="C341" s="14"/>
      <c r="D341" s="14"/>
      <c r="E341" s="14"/>
      <c r="F341" s="14"/>
      <c r="G341" s="14"/>
      <c r="H341" s="14"/>
      <c r="I341" s="14"/>
    </row>
    <row r="342" ht="28.5" customHeight="1">
      <c r="A342" s="4"/>
      <c r="B342" s="14"/>
      <c r="C342" s="14"/>
      <c r="D342" s="14"/>
      <c r="E342" s="14"/>
      <c r="F342" s="14"/>
      <c r="G342" s="14"/>
      <c r="H342" s="14"/>
      <c r="I342" s="14"/>
    </row>
    <row r="343" ht="28.5" customHeight="1">
      <c r="A343" s="4"/>
      <c r="B343" s="14"/>
      <c r="C343" s="14"/>
      <c r="D343" s="14"/>
      <c r="E343" s="14"/>
      <c r="F343" s="14"/>
      <c r="G343" s="14"/>
      <c r="H343" s="14"/>
      <c r="I343" s="14"/>
    </row>
    <row r="344" ht="28.5" customHeight="1">
      <c r="A344" s="4"/>
      <c r="B344" s="14"/>
      <c r="C344" s="14"/>
      <c r="D344" s="14"/>
      <c r="E344" s="14"/>
      <c r="F344" s="14"/>
      <c r="G344" s="14"/>
      <c r="H344" s="14"/>
      <c r="I344" s="14"/>
    </row>
    <row r="345" ht="28.5" customHeight="1">
      <c r="A345" s="4"/>
      <c r="B345" s="14"/>
      <c r="C345" s="14"/>
      <c r="D345" s="14"/>
      <c r="E345" s="14"/>
      <c r="F345" s="14"/>
      <c r="G345" s="14"/>
      <c r="H345" s="14"/>
      <c r="I345" s="14"/>
    </row>
    <row r="346" ht="28.5" customHeight="1">
      <c r="A346" s="4"/>
      <c r="B346" s="14"/>
      <c r="C346" s="14"/>
      <c r="D346" s="14"/>
      <c r="E346" s="14"/>
      <c r="F346" s="14"/>
      <c r="G346" s="14"/>
      <c r="H346" s="14"/>
      <c r="I346" s="14"/>
    </row>
    <row r="347" ht="28.5" customHeight="1">
      <c r="A347" s="4"/>
      <c r="B347" s="14"/>
      <c r="C347" s="14"/>
      <c r="D347" s="14"/>
      <c r="E347" s="14"/>
      <c r="F347" s="14"/>
      <c r="G347" s="14"/>
      <c r="H347" s="14"/>
      <c r="I347" s="14"/>
    </row>
    <row r="348" ht="28.5" customHeight="1">
      <c r="A348" s="4"/>
      <c r="B348" s="14"/>
      <c r="C348" s="14"/>
      <c r="D348" s="14"/>
      <c r="E348" s="14"/>
      <c r="F348" s="14"/>
      <c r="G348" s="14"/>
      <c r="H348" s="14"/>
      <c r="I348" s="14"/>
    </row>
    <row r="349" ht="28.5" customHeight="1">
      <c r="A349" s="4"/>
      <c r="B349" s="14"/>
      <c r="C349" s="14"/>
      <c r="D349" s="14"/>
      <c r="E349" s="14"/>
      <c r="F349" s="14"/>
      <c r="G349" s="14"/>
      <c r="H349" s="14"/>
      <c r="I349" s="14"/>
    </row>
    <row r="350" ht="28.5" customHeight="1">
      <c r="A350" s="4"/>
      <c r="B350" s="14"/>
      <c r="C350" s="14"/>
      <c r="D350" s="14"/>
      <c r="E350" s="14"/>
      <c r="F350" s="14"/>
      <c r="G350" s="14"/>
      <c r="H350" s="14"/>
      <c r="I350" s="14"/>
    </row>
    <row r="351" ht="28.5" customHeight="1">
      <c r="A351" s="4"/>
      <c r="B351" s="14"/>
      <c r="C351" s="14"/>
      <c r="D351" s="14"/>
      <c r="E351" s="14"/>
      <c r="F351" s="14"/>
      <c r="G351" s="14"/>
      <c r="H351" s="14"/>
      <c r="I351" s="14"/>
    </row>
    <row r="352" ht="28.5" customHeight="1">
      <c r="A352" s="4"/>
      <c r="B352" s="14"/>
      <c r="C352" s="14"/>
      <c r="D352" s="14"/>
      <c r="E352" s="14"/>
      <c r="F352" s="14"/>
      <c r="G352" s="14"/>
      <c r="H352" s="14"/>
      <c r="I352" s="14"/>
    </row>
    <row r="353" ht="28.5" customHeight="1">
      <c r="A353" s="4"/>
      <c r="B353" s="14"/>
      <c r="C353" s="14"/>
      <c r="D353" s="14"/>
      <c r="E353" s="14"/>
      <c r="F353" s="14"/>
      <c r="G353" s="14"/>
      <c r="H353" s="14"/>
      <c r="I353" s="14"/>
    </row>
    <row r="354" ht="28.5" customHeight="1">
      <c r="A354" s="4"/>
      <c r="B354" s="14"/>
      <c r="C354" s="14"/>
      <c r="D354" s="14"/>
      <c r="E354" s="14"/>
      <c r="F354" s="14"/>
      <c r="G354" s="14"/>
      <c r="H354" s="14"/>
      <c r="I354" s="14"/>
    </row>
    <row r="355" ht="28.5" customHeight="1">
      <c r="A355" s="4"/>
      <c r="B355" s="14"/>
      <c r="C355" s="14"/>
      <c r="D355" s="14"/>
      <c r="E355" s="14"/>
      <c r="F355" s="14"/>
      <c r="G355" s="14"/>
      <c r="H355" s="14"/>
      <c r="I355" s="14"/>
    </row>
    <row r="356" ht="28.5" customHeight="1">
      <c r="A356" s="4"/>
      <c r="B356" s="14"/>
      <c r="C356" s="14"/>
      <c r="D356" s="14"/>
      <c r="E356" s="14"/>
      <c r="F356" s="14"/>
      <c r="G356" s="14"/>
      <c r="H356" s="14"/>
      <c r="I356" s="14"/>
    </row>
    <row r="357" ht="28.5" customHeight="1">
      <c r="A357" s="4"/>
      <c r="B357" s="14"/>
      <c r="C357" s="14"/>
      <c r="D357" s="14"/>
      <c r="E357" s="14"/>
      <c r="F357" s="14"/>
      <c r="G357" s="14"/>
      <c r="H357" s="14"/>
      <c r="I357" s="14"/>
    </row>
    <row r="358" ht="28.5" customHeight="1">
      <c r="A358" s="4"/>
      <c r="B358" s="14"/>
      <c r="C358" s="14"/>
      <c r="D358" s="14"/>
      <c r="E358" s="14"/>
      <c r="F358" s="14"/>
      <c r="G358" s="14"/>
      <c r="H358" s="14"/>
      <c r="I358" s="14"/>
    </row>
    <row r="359" ht="28.5" customHeight="1">
      <c r="A359" s="4"/>
      <c r="B359" s="14"/>
      <c r="C359" s="14"/>
      <c r="D359" s="14"/>
      <c r="E359" s="14"/>
      <c r="F359" s="14"/>
      <c r="G359" s="14"/>
      <c r="H359" s="14"/>
      <c r="I359" s="14"/>
    </row>
    <row r="360" ht="28.5" customHeight="1">
      <c r="A360" s="4"/>
      <c r="B360" s="14"/>
      <c r="C360" s="14"/>
      <c r="D360" s="14"/>
      <c r="E360" s="14"/>
      <c r="F360" s="14"/>
      <c r="G360" s="14"/>
      <c r="H360" s="14"/>
      <c r="I360" s="14"/>
    </row>
    <row r="361" ht="28.5" customHeight="1">
      <c r="A361" s="4"/>
      <c r="B361" s="14"/>
      <c r="C361" s="14"/>
      <c r="D361" s="14"/>
      <c r="E361" s="14"/>
      <c r="F361" s="14"/>
      <c r="G361" s="14"/>
      <c r="H361" s="14"/>
      <c r="I361" s="14"/>
    </row>
    <row r="362" ht="28.5" customHeight="1">
      <c r="A362" s="4"/>
      <c r="B362" s="14"/>
      <c r="C362" s="14"/>
      <c r="D362" s="14"/>
      <c r="E362" s="14"/>
      <c r="F362" s="14"/>
      <c r="G362" s="14"/>
      <c r="H362" s="14"/>
      <c r="I362" s="14"/>
    </row>
    <row r="363" ht="28.5" customHeight="1">
      <c r="A363" s="4"/>
      <c r="B363" s="14"/>
      <c r="C363" s="14"/>
      <c r="D363" s="14"/>
      <c r="E363" s="14"/>
      <c r="F363" s="14"/>
      <c r="G363" s="14"/>
      <c r="H363" s="14"/>
      <c r="I363" s="14"/>
    </row>
    <row r="364" ht="28.5" customHeight="1">
      <c r="A364" s="4"/>
      <c r="B364" s="14"/>
      <c r="C364" s="14"/>
      <c r="D364" s="14"/>
      <c r="E364" s="14"/>
      <c r="F364" s="14"/>
      <c r="G364" s="14"/>
      <c r="H364" s="14"/>
      <c r="I364" s="14"/>
    </row>
    <row r="365" ht="28.5" customHeight="1">
      <c r="A365" s="4"/>
      <c r="B365" s="14"/>
      <c r="C365" s="14"/>
      <c r="D365" s="14"/>
      <c r="E365" s="14"/>
      <c r="F365" s="14"/>
      <c r="G365" s="14"/>
      <c r="H365" s="14"/>
      <c r="I365" s="14"/>
    </row>
    <row r="366" ht="28.5" customHeight="1">
      <c r="A366" s="4"/>
      <c r="B366" s="14"/>
      <c r="C366" s="14"/>
      <c r="D366" s="14"/>
      <c r="E366" s="14"/>
      <c r="F366" s="14"/>
      <c r="G366" s="14"/>
      <c r="H366" s="14"/>
      <c r="I366" s="14"/>
    </row>
    <row r="367" ht="28.5" customHeight="1">
      <c r="A367" s="4"/>
      <c r="B367" s="14"/>
      <c r="C367" s="14"/>
      <c r="D367" s="14"/>
      <c r="E367" s="14"/>
      <c r="F367" s="14"/>
      <c r="G367" s="14"/>
      <c r="H367" s="14"/>
      <c r="I367" s="14"/>
    </row>
    <row r="368" ht="28.5" customHeight="1">
      <c r="A368" s="4"/>
      <c r="B368" s="14"/>
      <c r="C368" s="14"/>
      <c r="D368" s="14"/>
      <c r="E368" s="14"/>
      <c r="F368" s="14"/>
      <c r="G368" s="14"/>
      <c r="H368" s="14"/>
      <c r="I368" s="14"/>
    </row>
    <row r="369" ht="28.5" customHeight="1">
      <c r="A369" s="4"/>
      <c r="B369" s="14"/>
      <c r="C369" s="14"/>
      <c r="D369" s="14"/>
      <c r="E369" s="14"/>
      <c r="F369" s="14"/>
      <c r="G369" s="14"/>
      <c r="H369" s="14"/>
      <c r="I369" s="14"/>
    </row>
    <row r="370" ht="28.5" customHeight="1">
      <c r="A370" s="4"/>
      <c r="B370" s="14"/>
      <c r="C370" s="14"/>
      <c r="D370" s="14"/>
      <c r="E370" s="14"/>
      <c r="F370" s="14"/>
      <c r="G370" s="14"/>
      <c r="H370" s="14"/>
      <c r="I370" s="14"/>
    </row>
    <row r="371" ht="28.5" customHeight="1">
      <c r="A371" s="4"/>
      <c r="B371" s="14"/>
      <c r="C371" s="14"/>
      <c r="D371" s="14"/>
      <c r="E371" s="14"/>
      <c r="F371" s="14"/>
      <c r="G371" s="14"/>
      <c r="H371" s="14"/>
      <c r="I371" s="14"/>
    </row>
    <row r="372" ht="28.5" customHeight="1">
      <c r="A372" s="4"/>
      <c r="B372" s="14"/>
      <c r="C372" s="14"/>
      <c r="D372" s="14"/>
      <c r="E372" s="14"/>
      <c r="F372" s="14"/>
      <c r="G372" s="14"/>
      <c r="H372" s="14"/>
      <c r="I372" s="14"/>
    </row>
    <row r="373" ht="28.5" customHeight="1">
      <c r="A373" s="4"/>
      <c r="B373" s="14"/>
      <c r="C373" s="14"/>
      <c r="D373" s="14"/>
      <c r="E373" s="14"/>
      <c r="F373" s="14"/>
      <c r="G373" s="14"/>
      <c r="H373" s="14"/>
      <c r="I373" s="14"/>
    </row>
    <row r="374" ht="28.5" customHeight="1">
      <c r="A374" s="4"/>
      <c r="B374" s="14"/>
      <c r="C374" s="14"/>
      <c r="D374" s="14"/>
      <c r="E374" s="14"/>
      <c r="F374" s="14"/>
      <c r="G374" s="14"/>
      <c r="H374" s="14"/>
      <c r="I374" s="14"/>
    </row>
    <row r="375" ht="28.5" customHeight="1">
      <c r="A375" s="4"/>
      <c r="B375" s="14"/>
      <c r="C375" s="14"/>
      <c r="D375" s="14"/>
      <c r="E375" s="14"/>
      <c r="F375" s="14"/>
      <c r="G375" s="14"/>
      <c r="H375" s="14"/>
      <c r="I375" s="14"/>
    </row>
    <row r="376" ht="28.5" customHeight="1">
      <c r="A376" s="4"/>
      <c r="B376" s="14"/>
      <c r="C376" s="14"/>
      <c r="D376" s="14"/>
      <c r="E376" s="14"/>
      <c r="F376" s="14"/>
      <c r="G376" s="14"/>
      <c r="H376" s="14"/>
      <c r="I376" s="14"/>
    </row>
    <row r="377" ht="28.5" customHeight="1">
      <c r="A377" s="4"/>
      <c r="B377" s="14"/>
      <c r="C377" s="14"/>
      <c r="D377" s="14"/>
      <c r="E377" s="14"/>
      <c r="F377" s="14"/>
      <c r="G377" s="14"/>
      <c r="H377" s="14"/>
      <c r="I377" s="14"/>
    </row>
    <row r="378" ht="28.5" customHeight="1">
      <c r="A378" s="4"/>
      <c r="B378" s="14"/>
      <c r="C378" s="14"/>
      <c r="D378" s="14"/>
      <c r="E378" s="14"/>
      <c r="F378" s="14"/>
      <c r="G378" s="14"/>
      <c r="H378" s="14"/>
      <c r="I378" s="14"/>
    </row>
    <row r="379" ht="28.5" customHeight="1">
      <c r="A379" s="4"/>
      <c r="B379" s="14"/>
      <c r="C379" s="14"/>
      <c r="D379" s="14"/>
      <c r="E379" s="14"/>
      <c r="F379" s="14"/>
      <c r="G379" s="14"/>
      <c r="H379" s="14"/>
      <c r="I379" s="14"/>
    </row>
    <row r="380" ht="28.5" customHeight="1">
      <c r="A380" s="4"/>
      <c r="B380" s="14"/>
      <c r="C380" s="14"/>
      <c r="D380" s="14"/>
      <c r="E380" s="14"/>
      <c r="F380" s="14"/>
      <c r="G380" s="14"/>
      <c r="H380" s="14"/>
      <c r="I380" s="14"/>
    </row>
    <row r="381" ht="28.5" customHeight="1">
      <c r="A381" s="4"/>
      <c r="B381" s="14"/>
      <c r="C381" s="14"/>
      <c r="D381" s="14"/>
      <c r="E381" s="14"/>
      <c r="F381" s="14"/>
      <c r="G381" s="14"/>
      <c r="H381" s="14"/>
      <c r="I381" s="14"/>
    </row>
    <row r="382" ht="28.5" customHeight="1">
      <c r="A382" s="4"/>
      <c r="B382" s="14"/>
      <c r="C382" s="14"/>
      <c r="D382" s="14"/>
      <c r="E382" s="14"/>
      <c r="F382" s="14"/>
      <c r="G382" s="14"/>
      <c r="H382" s="14"/>
      <c r="I382" s="14"/>
    </row>
    <row r="383" ht="28.5" customHeight="1">
      <c r="A383" s="4"/>
      <c r="B383" s="14"/>
      <c r="C383" s="14"/>
      <c r="D383" s="14"/>
      <c r="E383" s="14"/>
      <c r="F383" s="14"/>
      <c r="G383" s="14"/>
      <c r="H383" s="14"/>
      <c r="I383" s="14"/>
    </row>
    <row r="384" ht="28.5" customHeight="1">
      <c r="A384" s="4"/>
      <c r="B384" s="14"/>
      <c r="C384" s="14"/>
      <c r="D384" s="14"/>
      <c r="E384" s="14"/>
      <c r="F384" s="14"/>
      <c r="G384" s="14"/>
      <c r="H384" s="14"/>
      <c r="I384" s="14"/>
    </row>
    <row r="385" ht="28.5" customHeight="1">
      <c r="A385" s="4"/>
      <c r="B385" s="14"/>
      <c r="C385" s="14"/>
      <c r="D385" s="14"/>
      <c r="E385" s="14"/>
      <c r="F385" s="14"/>
      <c r="G385" s="14"/>
      <c r="H385" s="14"/>
      <c r="I385" s="14"/>
    </row>
    <row r="386" ht="28.5" customHeight="1">
      <c r="A386" s="4"/>
      <c r="B386" s="14"/>
      <c r="C386" s="14"/>
      <c r="D386" s="14"/>
      <c r="E386" s="14"/>
      <c r="F386" s="14"/>
      <c r="G386" s="14"/>
      <c r="H386" s="14"/>
      <c r="I386" s="14"/>
    </row>
    <row r="387" ht="28.5" customHeight="1">
      <c r="A387" s="4"/>
      <c r="B387" s="14"/>
      <c r="C387" s="14"/>
      <c r="D387" s="14"/>
      <c r="E387" s="14"/>
      <c r="F387" s="14"/>
      <c r="G387" s="14"/>
      <c r="H387" s="14"/>
      <c r="I387" s="14"/>
    </row>
    <row r="388" ht="28.5" customHeight="1">
      <c r="A388" s="4"/>
      <c r="B388" s="14"/>
      <c r="C388" s="14"/>
      <c r="D388" s="14"/>
      <c r="E388" s="14"/>
      <c r="F388" s="14"/>
      <c r="G388" s="14"/>
      <c r="H388" s="14"/>
      <c r="I388" s="14"/>
    </row>
    <row r="389" ht="28.5" customHeight="1">
      <c r="A389" s="4"/>
      <c r="B389" s="14"/>
      <c r="C389" s="14"/>
      <c r="D389" s="14"/>
      <c r="E389" s="14"/>
      <c r="F389" s="14"/>
      <c r="G389" s="14"/>
      <c r="H389" s="14"/>
      <c r="I389" s="14"/>
    </row>
    <row r="390" ht="28.5" customHeight="1">
      <c r="A390" s="4"/>
      <c r="B390" s="14"/>
      <c r="C390" s="14"/>
      <c r="D390" s="14"/>
      <c r="E390" s="14"/>
      <c r="F390" s="14"/>
      <c r="G390" s="14"/>
      <c r="H390" s="14"/>
      <c r="I390" s="14"/>
    </row>
    <row r="391" ht="28.5" customHeight="1">
      <c r="A391" s="4"/>
      <c r="B391" s="14"/>
      <c r="C391" s="14"/>
      <c r="D391" s="14"/>
      <c r="E391" s="14"/>
      <c r="F391" s="14"/>
      <c r="G391" s="14"/>
      <c r="H391" s="14"/>
      <c r="I391" s="14"/>
    </row>
    <row r="392" ht="28.5" customHeight="1">
      <c r="A392" s="4"/>
      <c r="B392" s="14"/>
      <c r="C392" s="14"/>
      <c r="D392" s="14"/>
      <c r="E392" s="14"/>
      <c r="F392" s="14"/>
      <c r="G392" s="14"/>
      <c r="H392" s="14"/>
      <c r="I392" s="14"/>
    </row>
    <row r="393" ht="28.5" customHeight="1">
      <c r="A393" s="4"/>
      <c r="B393" s="14"/>
      <c r="C393" s="14"/>
      <c r="D393" s="14"/>
      <c r="E393" s="14"/>
      <c r="F393" s="14"/>
      <c r="G393" s="14"/>
      <c r="H393" s="14"/>
      <c r="I393" s="14"/>
    </row>
    <row r="394" ht="28.5" customHeight="1">
      <c r="A394" s="4"/>
      <c r="B394" s="14"/>
      <c r="C394" s="14"/>
      <c r="D394" s="14"/>
      <c r="E394" s="14"/>
      <c r="F394" s="14"/>
      <c r="G394" s="14"/>
      <c r="H394" s="14"/>
      <c r="I394" s="14"/>
    </row>
    <row r="395" ht="28.5" customHeight="1">
      <c r="A395" s="4"/>
      <c r="B395" s="14"/>
      <c r="C395" s="14"/>
      <c r="D395" s="14"/>
      <c r="E395" s="14"/>
      <c r="F395" s="14"/>
      <c r="G395" s="14"/>
      <c r="H395" s="14"/>
      <c r="I395" s="14"/>
    </row>
    <row r="396" ht="28.5" customHeight="1">
      <c r="A396" s="4"/>
      <c r="B396" s="14"/>
      <c r="C396" s="14"/>
      <c r="D396" s="14"/>
      <c r="E396" s="14"/>
      <c r="F396" s="14"/>
      <c r="G396" s="14"/>
      <c r="H396" s="14"/>
      <c r="I396" s="14"/>
    </row>
    <row r="397" ht="28.5" customHeight="1">
      <c r="A397" s="4"/>
      <c r="B397" s="14"/>
      <c r="C397" s="14"/>
      <c r="D397" s="14"/>
      <c r="E397" s="14"/>
      <c r="F397" s="14"/>
      <c r="G397" s="14"/>
      <c r="H397" s="14"/>
      <c r="I397" s="14"/>
    </row>
    <row r="398" ht="28.5" customHeight="1">
      <c r="A398" s="4"/>
      <c r="B398" s="14"/>
      <c r="C398" s="14"/>
      <c r="D398" s="14"/>
      <c r="E398" s="14"/>
      <c r="F398" s="14"/>
      <c r="G398" s="14"/>
      <c r="H398" s="14"/>
      <c r="I398" s="14"/>
    </row>
    <row r="399" ht="28.5" customHeight="1">
      <c r="A399" s="4"/>
      <c r="B399" s="14"/>
      <c r="C399" s="14"/>
      <c r="D399" s="14"/>
      <c r="E399" s="14"/>
      <c r="F399" s="14"/>
      <c r="G399" s="14"/>
      <c r="H399" s="14"/>
      <c r="I399" s="14"/>
    </row>
    <row r="400" ht="28.5" customHeight="1">
      <c r="A400" s="4"/>
      <c r="B400" s="14"/>
      <c r="C400" s="14"/>
      <c r="D400" s="14"/>
      <c r="E400" s="14"/>
      <c r="F400" s="14"/>
      <c r="G400" s="14"/>
      <c r="H400" s="14"/>
      <c r="I400" s="14"/>
    </row>
    <row r="401" ht="28.5" customHeight="1">
      <c r="A401" s="4"/>
      <c r="B401" s="14"/>
      <c r="C401" s="14"/>
      <c r="D401" s="14"/>
      <c r="E401" s="14"/>
      <c r="F401" s="14"/>
      <c r="G401" s="14"/>
      <c r="H401" s="14"/>
      <c r="I401" s="14"/>
    </row>
    <row r="402" ht="28.5" customHeight="1">
      <c r="A402" s="4"/>
      <c r="B402" s="14"/>
      <c r="C402" s="14"/>
      <c r="D402" s="14"/>
      <c r="E402" s="14"/>
      <c r="F402" s="14"/>
      <c r="G402" s="14"/>
      <c r="H402" s="14"/>
      <c r="I402" s="14"/>
    </row>
    <row r="403" ht="28.5" customHeight="1">
      <c r="A403" s="4"/>
      <c r="B403" s="14"/>
      <c r="C403" s="14"/>
      <c r="D403" s="14"/>
      <c r="E403" s="14"/>
      <c r="F403" s="14"/>
      <c r="G403" s="14"/>
      <c r="H403" s="14"/>
      <c r="I403" s="14"/>
    </row>
    <row r="404" ht="28.5" customHeight="1">
      <c r="A404" s="4"/>
      <c r="B404" s="14"/>
      <c r="C404" s="14"/>
      <c r="D404" s="14"/>
      <c r="E404" s="14"/>
      <c r="F404" s="14"/>
      <c r="G404" s="14"/>
      <c r="H404" s="14"/>
      <c r="I404" s="14"/>
    </row>
    <row r="405" ht="28.5" customHeight="1">
      <c r="A405" s="4"/>
      <c r="B405" s="14"/>
      <c r="C405" s="14"/>
      <c r="D405" s="14"/>
      <c r="E405" s="14"/>
      <c r="F405" s="14"/>
      <c r="G405" s="14"/>
      <c r="H405" s="14"/>
      <c r="I405" s="14"/>
    </row>
    <row r="406" ht="28.5" customHeight="1">
      <c r="A406" s="4"/>
      <c r="B406" s="14"/>
      <c r="C406" s="14"/>
      <c r="D406" s="14"/>
      <c r="E406" s="14"/>
      <c r="F406" s="14"/>
      <c r="G406" s="14"/>
      <c r="H406" s="14"/>
      <c r="I406" s="14"/>
    </row>
    <row r="407" ht="28.5" customHeight="1">
      <c r="A407" s="4"/>
      <c r="B407" s="14"/>
      <c r="C407" s="14"/>
      <c r="D407" s="14"/>
      <c r="E407" s="14"/>
      <c r="F407" s="14"/>
      <c r="G407" s="14"/>
      <c r="H407" s="14"/>
      <c r="I407" s="14"/>
    </row>
    <row r="408" ht="28.5" customHeight="1">
      <c r="A408" s="4"/>
      <c r="B408" s="14"/>
      <c r="C408" s="14"/>
      <c r="D408" s="14"/>
      <c r="E408" s="14"/>
      <c r="F408" s="14"/>
      <c r="G408" s="14"/>
      <c r="H408" s="14"/>
      <c r="I408" s="14"/>
    </row>
    <row r="409" ht="28.5" customHeight="1">
      <c r="A409" s="4"/>
      <c r="B409" s="14"/>
      <c r="C409" s="14"/>
      <c r="D409" s="14"/>
      <c r="E409" s="14"/>
      <c r="F409" s="14"/>
      <c r="G409" s="14"/>
      <c r="H409" s="14"/>
      <c r="I409" s="14"/>
    </row>
    <row r="410" ht="28.5" customHeight="1">
      <c r="A410" s="4"/>
      <c r="B410" s="14"/>
      <c r="C410" s="14"/>
      <c r="D410" s="14"/>
      <c r="E410" s="14"/>
      <c r="F410" s="14"/>
      <c r="G410" s="14"/>
      <c r="H410" s="14"/>
      <c r="I410" s="14"/>
    </row>
    <row r="411" ht="28.5" customHeight="1">
      <c r="A411" s="4"/>
      <c r="B411" s="14"/>
      <c r="C411" s="14"/>
      <c r="D411" s="14"/>
      <c r="E411" s="14"/>
      <c r="F411" s="14"/>
      <c r="G411" s="14"/>
      <c r="H411" s="14"/>
      <c r="I411" s="14"/>
    </row>
    <row r="412" ht="28.5" customHeight="1">
      <c r="A412" s="4"/>
      <c r="B412" s="14"/>
      <c r="C412" s="14"/>
      <c r="D412" s="14"/>
      <c r="E412" s="14"/>
      <c r="F412" s="14"/>
      <c r="G412" s="14"/>
      <c r="H412" s="14"/>
      <c r="I412" s="14"/>
    </row>
    <row r="413" ht="28.5" customHeight="1">
      <c r="A413" s="4"/>
      <c r="B413" s="14"/>
      <c r="C413" s="14"/>
      <c r="D413" s="14"/>
      <c r="E413" s="14"/>
      <c r="F413" s="14"/>
      <c r="G413" s="14"/>
      <c r="H413" s="14"/>
      <c r="I413" s="14"/>
    </row>
    <row r="414" ht="28.5" customHeight="1">
      <c r="A414" s="4"/>
      <c r="B414" s="14"/>
      <c r="C414" s="14"/>
      <c r="D414" s="14"/>
      <c r="E414" s="14"/>
      <c r="F414" s="14"/>
      <c r="G414" s="14"/>
      <c r="H414" s="14"/>
      <c r="I414" s="14"/>
    </row>
    <row r="415" ht="28.5" customHeight="1">
      <c r="A415" s="4"/>
      <c r="B415" s="14"/>
      <c r="C415" s="14"/>
      <c r="D415" s="14"/>
      <c r="E415" s="14"/>
      <c r="F415" s="14"/>
      <c r="G415" s="14"/>
      <c r="H415" s="14"/>
      <c r="I415" s="14"/>
    </row>
    <row r="416" ht="28.5" customHeight="1">
      <c r="A416" s="4"/>
      <c r="B416" s="14"/>
      <c r="C416" s="14"/>
      <c r="D416" s="14"/>
      <c r="E416" s="14"/>
      <c r="F416" s="14"/>
      <c r="G416" s="14"/>
      <c r="H416" s="14"/>
      <c r="I416" s="14"/>
    </row>
    <row r="417" ht="28.5" customHeight="1">
      <c r="A417" s="4"/>
      <c r="B417" s="14"/>
      <c r="C417" s="14"/>
      <c r="D417" s="14"/>
      <c r="E417" s="14"/>
      <c r="F417" s="14"/>
      <c r="G417" s="14"/>
      <c r="H417" s="14"/>
      <c r="I417" s="14"/>
    </row>
    <row r="418" ht="28.5" customHeight="1">
      <c r="A418" s="4"/>
      <c r="B418" s="14"/>
      <c r="C418" s="14"/>
      <c r="D418" s="14"/>
      <c r="E418" s="14"/>
      <c r="F418" s="14"/>
      <c r="G418" s="14"/>
      <c r="H418" s="14"/>
      <c r="I418" s="14"/>
    </row>
    <row r="419" ht="28.5" customHeight="1">
      <c r="A419" s="4"/>
      <c r="B419" s="14"/>
      <c r="C419" s="14"/>
      <c r="D419" s="14"/>
      <c r="E419" s="14"/>
      <c r="F419" s="14"/>
      <c r="G419" s="14"/>
      <c r="H419" s="14"/>
      <c r="I419" s="14"/>
    </row>
    <row r="420" ht="28.5" customHeight="1">
      <c r="A420" s="4"/>
      <c r="B420" s="14"/>
      <c r="C420" s="14"/>
      <c r="D420" s="14"/>
      <c r="E420" s="14"/>
      <c r="F420" s="14"/>
      <c r="G420" s="14"/>
      <c r="H420" s="14"/>
      <c r="I420" s="14"/>
    </row>
    <row r="421" ht="28.5" customHeight="1">
      <c r="A421" s="4"/>
      <c r="B421" s="14"/>
      <c r="C421" s="14"/>
      <c r="D421" s="14"/>
      <c r="E421" s="14"/>
      <c r="F421" s="14"/>
      <c r="G421" s="14"/>
      <c r="H421" s="14"/>
      <c r="I421" s="14"/>
    </row>
    <row r="422" ht="28.5" customHeight="1">
      <c r="A422" s="4"/>
      <c r="B422" s="14"/>
      <c r="C422" s="14"/>
      <c r="D422" s="14"/>
      <c r="E422" s="14"/>
      <c r="F422" s="14"/>
      <c r="G422" s="14"/>
      <c r="H422" s="14"/>
      <c r="I422" s="14"/>
    </row>
    <row r="423" ht="28.5" customHeight="1">
      <c r="A423" s="4"/>
      <c r="B423" s="14"/>
      <c r="C423" s="14"/>
      <c r="D423" s="14"/>
      <c r="E423" s="14"/>
      <c r="F423" s="14"/>
      <c r="G423" s="14"/>
      <c r="H423" s="14"/>
      <c r="I423" s="14"/>
    </row>
    <row r="424" ht="28.5" customHeight="1">
      <c r="A424" s="4"/>
      <c r="B424" s="14"/>
      <c r="C424" s="14"/>
      <c r="D424" s="14"/>
      <c r="E424" s="14"/>
      <c r="F424" s="14"/>
      <c r="G424" s="14"/>
      <c r="H424" s="14"/>
      <c r="I424" s="14"/>
    </row>
    <row r="425" ht="28.5" customHeight="1">
      <c r="A425" s="4"/>
      <c r="B425" s="14"/>
      <c r="C425" s="14"/>
      <c r="D425" s="14"/>
      <c r="E425" s="14"/>
      <c r="F425" s="14"/>
      <c r="G425" s="14"/>
      <c r="H425" s="14"/>
      <c r="I425" s="14"/>
    </row>
    <row r="426" ht="28.5" customHeight="1">
      <c r="A426" s="4"/>
      <c r="B426" s="14"/>
      <c r="C426" s="14"/>
      <c r="D426" s="14"/>
      <c r="E426" s="14"/>
      <c r="F426" s="14"/>
      <c r="G426" s="14"/>
      <c r="H426" s="14"/>
      <c r="I426" s="14"/>
    </row>
    <row r="427" ht="28.5" customHeight="1">
      <c r="A427" s="4"/>
      <c r="B427" s="14"/>
      <c r="C427" s="14"/>
      <c r="D427" s="14"/>
      <c r="E427" s="14"/>
      <c r="F427" s="14"/>
      <c r="G427" s="14"/>
      <c r="H427" s="14"/>
      <c r="I427" s="14"/>
    </row>
    <row r="428" ht="28.5" customHeight="1">
      <c r="A428" s="4"/>
      <c r="B428" s="14"/>
      <c r="C428" s="14"/>
      <c r="D428" s="14"/>
      <c r="E428" s="14"/>
      <c r="F428" s="14"/>
      <c r="G428" s="14"/>
      <c r="H428" s="14"/>
      <c r="I428" s="14"/>
    </row>
    <row r="429" ht="28.5" customHeight="1">
      <c r="A429" s="4"/>
      <c r="B429" s="14"/>
      <c r="C429" s="14"/>
      <c r="D429" s="14"/>
      <c r="E429" s="14"/>
      <c r="F429" s="14"/>
      <c r="G429" s="14"/>
      <c r="H429" s="14"/>
      <c r="I429" s="14"/>
    </row>
    <row r="430" ht="28.5" customHeight="1">
      <c r="A430" s="4"/>
      <c r="B430" s="14"/>
      <c r="C430" s="14"/>
      <c r="D430" s="14"/>
      <c r="E430" s="14"/>
      <c r="F430" s="14"/>
      <c r="G430" s="14"/>
      <c r="H430" s="14"/>
      <c r="I430" s="14"/>
    </row>
    <row r="431" ht="28.5" customHeight="1">
      <c r="A431" s="4"/>
      <c r="B431" s="14"/>
      <c r="C431" s="14"/>
      <c r="D431" s="14"/>
      <c r="E431" s="14"/>
      <c r="F431" s="14"/>
      <c r="G431" s="14"/>
      <c r="H431" s="14"/>
      <c r="I431" s="14"/>
    </row>
    <row r="432" ht="28.5" customHeight="1">
      <c r="A432" s="4"/>
      <c r="B432" s="14"/>
      <c r="C432" s="14"/>
      <c r="D432" s="14"/>
      <c r="E432" s="14"/>
      <c r="F432" s="14"/>
      <c r="G432" s="14"/>
      <c r="H432" s="14"/>
      <c r="I432" s="14"/>
    </row>
    <row r="433" ht="28.5" customHeight="1">
      <c r="A433" s="4"/>
      <c r="B433" s="14"/>
      <c r="C433" s="14"/>
      <c r="D433" s="14"/>
      <c r="E433" s="14"/>
      <c r="F433" s="14"/>
      <c r="G433" s="14"/>
      <c r="H433" s="14"/>
      <c r="I433" s="14"/>
    </row>
    <row r="434" ht="28.5" customHeight="1">
      <c r="A434" s="4"/>
      <c r="B434" s="14"/>
      <c r="C434" s="14"/>
      <c r="D434" s="14"/>
      <c r="E434" s="14"/>
      <c r="F434" s="14"/>
      <c r="G434" s="14"/>
      <c r="H434" s="14"/>
      <c r="I434" s="14"/>
    </row>
    <row r="435" ht="28.5" customHeight="1">
      <c r="A435" s="4"/>
      <c r="B435" s="14"/>
      <c r="C435" s="14"/>
      <c r="D435" s="14"/>
      <c r="E435" s="14"/>
      <c r="F435" s="14"/>
      <c r="G435" s="14"/>
      <c r="H435" s="14"/>
      <c r="I435" s="14"/>
    </row>
    <row r="436" ht="28.5" customHeight="1">
      <c r="A436" s="4"/>
      <c r="B436" s="14"/>
      <c r="C436" s="14"/>
      <c r="D436" s="14"/>
      <c r="E436" s="14"/>
      <c r="F436" s="14"/>
      <c r="G436" s="14"/>
      <c r="H436" s="14"/>
      <c r="I436" s="14"/>
    </row>
    <row r="437" ht="28.5" customHeight="1">
      <c r="A437" s="4"/>
      <c r="B437" s="14"/>
      <c r="C437" s="14"/>
      <c r="D437" s="14"/>
      <c r="E437" s="14"/>
      <c r="F437" s="14"/>
      <c r="G437" s="14"/>
      <c r="H437" s="14"/>
      <c r="I437" s="14"/>
    </row>
    <row r="438" ht="28.5" customHeight="1">
      <c r="A438" s="4"/>
      <c r="B438" s="14"/>
      <c r="C438" s="14"/>
      <c r="D438" s="14"/>
      <c r="E438" s="14"/>
      <c r="F438" s="14"/>
      <c r="G438" s="14"/>
      <c r="H438" s="14"/>
      <c r="I438" s="14"/>
    </row>
    <row r="439" ht="28.5" customHeight="1">
      <c r="A439" s="4"/>
      <c r="B439" s="14"/>
      <c r="C439" s="14"/>
      <c r="D439" s="14"/>
      <c r="E439" s="14"/>
      <c r="F439" s="14"/>
      <c r="G439" s="14"/>
      <c r="H439" s="14"/>
      <c r="I439" s="14"/>
    </row>
    <row r="440" ht="28.5" customHeight="1">
      <c r="A440" s="4"/>
      <c r="B440" s="14"/>
      <c r="C440" s="14"/>
      <c r="D440" s="14"/>
      <c r="E440" s="14"/>
      <c r="F440" s="14"/>
      <c r="G440" s="14"/>
      <c r="H440" s="14"/>
      <c r="I440" s="14"/>
    </row>
    <row r="441" ht="28.5" customHeight="1">
      <c r="A441" s="4"/>
      <c r="B441" s="14"/>
      <c r="C441" s="14"/>
      <c r="D441" s="14"/>
      <c r="E441" s="14"/>
      <c r="F441" s="14"/>
      <c r="G441" s="14"/>
      <c r="H441" s="14"/>
      <c r="I441" s="14"/>
    </row>
    <row r="442" ht="28.5" customHeight="1">
      <c r="A442" s="4"/>
      <c r="B442" s="14"/>
      <c r="C442" s="14"/>
      <c r="D442" s="14"/>
      <c r="E442" s="14"/>
      <c r="F442" s="14"/>
      <c r="G442" s="14"/>
      <c r="H442" s="14"/>
      <c r="I442" s="14"/>
    </row>
    <row r="443" ht="28.5" customHeight="1">
      <c r="A443" s="4"/>
      <c r="B443" s="14"/>
      <c r="C443" s="14"/>
      <c r="D443" s="14"/>
      <c r="E443" s="14"/>
      <c r="F443" s="14"/>
      <c r="G443" s="14"/>
      <c r="H443" s="14"/>
      <c r="I443" s="14"/>
    </row>
    <row r="444" ht="28.5" customHeight="1">
      <c r="A444" s="4"/>
      <c r="B444" s="14"/>
      <c r="C444" s="14"/>
      <c r="D444" s="14"/>
      <c r="E444" s="14"/>
      <c r="F444" s="14"/>
      <c r="G444" s="14"/>
      <c r="H444" s="14"/>
      <c r="I444" s="14"/>
    </row>
    <row r="445" ht="28.5" customHeight="1">
      <c r="A445" s="4"/>
      <c r="B445" s="14"/>
      <c r="C445" s="14"/>
      <c r="D445" s="14"/>
      <c r="E445" s="14"/>
      <c r="F445" s="14"/>
      <c r="G445" s="14"/>
      <c r="H445" s="14"/>
      <c r="I445" s="14"/>
    </row>
    <row r="446" ht="28.5" customHeight="1">
      <c r="A446" s="4"/>
      <c r="B446" s="14"/>
      <c r="C446" s="14"/>
      <c r="D446" s="14"/>
      <c r="E446" s="14"/>
      <c r="F446" s="14"/>
      <c r="G446" s="14"/>
      <c r="H446" s="14"/>
      <c r="I446" s="14"/>
    </row>
    <row r="447" ht="28.5" customHeight="1">
      <c r="A447" s="4"/>
      <c r="B447" s="14"/>
      <c r="C447" s="14"/>
      <c r="D447" s="14"/>
      <c r="E447" s="14"/>
      <c r="F447" s="14"/>
      <c r="G447" s="14"/>
      <c r="H447" s="14"/>
      <c r="I447" s="14"/>
    </row>
    <row r="448" ht="28.5" customHeight="1">
      <c r="A448" s="4"/>
      <c r="B448" s="14"/>
      <c r="C448" s="14"/>
      <c r="D448" s="14"/>
      <c r="E448" s="14"/>
      <c r="F448" s="14"/>
      <c r="G448" s="14"/>
      <c r="H448" s="14"/>
      <c r="I448" s="14"/>
    </row>
    <row r="449" ht="28.5" customHeight="1">
      <c r="A449" s="4"/>
      <c r="B449" s="14"/>
      <c r="C449" s="14"/>
      <c r="D449" s="14"/>
      <c r="E449" s="14"/>
      <c r="F449" s="14"/>
      <c r="G449" s="14"/>
      <c r="H449" s="14"/>
      <c r="I449" s="14"/>
    </row>
    <row r="450" ht="28.5" customHeight="1">
      <c r="A450" s="4"/>
      <c r="B450" s="14"/>
      <c r="C450" s="14"/>
      <c r="D450" s="14"/>
      <c r="E450" s="14"/>
      <c r="F450" s="14"/>
      <c r="G450" s="14"/>
      <c r="H450" s="14"/>
      <c r="I450" s="14"/>
    </row>
    <row r="451" ht="28.5" customHeight="1">
      <c r="A451" s="4"/>
      <c r="B451" s="14"/>
      <c r="C451" s="14"/>
      <c r="D451" s="14"/>
      <c r="E451" s="14"/>
      <c r="F451" s="14"/>
      <c r="G451" s="14"/>
      <c r="H451" s="14"/>
      <c r="I451" s="14"/>
    </row>
    <row r="452" ht="28.5" customHeight="1">
      <c r="A452" s="4"/>
      <c r="B452" s="14"/>
      <c r="C452" s="14"/>
      <c r="D452" s="14"/>
      <c r="E452" s="14"/>
      <c r="F452" s="14"/>
      <c r="G452" s="14"/>
      <c r="H452" s="14"/>
      <c r="I452" s="14"/>
    </row>
    <row r="453" ht="28.5" customHeight="1">
      <c r="A453" s="4"/>
      <c r="B453" s="14"/>
      <c r="C453" s="14"/>
      <c r="D453" s="14"/>
      <c r="E453" s="14"/>
      <c r="F453" s="14"/>
      <c r="G453" s="14"/>
      <c r="H453" s="14"/>
      <c r="I453" s="14"/>
    </row>
    <row r="454" ht="28.5" customHeight="1">
      <c r="A454" s="4"/>
      <c r="B454" s="14"/>
      <c r="C454" s="14"/>
      <c r="D454" s="14"/>
      <c r="E454" s="14"/>
      <c r="F454" s="14"/>
      <c r="G454" s="14"/>
      <c r="H454" s="14"/>
      <c r="I454" s="14"/>
    </row>
    <row r="455" ht="28.5" customHeight="1">
      <c r="A455" s="4"/>
      <c r="B455" s="14"/>
      <c r="C455" s="14"/>
      <c r="D455" s="14"/>
      <c r="E455" s="14"/>
      <c r="F455" s="14"/>
      <c r="G455" s="14"/>
      <c r="H455" s="14"/>
      <c r="I455" s="14"/>
    </row>
    <row r="456" ht="28.5" customHeight="1">
      <c r="A456" s="4"/>
      <c r="B456" s="14"/>
      <c r="C456" s="14"/>
      <c r="D456" s="14"/>
      <c r="E456" s="14"/>
      <c r="F456" s="14"/>
      <c r="G456" s="14"/>
      <c r="H456" s="14"/>
      <c r="I456" s="14"/>
    </row>
    <row r="457" ht="28.5" customHeight="1">
      <c r="A457" s="4"/>
      <c r="B457" s="14"/>
      <c r="C457" s="14"/>
      <c r="D457" s="14"/>
      <c r="E457" s="14"/>
      <c r="F457" s="14"/>
      <c r="G457" s="14"/>
      <c r="H457" s="14"/>
      <c r="I457" s="14"/>
    </row>
    <row r="458" ht="28.5" customHeight="1">
      <c r="A458" s="4"/>
      <c r="B458" s="14"/>
      <c r="C458" s="14"/>
      <c r="D458" s="14"/>
      <c r="E458" s="14"/>
      <c r="F458" s="14"/>
      <c r="G458" s="14"/>
      <c r="H458" s="14"/>
      <c r="I458" s="14"/>
    </row>
    <row r="459" ht="28.5" customHeight="1">
      <c r="A459" s="4"/>
      <c r="B459" s="14"/>
      <c r="C459" s="14"/>
      <c r="D459" s="14"/>
      <c r="E459" s="14"/>
      <c r="F459" s="14"/>
      <c r="G459" s="14"/>
      <c r="H459" s="14"/>
      <c r="I459" s="14"/>
    </row>
    <row r="460" ht="28.5" customHeight="1">
      <c r="A460" s="4"/>
      <c r="B460" s="14"/>
      <c r="C460" s="14"/>
      <c r="D460" s="14"/>
      <c r="E460" s="14"/>
      <c r="F460" s="14"/>
      <c r="G460" s="14"/>
      <c r="H460" s="14"/>
      <c r="I460" s="14"/>
    </row>
    <row r="461" ht="28.5" customHeight="1">
      <c r="A461" s="4"/>
      <c r="B461" s="14"/>
      <c r="C461" s="14"/>
      <c r="D461" s="14"/>
      <c r="E461" s="14"/>
      <c r="F461" s="14"/>
      <c r="G461" s="14"/>
      <c r="H461" s="14"/>
      <c r="I461" s="14"/>
    </row>
    <row r="462" ht="28.5" customHeight="1">
      <c r="A462" s="4"/>
      <c r="B462" s="14"/>
      <c r="C462" s="14"/>
      <c r="D462" s="14"/>
      <c r="E462" s="14"/>
      <c r="F462" s="14"/>
      <c r="G462" s="14"/>
      <c r="H462" s="14"/>
      <c r="I462" s="14"/>
    </row>
    <row r="463" ht="28.5" customHeight="1">
      <c r="A463" s="4"/>
      <c r="B463" s="14"/>
      <c r="C463" s="14"/>
      <c r="D463" s="14"/>
      <c r="E463" s="14"/>
      <c r="F463" s="14"/>
      <c r="G463" s="14"/>
      <c r="H463" s="14"/>
      <c r="I463" s="14"/>
    </row>
    <row r="464" ht="28.5" customHeight="1">
      <c r="A464" s="4"/>
      <c r="B464" s="14"/>
      <c r="C464" s="14"/>
      <c r="D464" s="14"/>
      <c r="E464" s="14"/>
      <c r="F464" s="14"/>
      <c r="G464" s="14"/>
      <c r="H464" s="14"/>
      <c r="I464" s="14"/>
    </row>
    <row r="465" ht="28.5" customHeight="1">
      <c r="A465" s="4"/>
      <c r="B465" s="14"/>
      <c r="C465" s="14"/>
      <c r="D465" s="14"/>
      <c r="E465" s="14"/>
      <c r="F465" s="14"/>
      <c r="G465" s="14"/>
      <c r="H465" s="14"/>
      <c r="I465" s="14"/>
    </row>
    <row r="466" ht="28.5" customHeight="1">
      <c r="A466" s="4"/>
      <c r="B466" s="14"/>
      <c r="C466" s="14"/>
      <c r="D466" s="14"/>
      <c r="E466" s="14"/>
      <c r="F466" s="14"/>
      <c r="G466" s="14"/>
      <c r="H466" s="14"/>
      <c r="I466" s="14"/>
    </row>
    <row r="467" ht="28.5" customHeight="1">
      <c r="A467" s="4"/>
      <c r="B467" s="14"/>
      <c r="C467" s="14"/>
      <c r="D467" s="14"/>
      <c r="E467" s="14"/>
      <c r="F467" s="14"/>
      <c r="G467" s="14"/>
      <c r="H467" s="14"/>
      <c r="I467" s="14"/>
    </row>
    <row r="468" ht="28.5" customHeight="1">
      <c r="A468" s="4"/>
      <c r="B468" s="14"/>
      <c r="C468" s="14"/>
      <c r="D468" s="14"/>
      <c r="E468" s="14"/>
      <c r="F468" s="14"/>
      <c r="G468" s="14"/>
      <c r="H468" s="14"/>
      <c r="I468" s="14"/>
    </row>
    <row r="469" ht="28.5" customHeight="1">
      <c r="A469" s="4"/>
      <c r="B469" s="14"/>
      <c r="C469" s="14"/>
      <c r="D469" s="14"/>
      <c r="E469" s="14"/>
      <c r="F469" s="14"/>
      <c r="G469" s="14"/>
      <c r="H469" s="14"/>
      <c r="I469" s="14"/>
    </row>
    <row r="470" ht="28.5" customHeight="1">
      <c r="A470" s="4"/>
      <c r="B470" s="14"/>
      <c r="C470" s="14"/>
      <c r="D470" s="14"/>
      <c r="E470" s="14"/>
      <c r="F470" s="14"/>
      <c r="G470" s="14"/>
      <c r="H470" s="14"/>
      <c r="I470" s="14"/>
    </row>
    <row r="471" ht="28.5" customHeight="1">
      <c r="A471" s="4"/>
      <c r="B471" s="14"/>
      <c r="C471" s="14"/>
      <c r="D471" s="14"/>
      <c r="E471" s="14"/>
      <c r="F471" s="14"/>
      <c r="G471" s="14"/>
      <c r="H471" s="14"/>
      <c r="I471" s="14"/>
    </row>
    <row r="472" ht="28.5" customHeight="1">
      <c r="A472" s="4"/>
      <c r="B472" s="14"/>
      <c r="C472" s="14"/>
      <c r="D472" s="14"/>
      <c r="E472" s="14"/>
      <c r="F472" s="14"/>
      <c r="G472" s="14"/>
      <c r="H472" s="14"/>
      <c r="I472" s="14"/>
    </row>
    <row r="473" ht="28.5" customHeight="1">
      <c r="A473" s="4"/>
      <c r="B473" s="14"/>
      <c r="C473" s="14"/>
      <c r="D473" s="14"/>
      <c r="E473" s="14"/>
      <c r="F473" s="14"/>
      <c r="G473" s="14"/>
      <c r="H473" s="14"/>
      <c r="I473" s="14"/>
    </row>
    <row r="474" ht="28.5" customHeight="1">
      <c r="A474" s="4"/>
      <c r="B474" s="14"/>
      <c r="C474" s="14"/>
      <c r="D474" s="14"/>
      <c r="E474" s="14"/>
      <c r="F474" s="14"/>
      <c r="G474" s="14"/>
      <c r="H474" s="14"/>
      <c r="I474" s="14"/>
    </row>
    <row r="475" ht="28.5" customHeight="1">
      <c r="A475" s="4"/>
      <c r="B475" s="14"/>
      <c r="C475" s="14"/>
      <c r="D475" s="14"/>
      <c r="E475" s="14"/>
      <c r="F475" s="14"/>
      <c r="G475" s="14"/>
      <c r="H475" s="14"/>
      <c r="I475" s="14"/>
    </row>
    <row r="476" ht="28.5" customHeight="1">
      <c r="A476" s="4"/>
      <c r="B476" s="14"/>
      <c r="C476" s="14"/>
      <c r="D476" s="14"/>
      <c r="E476" s="14"/>
      <c r="F476" s="14"/>
      <c r="G476" s="14"/>
      <c r="H476" s="14"/>
      <c r="I476" s="14"/>
    </row>
    <row r="477" ht="28.5" customHeight="1">
      <c r="A477" s="4"/>
      <c r="B477" s="14"/>
      <c r="C477" s="14"/>
      <c r="D477" s="14"/>
      <c r="E477" s="14"/>
      <c r="F477" s="14"/>
      <c r="G477" s="14"/>
      <c r="H477" s="14"/>
      <c r="I477" s="14"/>
    </row>
    <row r="478" ht="28.5" customHeight="1">
      <c r="A478" s="4"/>
      <c r="B478" s="14"/>
      <c r="C478" s="14"/>
      <c r="D478" s="14"/>
      <c r="E478" s="14"/>
      <c r="F478" s="14"/>
      <c r="G478" s="14"/>
      <c r="H478" s="14"/>
      <c r="I478" s="14"/>
    </row>
    <row r="479" ht="28.5" customHeight="1">
      <c r="A479" s="4"/>
      <c r="B479" s="14"/>
      <c r="C479" s="14"/>
      <c r="D479" s="14"/>
      <c r="E479" s="14"/>
      <c r="F479" s="14"/>
      <c r="G479" s="14"/>
      <c r="H479" s="14"/>
      <c r="I479" s="14"/>
    </row>
    <row r="480" ht="28.5" customHeight="1">
      <c r="A480" s="4"/>
      <c r="B480" s="14"/>
      <c r="C480" s="14"/>
      <c r="D480" s="14"/>
      <c r="E480" s="14"/>
      <c r="F480" s="14"/>
      <c r="G480" s="14"/>
      <c r="H480" s="14"/>
      <c r="I480" s="14"/>
    </row>
    <row r="481" ht="28.5" customHeight="1">
      <c r="A481" s="4"/>
      <c r="B481" s="14"/>
      <c r="C481" s="14"/>
      <c r="D481" s="14"/>
      <c r="E481" s="14"/>
      <c r="F481" s="14"/>
      <c r="G481" s="14"/>
      <c r="H481" s="14"/>
      <c r="I481" s="14"/>
    </row>
    <row r="482" ht="28.5" customHeight="1">
      <c r="A482" s="4"/>
      <c r="B482" s="14"/>
      <c r="C482" s="14"/>
      <c r="D482" s="14"/>
      <c r="E482" s="14"/>
      <c r="F482" s="14"/>
      <c r="G482" s="14"/>
      <c r="H482" s="14"/>
      <c r="I482" s="14"/>
    </row>
    <row r="483" ht="28.5" customHeight="1">
      <c r="A483" s="4"/>
      <c r="B483" s="14"/>
      <c r="C483" s="14"/>
      <c r="D483" s="14"/>
      <c r="E483" s="14"/>
      <c r="F483" s="14"/>
      <c r="G483" s="14"/>
      <c r="H483" s="14"/>
      <c r="I483" s="14"/>
    </row>
    <row r="484" ht="28.5" customHeight="1">
      <c r="A484" s="4"/>
      <c r="B484" s="14"/>
      <c r="C484" s="14"/>
      <c r="D484" s="14"/>
      <c r="E484" s="14"/>
      <c r="F484" s="14"/>
      <c r="G484" s="14"/>
      <c r="H484" s="14"/>
      <c r="I484" s="14"/>
    </row>
    <row r="485" ht="28.5" customHeight="1">
      <c r="A485" s="4"/>
      <c r="B485" s="14"/>
      <c r="C485" s="14"/>
      <c r="D485" s="14"/>
      <c r="E485" s="14"/>
      <c r="F485" s="14"/>
      <c r="G485" s="14"/>
      <c r="H485" s="14"/>
      <c r="I485" s="14"/>
    </row>
    <row r="486" ht="28.5" customHeight="1">
      <c r="A486" s="4"/>
      <c r="B486" s="14"/>
      <c r="C486" s="14"/>
      <c r="D486" s="14"/>
      <c r="E486" s="14"/>
      <c r="F486" s="14"/>
      <c r="G486" s="14"/>
      <c r="H486" s="14"/>
      <c r="I486" s="14"/>
    </row>
    <row r="487" ht="28.5" customHeight="1">
      <c r="A487" s="4"/>
      <c r="B487" s="14"/>
      <c r="C487" s="14"/>
      <c r="D487" s="14"/>
      <c r="E487" s="14"/>
      <c r="F487" s="14"/>
      <c r="G487" s="14"/>
      <c r="H487" s="14"/>
      <c r="I487" s="14"/>
    </row>
    <row r="488" ht="28.5" customHeight="1">
      <c r="A488" s="4"/>
      <c r="B488" s="14"/>
      <c r="C488" s="14"/>
      <c r="D488" s="14"/>
      <c r="E488" s="14"/>
      <c r="F488" s="14"/>
      <c r="G488" s="14"/>
      <c r="H488" s="14"/>
      <c r="I488" s="14"/>
    </row>
    <row r="489" ht="28.5" customHeight="1">
      <c r="A489" s="4"/>
      <c r="B489" s="14"/>
      <c r="C489" s="14"/>
      <c r="D489" s="14"/>
      <c r="E489" s="14"/>
      <c r="F489" s="14"/>
      <c r="G489" s="14"/>
      <c r="H489" s="14"/>
      <c r="I489" s="14"/>
    </row>
    <row r="490" ht="28.5" customHeight="1">
      <c r="A490" s="4"/>
      <c r="B490" s="14"/>
      <c r="C490" s="14"/>
      <c r="D490" s="14"/>
      <c r="E490" s="14"/>
      <c r="F490" s="14"/>
      <c r="G490" s="14"/>
      <c r="H490" s="14"/>
      <c r="I490" s="14"/>
    </row>
    <row r="491" ht="28.5" customHeight="1">
      <c r="A491" s="4"/>
      <c r="B491" s="14"/>
      <c r="C491" s="14"/>
      <c r="D491" s="14"/>
      <c r="E491" s="14"/>
      <c r="F491" s="14"/>
      <c r="G491" s="14"/>
      <c r="H491" s="14"/>
      <c r="I491" s="14"/>
    </row>
    <row r="492" ht="28.5" customHeight="1">
      <c r="A492" s="4"/>
      <c r="B492" s="14"/>
      <c r="C492" s="14"/>
      <c r="D492" s="14"/>
      <c r="E492" s="14"/>
      <c r="F492" s="14"/>
      <c r="G492" s="14"/>
      <c r="H492" s="14"/>
      <c r="I492" s="14"/>
    </row>
    <row r="493" ht="28.5" customHeight="1">
      <c r="A493" s="4"/>
      <c r="B493" s="14"/>
      <c r="C493" s="14"/>
      <c r="D493" s="14"/>
      <c r="E493" s="14"/>
      <c r="F493" s="14"/>
      <c r="G493" s="14"/>
      <c r="H493" s="14"/>
      <c r="I493" s="14"/>
    </row>
    <row r="494" ht="28.5" customHeight="1">
      <c r="A494" s="4"/>
      <c r="B494" s="14"/>
      <c r="C494" s="14"/>
      <c r="D494" s="14"/>
      <c r="E494" s="14"/>
      <c r="F494" s="14"/>
      <c r="G494" s="14"/>
      <c r="H494" s="14"/>
      <c r="I494" s="14"/>
    </row>
    <row r="495" ht="28.5" customHeight="1">
      <c r="A495" s="4"/>
      <c r="B495" s="14"/>
      <c r="C495" s="14"/>
      <c r="D495" s="14"/>
      <c r="E495" s="14"/>
      <c r="F495" s="14"/>
      <c r="G495" s="14"/>
      <c r="H495" s="14"/>
      <c r="I495" s="14"/>
    </row>
    <row r="496" ht="28.5" customHeight="1">
      <c r="A496" s="4"/>
      <c r="B496" s="14"/>
      <c r="C496" s="14"/>
      <c r="D496" s="14"/>
      <c r="E496" s="14"/>
      <c r="F496" s="14"/>
      <c r="G496" s="14"/>
      <c r="H496" s="14"/>
      <c r="I496" s="14"/>
    </row>
    <row r="497" ht="28.5" customHeight="1">
      <c r="A497" s="4"/>
      <c r="B497" s="14"/>
      <c r="C497" s="14"/>
      <c r="D497" s="14"/>
      <c r="E497" s="14"/>
      <c r="F497" s="14"/>
      <c r="G497" s="14"/>
      <c r="H497" s="14"/>
      <c r="I497" s="14"/>
    </row>
    <row r="498" ht="28.5" customHeight="1">
      <c r="A498" s="4"/>
      <c r="B498" s="14"/>
      <c r="C498" s="14"/>
      <c r="D498" s="14"/>
      <c r="E498" s="14"/>
      <c r="F498" s="14"/>
      <c r="G498" s="14"/>
      <c r="H498" s="14"/>
      <c r="I498" s="14"/>
    </row>
    <row r="499" ht="28.5" customHeight="1">
      <c r="A499" s="4"/>
      <c r="B499" s="14"/>
      <c r="C499" s="14"/>
      <c r="D499" s="14"/>
      <c r="E499" s="14"/>
      <c r="F499" s="14"/>
      <c r="G499" s="14"/>
      <c r="H499" s="14"/>
      <c r="I499" s="14"/>
    </row>
    <row r="500" ht="28.5" customHeight="1">
      <c r="A500" s="4"/>
      <c r="B500" s="14"/>
      <c r="C500" s="14"/>
      <c r="D500" s="14"/>
      <c r="E500" s="14"/>
      <c r="F500" s="14"/>
      <c r="G500" s="14"/>
      <c r="H500" s="14"/>
      <c r="I500" s="14"/>
    </row>
    <row r="501" ht="28.5" customHeight="1">
      <c r="A501" s="4"/>
      <c r="B501" s="14"/>
      <c r="C501" s="14"/>
      <c r="D501" s="14"/>
      <c r="E501" s="14"/>
      <c r="F501" s="14"/>
      <c r="G501" s="14"/>
      <c r="H501" s="14"/>
      <c r="I501" s="14"/>
    </row>
    <row r="502" ht="28.5" customHeight="1">
      <c r="A502" s="4"/>
      <c r="B502" s="14"/>
      <c r="C502" s="14"/>
      <c r="D502" s="14"/>
      <c r="E502" s="14"/>
      <c r="F502" s="14"/>
      <c r="G502" s="14"/>
      <c r="H502" s="14"/>
      <c r="I502" s="14"/>
    </row>
    <row r="503" ht="28.5" customHeight="1">
      <c r="A503" s="4"/>
      <c r="B503" s="14"/>
      <c r="C503" s="14"/>
      <c r="D503" s="14"/>
      <c r="E503" s="14"/>
      <c r="F503" s="14"/>
      <c r="G503" s="14"/>
      <c r="H503" s="14"/>
      <c r="I503" s="14"/>
    </row>
    <row r="504" ht="28.5" customHeight="1">
      <c r="A504" s="4"/>
      <c r="B504" s="14"/>
      <c r="C504" s="14"/>
      <c r="D504" s="14"/>
      <c r="E504" s="14"/>
      <c r="F504" s="14"/>
      <c r="G504" s="14"/>
      <c r="H504" s="14"/>
      <c r="I504" s="14"/>
    </row>
    <row r="505" ht="28.5" customHeight="1">
      <c r="A505" s="4"/>
      <c r="B505" s="14"/>
      <c r="C505" s="14"/>
      <c r="D505" s="14"/>
      <c r="E505" s="14"/>
      <c r="F505" s="14"/>
      <c r="G505" s="14"/>
      <c r="H505" s="14"/>
      <c r="I505" s="14"/>
    </row>
    <row r="506" ht="28.5" customHeight="1">
      <c r="A506" s="4"/>
      <c r="B506" s="14"/>
      <c r="C506" s="14"/>
      <c r="D506" s="14"/>
      <c r="E506" s="14"/>
      <c r="F506" s="14"/>
      <c r="G506" s="14"/>
      <c r="H506" s="14"/>
      <c r="I506" s="14"/>
    </row>
    <row r="507" ht="28.5" customHeight="1">
      <c r="A507" s="4"/>
      <c r="B507" s="14"/>
      <c r="C507" s="14"/>
      <c r="D507" s="14"/>
      <c r="E507" s="14"/>
      <c r="F507" s="14"/>
      <c r="G507" s="14"/>
      <c r="H507" s="14"/>
      <c r="I507" s="14"/>
    </row>
    <row r="508" ht="28.5" customHeight="1">
      <c r="A508" s="4"/>
      <c r="B508" s="14"/>
      <c r="C508" s="14"/>
      <c r="D508" s="14"/>
      <c r="E508" s="14"/>
      <c r="F508" s="14"/>
      <c r="G508" s="14"/>
      <c r="H508" s="14"/>
      <c r="I508" s="14"/>
    </row>
    <row r="509" ht="28.5" customHeight="1">
      <c r="A509" s="4"/>
      <c r="B509" s="14"/>
      <c r="C509" s="14"/>
      <c r="D509" s="14"/>
      <c r="E509" s="14"/>
      <c r="F509" s="14"/>
      <c r="G509" s="14"/>
      <c r="H509" s="14"/>
      <c r="I509" s="14"/>
    </row>
    <row r="510" ht="28.5" customHeight="1">
      <c r="A510" s="4"/>
      <c r="B510" s="14"/>
      <c r="C510" s="14"/>
      <c r="D510" s="14"/>
      <c r="E510" s="14"/>
      <c r="F510" s="14"/>
      <c r="G510" s="14"/>
      <c r="H510" s="14"/>
      <c r="I510" s="14"/>
    </row>
    <row r="511" ht="28.5" customHeight="1">
      <c r="A511" s="4"/>
      <c r="B511" s="14"/>
      <c r="C511" s="14"/>
      <c r="D511" s="14"/>
      <c r="E511" s="14"/>
      <c r="F511" s="14"/>
      <c r="G511" s="14"/>
      <c r="H511" s="14"/>
      <c r="I511" s="14"/>
    </row>
    <row r="512" ht="28.5" customHeight="1">
      <c r="A512" s="4"/>
      <c r="B512" s="14"/>
      <c r="C512" s="14"/>
      <c r="D512" s="14"/>
      <c r="E512" s="14"/>
      <c r="F512" s="14"/>
      <c r="G512" s="14"/>
      <c r="H512" s="14"/>
      <c r="I512" s="14"/>
    </row>
    <row r="513" ht="28.5" customHeight="1">
      <c r="A513" s="4"/>
      <c r="B513" s="14"/>
      <c r="C513" s="14"/>
      <c r="D513" s="14"/>
      <c r="E513" s="14"/>
      <c r="F513" s="14"/>
      <c r="G513" s="14"/>
      <c r="H513" s="14"/>
      <c r="I513" s="14"/>
    </row>
    <row r="514" ht="28.5" customHeight="1">
      <c r="A514" s="4"/>
      <c r="B514" s="14"/>
      <c r="C514" s="14"/>
      <c r="D514" s="14"/>
      <c r="E514" s="14"/>
      <c r="F514" s="14"/>
      <c r="G514" s="14"/>
      <c r="H514" s="14"/>
      <c r="I514" s="14"/>
    </row>
    <row r="515" ht="28.5" customHeight="1">
      <c r="A515" s="4"/>
      <c r="B515" s="14"/>
      <c r="C515" s="14"/>
      <c r="D515" s="14"/>
      <c r="E515" s="14"/>
      <c r="F515" s="14"/>
      <c r="G515" s="14"/>
      <c r="H515" s="14"/>
      <c r="I515" s="14"/>
    </row>
    <row r="516" ht="28.5" customHeight="1">
      <c r="A516" s="4"/>
      <c r="B516" s="14"/>
      <c r="C516" s="14"/>
      <c r="D516" s="14"/>
      <c r="E516" s="14"/>
      <c r="F516" s="14"/>
      <c r="G516" s="14"/>
      <c r="H516" s="14"/>
      <c r="I516" s="14"/>
    </row>
    <row r="517" ht="28.5" customHeight="1">
      <c r="A517" s="4"/>
      <c r="B517" s="14"/>
      <c r="C517" s="14"/>
      <c r="D517" s="14"/>
      <c r="E517" s="14"/>
      <c r="F517" s="14"/>
      <c r="G517" s="14"/>
      <c r="H517" s="14"/>
      <c r="I517" s="14"/>
    </row>
    <row r="518" ht="28.5" customHeight="1">
      <c r="A518" s="4"/>
      <c r="B518" s="14"/>
      <c r="C518" s="14"/>
      <c r="D518" s="14"/>
      <c r="E518" s="14"/>
      <c r="F518" s="14"/>
      <c r="G518" s="14"/>
      <c r="H518" s="14"/>
      <c r="I518" s="14"/>
    </row>
    <row r="519" ht="28.5" customHeight="1">
      <c r="A519" s="4"/>
      <c r="B519" s="14"/>
      <c r="C519" s="14"/>
      <c r="D519" s="14"/>
      <c r="E519" s="14"/>
      <c r="F519" s="14"/>
      <c r="G519" s="14"/>
      <c r="H519" s="14"/>
      <c r="I519" s="14"/>
    </row>
    <row r="520" ht="28.5" customHeight="1">
      <c r="A520" s="4"/>
      <c r="B520" s="14"/>
      <c r="C520" s="14"/>
      <c r="D520" s="14"/>
      <c r="E520" s="14"/>
      <c r="F520" s="14"/>
      <c r="G520" s="14"/>
      <c r="H520" s="14"/>
      <c r="I520" s="14"/>
    </row>
    <row r="521" ht="28.5" customHeight="1">
      <c r="A521" s="4"/>
      <c r="B521" s="14"/>
      <c r="C521" s="14"/>
      <c r="D521" s="14"/>
      <c r="E521" s="14"/>
      <c r="F521" s="14"/>
      <c r="G521" s="14"/>
      <c r="H521" s="14"/>
      <c r="I521" s="14"/>
    </row>
    <row r="522" ht="28.5" customHeight="1">
      <c r="A522" s="4"/>
      <c r="B522" s="14"/>
      <c r="C522" s="14"/>
      <c r="D522" s="14"/>
      <c r="E522" s="14"/>
      <c r="F522" s="14"/>
      <c r="G522" s="14"/>
      <c r="H522" s="14"/>
      <c r="I522" s="14"/>
    </row>
    <row r="523" ht="28.5" customHeight="1">
      <c r="A523" s="4"/>
      <c r="B523" s="14"/>
      <c r="C523" s="14"/>
      <c r="D523" s="14"/>
      <c r="E523" s="14"/>
      <c r="F523" s="14"/>
      <c r="G523" s="14"/>
      <c r="H523" s="14"/>
      <c r="I523" s="14"/>
    </row>
    <row r="524" ht="28.5" customHeight="1">
      <c r="A524" s="4"/>
      <c r="B524" s="14"/>
      <c r="C524" s="14"/>
      <c r="D524" s="14"/>
      <c r="E524" s="14"/>
      <c r="F524" s="14"/>
      <c r="G524" s="14"/>
      <c r="H524" s="14"/>
      <c r="I524" s="14"/>
    </row>
    <row r="525" ht="28.5" customHeight="1">
      <c r="A525" s="4"/>
      <c r="B525" s="14"/>
      <c r="C525" s="14"/>
      <c r="D525" s="14"/>
      <c r="E525" s="14"/>
      <c r="F525" s="14"/>
      <c r="G525" s="14"/>
      <c r="H525" s="14"/>
      <c r="I525" s="14"/>
    </row>
    <row r="526" ht="28.5" customHeight="1">
      <c r="A526" s="4"/>
      <c r="B526" s="14"/>
      <c r="C526" s="14"/>
      <c r="D526" s="14"/>
      <c r="E526" s="14"/>
      <c r="F526" s="14"/>
      <c r="G526" s="14"/>
      <c r="H526" s="14"/>
      <c r="I526" s="14"/>
    </row>
    <row r="527" ht="28.5" customHeight="1">
      <c r="A527" s="4"/>
      <c r="B527" s="14"/>
      <c r="C527" s="14"/>
      <c r="D527" s="14"/>
      <c r="E527" s="14"/>
      <c r="F527" s="14"/>
      <c r="G527" s="14"/>
      <c r="H527" s="14"/>
      <c r="I527" s="14"/>
    </row>
    <row r="528" ht="28.5" customHeight="1">
      <c r="A528" s="4"/>
      <c r="B528" s="14"/>
      <c r="C528" s="14"/>
      <c r="D528" s="14"/>
      <c r="E528" s="14"/>
      <c r="F528" s="14"/>
      <c r="G528" s="14"/>
      <c r="H528" s="14"/>
      <c r="I528" s="14"/>
    </row>
    <row r="529" ht="28.5" customHeight="1">
      <c r="A529" s="4"/>
      <c r="B529" s="14"/>
      <c r="C529" s="14"/>
      <c r="D529" s="14"/>
      <c r="E529" s="14"/>
      <c r="F529" s="14"/>
      <c r="G529" s="14"/>
      <c r="H529" s="14"/>
      <c r="I529" s="14"/>
    </row>
    <row r="530" ht="28.5" customHeight="1">
      <c r="A530" s="4"/>
      <c r="B530" s="14"/>
      <c r="C530" s="14"/>
      <c r="D530" s="14"/>
      <c r="E530" s="14"/>
      <c r="F530" s="14"/>
      <c r="G530" s="14"/>
      <c r="H530" s="14"/>
      <c r="I530" s="14"/>
    </row>
    <row r="531" ht="28.5" customHeight="1">
      <c r="A531" s="4"/>
      <c r="B531" s="14"/>
      <c r="C531" s="14"/>
      <c r="D531" s="14"/>
      <c r="E531" s="14"/>
      <c r="F531" s="14"/>
      <c r="G531" s="14"/>
      <c r="H531" s="14"/>
      <c r="I531" s="14"/>
    </row>
    <row r="532" ht="28.5" customHeight="1">
      <c r="A532" s="4"/>
      <c r="B532" s="14"/>
      <c r="C532" s="14"/>
      <c r="D532" s="14"/>
      <c r="E532" s="14"/>
      <c r="F532" s="14"/>
      <c r="G532" s="14"/>
      <c r="H532" s="14"/>
      <c r="I532" s="14"/>
    </row>
    <row r="533" ht="28.5" customHeight="1">
      <c r="A533" s="4"/>
      <c r="B533" s="14"/>
      <c r="C533" s="14"/>
      <c r="D533" s="14"/>
      <c r="E533" s="14"/>
      <c r="F533" s="14"/>
      <c r="G533" s="14"/>
      <c r="H533" s="14"/>
      <c r="I533" s="14"/>
    </row>
    <row r="534" ht="28.5" customHeight="1">
      <c r="A534" s="4"/>
      <c r="B534" s="14"/>
      <c r="C534" s="14"/>
      <c r="D534" s="14"/>
      <c r="E534" s="14"/>
      <c r="F534" s="14"/>
      <c r="G534" s="14"/>
      <c r="H534" s="14"/>
      <c r="I534" s="14"/>
    </row>
    <row r="535" ht="28.5" customHeight="1">
      <c r="A535" s="4"/>
      <c r="B535" s="14"/>
      <c r="C535" s="14"/>
      <c r="D535" s="14"/>
      <c r="E535" s="14"/>
      <c r="F535" s="14"/>
      <c r="G535" s="14"/>
      <c r="H535" s="14"/>
      <c r="I535" s="14"/>
    </row>
    <row r="536" ht="28.5" customHeight="1">
      <c r="A536" s="4"/>
      <c r="B536" s="14"/>
      <c r="C536" s="14"/>
      <c r="D536" s="14"/>
      <c r="E536" s="14"/>
      <c r="F536" s="14"/>
      <c r="G536" s="14"/>
      <c r="H536" s="14"/>
      <c r="I536" s="14"/>
    </row>
    <row r="537" ht="28.5" customHeight="1">
      <c r="A537" s="4"/>
      <c r="B537" s="14"/>
      <c r="C537" s="14"/>
      <c r="D537" s="14"/>
      <c r="E537" s="14"/>
      <c r="F537" s="14"/>
      <c r="G537" s="14"/>
      <c r="H537" s="14"/>
      <c r="I537" s="14"/>
    </row>
    <row r="538" ht="28.5" customHeight="1">
      <c r="A538" s="4"/>
      <c r="B538" s="14"/>
      <c r="C538" s="14"/>
      <c r="D538" s="14"/>
      <c r="E538" s="14"/>
      <c r="F538" s="14"/>
      <c r="G538" s="14"/>
      <c r="H538" s="14"/>
      <c r="I538" s="14"/>
    </row>
    <row r="539" ht="28.5" customHeight="1">
      <c r="A539" s="4"/>
      <c r="B539" s="14"/>
      <c r="C539" s="14"/>
      <c r="D539" s="14"/>
      <c r="E539" s="14"/>
      <c r="F539" s="14"/>
      <c r="G539" s="14"/>
      <c r="H539" s="14"/>
      <c r="I539" s="14"/>
    </row>
    <row r="540" ht="28.5" customHeight="1">
      <c r="A540" s="4"/>
      <c r="B540" s="14"/>
      <c r="C540" s="14"/>
      <c r="D540" s="14"/>
      <c r="E540" s="14"/>
      <c r="F540" s="14"/>
      <c r="G540" s="14"/>
      <c r="H540" s="14"/>
      <c r="I540" s="14"/>
    </row>
    <row r="541" ht="28.5" customHeight="1">
      <c r="A541" s="4"/>
      <c r="B541" s="14"/>
      <c r="C541" s="14"/>
      <c r="D541" s="14"/>
      <c r="E541" s="14"/>
      <c r="F541" s="14"/>
      <c r="G541" s="14"/>
      <c r="H541" s="14"/>
      <c r="I541" s="14"/>
    </row>
    <row r="542" ht="28.5" customHeight="1">
      <c r="A542" s="4"/>
      <c r="B542" s="14"/>
      <c r="C542" s="14"/>
      <c r="D542" s="14"/>
      <c r="E542" s="14"/>
      <c r="F542" s="14"/>
      <c r="G542" s="14"/>
      <c r="H542" s="14"/>
      <c r="I542" s="14"/>
    </row>
    <row r="543" ht="28.5" customHeight="1">
      <c r="A543" s="4"/>
      <c r="B543" s="14"/>
      <c r="C543" s="14"/>
      <c r="D543" s="14"/>
      <c r="E543" s="14"/>
      <c r="F543" s="14"/>
      <c r="G543" s="14"/>
      <c r="H543" s="14"/>
      <c r="I543" s="14"/>
    </row>
    <row r="544" ht="28.5" customHeight="1">
      <c r="A544" s="4"/>
      <c r="B544" s="14"/>
      <c r="C544" s="14"/>
      <c r="D544" s="14"/>
      <c r="E544" s="14"/>
      <c r="F544" s="14"/>
      <c r="G544" s="14"/>
      <c r="H544" s="14"/>
      <c r="I544" s="14"/>
    </row>
    <row r="545" ht="28.5" customHeight="1">
      <c r="A545" s="4"/>
      <c r="B545" s="14"/>
      <c r="C545" s="14"/>
      <c r="D545" s="14"/>
      <c r="E545" s="14"/>
      <c r="F545" s="14"/>
      <c r="G545" s="14"/>
      <c r="H545" s="14"/>
      <c r="I545" s="14"/>
    </row>
    <row r="546" ht="28.5" customHeight="1">
      <c r="A546" s="4"/>
      <c r="B546" s="14"/>
      <c r="C546" s="14"/>
      <c r="D546" s="14"/>
      <c r="E546" s="14"/>
      <c r="F546" s="14"/>
      <c r="G546" s="14"/>
      <c r="H546" s="14"/>
      <c r="I546" s="14"/>
    </row>
    <row r="547" ht="28.5" customHeight="1">
      <c r="A547" s="4"/>
      <c r="B547" s="14"/>
      <c r="C547" s="14"/>
      <c r="D547" s="14"/>
      <c r="E547" s="14"/>
      <c r="F547" s="14"/>
      <c r="G547" s="14"/>
      <c r="H547" s="14"/>
      <c r="I547" s="14"/>
    </row>
    <row r="548" ht="28.5" customHeight="1">
      <c r="A548" s="4"/>
      <c r="B548" s="14"/>
      <c r="C548" s="14"/>
      <c r="D548" s="14"/>
      <c r="E548" s="14"/>
      <c r="F548" s="14"/>
      <c r="G548" s="14"/>
      <c r="H548" s="14"/>
      <c r="I548" s="14"/>
    </row>
    <row r="549" ht="28.5" customHeight="1">
      <c r="A549" s="4"/>
      <c r="B549" s="14"/>
      <c r="C549" s="14"/>
      <c r="D549" s="14"/>
      <c r="E549" s="14"/>
      <c r="F549" s="14"/>
      <c r="G549" s="14"/>
      <c r="H549" s="14"/>
      <c r="I549" s="14"/>
    </row>
    <row r="550" ht="28.5" customHeight="1">
      <c r="A550" s="4"/>
      <c r="B550" s="14"/>
      <c r="C550" s="14"/>
      <c r="D550" s="14"/>
      <c r="E550" s="14"/>
      <c r="F550" s="14"/>
      <c r="G550" s="14"/>
      <c r="H550" s="14"/>
      <c r="I550" s="14"/>
    </row>
    <row r="551" ht="28.5" customHeight="1">
      <c r="A551" s="4"/>
      <c r="B551" s="14"/>
      <c r="C551" s="14"/>
      <c r="D551" s="14"/>
      <c r="E551" s="14"/>
      <c r="F551" s="14"/>
      <c r="G551" s="14"/>
      <c r="H551" s="14"/>
      <c r="I551" s="14"/>
    </row>
    <row r="552" ht="28.5" customHeight="1">
      <c r="A552" s="4"/>
      <c r="B552" s="14"/>
      <c r="C552" s="14"/>
      <c r="D552" s="14"/>
      <c r="E552" s="14"/>
      <c r="F552" s="14"/>
      <c r="G552" s="14"/>
      <c r="H552" s="14"/>
      <c r="I552" s="14"/>
    </row>
    <row r="553" ht="28.5" customHeight="1">
      <c r="A553" s="4"/>
      <c r="B553" s="14"/>
      <c r="C553" s="14"/>
      <c r="D553" s="14"/>
      <c r="E553" s="14"/>
      <c r="F553" s="14"/>
      <c r="G553" s="14"/>
      <c r="H553" s="14"/>
      <c r="I553" s="14"/>
    </row>
    <row r="554" ht="28.5" customHeight="1">
      <c r="A554" s="4"/>
      <c r="B554" s="14"/>
      <c r="C554" s="14"/>
      <c r="D554" s="14"/>
      <c r="E554" s="14"/>
      <c r="F554" s="14"/>
      <c r="G554" s="14"/>
      <c r="H554" s="14"/>
      <c r="I554" s="14"/>
    </row>
    <row r="555" ht="28.5" customHeight="1">
      <c r="A555" s="4"/>
      <c r="B555" s="14"/>
      <c r="C555" s="14"/>
      <c r="D555" s="14"/>
      <c r="E555" s="14"/>
      <c r="F555" s="14"/>
      <c r="G555" s="14"/>
      <c r="H555" s="14"/>
      <c r="I555" s="14"/>
    </row>
    <row r="556" ht="28.5" customHeight="1">
      <c r="A556" s="4"/>
      <c r="B556" s="14"/>
      <c r="C556" s="14"/>
      <c r="D556" s="14"/>
      <c r="E556" s="14"/>
      <c r="F556" s="14"/>
      <c r="G556" s="14"/>
      <c r="H556" s="14"/>
      <c r="I556" s="14"/>
    </row>
    <row r="557" ht="28.5" customHeight="1">
      <c r="A557" s="4"/>
      <c r="B557" s="14"/>
      <c r="C557" s="14"/>
      <c r="D557" s="14"/>
      <c r="E557" s="14"/>
      <c r="F557" s="14"/>
      <c r="G557" s="14"/>
      <c r="H557" s="14"/>
      <c r="I557" s="14"/>
    </row>
    <row r="558" ht="28.5" customHeight="1">
      <c r="A558" s="4"/>
      <c r="B558" s="14"/>
      <c r="C558" s="14"/>
      <c r="D558" s="14"/>
      <c r="E558" s="14"/>
      <c r="F558" s="14"/>
      <c r="G558" s="14"/>
      <c r="H558" s="14"/>
      <c r="I558" s="14"/>
    </row>
    <row r="559" ht="28.5" customHeight="1">
      <c r="A559" s="4"/>
      <c r="B559" s="14"/>
      <c r="C559" s="14"/>
      <c r="D559" s="14"/>
      <c r="E559" s="14"/>
      <c r="F559" s="14"/>
      <c r="G559" s="14"/>
      <c r="H559" s="14"/>
      <c r="I559" s="14"/>
    </row>
    <row r="560" ht="28.5" customHeight="1">
      <c r="A560" s="4"/>
      <c r="B560" s="14"/>
      <c r="C560" s="14"/>
      <c r="D560" s="14"/>
      <c r="E560" s="14"/>
      <c r="F560" s="14"/>
      <c r="G560" s="14"/>
      <c r="H560" s="14"/>
      <c r="I560" s="14"/>
    </row>
    <row r="561" ht="28.5" customHeight="1">
      <c r="A561" s="4"/>
      <c r="B561" s="14"/>
      <c r="C561" s="14"/>
      <c r="D561" s="14"/>
      <c r="E561" s="14"/>
      <c r="F561" s="14"/>
      <c r="G561" s="14"/>
      <c r="H561" s="14"/>
      <c r="I561" s="14"/>
    </row>
    <row r="562" ht="28.5" customHeight="1">
      <c r="A562" s="4"/>
      <c r="B562" s="14"/>
      <c r="C562" s="14"/>
      <c r="D562" s="14"/>
      <c r="E562" s="14"/>
      <c r="F562" s="14"/>
      <c r="G562" s="14"/>
      <c r="H562" s="14"/>
      <c r="I562" s="14"/>
    </row>
    <row r="563" ht="28.5" customHeight="1">
      <c r="A563" s="4"/>
      <c r="B563" s="14"/>
      <c r="C563" s="14"/>
      <c r="D563" s="14"/>
      <c r="E563" s="14"/>
      <c r="F563" s="14"/>
      <c r="G563" s="14"/>
      <c r="H563" s="14"/>
      <c r="I563" s="14"/>
    </row>
    <row r="564" ht="28.5" customHeight="1">
      <c r="A564" s="4"/>
      <c r="B564" s="14"/>
      <c r="C564" s="14"/>
      <c r="D564" s="14"/>
      <c r="E564" s="14"/>
      <c r="F564" s="14"/>
      <c r="G564" s="14"/>
      <c r="H564" s="14"/>
      <c r="I564" s="14"/>
    </row>
    <row r="565" ht="28.5" customHeight="1">
      <c r="A565" s="4"/>
      <c r="B565" s="14"/>
      <c r="C565" s="14"/>
      <c r="D565" s="14"/>
      <c r="E565" s="14"/>
      <c r="F565" s="14"/>
      <c r="G565" s="14"/>
      <c r="H565" s="14"/>
      <c r="I565" s="14"/>
    </row>
    <row r="566" ht="28.5" customHeight="1">
      <c r="A566" s="4"/>
      <c r="B566" s="14"/>
      <c r="C566" s="14"/>
      <c r="D566" s="14"/>
      <c r="E566" s="14"/>
      <c r="F566" s="14"/>
      <c r="G566" s="14"/>
      <c r="H566" s="14"/>
      <c r="I566" s="14"/>
    </row>
    <row r="567" ht="28.5" customHeight="1">
      <c r="A567" s="4"/>
      <c r="B567" s="14"/>
      <c r="C567" s="14"/>
      <c r="D567" s="14"/>
      <c r="E567" s="14"/>
      <c r="F567" s="14"/>
      <c r="G567" s="14"/>
      <c r="H567" s="14"/>
      <c r="I567" s="14"/>
    </row>
    <row r="568" ht="28.5" customHeight="1">
      <c r="A568" s="4"/>
      <c r="B568" s="14"/>
      <c r="C568" s="14"/>
      <c r="D568" s="14"/>
      <c r="E568" s="14"/>
      <c r="F568" s="14"/>
      <c r="G568" s="14"/>
      <c r="H568" s="14"/>
      <c r="I568" s="14"/>
    </row>
    <row r="569" ht="28.5" customHeight="1">
      <c r="A569" s="4"/>
      <c r="B569" s="14"/>
      <c r="C569" s="14"/>
      <c r="D569" s="14"/>
      <c r="E569" s="14"/>
      <c r="F569" s="14"/>
      <c r="G569" s="14"/>
      <c r="H569" s="14"/>
      <c r="I569" s="14"/>
    </row>
    <row r="570" ht="28.5" customHeight="1">
      <c r="A570" s="4"/>
      <c r="B570" s="14"/>
      <c r="C570" s="14"/>
      <c r="D570" s="14"/>
      <c r="E570" s="14"/>
      <c r="F570" s="14"/>
      <c r="G570" s="14"/>
      <c r="H570" s="14"/>
      <c r="I570" s="14"/>
    </row>
    <row r="571" ht="28.5" customHeight="1">
      <c r="A571" s="4"/>
      <c r="B571" s="14"/>
      <c r="C571" s="14"/>
      <c r="D571" s="14"/>
      <c r="E571" s="14"/>
      <c r="F571" s="14"/>
      <c r="G571" s="14"/>
      <c r="H571" s="14"/>
      <c r="I571" s="14"/>
    </row>
    <row r="572" ht="28.5" customHeight="1">
      <c r="A572" s="4"/>
      <c r="B572" s="14"/>
      <c r="C572" s="14"/>
      <c r="D572" s="14"/>
      <c r="E572" s="14"/>
      <c r="F572" s="14"/>
      <c r="G572" s="14"/>
      <c r="H572" s="14"/>
      <c r="I572" s="14"/>
    </row>
    <row r="573" ht="28.5" customHeight="1">
      <c r="A573" s="4"/>
      <c r="B573" s="14"/>
      <c r="C573" s="14"/>
      <c r="D573" s="14"/>
      <c r="E573" s="14"/>
      <c r="F573" s="14"/>
      <c r="G573" s="14"/>
      <c r="H573" s="14"/>
      <c r="I573" s="14"/>
    </row>
    <row r="574" ht="28.5" customHeight="1">
      <c r="A574" s="4"/>
      <c r="B574" s="14"/>
      <c r="C574" s="14"/>
      <c r="D574" s="14"/>
      <c r="E574" s="14"/>
      <c r="F574" s="14"/>
      <c r="G574" s="14"/>
      <c r="H574" s="14"/>
      <c r="I574" s="14"/>
    </row>
    <row r="575" ht="28.5" customHeight="1">
      <c r="A575" s="4"/>
      <c r="B575" s="14"/>
      <c r="C575" s="14"/>
      <c r="D575" s="14"/>
      <c r="E575" s="14"/>
      <c r="F575" s="14"/>
      <c r="G575" s="14"/>
      <c r="H575" s="14"/>
      <c r="I575" s="14"/>
    </row>
    <row r="576" ht="28.5" customHeight="1">
      <c r="A576" s="4"/>
      <c r="B576" s="14"/>
      <c r="C576" s="14"/>
      <c r="D576" s="14"/>
      <c r="E576" s="14"/>
      <c r="F576" s="14"/>
      <c r="G576" s="14"/>
      <c r="H576" s="14"/>
      <c r="I576" s="14"/>
    </row>
    <row r="577" ht="28.5" customHeight="1">
      <c r="A577" s="4"/>
      <c r="B577" s="14"/>
      <c r="C577" s="14"/>
      <c r="D577" s="14"/>
      <c r="E577" s="14"/>
      <c r="F577" s="14"/>
      <c r="G577" s="14"/>
      <c r="H577" s="14"/>
      <c r="I577" s="14"/>
    </row>
    <row r="578" ht="28.5" customHeight="1">
      <c r="A578" s="4"/>
      <c r="B578" s="14"/>
      <c r="C578" s="14"/>
      <c r="D578" s="14"/>
      <c r="E578" s="14"/>
      <c r="F578" s="14"/>
      <c r="G578" s="14"/>
      <c r="H578" s="14"/>
      <c r="I578" s="14"/>
    </row>
    <row r="579" ht="28.5" customHeight="1">
      <c r="A579" s="4"/>
      <c r="B579" s="14"/>
      <c r="C579" s="14"/>
      <c r="D579" s="14"/>
      <c r="E579" s="14"/>
      <c r="F579" s="14"/>
      <c r="G579" s="14"/>
      <c r="H579" s="14"/>
      <c r="I579" s="14"/>
    </row>
    <row r="580" ht="28.5" customHeight="1">
      <c r="A580" s="4"/>
      <c r="B580" s="14"/>
      <c r="C580" s="14"/>
      <c r="D580" s="14"/>
      <c r="E580" s="14"/>
      <c r="F580" s="14"/>
      <c r="G580" s="14"/>
      <c r="H580" s="14"/>
      <c r="I580" s="14"/>
    </row>
    <row r="581" ht="28.5" customHeight="1">
      <c r="A581" s="4"/>
      <c r="B581" s="14"/>
      <c r="C581" s="14"/>
      <c r="D581" s="14"/>
      <c r="E581" s="14"/>
      <c r="F581" s="14"/>
      <c r="G581" s="14"/>
      <c r="H581" s="14"/>
      <c r="I581" s="14"/>
    </row>
    <row r="582" ht="28.5" customHeight="1">
      <c r="A582" s="4"/>
      <c r="B582" s="14"/>
      <c r="C582" s="14"/>
      <c r="D582" s="14"/>
      <c r="E582" s="14"/>
      <c r="F582" s="14"/>
      <c r="G582" s="14"/>
      <c r="H582" s="14"/>
      <c r="I582" s="14"/>
    </row>
    <row r="583" ht="28.5" customHeight="1">
      <c r="A583" s="4"/>
      <c r="B583" s="14"/>
      <c r="C583" s="14"/>
      <c r="D583" s="14"/>
      <c r="E583" s="14"/>
      <c r="F583" s="14"/>
      <c r="G583" s="14"/>
      <c r="H583" s="14"/>
      <c r="I583" s="14"/>
    </row>
    <row r="584" ht="28.5" customHeight="1">
      <c r="A584" s="4"/>
      <c r="B584" s="14"/>
      <c r="C584" s="14"/>
      <c r="D584" s="14"/>
      <c r="E584" s="14"/>
      <c r="F584" s="14"/>
      <c r="G584" s="14"/>
      <c r="H584" s="14"/>
      <c r="I584" s="14"/>
    </row>
    <row r="585" ht="28.5" customHeight="1">
      <c r="A585" s="4"/>
      <c r="B585" s="14"/>
      <c r="C585" s="14"/>
      <c r="D585" s="14"/>
      <c r="E585" s="14"/>
      <c r="F585" s="14"/>
      <c r="G585" s="14"/>
      <c r="H585" s="14"/>
      <c r="I585" s="14"/>
    </row>
    <row r="586" ht="28.5" customHeight="1">
      <c r="A586" s="4"/>
      <c r="B586" s="14"/>
      <c r="C586" s="14"/>
      <c r="D586" s="14"/>
      <c r="E586" s="14"/>
      <c r="F586" s="14"/>
      <c r="G586" s="14"/>
      <c r="H586" s="14"/>
      <c r="I586" s="14"/>
    </row>
    <row r="587" ht="28.5" customHeight="1">
      <c r="A587" s="4"/>
      <c r="B587" s="14"/>
      <c r="C587" s="14"/>
      <c r="D587" s="14"/>
      <c r="E587" s="14"/>
      <c r="F587" s="14"/>
      <c r="G587" s="14"/>
      <c r="H587" s="14"/>
      <c r="I587" s="14"/>
    </row>
    <row r="588" ht="28.5" customHeight="1">
      <c r="A588" s="4"/>
      <c r="B588" s="14"/>
      <c r="C588" s="14"/>
      <c r="D588" s="14"/>
      <c r="E588" s="14"/>
      <c r="F588" s="14"/>
      <c r="G588" s="14"/>
      <c r="H588" s="14"/>
      <c r="I588" s="14"/>
    </row>
    <row r="589" ht="28.5" customHeight="1">
      <c r="A589" s="4"/>
      <c r="B589" s="14"/>
      <c r="C589" s="14"/>
      <c r="D589" s="14"/>
      <c r="E589" s="14"/>
      <c r="F589" s="14"/>
      <c r="G589" s="14"/>
      <c r="H589" s="14"/>
      <c r="I589" s="14"/>
    </row>
    <row r="590" ht="28.5" customHeight="1">
      <c r="A590" s="4"/>
      <c r="B590" s="14"/>
      <c r="C590" s="14"/>
      <c r="D590" s="14"/>
      <c r="E590" s="14"/>
      <c r="F590" s="14"/>
      <c r="G590" s="14"/>
      <c r="H590" s="14"/>
      <c r="I590" s="14"/>
    </row>
    <row r="591" ht="28.5" customHeight="1">
      <c r="A591" s="4"/>
      <c r="B591" s="14"/>
      <c r="C591" s="14"/>
      <c r="D591" s="14"/>
      <c r="E591" s="14"/>
      <c r="F591" s="14"/>
      <c r="G591" s="14"/>
      <c r="H591" s="14"/>
      <c r="I591" s="14"/>
    </row>
    <row r="592" ht="28.5" customHeight="1">
      <c r="A592" s="4"/>
      <c r="B592" s="14"/>
      <c r="C592" s="14"/>
      <c r="D592" s="14"/>
      <c r="E592" s="14"/>
      <c r="F592" s="14"/>
      <c r="G592" s="14"/>
      <c r="H592" s="14"/>
      <c r="I592" s="14"/>
    </row>
    <row r="593" ht="28.5" customHeight="1">
      <c r="A593" s="4"/>
      <c r="B593" s="14"/>
      <c r="C593" s="14"/>
      <c r="D593" s="14"/>
      <c r="E593" s="14"/>
      <c r="F593" s="14"/>
      <c r="G593" s="14"/>
      <c r="H593" s="14"/>
      <c r="I593" s="14"/>
    </row>
    <row r="594" ht="28.5" customHeight="1">
      <c r="A594" s="4"/>
      <c r="B594" s="14"/>
      <c r="C594" s="14"/>
      <c r="D594" s="14"/>
      <c r="E594" s="14"/>
      <c r="F594" s="14"/>
      <c r="G594" s="14"/>
      <c r="H594" s="14"/>
      <c r="I594" s="14"/>
    </row>
    <row r="595" ht="28.5" customHeight="1">
      <c r="A595" s="4"/>
      <c r="B595" s="14"/>
      <c r="C595" s="14"/>
      <c r="D595" s="14"/>
      <c r="E595" s="14"/>
      <c r="F595" s="14"/>
      <c r="G595" s="14"/>
      <c r="H595" s="14"/>
      <c r="I595" s="14"/>
    </row>
    <row r="596" ht="28.5" customHeight="1">
      <c r="A596" s="4"/>
      <c r="B596" s="14"/>
      <c r="C596" s="14"/>
      <c r="D596" s="14"/>
      <c r="E596" s="14"/>
      <c r="F596" s="14"/>
      <c r="G596" s="14"/>
      <c r="H596" s="14"/>
      <c r="I596" s="14"/>
    </row>
    <row r="597" ht="28.5" customHeight="1">
      <c r="A597" s="4"/>
      <c r="B597" s="14"/>
      <c r="C597" s="14"/>
      <c r="D597" s="14"/>
      <c r="E597" s="14"/>
      <c r="F597" s="14"/>
      <c r="G597" s="14"/>
      <c r="H597" s="14"/>
      <c r="I597" s="14"/>
    </row>
    <row r="598" ht="28.5" customHeight="1">
      <c r="A598" s="4"/>
      <c r="B598" s="14"/>
      <c r="C598" s="14"/>
      <c r="D598" s="14"/>
      <c r="E598" s="14"/>
      <c r="F598" s="14"/>
      <c r="G598" s="14"/>
      <c r="H598" s="14"/>
      <c r="I598" s="14"/>
    </row>
    <row r="599" ht="28.5" customHeight="1">
      <c r="A599" s="4"/>
      <c r="B599" s="14"/>
      <c r="C599" s="14"/>
      <c r="D599" s="14"/>
      <c r="E599" s="14"/>
      <c r="F599" s="14"/>
      <c r="G599" s="14"/>
      <c r="H599" s="14"/>
      <c r="I599" s="14"/>
    </row>
    <row r="600" ht="28.5" customHeight="1">
      <c r="A600" s="4"/>
      <c r="B600" s="14"/>
      <c r="C600" s="14"/>
      <c r="D600" s="14"/>
      <c r="E600" s="14"/>
      <c r="F600" s="14"/>
      <c r="G600" s="14"/>
      <c r="H600" s="14"/>
      <c r="I600" s="14"/>
    </row>
    <row r="601" ht="28.5" customHeight="1">
      <c r="A601" s="4"/>
      <c r="B601" s="14"/>
      <c r="C601" s="14"/>
      <c r="D601" s="14"/>
      <c r="E601" s="14"/>
      <c r="F601" s="14"/>
      <c r="G601" s="14"/>
      <c r="H601" s="14"/>
      <c r="I601" s="14"/>
    </row>
    <row r="602" ht="28.5" customHeight="1">
      <c r="A602" s="4"/>
      <c r="B602" s="14"/>
      <c r="C602" s="14"/>
      <c r="D602" s="14"/>
      <c r="E602" s="14"/>
      <c r="F602" s="14"/>
      <c r="G602" s="14"/>
      <c r="H602" s="14"/>
      <c r="I602" s="14"/>
    </row>
    <row r="603" ht="28.5" customHeight="1">
      <c r="A603" s="4"/>
      <c r="B603" s="14"/>
      <c r="C603" s="14"/>
      <c r="D603" s="14"/>
      <c r="E603" s="14"/>
      <c r="F603" s="14"/>
      <c r="G603" s="14"/>
      <c r="H603" s="14"/>
      <c r="I603" s="14"/>
    </row>
    <row r="604" ht="28.5" customHeight="1">
      <c r="A604" s="4"/>
      <c r="B604" s="14"/>
      <c r="C604" s="14"/>
      <c r="D604" s="14"/>
      <c r="E604" s="14"/>
      <c r="F604" s="14"/>
      <c r="G604" s="14"/>
      <c r="H604" s="14"/>
      <c r="I604" s="14"/>
    </row>
    <row r="605" ht="28.5" customHeight="1">
      <c r="A605" s="4"/>
      <c r="B605" s="14"/>
      <c r="C605" s="14"/>
      <c r="D605" s="14"/>
      <c r="E605" s="14"/>
      <c r="F605" s="14"/>
      <c r="G605" s="14"/>
      <c r="H605" s="14"/>
      <c r="I605" s="14"/>
    </row>
    <row r="606" ht="28.5" customHeight="1">
      <c r="A606" s="4"/>
      <c r="B606" s="14"/>
      <c r="C606" s="14"/>
      <c r="D606" s="14"/>
      <c r="E606" s="14"/>
      <c r="F606" s="14"/>
      <c r="G606" s="14"/>
      <c r="H606" s="14"/>
      <c r="I606" s="14"/>
    </row>
    <row r="607" ht="28.5" customHeight="1">
      <c r="A607" s="4"/>
      <c r="B607" s="14"/>
      <c r="C607" s="14"/>
      <c r="D607" s="14"/>
      <c r="E607" s="14"/>
      <c r="F607" s="14"/>
      <c r="G607" s="14"/>
      <c r="H607" s="14"/>
      <c r="I607" s="14"/>
    </row>
    <row r="608" ht="28.5" customHeight="1">
      <c r="A608" s="4"/>
      <c r="B608" s="14"/>
      <c r="C608" s="14"/>
      <c r="D608" s="14"/>
      <c r="E608" s="14"/>
      <c r="F608" s="14"/>
      <c r="G608" s="14"/>
      <c r="H608" s="14"/>
      <c r="I608" s="14"/>
    </row>
    <row r="609" ht="28.5" customHeight="1">
      <c r="A609" s="4"/>
      <c r="B609" s="14"/>
      <c r="C609" s="14"/>
      <c r="D609" s="14"/>
      <c r="E609" s="14"/>
      <c r="F609" s="14"/>
      <c r="G609" s="14"/>
      <c r="H609" s="14"/>
      <c r="I609" s="14"/>
    </row>
    <row r="610" ht="28.5" customHeight="1">
      <c r="A610" s="4"/>
      <c r="B610" s="14"/>
      <c r="C610" s="14"/>
      <c r="D610" s="14"/>
      <c r="E610" s="14"/>
      <c r="F610" s="14"/>
      <c r="G610" s="14"/>
      <c r="H610" s="14"/>
      <c r="I610" s="14"/>
    </row>
    <row r="611" ht="28.5" customHeight="1">
      <c r="A611" s="4"/>
      <c r="B611" s="14"/>
      <c r="C611" s="14"/>
      <c r="D611" s="14"/>
      <c r="E611" s="14"/>
      <c r="F611" s="14"/>
      <c r="G611" s="14"/>
      <c r="H611" s="14"/>
      <c r="I611" s="14"/>
    </row>
    <row r="612" ht="28.5" customHeight="1">
      <c r="A612" s="4"/>
      <c r="B612" s="14"/>
      <c r="C612" s="14"/>
      <c r="D612" s="14"/>
      <c r="E612" s="14"/>
      <c r="F612" s="14"/>
      <c r="G612" s="14"/>
      <c r="H612" s="14"/>
      <c r="I612" s="14"/>
    </row>
    <row r="613" ht="28.5" customHeight="1">
      <c r="A613" s="4"/>
      <c r="B613" s="14"/>
      <c r="C613" s="14"/>
      <c r="D613" s="14"/>
      <c r="E613" s="14"/>
      <c r="F613" s="14"/>
      <c r="G613" s="14"/>
      <c r="H613" s="14"/>
      <c r="I613" s="14"/>
    </row>
    <row r="614" ht="28.5" customHeight="1">
      <c r="A614" s="4"/>
      <c r="B614" s="14"/>
      <c r="C614" s="14"/>
      <c r="D614" s="14"/>
      <c r="E614" s="14"/>
      <c r="F614" s="14"/>
      <c r="G614" s="14"/>
      <c r="H614" s="14"/>
      <c r="I614" s="14"/>
    </row>
    <row r="615" ht="28.5" customHeight="1">
      <c r="A615" s="4"/>
      <c r="B615" s="14"/>
      <c r="C615" s="14"/>
      <c r="D615" s="14"/>
      <c r="E615" s="14"/>
      <c r="F615" s="14"/>
      <c r="G615" s="14"/>
      <c r="H615" s="14"/>
      <c r="I615" s="14"/>
    </row>
    <row r="616" ht="28.5" customHeight="1">
      <c r="A616" s="4"/>
      <c r="B616" s="14"/>
      <c r="C616" s="14"/>
      <c r="D616" s="14"/>
      <c r="E616" s="14"/>
      <c r="F616" s="14"/>
      <c r="G616" s="14"/>
      <c r="H616" s="14"/>
      <c r="I616" s="14"/>
    </row>
    <row r="617" ht="28.5" customHeight="1">
      <c r="A617" s="4"/>
      <c r="B617" s="14"/>
      <c r="C617" s="14"/>
      <c r="D617" s="14"/>
      <c r="E617" s="14"/>
      <c r="F617" s="14"/>
      <c r="G617" s="14"/>
      <c r="H617" s="14"/>
      <c r="I617" s="14"/>
    </row>
    <row r="618" ht="28.5" customHeight="1">
      <c r="A618" s="4"/>
      <c r="B618" s="14"/>
      <c r="C618" s="14"/>
      <c r="D618" s="14"/>
      <c r="E618" s="14"/>
      <c r="F618" s="14"/>
      <c r="G618" s="14"/>
      <c r="H618" s="14"/>
      <c r="I618" s="14"/>
    </row>
    <row r="619" ht="28.5" customHeight="1">
      <c r="A619" s="4"/>
      <c r="B619" s="14"/>
      <c r="C619" s="14"/>
      <c r="D619" s="14"/>
      <c r="E619" s="14"/>
      <c r="F619" s="14"/>
      <c r="G619" s="14"/>
      <c r="H619" s="14"/>
      <c r="I619" s="14"/>
    </row>
    <row r="620" ht="28.5" customHeight="1">
      <c r="A620" s="4"/>
      <c r="B620" s="14"/>
      <c r="C620" s="14"/>
      <c r="D620" s="14"/>
      <c r="E620" s="14"/>
      <c r="F620" s="14"/>
      <c r="G620" s="14"/>
      <c r="H620" s="14"/>
      <c r="I620" s="14"/>
    </row>
    <row r="621" ht="28.5" customHeight="1">
      <c r="A621" s="4"/>
      <c r="B621" s="14"/>
      <c r="C621" s="14"/>
      <c r="D621" s="14"/>
      <c r="E621" s="14"/>
      <c r="F621" s="14"/>
      <c r="G621" s="14"/>
      <c r="H621" s="14"/>
      <c r="I621" s="14"/>
    </row>
    <row r="622" ht="28.5" customHeight="1">
      <c r="A622" s="4"/>
      <c r="B622" s="14"/>
      <c r="C622" s="14"/>
      <c r="D622" s="14"/>
      <c r="E622" s="14"/>
      <c r="F622" s="14"/>
      <c r="G622" s="14"/>
      <c r="H622" s="14"/>
      <c r="I622" s="14"/>
    </row>
    <row r="623" ht="28.5" customHeight="1">
      <c r="A623" s="4"/>
      <c r="B623" s="14"/>
      <c r="C623" s="14"/>
      <c r="D623" s="14"/>
      <c r="E623" s="14"/>
      <c r="F623" s="14"/>
      <c r="G623" s="14"/>
      <c r="H623" s="14"/>
      <c r="I623" s="14"/>
    </row>
    <row r="624" ht="28.5" customHeight="1">
      <c r="A624" s="4"/>
      <c r="B624" s="14"/>
      <c r="C624" s="14"/>
      <c r="D624" s="14"/>
      <c r="E624" s="14"/>
      <c r="F624" s="14"/>
      <c r="G624" s="14"/>
      <c r="H624" s="14"/>
      <c r="I624" s="14"/>
    </row>
    <row r="625" ht="28.5" customHeight="1">
      <c r="A625" s="4"/>
      <c r="B625" s="14"/>
      <c r="C625" s="14"/>
      <c r="D625" s="14"/>
      <c r="E625" s="14"/>
      <c r="F625" s="14"/>
      <c r="G625" s="14"/>
      <c r="H625" s="14"/>
      <c r="I625" s="14"/>
    </row>
    <row r="626" ht="28.5" customHeight="1">
      <c r="A626" s="4"/>
      <c r="B626" s="14"/>
      <c r="C626" s="14"/>
      <c r="D626" s="14"/>
      <c r="E626" s="14"/>
      <c r="F626" s="14"/>
      <c r="G626" s="14"/>
      <c r="H626" s="14"/>
      <c r="I626" s="14"/>
    </row>
    <row r="627" ht="28.5" customHeight="1">
      <c r="A627" s="4"/>
      <c r="B627" s="14"/>
      <c r="C627" s="14"/>
      <c r="D627" s="14"/>
      <c r="E627" s="14"/>
      <c r="F627" s="14"/>
      <c r="G627" s="14"/>
      <c r="H627" s="14"/>
      <c r="I627" s="14"/>
    </row>
    <row r="628" ht="28.5" customHeight="1">
      <c r="A628" s="4"/>
      <c r="B628" s="14"/>
      <c r="C628" s="14"/>
      <c r="D628" s="14"/>
      <c r="E628" s="14"/>
      <c r="F628" s="14"/>
      <c r="G628" s="14"/>
      <c r="H628" s="14"/>
      <c r="I628" s="14"/>
    </row>
    <row r="629" ht="28.5" customHeight="1">
      <c r="A629" s="4"/>
      <c r="B629" s="14"/>
      <c r="C629" s="14"/>
      <c r="D629" s="14"/>
      <c r="E629" s="14"/>
      <c r="F629" s="14"/>
      <c r="G629" s="14"/>
      <c r="H629" s="14"/>
      <c r="I629" s="14"/>
    </row>
    <row r="630" ht="28.5" customHeight="1">
      <c r="A630" s="4"/>
      <c r="B630" s="14"/>
      <c r="C630" s="14"/>
      <c r="D630" s="14"/>
      <c r="E630" s="14"/>
      <c r="F630" s="14"/>
      <c r="G630" s="14"/>
      <c r="H630" s="14"/>
      <c r="I630" s="14"/>
    </row>
    <row r="631" ht="28.5" customHeight="1">
      <c r="A631" s="4"/>
      <c r="B631" s="14"/>
      <c r="C631" s="14"/>
      <c r="D631" s="14"/>
      <c r="E631" s="14"/>
      <c r="F631" s="14"/>
      <c r="G631" s="14"/>
      <c r="H631" s="14"/>
      <c r="I631" s="14"/>
    </row>
    <row r="632" ht="28.5" customHeight="1">
      <c r="A632" s="4"/>
      <c r="B632" s="14"/>
      <c r="C632" s="14"/>
      <c r="D632" s="14"/>
      <c r="E632" s="14"/>
      <c r="F632" s="14"/>
      <c r="G632" s="14"/>
      <c r="H632" s="14"/>
      <c r="I632" s="14"/>
    </row>
    <row r="633" ht="28.5" customHeight="1">
      <c r="A633" s="4"/>
      <c r="B633" s="14"/>
      <c r="C633" s="14"/>
      <c r="D633" s="14"/>
      <c r="E633" s="14"/>
      <c r="F633" s="14"/>
      <c r="G633" s="14"/>
      <c r="H633" s="14"/>
      <c r="I633" s="14"/>
    </row>
    <row r="634" ht="28.5" customHeight="1">
      <c r="A634" s="4"/>
      <c r="B634" s="14"/>
      <c r="C634" s="14"/>
      <c r="D634" s="14"/>
      <c r="E634" s="14"/>
      <c r="F634" s="14"/>
      <c r="G634" s="14"/>
      <c r="H634" s="14"/>
      <c r="I634" s="14"/>
    </row>
    <row r="635" ht="28.5" customHeight="1">
      <c r="A635" s="4"/>
      <c r="B635" s="14"/>
      <c r="C635" s="14"/>
      <c r="D635" s="14"/>
      <c r="E635" s="14"/>
      <c r="F635" s="14"/>
      <c r="G635" s="14"/>
      <c r="H635" s="14"/>
      <c r="I635" s="14"/>
    </row>
    <row r="636" ht="28.5" customHeight="1">
      <c r="A636" s="4"/>
      <c r="B636" s="14"/>
      <c r="C636" s="14"/>
      <c r="D636" s="14"/>
      <c r="E636" s="14"/>
      <c r="F636" s="14"/>
      <c r="G636" s="14"/>
      <c r="H636" s="14"/>
      <c r="I636" s="14"/>
    </row>
    <row r="637" ht="28.5" customHeight="1">
      <c r="A637" s="4"/>
      <c r="B637" s="14"/>
      <c r="C637" s="14"/>
      <c r="D637" s="14"/>
      <c r="E637" s="14"/>
      <c r="F637" s="14"/>
      <c r="G637" s="14"/>
      <c r="H637" s="14"/>
      <c r="I637" s="14"/>
    </row>
    <row r="638" ht="28.5" customHeight="1">
      <c r="A638" s="4"/>
      <c r="B638" s="14"/>
      <c r="C638" s="14"/>
      <c r="D638" s="14"/>
      <c r="E638" s="14"/>
      <c r="F638" s="14"/>
      <c r="G638" s="14"/>
      <c r="H638" s="14"/>
      <c r="I638" s="14"/>
    </row>
    <row r="639" ht="28.5" customHeight="1">
      <c r="A639" s="4"/>
      <c r="B639" s="14"/>
      <c r="C639" s="14"/>
      <c r="D639" s="14"/>
      <c r="E639" s="14"/>
      <c r="F639" s="14"/>
      <c r="G639" s="14"/>
      <c r="H639" s="14"/>
      <c r="I639" s="14"/>
    </row>
    <row r="640" ht="28.5" customHeight="1">
      <c r="A640" s="4"/>
      <c r="B640" s="14"/>
      <c r="C640" s="14"/>
      <c r="D640" s="14"/>
      <c r="E640" s="14"/>
      <c r="F640" s="14"/>
      <c r="G640" s="14"/>
      <c r="H640" s="14"/>
      <c r="I640" s="14"/>
    </row>
    <row r="641" ht="28.5" customHeight="1">
      <c r="A641" s="4"/>
      <c r="B641" s="14"/>
      <c r="C641" s="14"/>
      <c r="D641" s="14"/>
      <c r="E641" s="14"/>
      <c r="F641" s="14"/>
      <c r="G641" s="14"/>
      <c r="H641" s="14"/>
      <c r="I641" s="14"/>
    </row>
    <row r="642" ht="28.5" customHeight="1">
      <c r="A642" s="4"/>
      <c r="B642" s="14"/>
      <c r="C642" s="14"/>
      <c r="D642" s="14"/>
      <c r="E642" s="14"/>
      <c r="F642" s="14"/>
      <c r="G642" s="14"/>
      <c r="H642" s="14"/>
      <c r="I642" s="14"/>
    </row>
    <row r="643" ht="28.5" customHeight="1">
      <c r="A643" s="4"/>
      <c r="B643" s="14"/>
      <c r="C643" s="14"/>
      <c r="D643" s="14"/>
      <c r="E643" s="14"/>
      <c r="F643" s="14"/>
      <c r="G643" s="14"/>
      <c r="H643" s="14"/>
      <c r="I643" s="14"/>
    </row>
    <row r="644" ht="28.5" customHeight="1">
      <c r="A644" s="4"/>
      <c r="B644" s="14"/>
      <c r="C644" s="14"/>
      <c r="D644" s="14"/>
      <c r="E644" s="14"/>
      <c r="F644" s="14"/>
      <c r="G644" s="14"/>
      <c r="H644" s="14"/>
      <c r="I644" s="14"/>
    </row>
    <row r="645" ht="28.5" customHeight="1">
      <c r="A645" s="4"/>
      <c r="B645" s="14"/>
      <c r="C645" s="14"/>
      <c r="D645" s="14"/>
      <c r="E645" s="14"/>
      <c r="F645" s="14"/>
      <c r="G645" s="14"/>
      <c r="H645" s="14"/>
      <c r="I645" s="14"/>
    </row>
    <row r="646" ht="28.5" customHeight="1">
      <c r="A646" s="4"/>
      <c r="B646" s="14"/>
      <c r="C646" s="14"/>
      <c r="D646" s="14"/>
      <c r="E646" s="14"/>
      <c r="F646" s="14"/>
      <c r="G646" s="14"/>
      <c r="H646" s="14"/>
      <c r="I646" s="14"/>
    </row>
    <row r="647" ht="28.5" customHeight="1">
      <c r="A647" s="4"/>
      <c r="B647" s="14"/>
      <c r="C647" s="14"/>
      <c r="D647" s="14"/>
      <c r="E647" s="14"/>
      <c r="F647" s="14"/>
      <c r="G647" s="14"/>
      <c r="H647" s="14"/>
      <c r="I647" s="14"/>
    </row>
    <row r="648" ht="28.5" customHeight="1">
      <c r="A648" s="4"/>
      <c r="B648" s="14"/>
      <c r="C648" s="14"/>
      <c r="D648" s="14"/>
      <c r="E648" s="14"/>
      <c r="F648" s="14"/>
      <c r="G648" s="14"/>
      <c r="H648" s="14"/>
      <c r="I648" s="14"/>
    </row>
    <row r="649" ht="28.5" customHeight="1">
      <c r="A649" s="4"/>
      <c r="B649" s="14"/>
      <c r="C649" s="14"/>
      <c r="D649" s="14"/>
      <c r="E649" s="14"/>
      <c r="F649" s="14"/>
      <c r="G649" s="14"/>
      <c r="H649" s="14"/>
      <c r="I649" s="14"/>
    </row>
    <row r="650" ht="28.5" customHeight="1">
      <c r="A650" s="4"/>
      <c r="B650" s="14"/>
      <c r="C650" s="14"/>
      <c r="D650" s="14"/>
      <c r="E650" s="14"/>
      <c r="F650" s="14"/>
      <c r="G650" s="14"/>
      <c r="H650" s="14"/>
      <c r="I650" s="14"/>
    </row>
    <row r="651" ht="28.5" customHeight="1">
      <c r="A651" s="4"/>
      <c r="B651" s="14"/>
      <c r="C651" s="14"/>
      <c r="D651" s="14"/>
      <c r="E651" s="14"/>
      <c r="F651" s="14"/>
      <c r="G651" s="14"/>
      <c r="H651" s="14"/>
      <c r="I651" s="14"/>
    </row>
    <row r="652" ht="28.5" customHeight="1">
      <c r="A652" s="4"/>
      <c r="B652" s="14"/>
      <c r="C652" s="14"/>
      <c r="D652" s="14"/>
      <c r="E652" s="14"/>
      <c r="F652" s="14"/>
      <c r="G652" s="14"/>
      <c r="H652" s="14"/>
      <c r="I652" s="14"/>
    </row>
    <row r="653" ht="28.5" customHeight="1">
      <c r="A653" s="4"/>
      <c r="B653" s="14"/>
      <c r="C653" s="14"/>
      <c r="D653" s="14"/>
      <c r="E653" s="14"/>
      <c r="F653" s="14"/>
      <c r="G653" s="14"/>
      <c r="H653" s="14"/>
      <c r="I653" s="14"/>
    </row>
    <row r="654" ht="28.5" customHeight="1">
      <c r="A654" s="4"/>
      <c r="B654" s="14"/>
      <c r="C654" s="14"/>
      <c r="D654" s="14"/>
      <c r="E654" s="14"/>
      <c r="F654" s="14"/>
      <c r="G654" s="14"/>
      <c r="H654" s="14"/>
      <c r="I654" s="14"/>
    </row>
    <row r="655" ht="28.5" customHeight="1">
      <c r="A655" s="4"/>
      <c r="B655" s="14"/>
      <c r="C655" s="14"/>
      <c r="D655" s="14"/>
      <c r="E655" s="14"/>
      <c r="F655" s="14"/>
      <c r="G655" s="14"/>
      <c r="H655" s="14"/>
      <c r="I655" s="14"/>
    </row>
    <row r="656" ht="28.5" customHeight="1">
      <c r="A656" s="4"/>
      <c r="B656" s="14"/>
      <c r="C656" s="14"/>
      <c r="D656" s="14"/>
      <c r="E656" s="14"/>
      <c r="F656" s="14"/>
      <c r="G656" s="14"/>
      <c r="H656" s="14"/>
      <c r="I656" s="14"/>
    </row>
    <row r="657" ht="28.5" customHeight="1">
      <c r="A657" s="4"/>
      <c r="B657" s="14"/>
      <c r="C657" s="14"/>
      <c r="D657" s="14"/>
      <c r="E657" s="14"/>
      <c r="F657" s="14"/>
      <c r="G657" s="14"/>
      <c r="H657" s="14"/>
      <c r="I657" s="14"/>
    </row>
    <row r="658" ht="28.5" customHeight="1">
      <c r="A658" s="4"/>
      <c r="B658" s="14"/>
      <c r="C658" s="14"/>
      <c r="D658" s="14"/>
      <c r="E658" s="14"/>
      <c r="F658" s="14"/>
      <c r="G658" s="14"/>
      <c r="H658" s="14"/>
      <c r="I658" s="14"/>
    </row>
    <row r="659" ht="28.5" customHeight="1">
      <c r="A659" s="4"/>
      <c r="B659" s="14"/>
      <c r="C659" s="14"/>
      <c r="D659" s="14"/>
      <c r="E659" s="14"/>
      <c r="F659" s="14"/>
      <c r="G659" s="14"/>
      <c r="H659" s="14"/>
      <c r="I659" s="14"/>
    </row>
    <row r="660" ht="28.5" customHeight="1">
      <c r="A660" s="4"/>
      <c r="B660" s="14"/>
      <c r="C660" s="14"/>
      <c r="D660" s="14"/>
      <c r="E660" s="14"/>
      <c r="F660" s="14"/>
      <c r="G660" s="14"/>
      <c r="H660" s="14"/>
      <c r="I660" s="14"/>
    </row>
    <row r="661" ht="28.5" customHeight="1">
      <c r="A661" s="4"/>
      <c r="B661" s="14"/>
      <c r="C661" s="14"/>
      <c r="D661" s="14"/>
      <c r="E661" s="14"/>
      <c r="F661" s="14"/>
      <c r="G661" s="14"/>
      <c r="H661" s="14"/>
      <c r="I661" s="14"/>
    </row>
    <row r="662" ht="28.5" customHeight="1">
      <c r="A662" s="4"/>
      <c r="B662" s="14"/>
      <c r="C662" s="14"/>
      <c r="D662" s="14"/>
      <c r="E662" s="14"/>
      <c r="F662" s="14"/>
      <c r="G662" s="14"/>
      <c r="H662" s="14"/>
      <c r="I662" s="14"/>
    </row>
    <row r="663" ht="28.5" customHeight="1">
      <c r="A663" s="4"/>
      <c r="B663" s="14"/>
      <c r="C663" s="14"/>
      <c r="D663" s="14"/>
      <c r="E663" s="14"/>
      <c r="F663" s="14"/>
      <c r="G663" s="14"/>
      <c r="H663" s="14"/>
      <c r="I663" s="14"/>
    </row>
    <row r="664" ht="28.5" customHeight="1">
      <c r="A664" s="4"/>
      <c r="B664" s="14"/>
      <c r="C664" s="14"/>
      <c r="D664" s="14"/>
      <c r="E664" s="14"/>
      <c r="F664" s="14"/>
      <c r="G664" s="14"/>
      <c r="H664" s="14"/>
      <c r="I664" s="14"/>
    </row>
    <row r="665" ht="28.5" customHeight="1">
      <c r="A665" s="4"/>
      <c r="B665" s="14"/>
      <c r="C665" s="14"/>
      <c r="D665" s="14"/>
      <c r="E665" s="14"/>
      <c r="F665" s="14"/>
      <c r="G665" s="14"/>
      <c r="H665" s="14"/>
      <c r="I665" s="14"/>
    </row>
    <row r="666" ht="28.5" customHeight="1">
      <c r="A666" s="4"/>
      <c r="B666" s="14"/>
      <c r="C666" s="14"/>
      <c r="D666" s="14"/>
      <c r="E666" s="14"/>
      <c r="F666" s="14"/>
      <c r="G666" s="14"/>
      <c r="H666" s="14"/>
      <c r="I666" s="14"/>
    </row>
    <row r="667" ht="28.5" customHeight="1">
      <c r="A667" s="4"/>
      <c r="B667" s="14"/>
      <c r="C667" s="14"/>
      <c r="D667" s="14"/>
      <c r="E667" s="14"/>
      <c r="F667" s="14"/>
      <c r="G667" s="14"/>
      <c r="H667" s="14"/>
      <c r="I667" s="14"/>
    </row>
    <row r="668" ht="28.5" customHeight="1">
      <c r="A668" s="4"/>
      <c r="B668" s="14"/>
      <c r="C668" s="14"/>
      <c r="D668" s="14"/>
      <c r="E668" s="14"/>
      <c r="F668" s="14"/>
      <c r="G668" s="14"/>
      <c r="H668" s="14"/>
      <c r="I668" s="14"/>
    </row>
    <row r="669" ht="28.5" customHeight="1">
      <c r="A669" s="4"/>
      <c r="B669" s="14"/>
      <c r="C669" s="14"/>
      <c r="D669" s="14"/>
      <c r="E669" s="14"/>
      <c r="F669" s="14"/>
      <c r="G669" s="14"/>
      <c r="H669" s="14"/>
      <c r="I669" s="14"/>
    </row>
    <row r="670" ht="28.5" customHeight="1">
      <c r="A670" s="4"/>
      <c r="B670" s="14"/>
      <c r="C670" s="14"/>
      <c r="D670" s="14"/>
      <c r="E670" s="14"/>
      <c r="F670" s="14"/>
      <c r="G670" s="14"/>
      <c r="H670" s="14"/>
      <c r="I670" s="14"/>
    </row>
    <row r="671" ht="28.5" customHeight="1">
      <c r="A671" s="4"/>
      <c r="B671" s="14"/>
      <c r="C671" s="14"/>
      <c r="D671" s="14"/>
      <c r="E671" s="14"/>
      <c r="F671" s="14"/>
      <c r="G671" s="14"/>
      <c r="H671" s="14"/>
      <c r="I671" s="14"/>
    </row>
    <row r="672" ht="28.5" customHeight="1">
      <c r="A672" s="4"/>
      <c r="B672" s="14"/>
      <c r="C672" s="14"/>
      <c r="D672" s="14"/>
      <c r="E672" s="14"/>
      <c r="F672" s="14"/>
      <c r="G672" s="14"/>
      <c r="H672" s="14"/>
      <c r="I672" s="14"/>
    </row>
    <row r="673" ht="28.5" customHeight="1">
      <c r="A673" s="4"/>
      <c r="B673" s="14"/>
      <c r="C673" s="14"/>
      <c r="D673" s="14"/>
      <c r="E673" s="14"/>
      <c r="F673" s="14"/>
      <c r="G673" s="14"/>
      <c r="H673" s="14"/>
      <c r="I673" s="14"/>
    </row>
    <row r="674" ht="28.5" customHeight="1">
      <c r="A674" s="4"/>
      <c r="B674" s="14"/>
      <c r="C674" s="14"/>
      <c r="D674" s="14"/>
      <c r="E674" s="14"/>
      <c r="F674" s="14"/>
      <c r="G674" s="14"/>
      <c r="H674" s="14"/>
      <c r="I674" s="14"/>
    </row>
    <row r="675" ht="28.5" customHeight="1">
      <c r="A675" s="4"/>
      <c r="B675" s="14"/>
      <c r="C675" s="14"/>
      <c r="D675" s="14"/>
      <c r="E675" s="14"/>
      <c r="F675" s="14"/>
      <c r="G675" s="14"/>
      <c r="H675" s="14"/>
      <c r="I675" s="14"/>
    </row>
    <row r="676" ht="28.5" customHeight="1">
      <c r="A676" s="4"/>
      <c r="B676" s="14"/>
      <c r="C676" s="14"/>
      <c r="D676" s="14"/>
      <c r="E676" s="14"/>
      <c r="F676" s="14"/>
      <c r="G676" s="14"/>
      <c r="H676" s="14"/>
      <c r="I676" s="14"/>
    </row>
    <row r="677" ht="28.5" customHeight="1">
      <c r="A677" s="4"/>
      <c r="B677" s="14"/>
      <c r="C677" s="14"/>
      <c r="D677" s="14"/>
      <c r="E677" s="14"/>
      <c r="F677" s="14"/>
      <c r="G677" s="14"/>
      <c r="H677" s="14"/>
      <c r="I677" s="14"/>
    </row>
    <row r="678" ht="28.5" customHeight="1">
      <c r="A678" s="4"/>
      <c r="B678" s="14"/>
      <c r="C678" s="14"/>
      <c r="D678" s="14"/>
      <c r="E678" s="14"/>
      <c r="F678" s="14"/>
      <c r="G678" s="14"/>
      <c r="H678" s="14"/>
      <c r="I678" s="14"/>
    </row>
    <row r="679" ht="28.5" customHeight="1">
      <c r="A679" s="4"/>
      <c r="B679" s="14"/>
      <c r="C679" s="14"/>
      <c r="D679" s="14"/>
      <c r="E679" s="14"/>
      <c r="F679" s="14"/>
      <c r="G679" s="14"/>
      <c r="H679" s="14"/>
      <c r="I679" s="14"/>
    </row>
    <row r="680" ht="28.5" customHeight="1">
      <c r="A680" s="4"/>
      <c r="B680" s="14"/>
      <c r="C680" s="14"/>
      <c r="D680" s="14"/>
      <c r="E680" s="14"/>
      <c r="F680" s="14"/>
      <c r="G680" s="14"/>
      <c r="H680" s="14"/>
      <c r="I680" s="14"/>
    </row>
    <row r="681" ht="28.5" customHeight="1">
      <c r="A681" s="4"/>
      <c r="B681" s="14"/>
      <c r="C681" s="14"/>
      <c r="D681" s="14"/>
      <c r="E681" s="14"/>
      <c r="F681" s="14"/>
      <c r="G681" s="14"/>
      <c r="H681" s="14"/>
      <c r="I681" s="14"/>
    </row>
    <row r="682" ht="28.5" customHeight="1">
      <c r="A682" s="4"/>
      <c r="B682" s="14"/>
      <c r="C682" s="14"/>
      <c r="D682" s="14"/>
      <c r="E682" s="14"/>
      <c r="F682" s="14"/>
      <c r="G682" s="14"/>
      <c r="H682" s="14"/>
      <c r="I682" s="14"/>
    </row>
    <row r="683" ht="28.5" customHeight="1">
      <c r="A683" s="4"/>
      <c r="B683" s="14"/>
      <c r="C683" s="14"/>
      <c r="D683" s="14"/>
      <c r="E683" s="14"/>
      <c r="F683" s="14"/>
      <c r="G683" s="14"/>
      <c r="H683" s="14"/>
      <c r="I683" s="14"/>
    </row>
    <row r="684" ht="28.5" customHeight="1">
      <c r="A684" s="4"/>
      <c r="B684" s="14"/>
      <c r="C684" s="14"/>
      <c r="D684" s="14"/>
      <c r="E684" s="14"/>
      <c r="F684" s="14"/>
      <c r="G684" s="14"/>
      <c r="H684" s="14"/>
      <c r="I684" s="14"/>
    </row>
    <row r="685" ht="28.5" customHeight="1">
      <c r="A685" s="4"/>
      <c r="B685" s="14"/>
      <c r="C685" s="14"/>
      <c r="D685" s="14"/>
      <c r="E685" s="14"/>
      <c r="F685" s="14"/>
      <c r="G685" s="14"/>
      <c r="H685" s="14"/>
      <c r="I685" s="14"/>
    </row>
    <row r="686" ht="28.5" customHeight="1">
      <c r="A686" s="4"/>
      <c r="B686" s="14"/>
      <c r="C686" s="14"/>
      <c r="D686" s="14"/>
      <c r="E686" s="14"/>
      <c r="F686" s="14"/>
      <c r="G686" s="14"/>
      <c r="H686" s="14"/>
      <c r="I686" s="14"/>
    </row>
    <row r="687" ht="28.5" customHeight="1">
      <c r="A687" s="4"/>
      <c r="B687" s="14"/>
      <c r="C687" s="14"/>
      <c r="D687" s="14"/>
      <c r="E687" s="14"/>
      <c r="F687" s="14"/>
      <c r="G687" s="14"/>
      <c r="H687" s="14"/>
      <c r="I687" s="14"/>
    </row>
    <row r="688" ht="28.5" customHeight="1">
      <c r="A688" s="4"/>
      <c r="B688" s="14"/>
      <c r="C688" s="14"/>
      <c r="D688" s="14"/>
      <c r="E688" s="14"/>
      <c r="F688" s="14"/>
      <c r="G688" s="14"/>
      <c r="H688" s="14"/>
      <c r="I688" s="14"/>
    </row>
    <row r="689" ht="28.5" customHeight="1">
      <c r="A689" s="4"/>
      <c r="B689" s="14"/>
      <c r="C689" s="14"/>
      <c r="D689" s="14"/>
      <c r="E689" s="14"/>
      <c r="F689" s="14"/>
      <c r="G689" s="14"/>
      <c r="H689" s="14"/>
      <c r="I689" s="14"/>
    </row>
    <row r="690" ht="28.5" customHeight="1">
      <c r="A690" s="4"/>
      <c r="B690" s="14"/>
      <c r="C690" s="14"/>
      <c r="D690" s="14"/>
      <c r="E690" s="14"/>
      <c r="F690" s="14"/>
      <c r="G690" s="14"/>
      <c r="H690" s="14"/>
      <c r="I690" s="14"/>
    </row>
    <row r="691" ht="28.5" customHeight="1">
      <c r="A691" s="4"/>
      <c r="B691" s="14"/>
      <c r="C691" s="14"/>
      <c r="D691" s="14"/>
      <c r="E691" s="14"/>
      <c r="F691" s="14"/>
      <c r="G691" s="14"/>
      <c r="H691" s="14"/>
      <c r="I691" s="14"/>
    </row>
    <row r="692" ht="28.5" customHeight="1">
      <c r="A692" s="4"/>
      <c r="B692" s="14"/>
      <c r="C692" s="14"/>
      <c r="D692" s="14"/>
      <c r="E692" s="14"/>
      <c r="F692" s="14"/>
      <c r="G692" s="14"/>
      <c r="H692" s="14"/>
      <c r="I692" s="14"/>
    </row>
    <row r="693" ht="28.5" customHeight="1">
      <c r="A693" s="4"/>
      <c r="B693" s="14"/>
      <c r="C693" s="14"/>
      <c r="D693" s="14"/>
      <c r="E693" s="14"/>
      <c r="F693" s="14"/>
      <c r="G693" s="14"/>
      <c r="H693" s="14"/>
      <c r="I693" s="14"/>
    </row>
    <row r="694" ht="28.5" customHeight="1">
      <c r="A694" s="4"/>
      <c r="B694" s="14"/>
      <c r="C694" s="14"/>
      <c r="D694" s="14"/>
      <c r="E694" s="14"/>
      <c r="F694" s="14"/>
      <c r="G694" s="14"/>
      <c r="H694" s="14"/>
      <c r="I694" s="14"/>
    </row>
    <row r="695" ht="28.5" customHeight="1">
      <c r="A695" s="4"/>
      <c r="B695" s="14"/>
      <c r="C695" s="14"/>
      <c r="D695" s="14"/>
      <c r="E695" s="14"/>
      <c r="F695" s="14"/>
      <c r="G695" s="14"/>
      <c r="H695" s="14"/>
      <c r="I695" s="14"/>
    </row>
    <row r="696" ht="28.5" customHeight="1">
      <c r="A696" s="4"/>
      <c r="B696" s="14"/>
      <c r="C696" s="14"/>
      <c r="D696" s="14"/>
      <c r="E696" s="14"/>
      <c r="F696" s="14"/>
      <c r="G696" s="14"/>
      <c r="H696" s="14"/>
      <c r="I696" s="14"/>
    </row>
    <row r="697" ht="28.5" customHeight="1">
      <c r="A697" s="4"/>
      <c r="B697" s="14"/>
      <c r="C697" s="14"/>
      <c r="D697" s="14"/>
      <c r="E697" s="14"/>
      <c r="F697" s="14"/>
      <c r="G697" s="14"/>
      <c r="H697" s="14"/>
      <c r="I697" s="14"/>
    </row>
    <row r="698" ht="28.5" customHeight="1">
      <c r="A698" s="4"/>
      <c r="B698" s="14"/>
      <c r="C698" s="14"/>
      <c r="D698" s="14"/>
      <c r="E698" s="14"/>
      <c r="F698" s="14"/>
      <c r="G698" s="14"/>
      <c r="H698" s="14"/>
      <c r="I698" s="14"/>
    </row>
    <row r="699" ht="28.5" customHeight="1">
      <c r="A699" s="4"/>
      <c r="B699" s="14"/>
      <c r="C699" s="14"/>
      <c r="D699" s="14"/>
      <c r="E699" s="14"/>
      <c r="F699" s="14"/>
      <c r="G699" s="14"/>
      <c r="H699" s="14"/>
      <c r="I699" s="14"/>
    </row>
    <row r="700" ht="28.5" customHeight="1">
      <c r="A700" s="4"/>
      <c r="B700" s="14"/>
      <c r="C700" s="14"/>
      <c r="D700" s="14"/>
      <c r="E700" s="14"/>
      <c r="F700" s="14"/>
      <c r="G700" s="14"/>
      <c r="H700" s="14"/>
      <c r="I700" s="14"/>
    </row>
    <row r="701" ht="28.5" customHeight="1">
      <c r="A701" s="4"/>
      <c r="B701" s="14"/>
      <c r="C701" s="14"/>
      <c r="D701" s="14"/>
      <c r="E701" s="14"/>
      <c r="F701" s="14"/>
      <c r="G701" s="14"/>
      <c r="H701" s="14"/>
      <c r="I701" s="14"/>
    </row>
    <row r="702" ht="28.5" customHeight="1">
      <c r="A702" s="4"/>
      <c r="B702" s="14"/>
      <c r="C702" s="14"/>
      <c r="D702" s="14"/>
      <c r="E702" s="14"/>
      <c r="F702" s="14"/>
      <c r="G702" s="14"/>
      <c r="H702" s="14"/>
      <c r="I702" s="14"/>
    </row>
    <row r="703" ht="28.5" customHeight="1">
      <c r="A703" s="4"/>
      <c r="B703" s="14"/>
      <c r="C703" s="14"/>
      <c r="D703" s="14"/>
      <c r="E703" s="14"/>
      <c r="F703" s="14"/>
      <c r="G703" s="14"/>
      <c r="H703" s="14"/>
      <c r="I703" s="14"/>
    </row>
    <row r="704" ht="28.5" customHeight="1">
      <c r="A704" s="4"/>
      <c r="B704" s="14"/>
      <c r="C704" s="14"/>
      <c r="D704" s="14"/>
      <c r="E704" s="14"/>
      <c r="F704" s="14"/>
      <c r="G704" s="14"/>
      <c r="H704" s="14"/>
      <c r="I704" s="14"/>
    </row>
    <row r="705" ht="28.5" customHeight="1">
      <c r="A705" s="4"/>
      <c r="B705" s="14"/>
      <c r="C705" s="14"/>
      <c r="D705" s="14"/>
      <c r="E705" s="14"/>
      <c r="F705" s="14"/>
      <c r="G705" s="14"/>
      <c r="H705" s="14"/>
      <c r="I705" s="14"/>
    </row>
    <row r="706" ht="28.5" customHeight="1">
      <c r="A706" s="4"/>
      <c r="B706" s="14"/>
      <c r="C706" s="14"/>
      <c r="D706" s="14"/>
      <c r="E706" s="14"/>
      <c r="F706" s="14"/>
      <c r="G706" s="14"/>
      <c r="H706" s="14"/>
      <c r="I706" s="14"/>
    </row>
    <row r="707" ht="28.5" customHeight="1">
      <c r="A707" s="4"/>
      <c r="B707" s="14"/>
      <c r="C707" s="14"/>
      <c r="D707" s="14"/>
      <c r="E707" s="14"/>
      <c r="F707" s="14"/>
      <c r="G707" s="14"/>
      <c r="H707" s="14"/>
      <c r="I707" s="14"/>
    </row>
    <row r="708" ht="28.5" customHeight="1">
      <c r="A708" s="4"/>
      <c r="B708" s="14"/>
      <c r="C708" s="14"/>
      <c r="D708" s="14"/>
      <c r="E708" s="14"/>
      <c r="F708" s="14"/>
      <c r="G708" s="14"/>
      <c r="H708" s="14"/>
      <c r="I708" s="14"/>
    </row>
    <row r="709" ht="28.5" customHeight="1">
      <c r="A709" s="4"/>
      <c r="B709" s="14"/>
      <c r="C709" s="14"/>
      <c r="D709" s="14"/>
      <c r="E709" s="14"/>
      <c r="F709" s="14"/>
      <c r="G709" s="14"/>
      <c r="H709" s="14"/>
      <c r="I709" s="14"/>
    </row>
    <row r="710" ht="28.5" customHeight="1">
      <c r="A710" s="4"/>
      <c r="B710" s="14"/>
      <c r="C710" s="14"/>
      <c r="D710" s="14"/>
      <c r="E710" s="14"/>
      <c r="F710" s="14"/>
      <c r="G710" s="14"/>
      <c r="H710" s="14"/>
      <c r="I710" s="14"/>
    </row>
    <row r="711" ht="28.5" customHeight="1">
      <c r="A711" s="4"/>
      <c r="B711" s="14"/>
      <c r="C711" s="14"/>
      <c r="D711" s="14"/>
      <c r="E711" s="14"/>
      <c r="F711" s="14"/>
      <c r="G711" s="14"/>
      <c r="H711" s="14"/>
      <c r="I711" s="14"/>
    </row>
    <row r="712" ht="28.5" customHeight="1">
      <c r="A712" s="4"/>
      <c r="B712" s="14"/>
      <c r="C712" s="14"/>
      <c r="D712" s="14"/>
      <c r="E712" s="14"/>
      <c r="F712" s="14"/>
      <c r="G712" s="14"/>
      <c r="H712" s="14"/>
      <c r="I712" s="14"/>
    </row>
    <row r="713" ht="28.5" customHeight="1">
      <c r="A713" s="4"/>
      <c r="B713" s="14"/>
      <c r="C713" s="14"/>
      <c r="D713" s="14"/>
      <c r="E713" s="14"/>
      <c r="F713" s="14"/>
      <c r="G713" s="14"/>
      <c r="H713" s="14"/>
      <c r="I713" s="14"/>
    </row>
    <row r="714" ht="28.5" customHeight="1">
      <c r="A714" s="4"/>
      <c r="B714" s="14"/>
      <c r="C714" s="14"/>
      <c r="D714" s="14"/>
      <c r="E714" s="14"/>
      <c r="F714" s="14"/>
      <c r="G714" s="14"/>
      <c r="H714" s="14"/>
      <c r="I714" s="14"/>
    </row>
    <row r="715" ht="28.5" customHeight="1">
      <c r="A715" s="4"/>
      <c r="B715" s="14"/>
      <c r="C715" s="14"/>
      <c r="D715" s="14"/>
      <c r="E715" s="14"/>
      <c r="F715" s="14"/>
      <c r="G715" s="14"/>
      <c r="H715" s="14"/>
      <c r="I715" s="14"/>
    </row>
    <row r="716" ht="28.5" customHeight="1">
      <c r="A716" s="4"/>
      <c r="B716" s="14"/>
      <c r="C716" s="14"/>
      <c r="D716" s="14"/>
      <c r="E716" s="14"/>
      <c r="F716" s="14"/>
      <c r="G716" s="14"/>
      <c r="H716" s="14"/>
      <c r="I716" s="14"/>
    </row>
    <row r="717" ht="28.5" customHeight="1">
      <c r="A717" s="4"/>
      <c r="B717" s="14"/>
      <c r="C717" s="14"/>
      <c r="D717" s="14"/>
      <c r="E717" s="14"/>
      <c r="F717" s="14"/>
      <c r="G717" s="14"/>
      <c r="H717" s="14"/>
      <c r="I717" s="14"/>
    </row>
    <row r="718" ht="28.5" customHeight="1">
      <c r="A718" s="4"/>
      <c r="B718" s="14"/>
      <c r="C718" s="14"/>
      <c r="D718" s="14"/>
      <c r="E718" s="14"/>
      <c r="F718" s="14"/>
      <c r="G718" s="14"/>
      <c r="H718" s="14"/>
      <c r="I718" s="14"/>
    </row>
    <row r="719" ht="28.5" customHeight="1">
      <c r="A719" s="4"/>
      <c r="B719" s="14"/>
      <c r="C719" s="14"/>
      <c r="D719" s="14"/>
      <c r="E719" s="14"/>
      <c r="F719" s="14"/>
      <c r="G719" s="14"/>
      <c r="H719" s="14"/>
      <c r="I719" s="14"/>
    </row>
    <row r="720" ht="28.5" customHeight="1">
      <c r="A720" s="4"/>
      <c r="B720" s="14"/>
      <c r="C720" s="14"/>
      <c r="D720" s="14"/>
      <c r="E720" s="14"/>
      <c r="F720" s="14"/>
      <c r="G720" s="14"/>
      <c r="H720" s="14"/>
      <c r="I720" s="14"/>
    </row>
    <row r="721" ht="28.5" customHeight="1">
      <c r="A721" s="4"/>
      <c r="B721" s="14"/>
      <c r="C721" s="14"/>
      <c r="D721" s="14"/>
      <c r="E721" s="14"/>
      <c r="F721" s="14"/>
      <c r="G721" s="14"/>
      <c r="H721" s="14"/>
      <c r="I721" s="14"/>
    </row>
    <row r="722" ht="28.5" customHeight="1">
      <c r="A722" s="4"/>
      <c r="B722" s="14"/>
      <c r="C722" s="14"/>
      <c r="D722" s="14"/>
      <c r="E722" s="14"/>
      <c r="F722" s="14"/>
      <c r="G722" s="14"/>
      <c r="H722" s="14"/>
      <c r="I722" s="14"/>
    </row>
    <row r="723" ht="28.5" customHeight="1">
      <c r="A723" s="4"/>
      <c r="B723" s="14"/>
      <c r="C723" s="14"/>
      <c r="D723" s="14"/>
      <c r="E723" s="14"/>
      <c r="F723" s="14"/>
      <c r="G723" s="14"/>
      <c r="H723" s="14"/>
      <c r="I723" s="14"/>
    </row>
    <row r="724" ht="28.5" customHeight="1">
      <c r="A724" s="4"/>
      <c r="B724" s="14"/>
      <c r="C724" s="14"/>
      <c r="D724" s="14"/>
      <c r="E724" s="14"/>
      <c r="F724" s="14"/>
      <c r="G724" s="14"/>
      <c r="H724" s="14"/>
      <c r="I724" s="14"/>
    </row>
    <row r="725" ht="28.5" customHeight="1">
      <c r="A725" s="4"/>
      <c r="B725" s="14"/>
      <c r="C725" s="14"/>
      <c r="D725" s="14"/>
      <c r="E725" s="14"/>
      <c r="F725" s="14"/>
      <c r="G725" s="14"/>
      <c r="H725" s="14"/>
      <c r="I725" s="14"/>
    </row>
    <row r="726" ht="28.5" customHeight="1">
      <c r="A726" s="4"/>
      <c r="B726" s="14"/>
      <c r="C726" s="14"/>
      <c r="D726" s="14"/>
      <c r="E726" s="14"/>
      <c r="F726" s="14"/>
      <c r="G726" s="14"/>
      <c r="H726" s="14"/>
      <c r="I726" s="14"/>
    </row>
    <row r="727" ht="28.5" customHeight="1">
      <c r="A727" s="4"/>
      <c r="B727" s="14"/>
      <c r="C727" s="14"/>
      <c r="D727" s="14"/>
      <c r="E727" s="14"/>
      <c r="F727" s="14"/>
      <c r="G727" s="14"/>
      <c r="H727" s="14"/>
      <c r="I727" s="14"/>
    </row>
    <row r="728" ht="28.5" customHeight="1">
      <c r="A728" s="4"/>
      <c r="B728" s="14"/>
      <c r="C728" s="14"/>
      <c r="D728" s="14"/>
      <c r="E728" s="14"/>
      <c r="F728" s="14"/>
      <c r="G728" s="14"/>
      <c r="H728" s="14"/>
      <c r="I728" s="14"/>
    </row>
    <row r="729" ht="28.5" customHeight="1">
      <c r="A729" s="4"/>
      <c r="B729" s="14"/>
      <c r="C729" s="14"/>
      <c r="D729" s="14"/>
      <c r="E729" s="14"/>
      <c r="F729" s="14"/>
      <c r="G729" s="14"/>
      <c r="H729" s="14"/>
      <c r="I729" s="14"/>
    </row>
    <row r="730" ht="28.5" customHeight="1">
      <c r="A730" s="4"/>
      <c r="B730" s="14"/>
      <c r="C730" s="14"/>
      <c r="D730" s="14"/>
      <c r="E730" s="14"/>
      <c r="F730" s="14"/>
      <c r="G730" s="14"/>
      <c r="H730" s="14"/>
      <c r="I730" s="14"/>
    </row>
    <row r="731" ht="28.5" customHeight="1">
      <c r="A731" s="4"/>
      <c r="B731" s="14"/>
      <c r="C731" s="14"/>
      <c r="D731" s="14"/>
      <c r="E731" s="14"/>
      <c r="F731" s="14"/>
      <c r="G731" s="14"/>
      <c r="H731" s="14"/>
      <c r="I731" s="14"/>
    </row>
    <row r="732" ht="28.5" customHeight="1">
      <c r="A732" s="4"/>
      <c r="B732" s="14"/>
      <c r="C732" s="14"/>
      <c r="D732" s="14"/>
      <c r="E732" s="14"/>
      <c r="F732" s="14"/>
      <c r="G732" s="14"/>
      <c r="H732" s="14"/>
      <c r="I732" s="14"/>
    </row>
    <row r="733" ht="28.5" customHeight="1">
      <c r="A733" s="4"/>
      <c r="B733" s="14"/>
      <c r="C733" s="14"/>
      <c r="D733" s="14"/>
      <c r="E733" s="14"/>
      <c r="F733" s="14"/>
      <c r="G733" s="14"/>
      <c r="H733" s="14"/>
      <c r="I733" s="14"/>
    </row>
    <row r="734" ht="28.5" customHeight="1">
      <c r="A734" s="4"/>
      <c r="B734" s="14"/>
      <c r="C734" s="14"/>
      <c r="D734" s="14"/>
      <c r="E734" s="14"/>
      <c r="F734" s="14"/>
      <c r="G734" s="14"/>
      <c r="H734" s="14"/>
      <c r="I734" s="14"/>
    </row>
    <row r="735" ht="28.5" customHeight="1">
      <c r="A735" s="4"/>
      <c r="B735" s="14"/>
      <c r="C735" s="14"/>
      <c r="D735" s="14"/>
      <c r="E735" s="14"/>
      <c r="F735" s="14"/>
      <c r="G735" s="14"/>
      <c r="H735" s="14"/>
      <c r="I735" s="14"/>
    </row>
    <row r="736" ht="28.5" customHeight="1">
      <c r="A736" s="4"/>
      <c r="B736" s="14"/>
      <c r="C736" s="14"/>
      <c r="D736" s="14"/>
      <c r="E736" s="14"/>
      <c r="F736" s="14"/>
      <c r="G736" s="14"/>
      <c r="H736" s="14"/>
      <c r="I736" s="14"/>
    </row>
    <row r="737" ht="28.5" customHeight="1">
      <c r="A737" s="4"/>
      <c r="B737" s="14"/>
      <c r="C737" s="14"/>
      <c r="D737" s="14"/>
      <c r="E737" s="14"/>
      <c r="F737" s="14"/>
      <c r="G737" s="14"/>
      <c r="H737" s="14"/>
      <c r="I737" s="14"/>
    </row>
    <row r="738" ht="28.5" customHeight="1">
      <c r="A738" s="4"/>
      <c r="B738" s="14"/>
      <c r="C738" s="14"/>
      <c r="D738" s="14"/>
      <c r="E738" s="14"/>
      <c r="F738" s="14"/>
      <c r="G738" s="14"/>
      <c r="H738" s="14"/>
      <c r="I738" s="14"/>
    </row>
    <row r="739" ht="28.5" customHeight="1">
      <c r="A739" s="4"/>
      <c r="B739" s="14"/>
      <c r="C739" s="14"/>
      <c r="D739" s="14"/>
      <c r="E739" s="14"/>
      <c r="F739" s="14"/>
      <c r="G739" s="14"/>
      <c r="H739" s="14"/>
      <c r="I739" s="14"/>
    </row>
    <row r="740" ht="28.5" customHeight="1">
      <c r="A740" s="4"/>
      <c r="B740" s="14"/>
      <c r="C740" s="14"/>
      <c r="D740" s="14"/>
      <c r="E740" s="14"/>
      <c r="F740" s="14"/>
      <c r="G740" s="14"/>
      <c r="H740" s="14"/>
      <c r="I740" s="14"/>
    </row>
    <row r="741" ht="28.5" customHeight="1">
      <c r="A741" s="4"/>
      <c r="B741" s="14"/>
      <c r="C741" s="14"/>
      <c r="D741" s="14"/>
      <c r="E741" s="14"/>
      <c r="F741" s="14"/>
      <c r="G741" s="14"/>
      <c r="H741" s="14"/>
      <c r="I741" s="14"/>
    </row>
    <row r="742" ht="28.5" customHeight="1">
      <c r="A742" s="4"/>
      <c r="B742" s="14"/>
      <c r="C742" s="14"/>
      <c r="D742" s="14"/>
      <c r="E742" s="14"/>
      <c r="F742" s="14"/>
      <c r="G742" s="14"/>
      <c r="H742" s="14"/>
      <c r="I742" s="14"/>
    </row>
    <row r="743" ht="28.5" customHeight="1">
      <c r="A743" s="4"/>
      <c r="B743" s="14"/>
      <c r="C743" s="14"/>
      <c r="D743" s="14"/>
      <c r="E743" s="14"/>
      <c r="F743" s="14"/>
      <c r="G743" s="14"/>
      <c r="H743" s="14"/>
      <c r="I743" s="14"/>
    </row>
    <row r="744" ht="28.5" customHeight="1">
      <c r="A744" s="4"/>
      <c r="B744" s="14"/>
      <c r="C744" s="14"/>
      <c r="D744" s="14"/>
      <c r="E744" s="14"/>
      <c r="F744" s="14"/>
      <c r="G744" s="14"/>
      <c r="H744" s="14"/>
      <c r="I744" s="14"/>
    </row>
    <row r="745" ht="28.5" customHeight="1">
      <c r="A745" s="4"/>
      <c r="B745" s="14"/>
      <c r="C745" s="14"/>
      <c r="D745" s="14"/>
      <c r="E745" s="14"/>
      <c r="F745" s="14"/>
      <c r="G745" s="14"/>
      <c r="H745" s="14"/>
      <c r="I745" s="14"/>
    </row>
    <row r="746" ht="28.5" customHeight="1">
      <c r="A746" s="4"/>
      <c r="B746" s="14"/>
      <c r="C746" s="14"/>
      <c r="D746" s="14"/>
      <c r="E746" s="14"/>
      <c r="F746" s="14"/>
      <c r="G746" s="14"/>
      <c r="H746" s="14"/>
      <c r="I746" s="14"/>
    </row>
    <row r="747" ht="28.5" customHeight="1">
      <c r="A747" s="4"/>
      <c r="B747" s="14"/>
      <c r="C747" s="14"/>
      <c r="D747" s="14"/>
      <c r="E747" s="14"/>
      <c r="F747" s="14"/>
      <c r="G747" s="14"/>
      <c r="H747" s="14"/>
      <c r="I747" s="14"/>
    </row>
    <row r="748" ht="28.5" customHeight="1">
      <c r="A748" s="4"/>
      <c r="B748" s="14"/>
      <c r="C748" s="14"/>
      <c r="D748" s="14"/>
      <c r="E748" s="14"/>
      <c r="F748" s="14"/>
      <c r="G748" s="14"/>
      <c r="H748" s="14"/>
      <c r="I748" s="14"/>
    </row>
    <row r="749" ht="28.5" customHeight="1">
      <c r="A749" s="4"/>
      <c r="B749" s="14"/>
      <c r="C749" s="14"/>
      <c r="D749" s="14"/>
      <c r="E749" s="14"/>
      <c r="F749" s="14"/>
      <c r="G749" s="14"/>
      <c r="H749" s="14"/>
      <c r="I749" s="14"/>
    </row>
    <row r="750" ht="28.5" customHeight="1">
      <c r="A750" s="4"/>
      <c r="B750" s="14"/>
      <c r="C750" s="14"/>
      <c r="D750" s="14"/>
      <c r="E750" s="14"/>
      <c r="F750" s="14"/>
      <c r="G750" s="14"/>
      <c r="H750" s="14"/>
      <c r="I750" s="14"/>
    </row>
    <row r="751" ht="28.5" customHeight="1">
      <c r="A751" s="4"/>
      <c r="B751" s="14"/>
      <c r="C751" s="14"/>
      <c r="D751" s="14"/>
      <c r="E751" s="14"/>
      <c r="F751" s="14"/>
      <c r="G751" s="14"/>
      <c r="H751" s="14"/>
      <c r="I751" s="14"/>
    </row>
    <row r="752" ht="28.5" customHeight="1">
      <c r="A752" s="4"/>
      <c r="B752" s="14"/>
      <c r="C752" s="14"/>
      <c r="D752" s="14"/>
      <c r="E752" s="14"/>
      <c r="F752" s="14"/>
      <c r="G752" s="14"/>
      <c r="H752" s="14"/>
      <c r="I752" s="14"/>
    </row>
    <row r="753" ht="28.5" customHeight="1">
      <c r="A753" s="4"/>
      <c r="B753" s="14"/>
      <c r="C753" s="14"/>
      <c r="D753" s="14"/>
      <c r="E753" s="14"/>
      <c r="F753" s="14"/>
      <c r="G753" s="14"/>
      <c r="H753" s="14"/>
      <c r="I753" s="14"/>
    </row>
    <row r="754" ht="28.5" customHeight="1">
      <c r="A754" s="4"/>
      <c r="B754" s="14"/>
      <c r="C754" s="14"/>
      <c r="D754" s="14"/>
      <c r="E754" s="14"/>
      <c r="F754" s="14"/>
      <c r="G754" s="14"/>
      <c r="H754" s="14"/>
      <c r="I754" s="14"/>
    </row>
    <row r="755" ht="28.5" customHeight="1">
      <c r="A755" s="4"/>
      <c r="B755" s="14"/>
      <c r="C755" s="14"/>
      <c r="D755" s="14"/>
      <c r="E755" s="14"/>
      <c r="F755" s="14"/>
      <c r="G755" s="14"/>
      <c r="H755" s="14"/>
      <c r="I755" s="14"/>
    </row>
    <row r="756" ht="28.5" customHeight="1">
      <c r="A756" s="4"/>
      <c r="B756" s="14"/>
      <c r="C756" s="14"/>
      <c r="D756" s="14"/>
      <c r="E756" s="14"/>
      <c r="F756" s="14"/>
      <c r="G756" s="14"/>
      <c r="H756" s="14"/>
      <c r="I756" s="14"/>
    </row>
    <row r="757" ht="28.5" customHeight="1">
      <c r="A757" s="4"/>
      <c r="B757" s="14"/>
      <c r="C757" s="14"/>
      <c r="D757" s="14"/>
      <c r="E757" s="14"/>
      <c r="F757" s="14"/>
      <c r="G757" s="14"/>
      <c r="H757" s="14"/>
      <c r="I757" s="14"/>
    </row>
    <row r="758" ht="28.5" customHeight="1">
      <c r="A758" s="4"/>
      <c r="B758" s="14"/>
      <c r="C758" s="14"/>
      <c r="D758" s="14"/>
      <c r="E758" s="14"/>
      <c r="F758" s="14"/>
      <c r="G758" s="14"/>
      <c r="H758" s="14"/>
      <c r="I758" s="14"/>
    </row>
    <row r="759" ht="28.5" customHeight="1">
      <c r="A759" s="4"/>
      <c r="B759" s="14"/>
      <c r="C759" s="14"/>
      <c r="D759" s="14"/>
      <c r="E759" s="14"/>
      <c r="F759" s="14"/>
      <c r="G759" s="14"/>
      <c r="H759" s="14"/>
      <c r="I759" s="14"/>
    </row>
    <row r="760" ht="28.5" customHeight="1">
      <c r="A760" s="4"/>
      <c r="B760" s="14"/>
      <c r="C760" s="14"/>
      <c r="D760" s="14"/>
      <c r="E760" s="14"/>
      <c r="F760" s="14"/>
      <c r="G760" s="14"/>
      <c r="H760" s="14"/>
      <c r="I760" s="14"/>
    </row>
    <row r="761" ht="28.5" customHeight="1">
      <c r="A761" s="4"/>
      <c r="B761" s="14"/>
      <c r="C761" s="14"/>
      <c r="D761" s="14"/>
      <c r="E761" s="14"/>
      <c r="F761" s="14"/>
      <c r="G761" s="14"/>
      <c r="H761" s="14"/>
      <c r="I761" s="14"/>
    </row>
    <row r="762" ht="28.5" customHeight="1">
      <c r="A762" s="4"/>
      <c r="B762" s="14"/>
      <c r="C762" s="14"/>
      <c r="D762" s="14"/>
      <c r="E762" s="14"/>
      <c r="F762" s="14"/>
      <c r="G762" s="14"/>
      <c r="H762" s="14"/>
      <c r="I762" s="14"/>
    </row>
    <row r="763" ht="28.5" customHeight="1">
      <c r="A763" s="4"/>
      <c r="B763" s="14"/>
      <c r="C763" s="14"/>
      <c r="D763" s="14"/>
      <c r="E763" s="14"/>
      <c r="F763" s="14"/>
      <c r="G763" s="14"/>
      <c r="H763" s="14"/>
      <c r="I763" s="14"/>
    </row>
    <row r="764" ht="28.5" customHeight="1">
      <c r="A764" s="4"/>
      <c r="B764" s="14"/>
      <c r="C764" s="14"/>
      <c r="D764" s="14"/>
      <c r="E764" s="14"/>
      <c r="F764" s="14"/>
      <c r="G764" s="14"/>
      <c r="H764" s="14"/>
      <c r="I764" s="14"/>
    </row>
    <row r="765" ht="28.5" customHeight="1">
      <c r="A765" s="4"/>
      <c r="B765" s="14"/>
      <c r="C765" s="14"/>
      <c r="D765" s="14"/>
      <c r="E765" s="14"/>
      <c r="F765" s="14"/>
      <c r="G765" s="14"/>
      <c r="H765" s="14"/>
      <c r="I765" s="14"/>
    </row>
    <row r="766" ht="28.5" customHeight="1">
      <c r="A766" s="4"/>
      <c r="B766" s="14"/>
      <c r="C766" s="14"/>
      <c r="D766" s="14"/>
      <c r="E766" s="14"/>
      <c r="F766" s="14"/>
      <c r="G766" s="14"/>
      <c r="H766" s="14"/>
      <c r="I766" s="14"/>
    </row>
    <row r="767" ht="28.5" customHeight="1">
      <c r="A767" s="4"/>
      <c r="B767" s="14"/>
      <c r="C767" s="14"/>
      <c r="D767" s="14"/>
      <c r="E767" s="14"/>
      <c r="F767" s="14"/>
      <c r="G767" s="14"/>
      <c r="H767" s="14"/>
      <c r="I767" s="14"/>
    </row>
    <row r="768" ht="28.5" customHeight="1">
      <c r="A768" s="4"/>
      <c r="B768" s="14"/>
      <c r="C768" s="14"/>
      <c r="D768" s="14"/>
      <c r="E768" s="14"/>
      <c r="F768" s="14"/>
      <c r="G768" s="14"/>
      <c r="H768" s="14"/>
      <c r="I768" s="14"/>
    </row>
    <row r="769" ht="28.5" customHeight="1">
      <c r="A769" s="4"/>
      <c r="B769" s="14"/>
      <c r="C769" s="14"/>
      <c r="D769" s="14"/>
      <c r="E769" s="14"/>
      <c r="F769" s="14"/>
      <c r="G769" s="14"/>
      <c r="H769" s="14"/>
      <c r="I769" s="14"/>
    </row>
    <row r="770" ht="28.5" customHeight="1">
      <c r="A770" s="4"/>
      <c r="B770" s="14"/>
      <c r="C770" s="14"/>
      <c r="D770" s="14"/>
      <c r="E770" s="14"/>
      <c r="F770" s="14"/>
      <c r="G770" s="14"/>
      <c r="H770" s="14"/>
      <c r="I770" s="14"/>
    </row>
    <row r="771" ht="28.5" customHeight="1">
      <c r="A771" s="4"/>
      <c r="B771" s="14"/>
      <c r="C771" s="14"/>
      <c r="D771" s="14"/>
      <c r="E771" s="14"/>
      <c r="F771" s="14"/>
      <c r="G771" s="14"/>
      <c r="H771" s="14"/>
      <c r="I771" s="14"/>
    </row>
    <row r="772" ht="28.5" customHeight="1">
      <c r="A772" s="4"/>
      <c r="B772" s="14"/>
      <c r="C772" s="14"/>
      <c r="D772" s="14"/>
      <c r="E772" s="14"/>
      <c r="F772" s="14"/>
      <c r="G772" s="14"/>
      <c r="H772" s="14"/>
      <c r="I772" s="14"/>
    </row>
    <row r="773" ht="28.5" customHeight="1">
      <c r="A773" s="4"/>
      <c r="B773" s="14"/>
      <c r="C773" s="14"/>
      <c r="D773" s="14"/>
      <c r="E773" s="14"/>
      <c r="F773" s="14"/>
      <c r="G773" s="14"/>
      <c r="H773" s="14"/>
      <c r="I773" s="14"/>
    </row>
    <row r="774" ht="28.5" customHeight="1">
      <c r="A774" s="4"/>
      <c r="B774" s="14"/>
      <c r="C774" s="14"/>
      <c r="D774" s="14"/>
      <c r="E774" s="14"/>
      <c r="F774" s="14"/>
      <c r="G774" s="14"/>
      <c r="H774" s="14"/>
      <c r="I774" s="14"/>
    </row>
    <row r="775" ht="28.5" customHeight="1">
      <c r="A775" s="4"/>
      <c r="B775" s="14"/>
      <c r="C775" s="14"/>
      <c r="D775" s="14"/>
      <c r="E775" s="14"/>
      <c r="F775" s="14"/>
      <c r="G775" s="14"/>
      <c r="H775" s="14"/>
      <c r="I775" s="14"/>
    </row>
    <row r="776" ht="28.5" customHeight="1">
      <c r="A776" s="4"/>
      <c r="B776" s="14"/>
      <c r="C776" s="14"/>
      <c r="D776" s="14"/>
      <c r="E776" s="14"/>
      <c r="F776" s="14"/>
      <c r="G776" s="14"/>
      <c r="H776" s="14"/>
      <c r="I776" s="14"/>
    </row>
    <row r="777" ht="28.5" customHeight="1">
      <c r="A777" s="4"/>
      <c r="B777" s="14"/>
      <c r="C777" s="14"/>
      <c r="D777" s="14"/>
      <c r="E777" s="14"/>
      <c r="F777" s="14"/>
      <c r="G777" s="14"/>
      <c r="H777" s="14"/>
      <c r="I777" s="14"/>
    </row>
    <row r="778" ht="28.5" customHeight="1">
      <c r="A778" s="4"/>
      <c r="B778" s="14"/>
      <c r="C778" s="14"/>
      <c r="D778" s="14"/>
      <c r="E778" s="14"/>
      <c r="F778" s="14"/>
      <c r="G778" s="14"/>
      <c r="H778" s="14"/>
      <c r="I778" s="14"/>
    </row>
    <row r="779" ht="28.5" customHeight="1">
      <c r="A779" s="4"/>
      <c r="B779" s="14"/>
      <c r="C779" s="14"/>
      <c r="D779" s="14"/>
      <c r="E779" s="14"/>
      <c r="F779" s="14"/>
      <c r="G779" s="14"/>
      <c r="H779" s="14"/>
      <c r="I779" s="14"/>
    </row>
    <row r="780" ht="28.5" customHeight="1">
      <c r="A780" s="4"/>
      <c r="B780" s="14"/>
      <c r="C780" s="14"/>
      <c r="D780" s="14"/>
      <c r="E780" s="14"/>
      <c r="F780" s="14"/>
      <c r="G780" s="14"/>
      <c r="H780" s="14"/>
      <c r="I780" s="14"/>
    </row>
    <row r="781" ht="28.5" customHeight="1">
      <c r="A781" s="4"/>
      <c r="B781" s="14"/>
      <c r="C781" s="14"/>
      <c r="D781" s="14"/>
      <c r="E781" s="14"/>
      <c r="F781" s="14"/>
      <c r="G781" s="14"/>
      <c r="H781" s="14"/>
      <c r="I781" s="14"/>
    </row>
    <row r="782" ht="28.5" customHeight="1">
      <c r="A782" s="4"/>
      <c r="B782" s="14"/>
      <c r="C782" s="14"/>
      <c r="D782" s="14"/>
      <c r="E782" s="14"/>
      <c r="F782" s="14"/>
      <c r="G782" s="14"/>
      <c r="H782" s="14"/>
      <c r="I782" s="14"/>
    </row>
    <row r="783" ht="28.5" customHeight="1">
      <c r="A783" s="4"/>
      <c r="B783" s="14"/>
      <c r="C783" s="14"/>
      <c r="D783" s="14"/>
      <c r="E783" s="14"/>
      <c r="F783" s="14"/>
      <c r="G783" s="14"/>
      <c r="H783" s="14"/>
      <c r="I783" s="14"/>
    </row>
    <row r="784" ht="28.5" customHeight="1">
      <c r="A784" s="4"/>
      <c r="B784" s="14"/>
      <c r="C784" s="14"/>
      <c r="D784" s="14"/>
      <c r="E784" s="14"/>
      <c r="F784" s="14"/>
      <c r="G784" s="14"/>
      <c r="H784" s="14"/>
      <c r="I784" s="14"/>
    </row>
    <row r="785" ht="28.5" customHeight="1">
      <c r="A785" s="4"/>
      <c r="B785" s="14"/>
      <c r="C785" s="14"/>
      <c r="D785" s="14"/>
      <c r="E785" s="14"/>
      <c r="F785" s="14"/>
      <c r="G785" s="14"/>
      <c r="H785" s="14"/>
      <c r="I785" s="14"/>
    </row>
    <row r="786" ht="28.5" customHeight="1">
      <c r="A786" s="4"/>
      <c r="B786" s="14"/>
      <c r="C786" s="14"/>
      <c r="D786" s="14"/>
      <c r="E786" s="14"/>
      <c r="F786" s="14"/>
      <c r="G786" s="14"/>
      <c r="H786" s="14"/>
      <c r="I786" s="14"/>
    </row>
    <row r="787" ht="28.5" customHeight="1">
      <c r="A787" s="4"/>
      <c r="B787" s="14"/>
      <c r="C787" s="14"/>
      <c r="D787" s="14"/>
      <c r="E787" s="14"/>
      <c r="F787" s="14"/>
      <c r="G787" s="14"/>
      <c r="H787" s="14"/>
      <c r="I787" s="14"/>
    </row>
    <row r="788" ht="28.5" customHeight="1">
      <c r="A788" s="4"/>
      <c r="B788" s="14"/>
      <c r="C788" s="14"/>
      <c r="D788" s="14"/>
      <c r="E788" s="14"/>
      <c r="F788" s="14"/>
      <c r="G788" s="14"/>
      <c r="H788" s="14"/>
      <c r="I788" s="14"/>
    </row>
    <row r="789" ht="28.5" customHeight="1">
      <c r="A789" s="4"/>
      <c r="B789" s="14"/>
      <c r="C789" s="14"/>
      <c r="D789" s="14"/>
      <c r="E789" s="14"/>
      <c r="F789" s="14"/>
      <c r="G789" s="14"/>
      <c r="H789" s="14"/>
      <c r="I789" s="14"/>
    </row>
    <row r="790" ht="28.5" customHeight="1">
      <c r="A790" s="4"/>
      <c r="B790" s="14"/>
      <c r="C790" s="14"/>
      <c r="D790" s="14"/>
      <c r="E790" s="14"/>
      <c r="F790" s="14"/>
      <c r="G790" s="14"/>
      <c r="H790" s="14"/>
      <c r="I790" s="14"/>
    </row>
    <row r="791" ht="28.5" customHeight="1">
      <c r="A791" s="4"/>
      <c r="B791" s="14"/>
      <c r="C791" s="14"/>
      <c r="D791" s="14"/>
      <c r="E791" s="14"/>
      <c r="F791" s="14"/>
      <c r="G791" s="14"/>
      <c r="H791" s="14"/>
      <c r="I791" s="14"/>
    </row>
    <row r="792" ht="28.5" customHeight="1">
      <c r="A792" s="4"/>
      <c r="B792" s="14"/>
      <c r="C792" s="14"/>
      <c r="D792" s="14"/>
      <c r="E792" s="14"/>
      <c r="F792" s="14"/>
      <c r="G792" s="14"/>
      <c r="H792" s="14"/>
      <c r="I792" s="14"/>
    </row>
    <row r="793" ht="28.5" customHeight="1">
      <c r="A793" s="4"/>
      <c r="B793" s="14"/>
      <c r="C793" s="14"/>
      <c r="D793" s="14"/>
      <c r="E793" s="14"/>
      <c r="F793" s="14"/>
      <c r="G793" s="14"/>
      <c r="H793" s="14"/>
      <c r="I793" s="14"/>
    </row>
    <row r="794" ht="28.5" customHeight="1">
      <c r="A794" s="4"/>
      <c r="B794" s="14"/>
      <c r="C794" s="14"/>
      <c r="D794" s="14"/>
      <c r="E794" s="14"/>
      <c r="F794" s="14"/>
      <c r="G794" s="14"/>
      <c r="H794" s="14"/>
      <c r="I794" s="14"/>
    </row>
    <row r="795" ht="28.5" customHeight="1">
      <c r="A795" s="4"/>
      <c r="B795" s="14"/>
      <c r="C795" s="14"/>
      <c r="D795" s="14"/>
      <c r="E795" s="14"/>
      <c r="F795" s="14"/>
      <c r="G795" s="14"/>
      <c r="H795" s="14"/>
      <c r="I795" s="14"/>
    </row>
    <row r="796" ht="28.5" customHeight="1">
      <c r="A796" s="4"/>
      <c r="B796" s="14"/>
      <c r="C796" s="14"/>
      <c r="D796" s="14"/>
      <c r="E796" s="14"/>
      <c r="F796" s="14"/>
      <c r="G796" s="14"/>
      <c r="H796" s="14"/>
      <c r="I796" s="14"/>
    </row>
    <row r="797" ht="28.5" customHeight="1">
      <c r="A797" s="4"/>
      <c r="B797" s="14"/>
      <c r="C797" s="14"/>
      <c r="D797" s="14"/>
      <c r="E797" s="14"/>
      <c r="F797" s="14"/>
      <c r="G797" s="14"/>
      <c r="H797" s="14"/>
      <c r="I797" s="14"/>
    </row>
    <row r="798" ht="28.5" customHeight="1">
      <c r="A798" s="4"/>
      <c r="B798" s="14"/>
      <c r="C798" s="14"/>
      <c r="D798" s="14"/>
      <c r="E798" s="14"/>
      <c r="F798" s="14"/>
      <c r="G798" s="14"/>
      <c r="H798" s="14"/>
      <c r="I798" s="14"/>
    </row>
    <row r="799" ht="28.5" customHeight="1">
      <c r="A799" s="4"/>
      <c r="B799" s="14"/>
      <c r="C799" s="14"/>
      <c r="D799" s="14"/>
      <c r="E799" s="14"/>
      <c r="F799" s="14"/>
      <c r="G799" s="14"/>
      <c r="H799" s="14"/>
      <c r="I799" s="14"/>
    </row>
    <row r="800" ht="28.5" customHeight="1">
      <c r="A800" s="4"/>
      <c r="B800" s="14"/>
      <c r="C800" s="14"/>
      <c r="D800" s="14"/>
      <c r="E800" s="14"/>
      <c r="F800" s="14"/>
      <c r="G800" s="14"/>
      <c r="H800" s="14"/>
      <c r="I800" s="14"/>
    </row>
    <row r="801" ht="28.5" customHeight="1">
      <c r="A801" s="4"/>
      <c r="B801" s="14"/>
      <c r="C801" s="14"/>
      <c r="D801" s="14"/>
      <c r="E801" s="14"/>
      <c r="F801" s="14"/>
      <c r="G801" s="14"/>
      <c r="H801" s="14"/>
      <c r="I801" s="14"/>
    </row>
    <row r="802" ht="28.5" customHeight="1">
      <c r="A802" s="4"/>
      <c r="B802" s="14"/>
      <c r="C802" s="14"/>
      <c r="D802" s="14"/>
      <c r="E802" s="14"/>
      <c r="F802" s="14"/>
      <c r="G802" s="14"/>
      <c r="H802" s="14"/>
      <c r="I802" s="14"/>
    </row>
    <row r="803" ht="28.5" customHeight="1">
      <c r="A803" s="4"/>
      <c r="B803" s="14"/>
      <c r="C803" s="14"/>
      <c r="D803" s="14"/>
      <c r="E803" s="14"/>
      <c r="F803" s="14"/>
      <c r="G803" s="14"/>
      <c r="H803" s="14"/>
      <c r="I803" s="14"/>
    </row>
    <row r="804" ht="28.5" customHeight="1">
      <c r="A804" s="4"/>
      <c r="B804" s="14"/>
      <c r="C804" s="14"/>
      <c r="D804" s="14"/>
      <c r="E804" s="14"/>
      <c r="F804" s="14"/>
      <c r="G804" s="14"/>
      <c r="H804" s="14"/>
      <c r="I804" s="14"/>
    </row>
    <row r="805" ht="28.5" customHeight="1">
      <c r="A805" s="4"/>
      <c r="B805" s="14"/>
      <c r="C805" s="14"/>
      <c r="D805" s="14"/>
      <c r="E805" s="14"/>
      <c r="F805" s="14"/>
      <c r="G805" s="14"/>
      <c r="H805" s="14"/>
      <c r="I805" s="14"/>
    </row>
    <row r="806" ht="28.5" customHeight="1">
      <c r="A806" s="4"/>
      <c r="B806" s="14"/>
      <c r="C806" s="14"/>
      <c r="D806" s="14"/>
      <c r="E806" s="14"/>
      <c r="F806" s="14"/>
      <c r="G806" s="14"/>
      <c r="H806" s="14"/>
      <c r="I806" s="14"/>
    </row>
    <row r="807" ht="28.5" customHeight="1">
      <c r="A807" s="4"/>
      <c r="B807" s="14"/>
      <c r="C807" s="14"/>
      <c r="D807" s="14"/>
      <c r="E807" s="14"/>
      <c r="F807" s="14"/>
      <c r="G807" s="14"/>
      <c r="H807" s="14"/>
      <c r="I807" s="14"/>
    </row>
    <row r="808" ht="28.5" customHeight="1">
      <c r="A808" s="4"/>
      <c r="B808" s="14"/>
      <c r="C808" s="14"/>
      <c r="D808" s="14"/>
      <c r="E808" s="14"/>
      <c r="F808" s="14"/>
      <c r="G808" s="14"/>
      <c r="H808" s="14"/>
      <c r="I808" s="14"/>
    </row>
    <row r="809" ht="28.5" customHeight="1">
      <c r="A809" s="4"/>
      <c r="B809" s="14"/>
      <c r="C809" s="14"/>
      <c r="D809" s="14"/>
      <c r="E809" s="14"/>
      <c r="F809" s="14"/>
      <c r="G809" s="14"/>
      <c r="H809" s="14"/>
      <c r="I809" s="14"/>
    </row>
    <row r="810" ht="28.5" customHeight="1">
      <c r="A810" s="4"/>
      <c r="B810" s="14"/>
      <c r="C810" s="14"/>
      <c r="D810" s="14"/>
      <c r="E810" s="14"/>
      <c r="F810" s="14"/>
      <c r="G810" s="14"/>
      <c r="H810" s="14"/>
      <c r="I810" s="14"/>
    </row>
    <row r="811" ht="28.5" customHeight="1">
      <c r="A811" s="4"/>
      <c r="B811" s="14"/>
      <c r="C811" s="14"/>
      <c r="D811" s="14"/>
      <c r="E811" s="14"/>
      <c r="F811" s="14"/>
      <c r="G811" s="14"/>
      <c r="H811" s="14"/>
      <c r="I811" s="14"/>
    </row>
    <row r="812" ht="28.5" customHeight="1">
      <c r="A812" s="4"/>
      <c r="B812" s="14"/>
      <c r="C812" s="14"/>
      <c r="D812" s="14"/>
      <c r="E812" s="14"/>
      <c r="F812" s="14"/>
      <c r="G812" s="14"/>
      <c r="H812" s="14"/>
      <c r="I812" s="14"/>
    </row>
    <row r="813" ht="28.5" customHeight="1">
      <c r="A813" s="4"/>
      <c r="B813" s="14"/>
      <c r="C813" s="14"/>
      <c r="D813" s="14"/>
      <c r="E813" s="14"/>
      <c r="F813" s="14"/>
      <c r="G813" s="14"/>
      <c r="H813" s="14"/>
      <c r="I813" s="14"/>
    </row>
    <row r="814" ht="28.5" customHeight="1">
      <c r="A814" s="4"/>
      <c r="B814" s="14"/>
      <c r="C814" s="14"/>
      <c r="D814" s="14"/>
      <c r="E814" s="14"/>
      <c r="F814" s="14"/>
      <c r="G814" s="14"/>
      <c r="H814" s="14"/>
      <c r="I814" s="14"/>
    </row>
    <row r="815" ht="28.5" customHeight="1">
      <c r="A815" s="4"/>
      <c r="B815" s="14"/>
      <c r="C815" s="14"/>
      <c r="D815" s="14"/>
      <c r="E815" s="14"/>
      <c r="F815" s="14"/>
      <c r="G815" s="14"/>
      <c r="H815" s="14"/>
      <c r="I815" s="14"/>
    </row>
    <row r="816" ht="28.5" customHeight="1">
      <c r="A816" s="4"/>
      <c r="B816" s="14"/>
      <c r="C816" s="14"/>
      <c r="D816" s="14"/>
      <c r="E816" s="14"/>
      <c r="F816" s="14"/>
      <c r="G816" s="14"/>
      <c r="H816" s="14"/>
      <c r="I816" s="14"/>
    </row>
    <row r="817" ht="28.5" customHeight="1">
      <c r="A817" s="4"/>
      <c r="B817" s="14"/>
      <c r="C817" s="14"/>
      <c r="D817" s="14"/>
      <c r="E817" s="14"/>
      <c r="F817" s="14"/>
      <c r="G817" s="14"/>
      <c r="H817" s="14"/>
      <c r="I817" s="14"/>
    </row>
    <row r="818" ht="28.5" customHeight="1">
      <c r="A818" s="4"/>
      <c r="B818" s="14"/>
      <c r="C818" s="14"/>
      <c r="D818" s="14"/>
      <c r="E818" s="14"/>
      <c r="F818" s="14"/>
      <c r="G818" s="14"/>
      <c r="H818" s="14"/>
      <c r="I818" s="14"/>
    </row>
    <row r="819" ht="28.5" customHeight="1">
      <c r="A819" s="4"/>
      <c r="B819" s="14"/>
      <c r="C819" s="14"/>
      <c r="D819" s="14"/>
      <c r="E819" s="14"/>
      <c r="F819" s="14"/>
      <c r="G819" s="14"/>
      <c r="H819" s="14"/>
      <c r="I819" s="14"/>
    </row>
    <row r="820" ht="28.5" customHeight="1">
      <c r="A820" s="4"/>
      <c r="B820" s="14"/>
      <c r="C820" s="14"/>
      <c r="D820" s="14"/>
      <c r="E820" s="14"/>
      <c r="F820" s="14"/>
      <c r="G820" s="14"/>
      <c r="H820" s="14"/>
      <c r="I820" s="14"/>
    </row>
    <row r="821" ht="28.5" customHeight="1">
      <c r="A821" s="4"/>
      <c r="B821" s="14"/>
      <c r="C821" s="14"/>
      <c r="D821" s="14"/>
      <c r="E821" s="14"/>
      <c r="F821" s="14"/>
      <c r="G821" s="14"/>
      <c r="H821" s="14"/>
      <c r="I821" s="14"/>
    </row>
    <row r="822" ht="28.5" customHeight="1">
      <c r="A822" s="4"/>
      <c r="B822" s="14"/>
      <c r="C822" s="14"/>
      <c r="D822" s="14"/>
      <c r="E822" s="14"/>
      <c r="F822" s="14"/>
      <c r="G822" s="14"/>
      <c r="H822" s="14"/>
      <c r="I822" s="14"/>
    </row>
    <row r="823" ht="28.5" customHeight="1">
      <c r="A823" s="4"/>
      <c r="B823" s="14"/>
      <c r="C823" s="14"/>
      <c r="D823" s="14"/>
      <c r="E823" s="14"/>
      <c r="F823" s="14"/>
      <c r="G823" s="14"/>
      <c r="H823" s="14"/>
      <c r="I823" s="14"/>
    </row>
    <row r="824" ht="28.5" customHeight="1">
      <c r="A824" s="4"/>
      <c r="B824" s="14"/>
      <c r="C824" s="14"/>
      <c r="D824" s="14"/>
      <c r="E824" s="14"/>
      <c r="F824" s="14"/>
      <c r="G824" s="14"/>
      <c r="H824" s="14"/>
      <c r="I824" s="14"/>
    </row>
    <row r="825" ht="28.5" customHeight="1">
      <c r="A825" s="4"/>
      <c r="B825" s="14"/>
      <c r="C825" s="14"/>
      <c r="D825" s="14"/>
      <c r="E825" s="14"/>
      <c r="F825" s="14"/>
      <c r="G825" s="14"/>
      <c r="H825" s="14"/>
      <c r="I825" s="14"/>
    </row>
    <row r="826" ht="28.5" customHeight="1">
      <c r="A826" s="4"/>
      <c r="B826" s="14"/>
      <c r="C826" s="14"/>
      <c r="D826" s="14"/>
      <c r="E826" s="14"/>
      <c r="F826" s="14"/>
      <c r="G826" s="14"/>
      <c r="H826" s="14"/>
      <c r="I826" s="14"/>
    </row>
    <row r="827" ht="28.5" customHeight="1">
      <c r="A827" s="4"/>
      <c r="B827" s="14"/>
      <c r="C827" s="14"/>
      <c r="D827" s="14"/>
      <c r="E827" s="14"/>
      <c r="F827" s="14"/>
      <c r="G827" s="14"/>
      <c r="H827" s="14"/>
      <c r="I827" s="14"/>
    </row>
    <row r="828" ht="28.5" customHeight="1">
      <c r="A828" s="4"/>
      <c r="B828" s="14"/>
      <c r="C828" s="14"/>
      <c r="D828" s="14"/>
      <c r="E828" s="14"/>
      <c r="F828" s="14"/>
      <c r="G828" s="14"/>
      <c r="H828" s="14"/>
      <c r="I828" s="14"/>
    </row>
    <row r="829" ht="28.5" customHeight="1">
      <c r="A829" s="4"/>
      <c r="B829" s="14"/>
      <c r="C829" s="14"/>
      <c r="D829" s="14"/>
      <c r="E829" s="14"/>
      <c r="F829" s="14"/>
      <c r="G829" s="14"/>
      <c r="H829" s="14"/>
      <c r="I829" s="14"/>
    </row>
    <row r="830" ht="28.5" customHeight="1">
      <c r="A830" s="4"/>
      <c r="B830" s="14"/>
      <c r="C830" s="14"/>
      <c r="D830" s="14"/>
      <c r="E830" s="14"/>
      <c r="F830" s="14"/>
      <c r="G830" s="14"/>
      <c r="H830" s="14"/>
      <c r="I830" s="14"/>
    </row>
    <row r="831" ht="28.5" customHeight="1">
      <c r="A831" s="4"/>
      <c r="B831" s="14"/>
      <c r="C831" s="14"/>
      <c r="D831" s="14"/>
      <c r="E831" s="14"/>
      <c r="F831" s="14"/>
      <c r="G831" s="14"/>
      <c r="H831" s="14"/>
      <c r="I831" s="14"/>
    </row>
    <row r="832" ht="28.5" customHeight="1">
      <c r="A832" s="4"/>
      <c r="B832" s="14"/>
      <c r="C832" s="14"/>
      <c r="D832" s="14"/>
      <c r="E832" s="14"/>
      <c r="F832" s="14"/>
      <c r="G832" s="14"/>
      <c r="H832" s="14"/>
      <c r="I832" s="14"/>
    </row>
    <row r="833" ht="28.5" customHeight="1">
      <c r="A833" s="4"/>
      <c r="B833" s="14"/>
      <c r="C833" s="14"/>
      <c r="D833" s="14"/>
      <c r="E833" s="14"/>
      <c r="F833" s="14"/>
      <c r="G833" s="14"/>
      <c r="H833" s="14"/>
      <c r="I833" s="14"/>
    </row>
    <row r="834" ht="28.5" customHeight="1">
      <c r="A834" s="4"/>
      <c r="B834" s="14"/>
      <c r="C834" s="14"/>
      <c r="D834" s="14"/>
      <c r="E834" s="14"/>
      <c r="F834" s="14"/>
      <c r="G834" s="14"/>
      <c r="H834" s="14"/>
      <c r="I834" s="14"/>
    </row>
    <row r="835" ht="28.5" customHeight="1">
      <c r="A835" s="4"/>
      <c r="B835" s="14"/>
      <c r="C835" s="14"/>
      <c r="D835" s="14"/>
      <c r="E835" s="14"/>
      <c r="F835" s="14"/>
      <c r="G835" s="14"/>
      <c r="H835" s="14"/>
      <c r="I835" s="14"/>
    </row>
    <row r="836" ht="28.5" customHeight="1">
      <c r="A836" s="4"/>
      <c r="B836" s="14"/>
      <c r="C836" s="14"/>
      <c r="D836" s="14"/>
      <c r="E836" s="14"/>
      <c r="F836" s="14"/>
      <c r="G836" s="14"/>
      <c r="H836" s="14"/>
      <c r="I836" s="14"/>
    </row>
    <row r="837" ht="28.5" customHeight="1">
      <c r="A837" s="4"/>
      <c r="B837" s="14"/>
      <c r="C837" s="14"/>
      <c r="D837" s="14"/>
      <c r="E837" s="14"/>
      <c r="F837" s="14"/>
      <c r="G837" s="14"/>
      <c r="H837" s="14"/>
      <c r="I837" s="14"/>
    </row>
    <row r="838" ht="28.5" customHeight="1">
      <c r="A838" s="4"/>
      <c r="B838" s="14"/>
      <c r="C838" s="14"/>
      <c r="D838" s="14"/>
      <c r="E838" s="14"/>
      <c r="F838" s="14"/>
      <c r="G838" s="14"/>
      <c r="H838" s="14"/>
      <c r="I838" s="14"/>
    </row>
    <row r="839" ht="28.5" customHeight="1">
      <c r="A839" s="4"/>
      <c r="B839" s="14"/>
      <c r="C839" s="14"/>
      <c r="D839" s="14"/>
      <c r="E839" s="14"/>
      <c r="F839" s="14"/>
      <c r="G839" s="14"/>
      <c r="H839" s="14"/>
      <c r="I839" s="14"/>
    </row>
    <row r="840" ht="28.5" customHeight="1">
      <c r="A840" s="4"/>
      <c r="B840" s="14"/>
      <c r="C840" s="14"/>
      <c r="D840" s="14"/>
      <c r="E840" s="14"/>
      <c r="F840" s="14"/>
      <c r="G840" s="14"/>
      <c r="H840" s="14"/>
      <c r="I840" s="14"/>
    </row>
    <row r="841" ht="28.5" customHeight="1">
      <c r="A841" s="4"/>
      <c r="B841" s="14"/>
      <c r="C841" s="14"/>
      <c r="D841" s="14"/>
      <c r="E841" s="14"/>
      <c r="F841" s="14"/>
      <c r="G841" s="14"/>
      <c r="H841" s="14"/>
      <c r="I841" s="14"/>
    </row>
    <row r="842" ht="28.5" customHeight="1">
      <c r="A842" s="4"/>
      <c r="B842" s="14"/>
      <c r="C842" s="14"/>
      <c r="D842" s="14"/>
      <c r="E842" s="14"/>
      <c r="F842" s="14"/>
      <c r="G842" s="14"/>
      <c r="H842" s="14"/>
      <c r="I842" s="14"/>
    </row>
    <row r="843" ht="28.5" customHeight="1">
      <c r="A843" s="4"/>
      <c r="B843" s="14"/>
      <c r="C843" s="14"/>
      <c r="D843" s="14"/>
      <c r="E843" s="14"/>
      <c r="F843" s="14"/>
      <c r="G843" s="14"/>
      <c r="H843" s="14"/>
      <c r="I843" s="14"/>
    </row>
    <row r="844" ht="28.5" customHeight="1">
      <c r="A844" s="4"/>
      <c r="B844" s="14"/>
      <c r="C844" s="14"/>
      <c r="D844" s="14"/>
      <c r="E844" s="14"/>
      <c r="F844" s="14"/>
      <c r="G844" s="14"/>
      <c r="H844" s="14"/>
      <c r="I844" s="14"/>
    </row>
    <row r="845" ht="28.5" customHeight="1">
      <c r="A845" s="4"/>
      <c r="B845" s="14"/>
      <c r="C845" s="14"/>
      <c r="D845" s="14"/>
      <c r="E845" s="14"/>
      <c r="F845" s="14"/>
      <c r="G845" s="14"/>
      <c r="H845" s="14"/>
      <c r="I845" s="14"/>
    </row>
    <row r="846" ht="28.5" customHeight="1">
      <c r="A846" s="4"/>
      <c r="B846" s="14"/>
      <c r="C846" s="14"/>
      <c r="D846" s="14"/>
      <c r="E846" s="14"/>
      <c r="F846" s="14"/>
      <c r="G846" s="14"/>
      <c r="H846" s="14"/>
      <c r="I846" s="14"/>
    </row>
    <row r="847" ht="28.5" customHeight="1">
      <c r="A847" s="4"/>
      <c r="B847" s="14"/>
      <c r="C847" s="14"/>
      <c r="D847" s="14"/>
      <c r="E847" s="14"/>
      <c r="F847" s="14"/>
      <c r="G847" s="14"/>
      <c r="H847" s="14"/>
      <c r="I847" s="14"/>
    </row>
    <row r="848" ht="28.5" customHeight="1">
      <c r="A848" s="4"/>
      <c r="B848" s="14"/>
      <c r="C848" s="14"/>
      <c r="D848" s="14"/>
      <c r="E848" s="14"/>
      <c r="F848" s="14"/>
      <c r="G848" s="14"/>
      <c r="H848" s="14"/>
      <c r="I848" s="14"/>
    </row>
    <row r="849" ht="28.5" customHeight="1">
      <c r="A849" s="4"/>
      <c r="B849" s="14"/>
      <c r="C849" s="14"/>
      <c r="D849" s="14"/>
      <c r="E849" s="14"/>
      <c r="F849" s="14"/>
      <c r="G849" s="14"/>
      <c r="H849" s="14"/>
      <c r="I849" s="14"/>
    </row>
    <row r="850" ht="28.5" customHeight="1">
      <c r="A850" s="4"/>
      <c r="B850" s="14"/>
      <c r="C850" s="14"/>
      <c r="D850" s="14"/>
      <c r="E850" s="14"/>
      <c r="F850" s="14"/>
      <c r="G850" s="14"/>
      <c r="H850" s="14"/>
      <c r="I850" s="14"/>
    </row>
    <row r="851" ht="28.5" customHeight="1">
      <c r="A851" s="4"/>
      <c r="B851" s="14"/>
      <c r="C851" s="14"/>
      <c r="D851" s="14"/>
      <c r="E851" s="14"/>
      <c r="F851" s="14"/>
      <c r="G851" s="14"/>
      <c r="H851" s="14"/>
      <c r="I851" s="14"/>
    </row>
    <row r="852" ht="28.5" customHeight="1">
      <c r="A852" s="4"/>
      <c r="B852" s="14"/>
      <c r="C852" s="14"/>
      <c r="D852" s="14"/>
      <c r="E852" s="14"/>
      <c r="F852" s="14"/>
      <c r="G852" s="14"/>
      <c r="H852" s="14"/>
      <c r="I852" s="14"/>
    </row>
    <row r="853" ht="28.5" customHeight="1">
      <c r="A853" s="4"/>
      <c r="B853" s="14"/>
      <c r="C853" s="14"/>
      <c r="D853" s="14"/>
      <c r="E853" s="14"/>
      <c r="F853" s="14"/>
      <c r="G853" s="14"/>
      <c r="H853" s="14"/>
      <c r="I853" s="14"/>
    </row>
    <row r="854" ht="28.5" customHeight="1">
      <c r="A854" s="4"/>
      <c r="B854" s="14"/>
      <c r="C854" s="14"/>
      <c r="D854" s="14"/>
      <c r="E854" s="14"/>
      <c r="F854" s="14"/>
      <c r="G854" s="14"/>
      <c r="H854" s="14"/>
      <c r="I854" s="14"/>
    </row>
    <row r="855" ht="28.5" customHeight="1">
      <c r="A855" s="4"/>
      <c r="B855" s="14"/>
      <c r="C855" s="14"/>
      <c r="D855" s="14"/>
      <c r="E855" s="14"/>
      <c r="F855" s="14"/>
      <c r="G855" s="14"/>
      <c r="H855" s="14"/>
      <c r="I855" s="14"/>
    </row>
    <row r="856" ht="28.5" customHeight="1">
      <c r="A856" s="4"/>
      <c r="B856" s="14"/>
      <c r="C856" s="14"/>
      <c r="D856" s="14"/>
      <c r="E856" s="14"/>
      <c r="F856" s="14"/>
      <c r="G856" s="14"/>
      <c r="H856" s="14"/>
      <c r="I856" s="14"/>
    </row>
    <row r="857" ht="28.5" customHeight="1">
      <c r="A857" s="4"/>
      <c r="B857" s="14"/>
      <c r="C857" s="14"/>
      <c r="D857" s="14"/>
      <c r="E857" s="14"/>
      <c r="F857" s="14"/>
      <c r="G857" s="14"/>
      <c r="H857" s="14"/>
      <c r="I857" s="14"/>
    </row>
    <row r="858" ht="28.5" customHeight="1">
      <c r="A858" s="4"/>
      <c r="B858" s="14"/>
      <c r="C858" s="14"/>
      <c r="D858" s="14"/>
      <c r="E858" s="14"/>
      <c r="F858" s="14"/>
      <c r="G858" s="14"/>
      <c r="H858" s="14"/>
      <c r="I858" s="14"/>
    </row>
    <row r="859" ht="28.5" customHeight="1">
      <c r="A859" s="4"/>
      <c r="B859" s="14"/>
      <c r="C859" s="14"/>
      <c r="D859" s="14"/>
      <c r="E859" s="14"/>
      <c r="F859" s="14"/>
      <c r="G859" s="14"/>
      <c r="H859" s="14"/>
      <c r="I859" s="14"/>
    </row>
    <row r="860" ht="28.5" customHeight="1">
      <c r="A860" s="4"/>
      <c r="B860" s="14"/>
      <c r="C860" s="14"/>
      <c r="D860" s="14"/>
      <c r="E860" s="14"/>
      <c r="F860" s="14"/>
      <c r="G860" s="14"/>
      <c r="H860" s="14"/>
      <c r="I860" s="14"/>
    </row>
    <row r="861" ht="28.5" customHeight="1">
      <c r="A861" s="4"/>
      <c r="B861" s="14"/>
      <c r="C861" s="14"/>
      <c r="D861" s="14"/>
      <c r="E861" s="14"/>
      <c r="F861" s="14"/>
      <c r="G861" s="14"/>
      <c r="H861" s="14"/>
      <c r="I861" s="14"/>
    </row>
    <row r="862" ht="28.5" customHeight="1">
      <c r="A862" s="4"/>
      <c r="B862" s="14"/>
      <c r="C862" s="14"/>
      <c r="D862" s="14"/>
      <c r="E862" s="14"/>
      <c r="F862" s="14"/>
      <c r="G862" s="14"/>
      <c r="H862" s="14"/>
      <c r="I862" s="14"/>
    </row>
    <row r="863" ht="28.5" customHeight="1">
      <c r="A863" s="4"/>
      <c r="B863" s="14"/>
      <c r="C863" s="14"/>
      <c r="D863" s="14"/>
      <c r="E863" s="14"/>
      <c r="F863" s="14"/>
      <c r="G863" s="14"/>
      <c r="H863" s="14"/>
      <c r="I863" s="14"/>
    </row>
    <row r="864" ht="28.5" customHeight="1">
      <c r="A864" s="4"/>
      <c r="B864" s="14"/>
      <c r="C864" s="14"/>
      <c r="D864" s="14"/>
      <c r="E864" s="14"/>
      <c r="F864" s="14"/>
      <c r="G864" s="14"/>
      <c r="H864" s="14"/>
      <c r="I864" s="14"/>
    </row>
    <row r="865" ht="28.5" customHeight="1">
      <c r="A865" s="4"/>
      <c r="B865" s="14"/>
      <c r="C865" s="14"/>
      <c r="D865" s="14"/>
      <c r="E865" s="14"/>
      <c r="F865" s="14"/>
      <c r="G865" s="14"/>
      <c r="H865" s="14"/>
      <c r="I865" s="14"/>
    </row>
    <row r="866" ht="28.5" customHeight="1">
      <c r="A866" s="4"/>
      <c r="B866" s="14"/>
      <c r="C866" s="14"/>
      <c r="D866" s="14"/>
      <c r="E866" s="14"/>
      <c r="F866" s="14"/>
      <c r="G866" s="14"/>
      <c r="H866" s="14"/>
      <c r="I866" s="14"/>
    </row>
    <row r="867" ht="28.5" customHeight="1">
      <c r="A867" s="4"/>
      <c r="B867" s="14"/>
      <c r="C867" s="14"/>
      <c r="D867" s="14"/>
      <c r="E867" s="14"/>
      <c r="F867" s="14"/>
      <c r="G867" s="14"/>
      <c r="H867" s="14"/>
      <c r="I867" s="14"/>
    </row>
    <row r="868" ht="28.5" customHeight="1">
      <c r="A868" s="4"/>
      <c r="B868" s="14"/>
      <c r="C868" s="14"/>
      <c r="D868" s="14"/>
      <c r="E868" s="14"/>
      <c r="F868" s="14"/>
      <c r="G868" s="14"/>
      <c r="H868" s="14"/>
      <c r="I868" s="14"/>
    </row>
    <row r="869" ht="28.5" customHeight="1">
      <c r="A869" s="4"/>
      <c r="B869" s="14"/>
      <c r="C869" s="14"/>
      <c r="D869" s="14"/>
      <c r="E869" s="14"/>
      <c r="F869" s="14"/>
      <c r="G869" s="14"/>
      <c r="H869" s="14"/>
      <c r="I869" s="14"/>
    </row>
    <row r="870" ht="28.5" customHeight="1">
      <c r="A870" s="4"/>
      <c r="B870" s="14"/>
      <c r="C870" s="14"/>
      <c r="D870" s="14"/>
      <c r="E870" s="14"/>
      <c r="F870" s="14"/>
      <c r="G870" s="14"/>
      <c r="H870" s="14"/>
      <c r="I870" s="14"/>
    </row>
    <row r="871" ht="28.5" customHeight="1">
      <c r="A871" s="4"/>
      <c r="B871" s="14"/>
      <c r="C871" s="14"/>
      <c r="D871" s="14"/>
      <c r="E871" s="14"/>
      <c r="F871" s="14"/>
      <c r="G871" s="14"/>
      <c r="H871" s="14"/>
      <c r="I871" s="14"/>
    </row>
    <row r="872" ht="28.5" customHeight="1">
      <c r="A872" s="4"/>
      <c r="B872" s="14"/>
      <c r="C872" s="14"/>
      <c r="D872" s="14"/>
      <c r="E872" s="14"/>
      <c r="F872" s="14"/>
      <c r="G872" s="14"/>
      <c r="H872" s="14"/>
      <c r="I872" s="14"/>
    </row>
    <row r="873" ht="28.5" customHeight="1">
      <c r="A873" s="4"/>
      <c r="B873" s="14"/>
      <c r="C873" s="14"/>
      <c r="D873" s="14"/>
      <c r="E873" s="14"/>
      <c r="F873" s="14"/>
      <c r="G873" s="14"/>
      <c r="H873" s="14"/>
      <c r="I873" s="14"/>
    </row>
    <row r="874" ht="28.5" customHeight="1">
      <c r="A874" s="4"/>
      <c r="B874" s="14"/>
      <c r="C874" s="14"/>
      <c r="D874" s="14"/>
      <c r="E874" s="14"/>
      <c r="F874" s="14"/>
      <c r="G874" s="14"/>
      <c r="H874" s="14"/>
      <c r="I874" s="14"/>
    </row>
    <row r="875" ht="28.5" customHeight="1">
      <c r="A875" s="4"/>
      <c r="B875" s="14"/>
      <c r="C875" s="14"/>
      <c r="D875" s="14"/>
      <c r="E875" s="14"/>
      <c r="F875" s="14"/>
      <c r="G875" s="14"/>
      <c r="H875" s="14"/>
      <c r="I875" s="14"/>
    </row>
    <row r="876" ht="28.5" customHeight="1">
      <c r="A876" s="4"/>
      <c r="B876" s="14"/>
      <c r="C876" s="14"/>
      <c r="D876" s="14"/>
      <c r="E876" s="14"/>
      <c r="F876" s="14"/>
      <c r="G876" s="14"/>
      <c r="H876" s="14"/>
      <c r="I876" s="14"/>
    </row>
    <row r="877" ht="28.5" customHeight="1">
      <c r="A877" s="4"/>
      <c r="B877" s="14"/>
      <c r="C877" s="14"/>
      <c r="D877" s="14"/>
      <c r="E877" s="14"/>
      <c r="F877" s="14"/>
      <c r="G877" s="14"/>
      <c r="H877" s="14"/>
      <c r="I877" s="14"/>
    </row>
    <row r="878" ht="28.5" customHeight="1">
      <c r="A878" s="4"/>
      <c r="B878" s="14"/>
      <c r="C878" s="14"/>
      <c r="D878" s="14"/>
      <c r="E878" s="14"/>
      <c r="F878" s="14"/>
      <c r="G878" s="14"/>
      <c r="H878" s="14"/>
      <c r="I878" s="14"/>
    </row>
    <row r="879" ht="28.5" customHeight="1">
      <c r="A879" s="4"/>
      <c r="B879" s="14"/>
      <c r="C879" s="14"/>
      <c r="D879" s="14"/>
      <c r="E879" s="14"/>
      <c r="F879" s="14"/>
      <c r="G879" s="14"/>
      <c r="H879" s="14"/>
      <c r="I879" s="14"/>
    </row>
    <row r="880" ht="28.5" customHeight="1">
      <c r="A880" s="4"/>
      <c r="B880" s="14"/>
      <c r="C880" s="14"/>
      <c r="D880" s="14"/>
      <c r="E880" s="14"/>
      <c r="F880" s="14"/>
      <c r="G880" s="14"/>
      <c r="H880" s="14"/>
      <c r="I880" s="14"/>
    </row>
    <row r="881" ht="28.5" customHeight="1">
      <c r="A881" s="4"/>
      <c r="B881" s="14"/>
      <c r="C881" s="14"/>
      <c r="D881" s="14"/>
      <c r="E881" s="14"/>
      <c r="F881" s="14"/>
      <c r="G881" s="14"/>
      <c r="H881" s="14"/>
      <c r="I881" s="14"/>
    </row>
    <row r="882" ht="28.5" customHeight="1">
      <c r="A882" s="4"/>
      <c r="B882" s="14"/>
      <c r="C882" s="14"/>
      <c r="D882" s="14"/>
      <c r="E882" s="14"/>
      <c r="F882" s="14"/>
      <c r="G882" s="14"/>
      <c r="H882" s="14"/>
      <c r="I882" s="14"/>
    </row>
    <row r="883" ht="28.5" customHeight="1">
      <c r="A883" s="4"/>
      <c r="B883" s="14"/>
      <c r="C883" s="14"/>
      <c r="D883" s="14"/>
      <c r="E883" s="14"/>
      <c r="F883" s="14"/>
      <c r="G883" s="14"/>
      <c r="H883" s="14"/>
      <c r="I883" s="14"/>
    </row>
    <row r="884" ht="28.5" customHeight="1">
      <c r="A884" s="4"/>
      <c r="B884" s="14"/>
      <c r="C884" s="14"/>
      <c r="D884" s="14"/>
      <c r="E884" s="14"/>
      <c r="F884" s="14"/>
      <c r="G884" s="14"/>
      <c r="H884" s="14"/>
      <c r="I884" s="14"/>
    </row>
    <row r="885" ht="28.5" customHeight="1">
      <c r="A885" s="4"/>
      <c r="B885" s="14"/>
      <c r="C885" s="14"/>
      <c r="D885" s="14"/>
      <c r="E885" s="14"/>
      <c r="F885" s="14"/>
      <c r="G885" s="14"/>
      <c r="H885" s="14"/>
      <c r="I885" s="14"/>
    </row>
    <row r="886" ht="28.5" customHeight="1">
      <c r="A886" s="4"/>
      <c r="B886" s="14"/>
      <c r="C886" s="14"/>
      <c r="D886" s="14"/>
      <c r="E886" s="14"/>
      <c r="F886" s="14"/>
      <c r="G886" s="14"/>
      <c r="H886" s="14"/>
      <c r="I886" s="14"/>
    </row>
    <row r="887" ht="28.5" customHeight="1">
      <c r="A887" s="4"/>
      <c r="B887" s="14"/>
      <c r="C887" s="14"/>
      <c r="D887" s="14"/>
      <c r="E887" s="14"/>
      <c r="F887" s="14"/>
      <c r="G887" s="14"/>
      <c r="H887" s="14"/>
      <c r="I887" s="14"/>
    </row>
    <row r="888" ht="28.5" customHeight="1">
      <c r="A888" s="4"/>
      <c r="B888" s="14"/>
      <c r="C888" s="14"/>
      <c r="D888" s="14"/>
      <c r="E888" s="14"/>
      <c r="F888" s="14"/>
      <c r="G888" s="14"/>
      <c r="H888" s="14"/>
      <c r="I888" s="14"/>
    </row>
    <row r="889" ht="28.5" customHeight="1">
      <c r="A889" s="4"/>
      <c r="B889" s="14"/>
      <c r="C889" s="14"/>
      <c r="D889" s="14"/>
      <c r="E889" s="14"/>
      <c r="F889" s="14"/>
      <c r="G889" s="14"/>
      <c r="H889" s="14"/>
      <c r="I889" s="14"/>
    </row>
    <row r="890" ht="28.5" customHeight="1">
      <c r="A890" s="4"/>
      <c r="B890" s="14"/>
      <c r="C890" s="14"/>
      <c r="D890" s="14"/>
      <c r="E890" s="14"/>
      <c r="F890" s="14"/>
      <c r="G890" s="14"/>
      <c r="H890" s="14"/>
      <c r="I890" s="14"/>
    </row>
    <row r="891" ht="28.5" customHeight="1">
      <c r="A891" s="4"/>
      <c r="B891" s="14"/>
      <c r="C891" s="14"/>
      <c r="D891" s="14"/>
      <c r="E891" s="14"/>
      <c r="F891" s="14"/>
      <c r="G891" s="14"/>
      <c r="H891" s="14"/>
      <c r="I891" s="14"/>
    </row>
    <row r="892" ht="28.5" customHeight="1">
      <c r="A892" s="4"/>
      <c r="B892" s="14"/>
      <c r="C892" s="14"/>
      <c r="D892" s="14"/>
      <c r="E892" s="14"/>
      <c r="F892" s="14"/>
      <c r="G892" s="14"/>
      <c r="H892" s="14"/>
      <c r="I892" s="14"/>
    </row>
    <row r="893" ht="28.5" customHeight="1">
      <c r="A893" s="4"/>
      <c r="B893" s="14"/>
      <c r="C893" s="14"/>
      <c r="D893" s="14"/>
      <c r="E893" s="14"/>
      <c r="F893" s="14"/>
      <c r="G893" s="14"/>
      <c r="H893" s="14"/>
      <c r="I893" s="14"/>
    </row>
    <row r="894" ht="28.5" customHeight="1">
      <c r="A894" s="4"/>
      <c r="B894" s="14"/>
      <c r="C894" s="14"/>
      <c r="D894" s="14"/>
      <c r="E894" s="14"/>
      <c r="F894" s="14"/>
      <c r="G894" s="14"/>
      <c r="H894" s="14"/>
      <c r="I894" s="14"/>
    </row>
    <row r="895" ht="28.5" customHeight="1">
      <c r="A895" s="4"/>
      <c r="B895" s="14"/>
      <c r="C895" s="14"/>
      <c r="D895" s="14"/>
      <c r="E895" s="14"/>
      <c r="F895" s="14"/>
      <c r="G895" s="14"/>
      <c r="H895" s="14"/>
      <c r="I895" s="14"/>
    </row>
    <row r="896" ht="28.5" customHeight="1">
      <c r="A896" s="4"/>
      <c r="B896" s="14"/>
      <c r="C896" s="14"/>
      <c r="D896" s="14"/>
      <c r="E896" s="14"/>
      <c r="F896" s="14"/>
      <c r="G896" s="14"/>
      <c r="H896" s="14"/>
      <c r="I896" s="14"/>
    </row>
    <row r="897" ht="28.5" customHeight="1">
      <c r="A897" s="4"/>
      <c r="B897" s="14"/>
      <c r="C897" s="14"/>
      <c r="D897" s="14"/>
      <c r="E897" s="14"/>
      <c r="F897" s="14"/>
      <c r="G897" s="14"/>
      <c r="H897" s="14"/>
      <c r="I897" s="14"/>
    </row>
    <row r="898" ht="28.5" customHeight="1">
      <c r="A898" s="4"/>
      <c r="B898" s="14"/>
      <c r="C898" s="14"/>
      <c r="D898" s="14"/>
      <c r="E898" s="14"/>
      <c r="F898" s="14"/>
      <c r="G898" s="14"/>
      <c r="H898" s="14"/>
      <c r="I898" s="14"/>
    </row>
    <row r="899" ht="28.5" customHeight="1">
      <c r="A899" s="4"/>
      <c r="B899" s="14"/>
      <c r="C899" s="14"/>
      <c r="D899" s="14"/>
      <c r="E899" s="14"/>
      <c r="F899" s="14"/>
      <c r="G899" s="14"/>
      <c r="H899" s="14"/>
      <c r="I899" s="14"/>
    </row>
    <row r="900" ht="28.5" customHeight="1">
      <c r="A900" s="4"/>
      <c r="B900" s="14"/>
      <c r="C900" s="14"/>
      <c r="D900" s="14"/>
      <c r="E900" s="14"/>
      <c r="F900" s="14"/>
      <c r="G900" s="14"/>
      <c r="H900" s="14"/>
      <c r="I900" s="14"/>
    </row>
    <row r="901" ht="28.5" customHeight="1">
      <c r="A901" s="4"/>
      <c r="B901" s="14"/>
      <c r="C901" s="14"/>
      <c r="D901" s="14"/>
      <c r="E901" s="14"/>
      <c r="F901" s="14"/>
      <c r="G901" s="14"/>
      <c r="H901" s="14"/>
      <c r="I901" s="14"/>
    </row>
    <row r="902" ht="28.5" customHeight="1">
      <c r="A902" s="4"/>
      <c r="B902" s="14"/>
      <c r="C902" s="14"/>
      <c r="D902" s="14"/>
      <c r="E902" s="14"/>
      <c r="F902" s="14"/>
      <c r="G902" s="14"/>
      <c r="H902" s="14"/>
      <c r="I902" s="14"/>
    </row>
    <row r="903" ht="28.5" customHeight="1">
      <c r="A903" s="4"/>
      <c r="B903" s="14"/>
      <c r="C903" s="14"/>
      <c r="D903" s="14"/>
      <c r="E903" s="14"/>
      <c r="F903" s="14"/>
      <c r="G903" s="14"/>
      <c r="H903" s="14"/>
      <c r="I903" s="14"/>
    </row>
    <row r="904" ht="28.5" customHeight="1">
      <c r="A904" s="4"/>
      <c r="B904" s="14"/>
      <c r="C904" s="14"/>
      <c r="D904" s="14"/>
      <c r="E904" s="14"/>
      <c r="F904" s="14"/>
      <c r="G904" s="14"/>
      <c r="H904" s="14"/>
      <c r="I904" s="14"/>
    </row>
    <row r="905" ht="28.5" customHeight="1">
      <c r="A905" s="4"/>
      <c r="B905" s="14"/>
      <c r="C905" s="14"/>
      <c r="D905" s="14"/>
      <c r="E905" s="14"/>
      <c r="F905" s="14"/>
      <c r="G905" s="14"/>
      <c r="H905" s="14"/>
      <c r="I905" s="14"/>
    </row>
    <row r="906" ht="28.5" customHeight="1">
      <c r="A906" s="4"/>
      <c r="B906" s="14"/>
      <c r="C906" s="14"/>
      <c r="D906" s="14"/>
      <c r="E906" s="14"/>
      <c r="F906" s="14"/>
      <c r="G906" s="14"/>
      <c r="H906" s="14"/>
      <c r="I906" s="14"/>
    </row>
    <row r="907" ht="28.5" customHeight="1">
      <c r="A907" s="4"/>
      <c r="B907" s="14"/>
      <c r="C907" s="14"/>
      <c r="D907" s="14"/>
      <c r="E907" s="14"/>
      <c r="F907" s="14"/>
      <c r="G907" s="14"/>
      <c r="H907" s="14"/>
      <c r="I907" s="14"/>
    </row>
    <row r="908" ht="28.5" customHeight="1">
      <c r="A908" s="4"/>
      <c r="B908" s="14"/>
      <c r="C908" s="14"/>
      <c r="D908" s="14"/>
      <c r="E908" s="14"/>
      <c r="F908" s="14"/>
      <c r="G908" s="14"/>
      <c r="H908" s="14"/>
      <c r="I908" s="14"/>
    </row>
    <row r="909" ht="28.5" customHeight="1">
      <c r="A909" s="4"/>
      <c r="B909" s="14"/>
      <c r="C909" s="14"/>
      <c r="D909" s="14"/>
      <c r="E909" s="14"/>
      <c r="F909" s="14"/>
      <c r="G909" s="14"/>
      <c r="H909" s="14"/>
      <c r="I909" s="14"/>
    </row>
    <row r="910" ht="28.5" customHeight="1">
      <c r="A910" s="4"/>
      <c r="B910" s="14"/>
      <c r="C910" s="14"/>
      <c r="D910" s="14"/>
      <c r="E910" s="14"/>
      <c r="F910" s="14"/>
      <c r="G910" s="14"/>
      <c r="H910" s="14"/>
      <c r="I910" s="14"/>
    </row>
    <row r="911" ht="28.5" customHeight="1">
      <c r="A911" s="4"/>
      <c r="B911" s="14"/>
      <c r="C911" s="14"/>
      <c r="D911" s="14"/>
      <c r="E911" s="14"/>
      <c r="F911" s="14"/>
      <c r="G911" s="14"/>
      <c r="H911" s="14"/>
      <c r="I911" s="14"/>
    </row>
    <row r="912" ht="28.5" customHeight="1">
      <c r="A912" s="4"/>
      <c r="B912" s="14"/>
      <c r="C912" s="14"/>
      <c r="D912" s="14"/>
      <c r="E912" s="14"/>
      <c r="F912" s="14"/>
      <c r="G912" s="14"/>
      <c r="H912" s="14"/>
      <c r="I912" s="14"/>
    </row>
    <row r="913" ht="28.5" customHeight="1">
      <c r="A913" s="4"/>
      <c r="B913" s="14"/>
      <c r="C913" s="14"/>
      <c r="D913" s="14"/>
      <c r="E913" s="14"/>
      <c r="F913" s="14"/>
      <c r="G913" s="14"/>
      <c r="H913" s="14"/>
      <c r="I913" s="14"/>
    </row>
    <row r="914" ht="28.5" customHeight="1">
      <c r="A914" s="4"/>
      <c r="B914" s="14"/>
      <c r="C914" s="14"/>
      <c r="D914" s="14"/>
      <c r="E914" s="14"/>
      <c r="F914" s="14"/>
      <c r="G914" s="14"/>
      <c r="H914" s="14"/>
      <c r="I914" s="14"/>
    </row>
    <row r="915" ht="28.5" customHeight="1">
      <c r="A915" s="4"/>
      <c r="B915" s="14"/>
      <c r="C915" s="14"/>
      <c r="D915" s="14"/>
      <c r="E915" s="14"/>
      <c r="F915" s="14"/>
      <c r="G915" s="14"/>
      <c r="H915" s="14"/>
      <c r="I915" s="14"/>
    </row>
    <row r="916" ht="28.5" customHeight="1">
      <c r="A916" s="4"/>
      <c r="B916" s="14"/>
      <c r="C916" s="14"/>
      <c r="D916" s="14"/>
      <c r="E916" s="14"/>
      <c r="F916" s="14"/>
      <c r="G916" s="14"/>
      <c r="H916" s="14"/>
      <c r="I916" s="14"/>
    </row>
    <row r="917" ht="28.5" customHeight="1">
      <c r="A917" s="4"/>
      <c r="B917" s="14"/>
      <c r="C917" s="14"/>
      <c r="D917" s="14"/>
      <c r="E917" s="14"/>
      <c r="F917" s="14"/>
      <c r="G917" s="14"/>
      <c r="H917" s="14"/>
      <c r="I917" s="14"/>
    </row>
    <row r="918" ht="28.5" customHeight="1">
      <c r="A918" s="4"/>
      <c r="B918" s="14"/>
      <c r="C918" s="14"/>
      <c r="D918" s="14"/>
      <c r="E918" s="14"/>
      <c r="F918" s="14"/>
      <c r="G918" s="14"/>
      <c r="H918" s="14"/>
      <c r="I918" s="14"/>
    </row>
    <row r="919" ht="28.5" customHeight="1">
      <c r="A919" s="4"/>
      <c r="B919" s="14"/>
      <c r="C919" s="14"/>
      <c r="D919" s="14"/>
      <c r="E919" s="14"/>
      <c r="F919" s="14"/>
      <c r="G919" s="14"/>
      <c r="H919" s="14"/>
      <c r="I919" s="14"/>
    </row>
    <row r="920" ht="28.5" customHeight="1">
      <c r="A920" s="4"/>
      <c r="B920" s="14"/>
      <c r="C920" s="14"/>
      <c r="D920" s="14"/>
      <c r="E920" s="14"/>
      <c r="F920" s="14"/>
      <c r="G920" s="14"/>
      <c r="H920" s="14"/>
      <c r="I920" s="14"/>
    </row>
    <row r="921" ht="28.5" customHeight="1">
      <c r="A921" s="4"/>
      <c r="B921" s="14"/>
      <c r="C921" s="14"/>
      <c r="D921" s="14"/>
      <c r="E921" s="14"/>
      <c r="F921" s="14"/>
      <c r="G921" s="14"/>
      <c r="H921" s="14"/>
      <c r="I921" s="14"/>
    </row>
    <row r="922" ht="28.5" customHeight="1">
      <c r="A922" s="4"/>
      <c r="B922" s="14"/>
      <c r="C922" s="14"/>
      <c r="D922" s="14"/>
      <c r="E922" s="14"/>
      <c r="F922" s="14"/>
      <c r="G922" s="14"/>
      <c r="H922" s="14"/>
      <c r="I922" s="14"/>
    </row>
    <row r="923" ht="28.5" customHeight="1">
      <c r="A923" s="4"/>
      <c r="B923" s="14"/>
      <c r="C923" s="14"/>
      <c r="D923" s="14"/>
      <c r="E923" s="14"/>
      <c r="F923" s="14"/>
      <c r="G923" s="14"/>
      <c r="H923" s="14"/>
      <c r="I923" s="14"/>
    </row>
    <row r="924" ht="28.5" customHeight="1">
      <c r="A924" s="4"/>
      <c r="B924" s="14"/>
      <c r="C924" s="14"/>
      <c r="D924" s="14"/>
      <c r="E924" s="14"/>
      <c r="F924" s="14"/>
      <c r="G924" s="14"/>
      <c r="H924" s="14"/>
      <c r="I924" s="14"/>
    </row>
    <row r="925" ht="28.5" customHeight="1">
      <c r="A925" s="4"/>
      <c r="B925" s="14"/>
      <c r="C925" s="14"/>
      <c r="D925" s="14"/>
      <c r="E925" s="14"/>
      <c r="F925" s="14"/>
      <c r="G925" s="14"/>
      <c r="H925" s="14"/>
      <c r="I925" s="14"/>
    </row>
    <row r="926" ht="28.5" customHeight="1">
      <c r="A926" s="4"/>
      <c r="B926" s="14"/>
      <c r="C926" s="14"/>
      <c r="D926" s="14"/>
      <c r="E926" s="14"/>
      <c r="F926" s="14"/>
      <c r="G926" s="14"/>
      <c r="H926" s="14"/>
      <c r="I926" s="14"/>
    </row>
    <row r="927" ht="28.5" customHeight="1">
      <c r="A927" s="4"/>
      <c r="B927" s="14"/>
      <c r="C927" s="14"/>
      <c r="D927" s="14"/>
      <c r="E927" s="14"/>
      <c r="F927" s="14"/>
      <c r="G927" s="14"/>
      <c r="H927" s="14"/>
      <c r="I927" s="14"/>
    </row>
    <row r="928" ht="28.5" customHeight="1">
      <c r="A928" s="4"/>
      <c r="B928" s="14"/>
      <c r="C928" s="14"/>
      <c r="D928" s="14"/>
      <c r="E928" s="14"/>
      <c r="F928" s="14"/>
      <c r="G928" s="14"/>
      <c r="H928" s="14"/>
      <c r="I928" s="14"/>
    </row>
    <row r="929" ht="28.5" customHeight="1">
      <c r="A929" s="4"/>
      <c r="B929" s="14"/>
      <c r="C929" s="14"/>
      <c r="D929" s="14"/>
      <c r="E929" s="14"/>
      <c r="F929" s="14"/>
      <c r="G929" s="14"/>
      <c r="H929" s="14"/>
      <c r="I929" s="14"/>
    </row>
    <row r="930" ht="28.5" customHeight="1">
      <c r="A930" s="4"/>
      <c r="B930" s="14"/>
      <c r="C930" s="14"/>
      <c r="D930" s="14"/>
      <c r="E930" s="14"/>
      <c r="F930" s="14"/>
      <c r="G930" s="14"/>
      <c r="H930" s="14"/>
      <c r="I930" s="14"/>
    </row>
    <row r="931" ht="28.5" customHeight="1">
      <c r="A931" s="4"/>
      <c r="B931" s="14"/>
      <c r="C931" s="14"/>
      <c r="D931" s="14"/>
      <c r="E931" s="14"/>
      <c r="F931" s="14"/>
      <c r="G931" s="14"/>
      <c r="H931" s="14"/>
      <c r="I931" s="14"/>
    </row>
    <row r="932" ht="28.5" customHeight="1">
      <c r="A932" s="4"/>
      <c r="B932" s="14"/>
      <c r="C932" s="14"/>
      <c r="D932" s="14"/>
      <c r="E932" s="14"/>
      <c r="F932" s="14"/>
      <c r="G932" s="14"/>
      <c r="H932" s="14"/>
      <c r="I932" s="14"/>
    </row>
    <row r="933" ht="28.5" customHeight="1">
      <c r="A933" s="4"/>
      <c r="B933" s="14"/>
      <c r="C933" s="14"/>
      <c r="D933" s="14"/>
      <c r="E933" s="14"/>
      <c r="F933" s="14"/>
      <c r="G933" s="14"/>
      <c r="H933" s="14"/>
      <c r="I933" s="14"/>
    </row>
    <row r="934" ht="28.5" customHeight="1">
      <c r="A934" s="4"/>
      <c r="B934" s="14"/>
      <c r="C934" s="14"/>
      <c r="D934" s="14"/>
      <c r="E934" s="14"/>
      <c r="F934" s="14"/>
      <c r="G934" s="14"/>
      <c r="H934" s="14"/>
      <c r="I934" s="14"/>
    </row>
    <row r="935" ht="28.5" customHeight="1">
      <c r="A935" s="4"/>
      <c r="B935" s="14"/>
      <c r="C935" s="14"/>
      <c r="D935" s="14"/>
      <c r="E935" s="14"/>
      <c r="F935" s="14"/>
      <c r="G935" s="14"/>
      <c r="H935" s="14"/>
      <c r="I935" s="14"/>
    </row>
    <row r="936" ht="28.5" customHeight="1">
      <c r="A936" s="4"/>
      <c r="B936" s="14"/>
      <c r="C936" s="14"/>
      <c r="D936" s="14"/>
      <c r="E936" s="14"/>
      <c r="F936" s="14"/>
      <c r="G936" s="14"/>
      <c r="H936" s="14"/>
      <c r="I936" s="14"/>
    </row>
    <row r="937" ht="28.5" customHeight="1">
      <c r="A937" s="4"/>
      <c r="B937" s="14"/>
      <c r="C937" s="14"/>
      <c r="D937" s="14"/>
      <c r="E937" s="14"/>
      <c r="F937" s="14"/>
      <c r="G937" s="14"/>
      <c r="H937" s="14"/>
      <c r="I937" s="14"/>
    </row>
    <row r="938" ht="28.5" customHeight="1">
      <c r="A938" s="4"/>
      <c r="B938" s="14"/>
      <c r="C938" s="14"/>
      <c r="D938" s="14"/>
      <c r="E938" s="14"/>
      <c r="F938" s="14"/>
      <c r="G938" s="14"/>
      <c r="H938" s="14"/>
      <c r="I938" s="14"/>
    </row>
    <row r="939" ht="28.5" customHeight="1">
      <c r="A939" s="4"/>
      <c r="B939" s="14"/>
      <c r="C939" s="14"/>
      <c r="D939" s="14"/>
      <c r="E939" s="14"/>
      <c r="F939" s="14"/>
      <c r="G939" s="14"/>
      <c r="H939" s="14"/>
      <c r="I939" s="14"/>
    </row>
    <row r="940" ht="28.5" customHeight="1">
      <c r="A940" s="4"/>
      <c r="B940" s="14"/>
      <c r="C940" s="14"/>
      <c r="D940" s="14"/>
      <c r="E940" s="14"/>
      <c r="F940" s="14"/>
      <c r="G940" s="14"/>
      <c r="H940" s="14"/>
      <c r="I940" s="14"/>
    </row>
    <row r="941" ht="28.5" customHeight="1">
      <c r="A941" s="4"/>
      <c r="B941" s="14"/>
      <c r="C941" s="14"/>
      <c r="D941" s="14"/>
      <c r="E941" s="14"/>
      <c r="F941" s="14"/>
      <c r="G941" s="14"/>
      <c r="H941" s="14"/>
      <c r="I941" s="14"/>
    </row>
    <row r="942" ht="28.5" customHeight="1">
      <c r="A942" s="4"/>
      <c r="B942" s="14"/>
      <c r="C942" s="14"/>
      <c r="D942" s="14"/>
      <c r="E942" s="14"/>
      <c r="F942" s="14"/>
      <c r="G942" s="14"/>
      <c r="H942" s="14"/>
      <c r="I942" s="14"/>
    </row>
    <row r="943" ht="28.5" customHeight="1">
      <c r="A943" s="4"/>
      <c r="B943" s="14"/>
      <c r="C943" s="14"/>
      <c r="D943" s="14"/>
      <c r="E943" s="14"/>
      <c r="F943" s="14"/>
      <c r="G943" s="14"/>
      <c r="H943" s="14"/>
      <c r="I943" s="14"/>
    </row>
    <row r="944" ht="28.5" customHeight="1">
      <c r="A944" s="4"/>
      <c r="B944" s="14"/>
      <c r="C944" s="14"/>
      <c r="D944" s="14"/>
      <c r="E944" s="14"/>
      <c r="F944" s="14"/>
      <c r="G944" s="14"/>
      <c r="H944" s="14"/>
      <c r="I944" s="14"/>
    </row>
    <row r="945" ht="28.5" customHeight="1">
      <c r="A945" s="4"/>
      <c r="B945" s="14"/>
      <c r="C945" s="14"/>
      <c r="D945" s="14"/>
      <c r="E945" s="14"/>
      <c r="F945" s="14"/>
      <c r="G945" s="14"/>
      <c r="H945" s="14"/>
      <c r="I945" s="14"/>
    </row>
    <row r="946" ht="28.5" customHeight="1">
      <c r="A946" s="4"/>
      <c r="B946" s="14"/>
      <c r="C946" s="14"/>
      <c r="D946" s="14"/>
      <c r="E946" s="14"/>
      <c r="F946" s="14"/>
      <c r="G946" s="14"/>
      <c r="H946" s="14"/>
      <c r="I946" s="14"/>
    </row>
    <row r="947" ht="28.5" customHeight="1">
      <c r="A947" s="4"/>
      <c r="B947" s="14"/>
      <c r="C947" s="14"/>
      <c r="D947" s="14"/>
      <c r="E947" s="14"/>
      <c r="F947" s="14"/>
      <c r="G947" s="14"/>
      <c r="H947" s="14"/>
      <c r="I947" s="14"/>
    </row>
    <row r="948" ht="28.5" customHeight="1">
      <c r="A948" s="4"/>
      <c r="B948" s="14"/>
      <c r="C948" s="14"/>
      <c r="D948" s="14"/>
      <c r="E948" s="14"/>
      <c r="F948" s="14"/>
      <c r="G948" s="14"/>
      <c r="H948" s="14"/>
      <c r="I948" s="14"/>
    </row>
    <row r="949" ht="28.5" customHeight="1">
      <c r="A949" s="4"/>
      <c r="B949" s="14"/>
      <c r="C949" s="14"/>
      <c r="D949" s="14"/>
      <c r="E949" s="14"/>
      <c r="F949" s="14"/>
      <c r="G949" s="14"/>
      <c r="H949" s="14"/>
      <c r="I949" s="14"/>
    </row>
    <row r="950" ht="28.5" customHeight="1">
      <c r="A950" s="4"/>
      <c r="B950" s="14"/>
      <c r="C950" s="14"/>
      <c r="D950" s="14"/>
      <c r="E950" s="14"/>
      <c r="F950" s="14"/>
      <c r="G950" s="14"/>
      <c r="H950" s="14"/>
      <c r="I950" s="14"/>
    </row>
    <row r="951" ht="28.5" customHeight="1">
      <c r="A951" s="4"/>
      <c r="B951" s="14"/>
      <c r="C951" s="14"/>
      <c r="D951" s="14"/>
      <c r="E951" s="14"/>
      <c r="F951" s="14"/>
      <c r="G951" s="14"/>
      <c r="H951" s="14"/>
      <c r="I951" s="14"/>
    </row>
    <row r="952" ht="28.5" customHeight="1">
      <c r="A952" s="4"/>
      <c r="B952" s="14"/>
      <c r="C952" s="14"/>
      <c r="D952" s="14"/>
      <c r="E952" s="14"/>
      <c r="F952" s="14"/>
      <c r="G952" s="14"/>
      <c r="H952" s="14"/>
      <c r="I952" s="14"/>
    </row>
    <row r="953" ht="28.5" customHeight="1">
      <c r="A953" s="4"/>
      <c r="B953" s="14"/>
      <c r="C953" s="14"/>
      <c r="D953" s="14"/>
      <c r="E953" s="14"/>
      <c r="F953" s="14"/>
      <c r="G953" s="14"/>
      <c r="H953" s="14"/>
      <c r="I953" s="14"/>
    </row>
    <row r="954" ht="28.5" customHeight="1">
      <c r="A954" s="4"/>
      <c r="B954" s="14"/>
      <c r="C954" s="14"/>
      <c r="D954" s="14"/>
      <c r="E954" s="14"/>
      <c r="F954" s="14"/>
      <c r="G954" s="14"/>
      <c r="H954" s="14"/>
      <c r="I954" s="14"/>
    </row>
    <row r="955" ht="28.5" customHeight="1">
      <c r="A955" s="4"/>
      <c r="B955" s="14"/>
      <c r="C955" s="14"/>
      <c r="D955" s="14"/>
      <c r="E955" s="14"/>
      <c r="F955" s="14"/>
      <c r="G955" s="14"/>
      <c r="H955" s="14"/>
      <c r="I955" s="14"/>
    </row>
    <row r="956" ht="28.5" customHeight="1">
      <c r="A956" s="4"/>
      <c r="B956" s="14"/>
      <c r="C956" s="14"/>
      <c r="D956" s="14"/>
      <c r="E956" s="14"/>
      <c r="F956" s="14"/>
      <c r="G956" s="14"/>
      <c r="H956" s="14"/>
      <c r="I956" s="14"/>
    </row>
    <row r="957" ht="28.5" customHeight="1">
      <c r="A957" s="4"/>
      <c r="B957" s="14"/>
      <c r="C957" s="14"/>
      <c r="D957" s="14"/>
      <c r="E957" s="14"/>
      <c r="F957" s="14"/>
      <c r="G957" s="14"/>
      <c r="H957" s="14"/>
      <c r="I957" s="14"/>
    </row>
    <row r="958" ht="28.5" customHeight="1">
      <c r="A958" s="4"/>
      <c r="B958" s="14"/>
      <c r="C958" s="14"/>
      <c r="D958" s="14"/>
      <c r="E958" s="14"/>
      <c r="F958" s="14"/>
      <c r="G958" s="14"/>
      <c r="H958" s="14"/>
      <c r="I958" s="14"/>
    </row>
    <row r="959" ht="28.5" customHeight="1">
      <c r="A959" s="4"/>
      <c r="B959" s="14"/>
      <c r="C959" s="14"/>
      <c r="D959" s="14"/>
      <c r="E959" s="14"/>
      <c r="F959" s="14"/>
      <c r="G959" s="14"/>
      <c r="H959" s="14"/>
      <c r="I959" s="14"/>
    </row>
    <row r="960" ht="28.5" customHeight="1">
      <c r="A960" s="4"/>
      <c r="B960" s="14"/>
      <c r="C960" s="14"/>
      <c r="D960" s="14"/>
      <c r="E960" s="14"/>
      <c r="F960" s="14"/>
      <c r="G960" s="14"/>
      <c r="H960" s="14"/>
      <c r="I960" s="14"/>
    </row>
    <row r="961" ht="28.5" customHeight="1">
      <c r="A961" s="4"/>
      <c r="B961" s="14"/>
      <c r="C961" s="14"/>
      <c r="D961" s="14"/>
      <c r="E961" s="14"/>
      <c r="F961" s="14"/>
      <c r="G961" s="14"/>
      <c r="H961" s="14"/>
      <c r="I961" s="14"/>
    </row>
    <row r="962" ht="28.5" customHeight="1">
      <c r="A962" s="4"/>
      <c r="B962" s="14"/>
      <c r="C962" s="14"/>
      <c r="D962" s="14"/>
      <c r="E962" s="14"/>
      <c r="F962" s="14"/>
      <c r="G962" s="14"/>
      <c r="H962" s="14"/>
      <c r="I962" s="14"/>
    </row>
    <row r="963" ht="28.5" customHeight="1">
      <c r="A963" s="4"/>
      <c r="B963" s="14"/>
      <c r="C963" s="14"/>
      <c r="D963" s="14"/>
      <c r="E963" s="14"/>
      <c r="F963" s="14"/>
      <c r="G963" s="14"/>
      <c r="H963" s="14"/>
      <c r="I963" s="14"/>
    </row>
    <row r="964" ht="28.5" customHeight="1">
      <c r="A964" s="4"/>
      <c r="B964" s="14"/>
      <c r="C964" s="14"/>
      <c r="D964" s="14"/>
      <c r="E964" s="14"/>
      <c r="F964" s="14"/>
      <c r="G964" s="14"/>
      <c r="H964" s="14"/>
      <c r="I964" s="14"/>
    </row>
    <row r="965" ht="28.5" customHeight="1">
      <c r="A965" s="4"/>
      <c r="B965" s="14"/>
      <c r="C965" s="14"/>
      <c r="D965" s="14"/>
      <c r="E965" s="14"/>
      <c r="F965" s="14"/>
      <c r="G965" s="14"/>
      <c r="H965" s="14"/>
      <c r="I965" s="14"/>
    </row>
    <row r="966" ht="28.5" customHeight="1">
      <c r="A966" s="4"/>
      <c r="B966" s="14"/>
      <c r="C966" s="14"/>
      <c r="D966" s="14"/>
      <c r="E966" s="14"/>
      <c r="F966" s="14"/>
      <c r="G966" s="14"/>
      <c r="H966" s="14"/>
      <c r="I966" s="14"/>
    </row>
    <row r="967" ht="28.5" customHeight="1">
      <c r="A967" s="4"/>
      <c r="B967" s="14"/>
      <c r="C967" s="14"/>
      <c r="D967" s="14"/>
      <c r="E967" s="14"/>
      <c r="F967" s="14"/>
      <c r="G967" s="14"/>
      <c r="H967" s="14"/>
      <c r="I967" s="14"/>
    </row>
    <row r="968" ht="28.5" customHeight="1">
      <c r="A968" s="4"/>
      <c r="B968" s="14"/>
      <c r="C968" s="14"/>
      <c r="D968" s="14"/>
      <c r="E968" s="14"/>
      <c r="F968" s="14"/>
      <c r="G968" s="14"/>
      <c r="H968" s="14"/>
      <c r="I968" s="14"/>
    </row>
    <row r="969" ht="28.5" customHeight="1">
      <c r="A969" s="4"/>
      <c r="B969" s="14"/>
      <c r="C969" s="14"/>
      <c r="D969" s="14"/>
      <c r="E969" s="14"/>
      <c r="F969" s="14"/>
      <c r="G969" s="14"/>
      <c r="H969" s="14"/>
      <c r="I969" s="14"/>
    </row>
    <row r="970" ht="28.5" customHeight="1">
      <c r="A970" s="4"/>
      <c r="B970" s="14"/>
      <c r="C970" s="14"/>
      <c r="D970" s="14"/>
      <c r="E970" s="14"/>
      <c r="F970" s="14"/>
      <c r="G970" s="14"/>
      <c r="H970" s="14"/>
      <c r="I970" s="14"/>
    </row>
    <row r="971" ht="28.5" customHeight="1">
      <c r="A971" s="4"/>
      <c r="B971" s="14"/>
      <c r="C971" s="14"/>
      <c r="D971" s="14"/>
      <c r="E971" s="14"/>
      <c r="F971" s="14"/>
      <c r="G971" s="14"/>
      <c r="H971" s="14"/>
      <c r="I971" s="14"/>
    </row>
    <row r="972" ht="28.5" customHeight="1">
      <c r="A972" s="4"/>
      <c r="B972" s="14"/>
      <c r="C972" s="14"/>
      <c r="D972" s="14"/>
      <c r="E972" s="14"/>
      <c r="F972" s="14"/>
      <c r="G972" s="14"/>
      <c r="H972" s="14"/>
      <c r="I972" s="14"/>
    </row>
    <row r="973" ht="28.5" customHeight="1">
      <c r="A973" s="4"/>
      <c r="B973" s="14"/>
      <c r="C973" s="14"/>
      <c r="D973" s="14"/>
      <c r="E973" s="14"/>
      <c r="F973" s="14"/>
      <c r="G973" s="14"/>
      <c r="H973" s="14"/>
      <c r="I973" s="14"/>
    </row>
    <row r="974" ht="28.5" customHeight="1">
      <c r="A974" s="4"/>
      <c r="B974" s="14"/>
      <c r="C974" s="14"/>
      <c r="D974" s="14"/>
      <c r="E974" s="14"/>
      <c r="F974" s="14"/>
      <c r="G974" s="14"/>
      <c r="H974" s="14"/>
      <c r="I974" s="14"/>
    </row>
    <row r="975" ht="28.5" customHeight="1">
      <c r="A975" s="4"/>
      <c r="B975" s="14"/>
      <c r="C975" s="14"/>
      <c r="D975" s="14"/>
      <c r="E975" s="14"/>
      <c r="F975" s="14"/>
      <c r="G975" s="14"/>
      <c r="H975" s="14"/>
      <c r="I975" s="14"/>
    </row>
    <row r="976" ht="28.5" customHeight="1">
      <c r="A976" s="4"/>
      <c r="B976" s="14"/>
      <c r="C976" s="14"/>
      <c r="D976" s="14"/>
      <c r="E976" s="14"/>
      <c r="F976" s="14"/>
      <c r="G976" s="14"/>
      <c r="H976" s="14"/>
      <c r="I976" s="14"/>
    </row>
    <row r="977" ht="28.5" customHeight="1">
      <c r="A977" s="4"/>
      <c r="B977" s="14"/>
      <c r="C977" s="14"/>
      <c r="D977" s="14"/>
      <c r="E977" s="14"/>
      <c r="F977" s="14"/>
      <c r="G977" s="14"/>
      <c r="H977" s="14"/>
      <c r="I977" s="14"/>
    </row>
    <row r="978" ht="28.5" customHeight="1">
      <c r="A978" s="4"/>
      <c r="B978" s="14"/>
      <c r="C978" s="14"/>
      <c r="D978" s="14"/>
      <c r="E978" s="14"/>
      <c r="F978" s="14"/>
      <c r="G978" s="14"/>
      <c r="H978" s="14"/>
      <c r="I978" s="14"/>
    </row>
    <row r="979" ht="28.5" customHeight="1">
      <c r="A979" s="4"/>
      <c r="B979" s="14"/>
      <c r="C979" s="14"/>
      <c r="D979" s="14"/>
      <c r="E979" s="14"/>
      <c r="F979" s="14"/>
      <c r="G979" s="14"/>
      <c r="H979" s="14"/>
      <c r="I979" s="14"/>
    </row>
    <row r="980" ht="28.5" customHeight="1">
      <c r="A980" s="4"/>
      <c r="B980" s="14"/>
      <c r="C980" s="14"/>
      <c r="D980" s="14"/>
      <c r="E980" s="14"/>
      <c r="F980" s="14"/>
      <c r="G980" s="14"/>
      <c r="H980" s="14"/>
      <c r="I980" s="14"/>
    </row>
    <row r="981" ht="28.5" customHeight="1">
      <c r="A981" s="4"/>
      <c r="B981" s="14"/>
      <c r="C981" s="14"/>
      <c r="D981" s="14"/>
      <c r="E981" s="14"/>
      <c r="F981" s="14"/>
      <c r="G981" s="14"/>
      <c r="H981" s="14"/>
      <c r="I981" s="14"/>
    </row>
    <row r="982" ht="28.5" customHeight="1">
      <c r="A982" s="4"/>
      <c r="B982" s="14"/>
      <c r="C982" s="14"/>
      <c r="D982" s="14"/>
      <c r="E982" s="14"/>
      <c r="F982" s="14"/>
      <c r="G982" s="14"/>
      <c r="H982" s="14"/>
      <c r="I982" s="14"/>
    </row>
    <row r="983" ht="28.5" customHeight="1">
      <c r="A983" s="4"/>
      <c r="B983" s="14"/>
      <c r="C983" s="14"/>
      <c r="D983" s="14"/>
      <c r="E983" s="14"/>
      <c r="F983" s="14"/>
      <c r="G983" s="14"/>
      <c r="H983" s="14"/>
      <c r="I983" s="14"/>
    </row>
    <row r="984" ht="28.5" customHeight="1">
      <c r="A984" s="4"/>
      <c r="B984" s="14"/>
      <c r="C984" s="14"/>
      <c r="D984" s="14"/>
      <c r="E984" s="14"/>
      <c r="F984" s="14"/>
      <c r="G984" s="14"/>
      <c r="H984" s="14"/>
      <c r="I984" s="14"/>
    </row>
    <row r="985" ht="28.5" customHeight="1">
      <c r="A985" s="4"/>
      <c r="B985" s="14"/>
      <c r="C985" s="14"/>
      <c r="D985" s="14"/>
      <c r="E985" s="14"/>
      <c r="F985" s="14"/>
      <c r="G985" s="14"/>
      <c r="H985" s="14"/>
      <c r="I985" s="14"/>
    </row>
    <row r="986" ht="28.5" customHeight="1">
      <c r="A986" s="4"/>
      <c r="B986" s="14"/>
      <c r="C986" s="14"/>
      <c r="D986" s="14"/>
      <c r="E986" s="14"/>
      <c r="F986" s="14"/>
      <c r="G986" s="14"/>
      <c r="H986" s="14"/>
      <c r="I986" s="14"/>
    </row>
    <row r="987" ht="28.5" customHeight="1">
      <c r="A987" s="4"/>
      <c r="B987" s="14"/>
      <c r="C987" s="14"/>
      <c r="D987" s="14"/>
      <c r="E987" s="14"/>
      <c r="F987" s="14"/>
      <c r="G987" s="14"/>
      <c r="H987" s="14"/>
      <c r="I987" s="14"/>
    </row>
    <row r="988" ht="28.5" customHeight="1">
      <c r="A988" s="4"/>
      <c r="B988" s="14"/>
      <c r="C988" s="14"/>
      <c r="D988" s="14"/>
      <c r="E988" s="14"/>
      <c r="F988" s="14"/>
      <c r="G988" s="14"/>
      <c r="H988" s="14"/>
      <c r="I988" s="14"/>
    </row>
    <row r="989" ht="28.5" customHeight="1">
      <c r="A989" s="4"/>
      <c r="B989" s="14"/>
      <c r="C989" s="14"/>
      <c r="D989" s="14"/>
      <c r="E989" s="14"/>
      <c r="F989" s="14"/>
      <c r="G989" s="14"/>
      <c r="H989" s="14"/>
      <c r="I989" s="14"/>
    </row>
    <row r="990" ht="28.5" customHeight="1">
      <c r="A990" s="4"/>
      <c r="B990" s="14"/>
      <c r="C990" s="14"/>
      <c r="D990" s="14"/>
      <c r="E990" s="14"/>
      <c r="F990" s="14"/>
      <c r="G990" s="14"/>
      <c r="H990" s="14"/>
      <c r="I990" s="14"/>
    </row>
    <row r="991" ht="28.5" customHeight="1">
      <c r="A991" s="4"/>
      <c r="B991" s="14"/>
      <c r="C991" s="14"/>
      <c r="D991" s="14"/>
      <c r="E991" s="14"/>
      <c r="F991" s="14"/>
      <c r="G991" s="14"/>
      <c r="H991" s="14"/>
      <c r="I991" s="14"/>
    </row>
    <row r="992" ht="28.5" customHeight="1">
      <c r="A992" s="4"/>
      <c r="B992" s="14"/>
      <c r="C992" s="14"/>
      <c r="D992" s="14"/>
      <c r="E992" s="14"/>
      <c r="F992" s="14"/>
      <c r="G992" s="14"/>
      <c r="H992" s="14"/>
      <c r="I992" s="14"/>
    </row>
    <row r="993" ht="28.5" customHeight="1">
      <c r="A993" s="4"/>
      <c r="B993" s="14"/>
      <c r="C993" s="14"/>
      <c r="D993" s="14"/>
      <c r="E993" s="14"/>
      <c r="F993" s="14"/>
      <c r="G993" s="14"/>
      <c r="H993" s="14"/>
      <c r="I993" s="14"/>
    </row>
    <row r="994" ht="28.5" customHeight="1">
      <c r="A994" s="4"/>
      <c r="B994" s="14"/>
      <c r="C994" s="14"/>
      <c r="D994" s="14"/>
      <c r="E994" s="14"/>
      <c r="F994" s="14"/>
      <c r="G994" s="14"/>
      <c r="H994" s="14"/>
      <c r="I994" s="14"/>
    </row>
    <row r="995" ht="28.5" customHeight="1">
      <c r="A995" s="4"/>
      <c r="B995" s="14"/>
      <c r="C995" s="14"/>
      <c r="D995" s="14"/>
      <c r="E995" s="14"/>
      <c r="F995" s="14"/>
      <c r="G995" s="14"/>
      <c r="H995" s="14"/>
      <c r="I995" s="14"/>
    </row>
    <row r="996" ht="28.5" customHeight="1">
      <c r="A996" s="4"/>
      <c r="B996" s="14"/>
      <c r="C996" s="14"/>
      <c r="D996" s="14"/>
      <c r="E996" s="14"/>
      <c r="F996" s="14"/>
      <c r="G996" s="14"/>
      <c r="H996" s="14"/>
      <c r="I996" s="14"/>
    </row>
    <row r="997" ht="28.5" customHeight="1">
      <c r="A997" s="4"/>
      <c r="B997" s="14"/>
      <c r="C997" s="14"/>
      <c r="D997" s="14"/>
      <c r="E997" s="14"/>
      <c r="F997" s="14"/>
      <c r="G997" s="14"/>
      <c r="H997" s="14"/>
      <c r="I997" s="14"/>
    </row>
    <row r="998" ht="28.5" customHeight="1">
      <c r="A998" s="4"/>
      <c r="B998" s="14"/>
      <c r="C998" s="14"/>
      <c r="D998" s="14"/>
      <c r="E998" s="14"/>
      <c r="F998" s="14"/>
      <c r="G998" s="14"/>
      <c r="H998" s="14"/>
      <c r="I998" s="14"/>
    </row>
    <row r="999" ht="28.5" customHeight="1">
      <c r="A999" s="4"/>
      <c r="B999" s="14"/>
      <c r="C999" s="14"/>
      <c r="D999" s="14"/>
      <c r="E999" s="14"/>
      <c r="F999" s="14"/>
      <c r="G999" s="14"/>
      <c r="H999" s="14"/>
      <c r="I999" s="14"/>
    </row>
    <row r="1000" ht="28.5" customHeight="1">
      <c r="A1000" s="4"/>
      <c r="B1000" s="14"/>
      <c r="C1000" s="14"/>
      <c r="D1000" s="14"/>
      <c r="E1000" s="14"/>
      <c r="F1000" s="14"/>
      <c r="G1000" s="14"/>
      <c r="H1000" s="14"/>
      <c r="I1000" s="14"/>
    </row>
    <row r="1001" ht="28.5" customHeight="1">
      <c r="A1001" s="4"/>
      <c r="B1001" s="14"/>
      <c r="C1001" s="14"/>
      <c r="D1001" s="14"/>
      <c r="E1001" s="14"/>
      <c r="F1001" s="14"/>
      <c r="G1001" s="14"/>
      <c r="H1001" s="14"/>
      <c r="I1001" s="14"/>
    </row>
  </sheetData>
  <mergeCells count="1">
    <mergeCell ref="A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5.13"/>
    <col customWidth="1" min="2" max="2" width="17.5"/>
    <col customWidth="1" min="3" max="3" width="41.5"/>
    <col customWidth="1" min="4" max="4" width="15.25"/>
    <col customWidth="1" min="5" max="5" width="10.25"/>
    <col customWidth="1" min="6" max="6" width="9.0"/>
    <col customWidth="1" min="7" max="7" width="11.13"/>
    <col customWidth="1" min="8" max="8" width="21.38"/>
    <col customWidth="1" min="9" max="9" width="11.25"/>
    <col customWidth="1" min="10" max="10" width="24.0"/>
    <col customWidth="1" min="11" max="11" width="90.0"/>
    <col customWidth="1" min="12" max="12" width="14.63"/>
    <col customWidth="1" min="13" max="13" width="4.13"/>
    <col customWidth="1" min="14" max="14" width="11.13"/>
    <col customWidth="1" min="15" max="15" width="4.75"/>
    <col customWidth="1" min="16" max="16" width="12.25"/>
    <col customWidth="1" min="17" max="17" width="29.75"/>
    <col customWidth="1" min="18" max="18" width="13.0"/>
    <col customWidth="1" min="19" max="19" width="15.25"/>
    <col customWidth="1" min="20" max="20" width="10.25"/>
    <col customWidth="1" min="21" max="21" width="9.0"/>
    <col customWidth="1" min="22" max="22" width="13.75"/>
    <col customWidth="1" min="23" max="23" width="7.25"/>
    <col customWidth="1" min="24" max="24" width="7.88"/>
    <col customWidth="1" min="25" max="25" width="14.25"/>
    <col customWidth="1" min="26" max="26" width="14.63"/>
    <col customWidth="1" min="27" max="27" width="4.75"/>
    <col customWidth="1" min="28" max="28" width="11.13"/>
    <col customWidth="1" min="29" max="29" width="10.0"/>
    <col customWidth="1" min="30" max="30" width="4.13"/>
    <col customWidth="1" min="31" max="31" width="15.5"/>
    <col customWidth="1" min="32" max="32" width="12.25"/>
    <col customWidth="1" min="33" max="33" width="34.13"/>
    <col customWidth="1" min="34" max="34" width="38.75"/>
    <col customWidth="1" min="35" max="35" width="18.13"/>
    <col customWidth="1" min="36" max="36" width="13.13"/>
    <col customWidth="1" min="37" max="37" width="30.5"/>
    <col customWidth="1" min="38" max="38" width="35.25"/>
    <col customWidth="1" min="39" max="39" width="10.5"/>
    <col customWidth="1" min="40" max="40" width="22.25"/>
    <col customWidth="1" min="41" max="41" width="10.25"/>
    <col customWidth="1" min="42" max="42" width="21.63"/>
    <col customWidth="1" min="43" max="43" width="17.0"/>
    <col customWidth="1" min="44" max="45" width="8.63"/>
    <col customWidth="1" min="46" max="46" width="32.75"/>
    <col customWidth="1" min="47" max="47" width="40.5"/>
    <col customWidth="1" min="48" max="48" width="14.0"/>
    <col customWidth="1" min="49" max="49" width="60.38"/>
    <col customWidth="1" min="50" max="50" width="20.25"/>
    <col customWidth="1" min="51" max="51" width="10.25"/>
    <col customWidth="1" min="52" max="52" width="208.13"/>
    <col customWidth="1" min="53" max="53" width="44.38"/>
    <col customWidth="1" min="54" max="54" width="8.0"/>
    <col customWidth="1" min="55" max="56" width="8.63"/>
    <col customWidth="1" min="57" max="57" width="10.13"/>
    <col customWidth="1" min="58" max="58" width="5.13"/>
    <col customWidth="1" min="59" max="59" width="17.5"/>
    <col customWidth="1" min="60" max="60" width="59.75"/>
    <col customWidth="1" min="61" max="61" width="35.0"/>
    <col customWidth="1" min="62" max="62" width="10.25"/>
    <col customWidth="1" min="63" max="63" width="11.75"/>
    <col customWidth="1" min="64" max="64" width="9.13"/>
    <col customWidth="1" min="65" max="65" width="52.75"/>
    <col customWidth="1" min="66" max="66" width="13.25"/>
    <col customWidth="1" min="67" max="68" width="8.63"/>
    <col customWidth="1" min="69" max="69" width="59.63"/>
    <col customWidth="1" min="70" max="70" width="73.13"/>
    <col customWidth="1" min="71" max="71" width="10.5"/>
    <col customWidth="1" min="72" max="72" width="14.88"/>
    <col customWidth="1" min="73" max="73" width="30.63"/>
    <col customWidth="1" min="74" max="74" width="59.38"/>
    <col customWidth="1" min="75" max="75" width="15.25"/>
    <col customWidth="1" min="76" max="76" width="10.25"/>
    <col customWidth="1" min="77" max="78" width="12.88"/>
    <col customWidth="1" min="79" max="79" width="28.88"/>
    <col customWidth="1" min="80" max="80" width="27.63"/>
    <col customWidth="1" min="81" max="81" width="7.63"/>
    <col customWidth="1" min="82" max="82" width="8.63"/>
    <col customWidth="1" min="83" max="83" width="8.0"/>
    <col customWidth="1" min="84" max="84" width="6.13"/>
    <col customWidth="1" min="85" max="85" width="56.63"/>
    <col customWidth="1" min="86" max="86" width="35.5"/>
    <col customWidth="1" min="87" max="87" width="7.63"/>
    <col customWidth="1" min="88" max="88" width="8.63"/>
    <col customWidth="1" min="89" max="89" width="8.0"/>
    <col customWidth="1" min="90" max="90" width="26.63"/>
    <col customWidth="1" min="91" max="93" width="14.75"/>
    <col customWidth="1" min="94" max="94" width="16.0"/>
    <col customWidth="1" min="95" max="95" width="13.0"/>
    <col customWidth="1" min="96" max="96" width="6.25"/>
    <col customWidth="1" min="97" max="97" width="66.0"/>
    <col customWidth="1" min="98" max="98" width="7.63"/>
    <col customWidth="1" min="99" max="100" width="9.38"/>
    <col customWidth="1" min="101" max="101" width="26.63"/>
    <col customWidth="1" min="102" max="102" width="107.13"/>
    <col customWidth="1" min="103" max="103" width="32.25"/>
    <col customWidth="1" min="104" max="104" width="14.75"/>
    <col customWidth="1" min="105" max="105" width="16.0"/>
    <col customWidth="1" min="106" max="106" width="13.0"/>
    <col customWidth="1" min="107" max="107" width="59.75"/>
    <col customWidth="1" min="108" max="108" width="32.38"/>
    <col customWidth="1" min="109" max="109" width="7.63"/>
    <col customWidth="1" min="110" max="111" width="9.25"/>
    <col customWidth="1" min="112" max="112" width="26.63"/>
    <col customWidth="1" min="113" max="113" width="26.38"/>
    <col customWidth="1" min="114" max="114" width="18.13"/>
    <col customWidth="1" min="115" max="115" width="14.75"/>
    <col customWidth="1" min="116" max="116" width="16.0"/>
    <col customWidth="1" min="117" max="117" width="55.63"/>
    <col customWidth="1" min="118" max="118" width="16.5"/>
    <col customWidth="1" min="119" max="119" width="7.63"/>
    <col customWidth="1" min="120" max="120" width="8.63"/>
    <col customWidth="1" min="121" max="121" width="8.38"/>
    <col customWidth="1" min="122" max="122" width="26.63"/>
    <col customWidth="1" min="123" max="123" width="22.5"/>
    <col customWidth="1" min="124" max="124" width="16.25"/>
    <col customWidth="1" min="125" max="125" width="14.75"/>
    <col customWidth="1" min="126" max="126" width="16.0"/>
    <col customWidth="1" min="127" max="127" width="57.0"/>
    <col customWidth="1" min="128" max="128" width="19.38"/>
    <col customWidth="1" min="129" max="129" width="10.88"/>
    <col customWidth="1" min="130" max="130" width="12.88"/>
    <col customWidth="1" min="131" max="131" width="49.5"/>
    <col customWidth="1" min="132" max="132" width="17.25"/>
    <col customWidth="1" min="133" max="133" width="27.63"/>
    <col customWidth="1" min="134" max="134" width="57.0"/>
    <col customWidth="1" min="135" max="135" width="40.13"/>
    <col customWidth="1" min="136" max="137" width="13.0"/>
    <col customWidth="1" min="138" max="138" width="17.13"/>
    <col customWidth="1" min="139" max="139" width="12.88"/>
    <col customWidth="1" min="140" max="140" width="14.75"/>
    <col customWidth="1" min="141" max="141" width="28.75"/>
    <col customWidth="1" min="142" max="142" width="26.63"/>
    <col customWidth="1" min="143" max="143" width="7.88"/>
    <col customWidth="1" min="144" max="144" width="8.5"/>
    <col customWidth="1" min="145" max="145" width="7.88"/>
    <col customWidth="1" min="146" max="146" width="5.25"/>
    <col customWidth="1" min="147" max="147" width="28.25"/>
    <col customWidth="1" min="148" max="148" width="24.5"/>
    <col customWidth="1" min="149" max="149" width="11.88"/>
    <col customWidth="1" min="150" max="150" width="54.13"/>
    <col customWidth="1" min="151" max="151" width="21.25"/>
    <col customWidth="1" min="152" max="152" width="12.88"/>
    <col customWidth="1" min="153" max="153" width="10.88"/>
    <col customWidth="1" min="154" max="154" width="32.25"/>
    <col customWidth="1" min="155" max="155" width="42.38"/>
    <col customWidth="1" min="156" max="156" width="7.88"/>
    <col customWidth="1" min="157" max="157" width="12.63"/>
    <col customWidth="1" min="158" max="158" width="7.88"/>
    <col customWidth="1" min="159" max="159" width="5.25"/>
    <col customWidth="1" min="160" max="160" width="28.25"/>
    <col customWidth="1" min="161" max="161" width="24.5"/>
    <col customWidth="1" min="162" max="162" width="63.25"/>
    <col customWidth="1" min="163" max="163" width="17.0"/>
    <col customWidth="1" min="164" max="164" width="10.88"/>
    <col customWidth="1" min="165" max="165" width="10.5"/>
    <col customWidth="1" min="166" max="166" width="15.0"/>
    <col customWidth="1" min="167" max="167" width="59.63"/>
    <col customWidth="1" min="168" max="168" width="25.63"/>
    <col customWidth="1" min="169" max="169" width="10.13"/>
    <col customWidth="1" min="170" max="170" width="17.0"/>
    <col customWidth="1" min="171" max="171" width="10.88"/>
    <col customWidth="1" min="172" max="172" width="18.63"/>
    <col customWidth="1" min="173" max="173" width="10.5"/>
    <col customWidth="1" min="174" max="174" width="13.5"/>
    <col customWidth="1" min="175" max="175" width="37.38"/>
    <col customWidth="1" min="176" max="176" width="17.0"/>
    <col customWidth="1" min="177" max="177" width="10.88"/>
    <col customWidth="1" min="178" max="178" width="17.5"/>
    <col customWidth="1" min="179" max="179" width="4.63"/>
    <col customWidth="1" min="180" max="180" width="5.38"/>
    <col customWidth="1" min="181" max="181" width="26.5"/>
    <col customWidth="1" min="182" max="182" width="17.0"/>
    <col customWidth="1" min="183" max="183" width="10.88"/>
    <col customWidth="1" min="184" max="184" width="14.0"/>
    <col customWidth="1" min="185" max="185" width="8.88"/>
    <col customWidth="1" min="186" max="186" width="10.13"/>
    <col customWidth="1" min="187" max="187" width="8.25"/>
    <col customWidth="1" min="188" max="188" width="17.0"/>
    <col customWidth="1" min="189" max="189" width="10.88"/>
    <col customWidth="1" min="190" max="190" width="13.63"/>
    <col customWidth="1" min="191" max="191" width="15.38"/>
    <col customWidth="1" min="192" max="192" width="22.25"/>
    <col customWidth="1" min="193" max="193" width="8.0"/>
    <col customWidth="1" min="194" max="194" width="22.63"/>
    <col customWidth="1" min="195" max="195" width="10.13"/>
    <col customWidth="1" min="196" max="196" width="26.5"/>
    <col customWidth="1" min="197" max="197" width="37.38"/>
    <col customWidth="1" min="198" max="198" width="59.63"/>
    <col customWidth="1" min="199" max="199" width="5.88"/>
    <col customWidth="1" min="200" max="200" width="3.25"/>
    <col customWidth="1" min="201" max="201" width="11.25"/>
    <col customWidth="1" min="202" max="202" width="10.13"/>
    <col customWidth="1" min="203" max="203" width="28.75"/>
    <col customWidth="1" min="204" max="209" width="18.88"/>
  </cols>
  <sheetData>
    <row r="1" ht="23.25" customHeight="1">
      <c r="A1" s="15" t="s">
        <v>28</v>
      </c>
      <c r="B1" s="16" t="s">
        <v>29</v>
      </c>
      <c r="C1" s="15" t="s">
        <v>1</v>
      </c>
      <c r="D1" s="15" t="s">
        <v>30</v>
      </c>
      <c r="E1" s="15" t="s">
        <v>31</v>
      </c>
      <c r="F1" s="15" t="s">
        <v>32</v>
      </c>
      <c r="G1" s="15" t="s">
        <v>33</v>
      </c>
      <c r="H1" s="15" t="s">
        <v>34</v>
      </c>
      <c r="I1" s="15" t="s">
        <v>35</v>
      </c>
      <c r="J1" s="15" t="s">
        <v>36</v>
      </c>
      <c r="K1" s="15" t="s">
        <v>37</v>
      </c>
      <c r="L1" s="15" t="s">
        <v>38</v>
      </c>
      <c r="M1" s="15" t="s">
        <v>39</v>
      </c>
      <c r="N1" s="15" t="s">
        <v>40</v>
      </c>
      <c r="O1" s="15" t="s">
        <v>41</v>
      </c>
      <c r="P1" s="15" t="s">
        <v>42</v>
      </c>
      <c r="Q1" s="15" t="s">
        <v>43</v>
      </c>
      <c r="R1" s="15" t="s">
        <v>44</v>
      </c>
      <c r="S1" s="15" t="s">
        <v>30</v>
      </c>
      <c r="T1" s="15" t="s">
        <v>31</v>
      </c>
      <c r="U1" s="15" t="s">
        <v>32</v>
      </c>
      <c r="V1" s="15" t="s">
        <v>45</v>
      </c>
      <c r="W1" s="15" t="s">
        <v>46</v>
      </c>
      <c r="X1" s="15" t="s">
        <v>47</v>
      </c>
      <c r="Y1" s="15" t="s">
        <v>48</v>
      </c>
      <c r="Z1" s="15" t="s">
        <v>38</v>
      </c>
      <c r="AA1" s="15" t="s">
        <v>41</v>
      </c>
      <c r="AB1" s="15" t="s">
        <v>40</v>
      </c>
      <c r="AC1" s="15" t="s">
        <v>49</v>
      </c>
      <c r="AD1" s="15" t="s">
        <v>39</v>
      </c>
      <c r="AE1" s="15" t="s">
        <v>50</v>
      </c>
      <c r="AF1" s="15" t="s">
        <v>42</v>
      </c>
      <c r="AG1" s="15" t="s">
        <v>51</v>
      </c>
      <c r="AH1" s="15" t="s">
        <v>52</v>
      </c>
      <c r="AI1" s="15" t="s">
        <v>53</v>
      </c>
      <c r="AJ1" s="15" t="s">
        <v>54</v>
      </c>
      <c r="AK1" s="15" t="s">
        <v>55</v>
      </c>
      <c r="AL1" s="15" t="s">
        <v>56</v>
      </c>
      <c r="AM1" s="15" t="s">
        <v>57</v>
      </c>
      <c r="AN1" s="15" t="s">
        <v>30</v>
      </c>
      <c r="AO1" s="15" t="s">
        <v>31</v>
      </c>
      <c r="AP1" s="15" t="s">
        <v>58</v>
      </c>
      <c r="AQ1" s="15" t="s">
        <v>59</v>
      </c>
      <c r="AR1" s="15" t="s">
        <v>60</v>
      </c>
      <c r="AS1" s="15" t="s">
        <v>61</v>
      </c>
      <c r="AT1" s="15" t="s">
        <v>62</v>
      </c>
      <c r="AU1" s="15" t="s">
        <v>63</v>
      </c>
      <c r="AV1" s="15" t="s">
        <v>64</v>
      </c>
      <c r="AW1" s="15" t="s">
        <v>65</v>
      </c>
      <c r="AX1" s="15" t="s">
        <v>30</v>
      </c>
      <c r="AY1" s="15" t="s">
        <v>31</v>
      </c>
      <c r="AZ1" s="15" t="s">
        <v>66</v>
      </c>
      <c r="BA1" s="15" t="s">
        <v>67</v>
      </c>
      <c r="BB1" s="15" t="s">
        <v>68</v>
      </c>
      <c r="BC1" s="15" t="s">
        <v>60</v>
      </c>
      <c r="BD1" s="15" t="s">
        <v>61</v>
      </c>
      <c r="BE1" s="15" t="s">
        <v>69</v>
      </c>
      <c r="BF1" s="15" t="s">
        <v>70</v>
      </c>
      <c r="BG1" s="15" t="s">
        <v>71</v>
      </c>
      <c r="BH1" s="15" t="s">
        <v>72</v>
      </c>
      <c r="BI1" s="15" t="s">
        <v>30</v>
      </c>
      <c r="BJ1" s="15" t="s">
        <v>31</v>
      </c>
      <c r="BK1" s="15" t="s">
        <v>73</v>
      </c>
      <c r="BL1" s="15" t="s">
        <v>74</v>
      </c>
      <c r="BM1" s="16" t="s">
        <v>75</v>
      </c>
      <c r="BN1" s="15" t="s">
        <v>76</v>
      </c>
      <c r="BO1" s="15" t="s">
        <v>60</v>
      </c>
      <c r="BP1" s="15" t="s">
        <v>61</v>
      </c>
      <c r="BQ1" s="15" t="s">
        <v>77</v>
      </c>
      <c r="BR1" s="15" t="s">
        <v>78</v>
      </c>
      <c r="BS1" s="15" t="s">
        <v>79</v>
      </c>
      <c r="BT1" s="15" t="s">
        <v>80</v>
      </c>
      <c r="BU1" s="16" t="s">
        <v>81</v>
      </c>
      <c r="BV1" s="15" t="s">
        <v>82</v>
      </c>
      <c r="BW1" s="15" t="s">
        <v>30</v>
      </c>
      <c r="BX1" s="15" t="s">
        <v>31</v>
      </c>
      <c r="BY1" s="17"/>
      <c r="BZ1" s="17" t="s">
        <v>73</v>
      </c>
      <c r="CA1" s="17" t="s">
        <v>83</v>
      </c>
      <c r="CB1" s="17" t="s">
        <v>84</v>
      </c>
      <c r="CC1" s="17" t="s">
        <v>85</v>
      </c>
      <c r="CD1" s="17" t="s">
        <v>60</v>
      </c>
      <c r="CE1" s="17" t="s">
        <v>61</v>
      </c>
      <c r="CF1" s="17" t="s">
        <v>86</v>
      </c>
      <c r="CG1" s="17" t="s">
        <v>87</v>
      </c>
      <c r="CH1" s="17" t="s">
        <v>88</v>
      </c>
      <c r="CI1" s="17" t="s">
        <v>85</v>
      </c>
      <c r="CJ1" s="17" t="s">
        <v>60</v>
      </c>
      <c r="CK1" s="17" t="s">
        <v>61</v>
      </c>
      <c r="CL1" s="17" t="s">
        <v>89</v>
      </c>
      <c r="CM1" s="17" t="s">
        <v>90</v>
      </c>
      <c r="CN1" s="17" t="s">
        <v>91</v>
      </c>
      <c r="CO1" s="17" t="s">
        <v>92</v>
      </c>
      <c r="CP1" s="17" t="s">
        <v>93</v>
      </c>
      <c r="CQ1" s="17" t="s">
        <v>94</v>
      </c>
      <c r="CR1" s="17" t="s">
        <v>95</v>
      </c>
      <c r="CS1" s="17" t="s">
        <v>96</v>
      </c>
      <c r="CT1" s="17" t="s">
        <v>85</v>
      </c>
      <c r="CU1" s="17" t="s">
        <v>60</v>
      </c>
      <c r="CV1" s="17" t="s">
        <v>61</v>
      </c>
      <c r="CW1" s="17" t="s">
        <v>89</v>
      </c>
      <c r="CX1" s="18" t="s">
        <v>97</v>
      </c>
      <c r="CY1" s="17" t="s">
        <v>91</v>
      </c>
      <c r="CZ1" s="17" t="s">
        <v>92</v>
      </c>
      <c r="DA1" s="17" t="s">
        <v>93</v>
      </c>
      <c r="DB1" s="17" t="s">
        <v>94</v>
      </c>
      <c r="DC1" s="17" t="s">
        <v>95</v>
      </c>
      <c r="DD1" s="17" t="s">
        <v>96</v>
      </c>
      <c r="DE1" s="17" t="s">
        <v>85</v>
      </c>
      <c r="DF1" s="17" t="s">
        <v>60</v>
      </c>
      <c r="DG1" s="17" t="s">
        <v>61</v>
      </c>
      <c r="DH1" s="17" t="s">
        <v>89</v>
      </c>
      <c r="DI1" s="17" t="s">
        <v>90</v>
      </c>
      <c r="DJ1" s="17" t="s">
        <v>91</v>
      </c>
      <c r="DK1" s="17" t="s">
        <v>92</v>
      </c>
      <c r="DL1" s="17" t="s">
        <v>93</v>
      </c>
      <c r="DM1" s="17" t="s">
        <v>95</v>
      </c>
      <c r="DN1" s="17" t="s">
        <v>96</v>
      </c>
      <c r="DO1" s="17" t="s">
        <v>85</v>
      </c>
      <c r="DP1" s="17" t="s">
        <v>60</v>
      </c>
      <c r="DQ1" s="17" t="s">
        <v>61</v>
      </c>
      <c r="DR1" s="17" t="s">
        <v>89</v>
      </c>
      <c r="DS1" s="17" t="s">
        <v>90</v>
      </c>
      <c r="DT1" s="17" t="s">
        <v>91</v>
      </c>
      <c r="DU1" s="17" t="s">
        <v>92</v>
      </c>
      <c r="DV1" s="17" t="s">
        <v>93</v>
      </c>
      <c r="DW1" s="17" t="s">
        <v>95</v>
      </c>
      <c r="DX1" s="17" t="s">
        <v>30</v>
      </c>
      <c r="DY1" s="17" t="s">
        <v>31</v>
      </c>
      <c r="DZ1" s="17" t="s">
        <v>73</v>
      </c>
      <c r="EA1" s="17" t="s">
        <v>98</v>
      </c>
      <c r="EB1" s="17" t="s">
        <v>99</v>
      </c>
      <c r="EC1" s="17" t="s">
        <v>100</v>
      </c>
      <c r="ED1" s="17" t="s">
        <v>95</v>
      </c>
      <c r="EE1" s="18" t="s">
        <v>101</v>
      </c>
      <c r="EF1" s="18" t="s">
        <v>94</v>
      </c>
      <c r="EG1" s="18" t="s">
        <v>94</v>
      </c>
      <c r="EH1" s="18" t="s">
        <v>102</v>
      </c>
      <c r="EI1" s="18" t="s">
        <v>73</v>
      </c>
      <c r="EJ1" s="18" t="s">
        <v>103</v>
      </c>
      <c r="EK1" s="18" t="s">
        <v>104</v>
      </c>
      <c r="EL1" s="18" t="s">
        <v>89</v>
      </c>
      <c r="EM1" s="18" t="s">
        <v>68</v>
      </c>
      <c r="EN1" s="18" t="s">
        <v>105</v>
      </c>
      <c r="EO1" s="18" t="s">
        <v>106</v>
      </c>
      <c r="EP1" s="18" t="s">
        <v>79</v>
      </c>
      <c r="EQ1" s="18" t="s">
        <v>107</v>
      </c>
      <c r="ER1" s="18" t="s">
        <v>108</v>
      </c>
      <c r="ES1" s="18" t="s">
        <v>109</v>
      </c>
      <c r="ET1" s="18" t="s">
        <v>110</v>
      </c>
      <c r="EU1" s="18" t="s">
        <v>30</v>
      </c>
      <c r="EV1" s="18" t="s">
        <v>73</v>
      </c>
      <c r="EW1" s="18" t="s">
        <v>31</v>
      </c>
      <c r="EX1" s="18" t="s">
        <v>111</v>
      </c>
      <c r="EY1" s="18" t="s">
        <v>112</v>
      </c>
      <c r="EZ1" s="18" t="s">
        <v>68</v>
      </c>
      <c r="FA1" s="18" t="s">
        <v>113</v>
      </c>
      <c r="FB1" s="18" t="s">
        <v>106</v>
      </c>
      <c r="FC1" s="18" t="s">
        <v>79</v>
      </c>
      <c r="FD1" s="18" t="s">
        <v>107</v>
      </c>
      <c r="FE1" s="18" t="s">
        <v>108</v>
      </c>
      <c r="FF1" s="18" t="s">
        <v>114</v>
      </c>
      <c r="FG1" s="18" t="s">
        <v>30</v>
      </c>
      <c r="FH1" s="18" t="s">
        <v>31</v>
      </c>
      <c r="FI1" s="18" t="s">
        <v>115</v>
      </c>
      <c r="FJ1" s="18" t="s">
        <v>116</v>
      </c>
      <c r="FK1" s="18" t="s">
        <v>117</v>
      </c>
      <c r="FL1" s="18" t="s">
        <v>118</v>
      </c>
      <c r="FM1" s="18" t="s">
        <v>119</v>
      </c>
      <c r="FN1" s="18" t="s">
        <v>30</v>
      </c>
      <c r="FO1" s="18" t="s">
        <v>31</v>
      </c>
      <c r="FP1" s="18" t="s">
        <v>58</v>
      </c>
      <c r="FQ1" s="18" t="s">
        <v>120</v>
      </c>
      <c r="FR1" s="18" t="s">
        <v>121</v>
      </c>
      <c r="FS1" s="18" t="s">
        <v>122</v>
      </c>
      <c r="FT1" s="18" t="s">
        <v>30</v>
      </c>
      <c r="FU1" s="18" t="s">
        <v>31</v>
      </c>
      <c r="FV1" s="18" t="s">
        <v>123</v>
      </c>
      <c r="FW1" s="18" t="s">
        <v>124</v>
      </c>
      <c r="FX1" s="18" t="s">
        <v>125</v>
      </c>
      <c r="FY1" s="18" t="s">
        <v>126</v>
      </c>
      <c r="FZ1" s="18" t="s">
        <v>30</v>
      </c>
      <c r="GA1" s="18" t="s">
        <v>31</v>
      </c>
      <c r="GB1" s="18" t="s">
        <v>127</v>
      </c>
      <c r="GC1" s="18" t="s">
        <v>128</v>
      </c>
      <c r="GD1" s="18" t="s">
        <v>129</v>
      </c>
      <c r="GE1" s="18" t="s">
        <v>130</v>
      </c>
      <c r="GF1" s="18" t="s">
        <v>30</v>
      </c>
      <c r="GG1" s="18" t="s">
        <v>31</v>
      </c>
      <c r="GH1" s="18" t="s">
        <v>131</v>
      </c>
      <c r="GI1" s="18" t="s">
        <v>132</v>
      </c>
      <c r="GJ1" s="18" t="s">
        <v>133</v>
      </c>
      <c r="GK1" s="18" t="s">
        <v>46</v>
      </c>
      <c r="GL1" s="18" t="s">
        <v>134</v>
      </c>
      <c r="GM1" s="18" t="s">
        <v>129</v>
      </c>
      <c r="GN1" s="18" t="s">
        <v>126</v>
      </c>
      <c r="GO1" s="18" t="s">
        <v>122</v>
      </c>
      <c r="GP1" s="18" t="s">
        <v>117</v>
      </c>
      <c r="GQ1" s="18" t="s">
        <v>135</v>
      </c>
      <c r="GR1" s="18" t="s">
        <v>136</v>
      </c>
      <c r="GS1" s="18" t="s">
        <v>137</v>
      </c>
      <c r="GT1" s="18" t="s">
        <v>119</v>
      </c>
      <c r="GU1" s="18" t="s">
        <v>110</v>
      </c>
      <c r="GV1" s="17"/>
      <c r="GW1" s="17"/>
      <c r="GX1" s="17"/>
      <c r="GY1" s="17"/>
      <c r="GZ1" s="17"/>
      <c r="HA1" s="17"/>
    </row>
    <row r="2" ht="23.25" customHeight="1">
      <c r="A2" s="19">
        <v>44132.81100371528</v>
      </c>
      <c r="B2" s="20">
        <v>3.0</v>
      </c>
      <c r="C2" s="20" t="s">
        <v>17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3" t="s">
        <v>138</v>
      </c>
      <c r="CT2" s="23" t="s">
        <v>139</v>
      </c>
      <c r="CU2" s="24">
        <v>44121.0</v>
      </c>
      <c r="CV2" s="24">
        <v>44121.0</v>
      </c>
      <c r="CW2" s="23">
        <v>111.0</v>
      </c>
      <c r="CX2" s="23" t="s">
        <v>140</v>
      </c>
      <c r="CY2" s="23" t="s">
        <v>141</v>
      </c>
      <c r="CZ2" s="23">
        <v>0.0</v>
      </c>
      <c r="DA2" s="23">
        <v>0.0</v>
      </c>
      <c r="DB2" s="23">
        <v>0.0</v>
      </c>
      <c r="DC2" s="25" t="s">
        <v>142</v>
      </c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3" t="s">
        <v>143</v>
      </c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2"/>
      <c r="GV2" s="22"/>
      <c r="GW2" s="22"/>
      <c r="GX2" s="22"/>
      <c r="GY2" s="22"/>
      <c r="GZ2" s="22"/>
      <c r="HA2" s="22"/>
    </row>
    <row r="3" ht="23.25" customHeight="1">
      <c r="A3" s="19">
        <v>44132.82930810185</v>
      </c>
      <c r="B3" s="20">
        <v>7.0</v>
      </c>
      <c r="C3" s="20" t="s">
        <v>17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3" t="s">
        <v>144</v>
      </c>
      <c r="CT3" s="23" t="s">
        <v>139</v>
      </c>
      <c r="CU3" s="24">
        <v>44093.0</v>
      </c>
      <c r="CV3" s="24">
        <v>44093.0</v>
      </c>
      <c r="CW3" s="23">
        <v>50.0</v>
      </c>
      <c r="CX3" s="23" t="s">
        <v>145</v>
      </c>
      <c r="CY3" s="23" t="s">
        <v>146</v>
      </c>
      <c r="CZ3" s="23">
        <v>0.0</v>
      </c>
      <c r="DA3" s="23">
        <v>0.0</v>
      </c>
      <c r="DB3" s="23">
        <v>0.0</v>
      </c>
      <c r="DC3" s="25" t="s">
        <v>147</v>
      </c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3" t="s">
        <v>143</v>
      </c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2"/>
      <c r="GV3" s="22"/>
      <c r="GW3" s="22"/>
      <c r="GX3" s="22"/>
      <c r="GY3" s="22"/>
      <c r="GZ3" s="22"/>
      <c r="HA3" s="22"/>
    </row>
    <row r="4" ht="23.25" customHeight="1">
      <c r="A4" s="19">
        <v>44133.845226377314</v>
      </c>
      <c r="B4" s="20">
        <v>5.0</v>
      </c>
      <c r="C4" s="20" t="s">
        <v>14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0" t="s">
        <v>148</v>
      </c>
      <c r="BJ4" s="20" t="s">
        <v>149</v>
      </c>
      <c r="BK4" s="20" t="s">
        <v>150</v>
      </c>
      <c r="BL4" s="20" t="s">
        <v>151</v>
      </c>
      <c r="BM4" s="20" t="s">
        <v>152</v>
      </c>
      <c r="BN4" s="20">
        <v>2.0</v>
      </c>
      <c r="BO4" s="27">
        <v>43462.0</v>
      </c>
      <c r="BP4" s="27">
        <v>43463.0</v>
      </c>
      <c r="BQ4" s="20" t="s">
        <v>153</v>
      </c>
      <c r="BR4" s="20" t="s">
        <v>154</v>
      </c>
      <c r="BS4" s="20" t="s">
        <v>155</v>
      </c>
      <c r="BT4" s="20" t="s">
        <v>156</v>
      </c>
      <c r="BU4" s="21"/>
      <c r="BV4" s="28" t="s">
        <v>157</v>
      </c>
      <c r="BW4" s="21"/>
      <c r="BX4" s="21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3" t="s">
        <v>158</v>
      </c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2"/>
      <c r="GV4" s="22"/>
      <c r="GW4" s="22"/>
      <c r="GX4" s="22"/>
      <c r="GY4" s="22"/>
      <c r="GZ4" s="22"/>
      <c r="HA4" s="22"/>
    </row>
    <row r="5" ht="23.25" customHeight="1">
      <c r="A5" s="19">
        <v>44134.791262604165</v>
      </c>
      <c r="B5" s="20">
        <v>5.0</v>
      </c>
      <c r="C5" s="20" t="s">
        <v>20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3" t="s">
        <v>148</v>
      </c>
      <c r="DY5" s="23" t="s">
        <v>149</v>
      </c>
      <c r="DZ5" s="23" t="s">
        <v>159</v>
      </c>
      <c r="EA5" s="23" t="s">
        <v>160</v>
      </c>
      <c r="EB5" s="24">
        <v>43897.0</v>
      </c>
      <c r="EC5" s="23" t="s">
        <v>161</v>
      </c>
      <c r="ED5" s="25" t="s">
        <v>162</v>
      </c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3" t="s">
        <v>158</v>
      </c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2"/>
      <c r="GV5" s="22"/>
      <c r="GW5" s="22"/>
      <c r="GX5" s="22"/>
      <c r="GY5" s="22"/>
      <c r="GZ5" s="22"/>
      <c r="HA5" s="22"/>
    </row>
    <row r="6" ht="23.25" customHeight="1">
      <c r="A6" s="19">
        <v>44154.96859550926</v>
      </c>
      <c r="B6" s="20">
        <v>3.0</v>
      </c>
      <c r="C6" s="20" t="s">
        <v>18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3" t="s">
        <v>163</v>
      </c>
      <c r="DE6" s="23" t="s">
        <v>164</v>
      </c>
      <c r="DF6" s="24">
        <v>44151.0</v>
      </c>
      <c r="DG6" s="24">
        <v>44151.0</v>
      </c>
      <c r="DH6" s="23">
        <v>100.0</v>
      </c>
      <c r="DI6" s="23" t="s">
        <v>165</v>
      </c>
      <c r="DJ6" s="23" t="s">
        <v>166</v>
      </c>
      <c r="DK6" s="23">
        <v>0.0</v>
      </c>
      <c r="DL6" s="23">
        <v>0.0</v>
      </c>
      <c r="DM6" s="25" t="s">
        <v>167</v>
      </c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3">
        <v>0.0</v>
      </c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3" t="s">
        <v>168</v>
      </c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2"/>
      <c r="GV6" s="22"/>
      <c r="GW6" s="22"/>
      <c r="GX6" s="22"/>
      <c r="GY6" s="22"/>
      <c r="GZ6" s="22"/>
      <c r="HA6" s="22"/>
    </row>
    <row r="7" ht="23.25" customHeight="1">
      <c r="A7" s="19">
        <v>44258.46625006944</v>
      </c>
      <c r="B7" s="20">
        <v>3.0</v>
      </c>
      <c r="C7" s="20" t="s">
        <v>14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0" t="s">
        <v>169</v>
      </c>
      <c r="BJ7" s="20" t="s">
        <v>170</v>
      </c>
      <c r="BK7" s="20" t="s">
        <v>171</v>
      </c>
      <c r="BL7" s="20" t="s">
        <v>172</v>
      </c>
      <c r="BM7" s="20" t="s">
        <v>173</v>
      </c>
      <c r="BN7" s="20">
        <v>1.0</v>
      </c>
      <c r="BO7" s="27">
        <v>44254.0</v>
      </c>
      <c r="BP7" s="27">
        <v>44254.0</v>
      </c>
      <c r="BQ7" s="20" t="s">
        <v>174</v>
      </c>
      <c r="BR7" s="20" t="s">
        <v>175</v>
      </c>
      <c r="BS7" s="20" t="s">
        <v>176</v>
      </c>
      <c r="BT7" s="20" t="s">
        <v>156</v>
      </c>
      <c r="BU7" s="21"/>
      <c r="BV7" s="28" t="s">
        <v>177</v>
      </c>
      <c r="BW7" s="21"/>
      <c r="BX7" s="21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3" t="s">
        <v>178</v>
      </c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2"/>
      <c r="GV7" s="22"/>
      <c r="GW7" s="22"/>
      <c r="GX7" s="22"/>
      <c r="GY7" s="22"/>
      <c r="GZ7" s="22"/>
      <c r="HA7" s="22"/>
    </row>
    <row r="8" ht="23.25" customHeight="1">
      <c r="A8" s="19">
        <v>44258.46939586806</v>
      </c>
      <c r="B8" s="20">
        <v>3.0</v>
      </c>
      <c r="C8" s="20" t="s">
        <v>14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0" t="s">
        <v>179</v>
      </c>
      <c r="BJ8" s="20" t="s">
        <v>180</v>
      </c>
      <c r="BK8" s="20" t="s">
        <v>171</v>
      </c>
      <c r="BL8" s="20" t="s">
        <v>172</v>
      </c>
      <c r="BM8" s="20" t="s">
        <v>173</v>
      </c>
      <c r="BN8" s="20">
        <v>1.0</v>
      </c>
      <c r="BO8" s="27">
        <v>44254.0</v>
      </c>
      <c r="BP8" s="27">
        <v>44254.0</v>
      </c>
      <c r="BQ8" s="20" t="s">
        <v>174</v>
      </c>
      <c r="BR8" s="20" t="s">
        <v>181</v>
      </c>
      <c r="BS8" s="20" t="s">
        <v>176</v>
      </c>
      <c r="BT8" s="20" t="s">
        <v>156</v>
      </c>
      <c r="BU8" s="21"/>
      <c r="BV8" s="28" t="s">
        <v>182</v>
      </c>
      <c r="BW8" s="21"/>
      <c r="BX8" s="21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3" t="s">
        <v>178</v>
      </c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2"/>
      <c r="GV8" s="22"/>
      <c r="GW8" s="22"/>
      <c r="GX8" s="22"/>
      <c r="GY8" s="22"/>
      <c r="GZ8" s="22"/>
      <c r="HA8" s="22"/>
    </row>
    <row r="9" ht="23.25" customHeight="1">
      <c r="A9" s="19">
        <v>44258.47111090278</v>
      </c>
      <c r="B9" s="20">
        <v>3.0</v>
      </c>
      <c r="C9" s="20" t="s">
        <v>14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0" t="s">
        <v>183</v>
      </c>
      <c r="BJ9" s="20" t="s">
        <v>184</v>
      </c>
      <c r="BK9" s="20" t="s">
        <v>171</v>
      </c>
      <c r="BL9" s="20" t="s">
        <v>172</v>
      </c>
      <c r="BM9" s="20" t="s">
        <v>185</v>
      </c>
      <c r="BN9" s="20">
        <v>1.0</v>
      </c>
      <c r="BO9" s="27">
        <v>44254.0</v>
      </c>
      <c r="BP9" s="27">
        <v>44254.0</v>
      </c>
      <c r="BQ9" s="20" t="s">
        <v>174</v>
      </c>
      <c r="BR9" s="20" t="s">
        <v>186</v>
      </c>
      <c r="BS9" s="20" t="s">
        <v>176</v>
      </c>
      <c r="BT9" s="20" t="s">
        <v>156</v>
      </c>
      <c r="BU9" s="21"/>
      <c r="BV9" s="28" t="s">
        <v>187</v>
      </c>
      <c r="BW9" s="21"/>
      <c r="BX9" s="21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3" t="s">
        <v>178</v>
      </c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2"/>
      <c r="GV9" s="22"/>
      <c r="GW9" s="22"/>
      <c r="GX9" s="22"/>
      <c r="GY9" s="22"/>
      <c r="GZ9" s="22"/>
      <c r="HA9" s="22"/>
    </row>
    <row r="10" ht="23.25" customHeight="1">
      <c r="A10" s="19">
        <v>44258.4727115625</v>
      </c>
      <c r="B10" s="20">
        <v>3.0</v>
      </c>
      <c r="C10" s="20" t="s">
        <v>14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0" t="s">
        <v>188</v>
      </c>
      <c r="BJ10" s="20" t="s">
        <v>189</v>
      </c>
      <c r="BK10" s="20" t="s">
        <v>171</v>
      </c>
      <c r="BL10" s="20" t="s">
        <v>172</v>
      </c>
      <c r="BM10" s="20" t="s">
        <v>185</v>
      </c>
      <c r="BN10" s="20">
        <v>1.0</v>
      </c>
      <c r="BO10" s="27">
        <v>44254.0</v>
      </c>
      <c r="BP10" s="27">
        <v>44254.0</v>
      </c>
      <c r="BQ10" s="20" t="s">
        <v>174</v>
      </c>
      <c r="BR10" s="20" t="s">
        <v>190</v>
      </c>
      <c r="BS10" s="20" t="s">
        <v>176</v>
      </c>
      <c r="BT10" s="20" t="s">
        <v>156</v>
      </c>
      <c r="BU10" s="21"/>
      <c r="BV10" s="28" t="s">
        <v>191</v>
      </c>
      <c r="BW10" s="21"/>
      <c r="BX10" s="21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3" t="s">
        <v>178</v>
      </c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2"/>
      <c r="GV10" s="22"/>
      <c r="GW10" s="22"/>
      <c r="GX10" s="22"/>
      <c r="GY10" s="22"/>
      <c r="GZ10" s="22"/>
      <c r="HA10" s="22"/>
    </row>
    <row r="11" ht="23.25" customHeight="1">
      <c r="A11" s="19">
        <v>44258.47435296296</v>
      </c>
      <c r="B11" s="20">
        <v>3.0</v>
      </c>
      <c r="C11" s="20" t="s">
        <v>14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0" t="s">
        <v>192</v>
      </c>
      <c r="BJ11" s="20" t="s">
        <v>193</v>
      </c>
      <c r="BK11" s="20" t="s">
        <v>171</v>
      </c>
      <c r="BL11" s="20" t="s">
        <v>172</v>
      </c>
      <c r="BM11" s="20" t="s">
        <v>185</v>
      </c>
      <c r="BN11" s="20">
        <v>1.0</v>
      </c>
      <c r="BO11" s="27">
        <v>44254.0</v>
      </c>
      <c r="BP11" s="27">
        <v>44254.0</v>
      </c>
      <c r="BQ11" s="20" t="s">
        <v>174</v>
      </c>
      <c r="BR11" s="20" t="s">
        <v>190</v>
      </c>
      <c r="BS11" s="20" t="s">
        <v>176</v>
      </c>
      <c r="BT11" s="20" t="s">
        <v>156</v>
      </c>
      <c r="BU11" s="21"/>
      <c r="BV11" s="28" t="s">
        <v>194</v>
      </c>
      <c r="BW11" s="21"/>
      <c r="BX11" s="21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3" t="s">
        <v>178</v>
      </c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2"/>
      <c r="GV11" s="22"/>
      <c r="GW11" s="22"/>
      <c r="GX11" s="22"/>
      <c r="GY11" s="22"/>
      <c r="GZ11" s="22"/>
      <c r="HA11" s="22"/>
    </row>
    <row r="12" ht="23.25" customHeight="1">
      <c r="A12" s="19">
        <v>44266.77102185185</v>
      </c>
      <c r="B12" s="20">
        <v>1.0</v>
      </c>
      <c r="C12" s="20" t="s">
        <v>17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3" t="s">
        <v>195</v>
      </c>
      <c r="CT12" s="23" t="s">
        <v>196</v>
      </c>
      <c r="CU12" s="24">
        <v>44263.0</v>
      </c>
      <c r="CV12" s="24">
        <v>44263.0</v>
      </c>
      <c r="CW12" s="23">
        <v>30.0</v>
      </c>
      <c r="CX12" s="23" t="s">
        <v>197</v>
      </c>
      <c r="CY12" s="23" t="s">
        <v>198</v>
      </c>
      <c r="CZ12" s="23">
        <v>0.0</v>
      </c>
      <c r="DA12" s="22"/>
      <c r="DB12" s="22"/>
      <c r="DC12" s="25" t="s">
        <v>199</v>
      </c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3" t="s">
        <v>200</v>
      </c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2"/>
      <c r="GV12" s="22"/>
      <c r="GW12" s="22"/>
      <c r="GX12" s="22"/>
      <c r="GY12" s="22"/>
      <c r="GZ12" s="22"/>
      <c r="HA12" s="22"/>
    </row>
    <row r="13" ht="23.25" customHeight="1">
      <c r="A13" s="19">
        <v>44269.46586283565</v>
      </c>
      <c r="B13" s="20">
        <v>3.0</v>
      </c>
      <c r="C13" s="20" t="s">
        <v>14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0" t="s">
        <v>169</v>
      </c>
      <c r="BJ13" s="20" t="s">
        <v>170</v>
      </c>
      <c r="BK13" s="20" t="s">
        <v>171</v>
      </c>
      <c r="BL13" s="20" t="s">
        <v>151</v>
      </c>
      <c r="BM13" s="20" t="s">
        <v>201</v>
      </c>
      <c r="BN13" s="20">
        <v>1.0</v>
      </c>
      <c r="BO13" s="27">
        <v>44267.0</v>
      </c>
      <c r="BP13" s="27">
        <v>44267.0</v>
      </c>
      <c r="BQ13" s="20" t="s">
        <v>174</v>
      </c>
      <c r="BR13" s="20" t="s">
        <v>202</v>
      </c>
      <c r="BS13" s="20" t="s">
        <v>176</v>
      </c>
      <c r="BT13" s="20" t="s">
        <v>156</v>
      </c>
      <c r="BU13" s="20">
        <v>0.0</v>
      </c>
      <c r="BV13" s="28" t="s">
        <v>203</v>
      </c>
      <c r="BW13" s="21"/>
      <c r="BX13" s="21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3" t="s">
        <v>204</v>
      </c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2"/>
      <c r="GV13" s="22"/>
      <c r="GW13" s="22"/>
      <c r="GX13" s="22"/>
      <c r="GY13" s="22"/>
      <c r="GZ13" s="22"/>
      <c r="HA13" s="22"/>
    </row>
    <row r="14" ht="23.25" customHeight="1">
      <c r="A14" s="19">
        <v>44269.467565520834</v>
      </c>
      <c r="B14" s="20">
        <v>3.0</v>
      </c>
      <c r="C14" s="20" t="s">
        <v>14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0" t="s">
        <v>179</v>
      </c>
      <c r="BJ14" s="20" t="s">
        <v>180</v>
      </c>
      <c r="BK14" s="20" t="s">
        <v>171</v>
      </c>
      <c r="BL14" s="20" t="s">
        <v>172</v>
      </c>
      <c r="BM14" s="20" t="s">
        <v>201</v>
      </c>
      <c r="BN14" s="20">
        <v>1.0</v>
      </c>
      <c r="BO14" s="27">
        <v>44267.0</v>
      </c>
      <c r="BP14" s="27">
        <v>44267.0</v>
      </c>
      <c r="BQ14" s="20" t="s">
        <v>174</v>
      </c>
      <c r="BR14" s="20" t="s">
        <v>202</v>
      </c>
      <c r="BS14" s="20" t="s">
        <v>176</v>
      </c>
      <c r="BT14" s="20" t="s">
        <v>156</v>
      </c>
      <c r="BU14" s="20">
        <v>0.0</v>
      </c>
      <c r="BV14" s="28" t="s">
        <v>205</v>
      </c>
      <c r="BW14" s="21"/>
      <c r="BX14" s="21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3" t="s">
        <v>204</v>
      </c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2"/>
      <c r="GV14" s="22"/>
      <c r="GW14" s="22"/>
      <c r="GX14" s="22"/>
      <c r="GY14" s="22"/>
      <c r="GZ14" s="22"/>
      <c r="HA14" s="22"/>
    </row>
    <row r="15" ht="23.25" customHeight="1">
      <c r="A15" s="19">
        <v>44269.470605104165</v>
      </c>
      <c r="B15" s="20">
        <v>3.0</v>
      </c>
      <c r="C15" s="20" t="s">
        <v>14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0" t="s">
        <v>183</v>
      </c>
      <c r="BJ15" s="20" t="s">
        <v>206</v>
      </c>
      <c r="BK15" s="20" t="s">
        <v>171</v>
      </c>
      <c r="BL15" s="20" t="s">
        <v>172</v>
      </c>
      <c r="BM15" s="20" t="s">
        <v>201</v>
      </c>
      <c r="BN15" s="20">
        <v>1.0</v>
      </c>
      <c r="BO15" s="27">
        <v>44267.0</v>
      </c>
      <c r="BP15" s="27">
        <v>44267.0</v>
      </c>
      <c r="BQ15" s="20" t="s">
        <v>174</v>
      </c>
      <c r="BR15" s="20" t="s">
        <v>202</v>
      </c>
      <c r="BS15" s="20" t="s">
        <v>176</v>
      </c>
      <c r="BT15" s="20" t="s">
        <v>156</v>
      </c>
      <c r="BU15" s="21"/>
      <c r="BV15" s="28" t="s">
        <v>207</v>
      </c>
      <c r="BW15" s="21"/>
      <c r="BX15" s="21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3" t="s">
        <v>204</v>
      </c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2"/>
      <c r="GV15" s="22"/>
      <c r="GW15" s="22"/>
      <c r="GX15" s="22"/>
      <c r="GY15" s="22"/>
      <c r="GZ15" s="22"/>
      <c r="HA15" s="22"/>
    </row>
    <row r="16" ht="23.25" customHeight="1">
      <c r="A16" s="19">
        <v>44269.47334386574</v>
      </c>
      <c r="B16" s="20">
        <v>3.0</v>
      </c>
      <c r="C16" s="20" t="s">
        <v>14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0" t="s">
        <v>188</v>
      </c>
      <c r="BJ16" s="20" t="s">
        <v>208</v>
      </c>
      <c r="BK16" s="20" t="s">
        <v>171</v>
      </c>
      <c r="BL16" s="20" t="s">
        <v>172</v>
      </c>
      <c r="BM16" s="20" t="s">
        <v>209</v>
      </c>
      <c r="BN16" s="20">
        <v>1.0</v>
      </c>
      <c r="BO16" s="27">
        <v>44267.0</v>
      </c>
      <c r="BP16" s="27">
        <v>44267.0</v>
      </c>
      <c r="BQ16" s="20" t="s">
        <v>174</v>
      </c>
      <c r="BR16" s="20" t="s">
        <v>210</v>
      </c>
      <c r="BS16" s="20" t="s">
        <v>176</v>
      </c>
      <c r="BT16" s="20" t="s">
        <v>156</v>
      </c>
      <c r="BU16" s="20">
        <v>0.0</v>
      </c>
      <c r="BV16" s="28" t="s">
        <v>211</v>
      </c>
      <c r="BW16" s="21"/>
      <c r="BX16" s="21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3" t="s">
        <v>204</v>
      </c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2"/>
      <c r="GV16" s="22"/>
      <c r="GW16" s="22"/>
      <c r="GX16" s="22"/>
      <c r="GY16" s="22"/>
      <c r="GZ16" s="22"/>
      <c r="HA16" s="22"/>
    </row>
    <row r="17" ht="23.25" customHeight="1">
      <c r="A17" s="19">
        <v>44269.47505299769</v>
      </c>
      <c r="B17" s="20">
        <v>3.0</v>
      </c>
      <c r="C17" s="20" t="s">
        <v>14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0" t="s">
        <v>192</v>
      </c>
      <c r="BJ17" s="20" t="s">
        <v>212</v>
      </c>
      <c r="BK17" s="20" t="s">
        <v>171</v>
      </c>
      <c r="BL17" s="20" t="s">
        <v>172</v>
      </c>
      <c r="BM17" s="20" t="s">
        <v>201</v>
      </c>
      <c r="BN17" s="20">
        <v>1.0</v>
      </c>
      <c r="BO17" s="27">
        <v>44267.0</v>
      </c>
      <c r="BP17" s="27">
        <v>44267.0</v>
      </c>
      <c r="BQ17" s="20" t="s">
        <v>174</v>
      </c>
      <c r="BR17" s="20" t="s">
        <v>210</v>
      </c>
      <c r="BS17" s="20" t="s">
        <v>176</v>
      </c>
      <c r="BT17" s="20" t="s">
        <v>156</v>
      </c>
      <c r="BU17" s="20">
        <v>0.0</v>
      </c>
      <c r="BV17" s="28" t="s">
        <v>213</v>
      </c>
      <c r="BW17" s="21"/>
      <c r="BX17" s="21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3" t="s">
        <v>204</v>
      </c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2"/>
      <c r="GV17" s="22"/>
      <c r="GW17" s="22"/>
      <c r="GX17" s="22"/>
      <c r="GY17" s="22"/>
      <c r="GZ17" s="22"/>
      <c r="HA17" s="22"/>
    </row>
    <row r="18" ht="23.25" customHeight="1">
      <c r="A18" s="19">
        <v>44273.6682550463</v>
      </c>
      <c r="B18" s="20">
        <v>3.0</v>
      </c>
      <c r="C18" s="20" t="s">
        <v>17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3" t="s">
        <v>214</v>
      </c>
      <c r="CT18" s="23" t="s">
        <v>215</v>
      </c>
      <c r="CU18" s="24">
        <v>44240.0</v>
      </c>
      <c r="CV18" s="24">
        <v>44241.0</v>
      </c>
      <c r="CW18" s="23">
        <v>58.0</v>
      </c>
      <c r="CX18" s="23" t="s">
        <v>216</v>
      </c>
      <c r="CY18" s="23" t="s">
        <v>217</v>
      </c>
      <c r="CZ18" s="23">
        <v>0.0</v>
      </c>
      <c r="DA18" s="23">
        <v>0.0</v>
      </c>
      <c r="DB18" s="23">
        <v>0.0</v>
      </c>
      <c r="DC18" s="25" t="s">
        <v>218</v>
      </c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3" t="s">
        <v>219</v>
      </c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2"/>
      <c r="GV18" s="22"/>
      <c r="GW18" s="22"/>
      <c r="GX18" s="22"/>
      <c r="GY18" s="22"/>
      <c r="GZ18" s="22"/>
      <c r="HA18" s="22"/>
    </row>
    <row r="19" ht="23.25" customHeight="1">
      <c r="A19" s="19">
        <v>44489.6607491551</v>
      </c>
      <c r="B19" s="20">
        <v>5.0</v>
      </c>
      <c r="C19" s="20" t="s">
        <v>17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3" t="s">
        <v>220</v>
      </c>
      <c r="CT19" s="23" t="s">
        <v>196</v>
      </c>
      <c r="CU19" s="24">
        <v>44469.0</v>
      </c>
      <c r="CV19" s="24">
        <v>44469.0</v>
      </c>
      <c r="CW19" s="23">
        <v>60.0</v>
      </c>
      <c r="CX19" s="23" t="s">
        <v>221</v>
      </c>
      <c r="CY19" s="23" t="s">
        <v>222</v>
      </c>
      <c r="CZ19" s="23">
        <v>1400.0</v>
      </c>
      <c r="DA19" s="23">
        <v>1400.0</v>
      </c>
      <c r="DB19" s="23">
        <v>1400.0</v>
      </c>
      <c r="DC19" s="25" t="s">
        <v>223</v>
      </c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3" t="s">
        <v>224</v>
      </c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2"/>
      <c r="GV19" s="22"/>
      <c r="GW19" s="22"/>
      <c r="GX19" s="22"/>
      <c r="GY19" s="22"/>
      <c r="GZ19" s="22"/>
      <c r="HA19" s="22"/>
    </row>
    <row r="20" ht="23.25" customHeight="1">
      <c r="A20" s="19">
        <v>44501.42882302083</v>
      </c>
      <c r="B20" s="20">
        <v>3.0</v>
      </c>
      <c r="C20" s="20" t="s">
        <v>17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3" t="s">
        <v>225</v>
      </c>
      <c r="CT20" s="23" t="s">
        <v>139</v>
      </c>
      <c r="CU20" s="24">
        <v>44492.0</v>
      </c>
      <c r="CV20" s="24">
        <v>44492.0</v>
      </c>
      <c r="CW20" s="23">
        <v>114.0</v>
      </c>
      <c r="CX20" s="23" t="s">
        <v>226</v>
      </c>
      <c r="CY20" s="23" t="s">
        <v>227</v>
      </c>
      <c r="CZ20" s="23">
        <v>0.0</v>
      </c>
      <c r="DA20" s="22"/>
      <c r="DB20" s="22"/>
      <c r="DC20" s="25" t="s">
        <v>228</v>
      </c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3" t="s">
        <v>178</v>
      </c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2"/>
      <c r="GV20" s="22"/>
      <c r="GW20" s="22"/>
      <c r="GX20" s="22"/>
      <c r="GY20" s="22"/>
      <c r="GZ20" s="22"/>
      <c r="HA20" s="22"/>
    </row>
    <row r="21" ht="23.25" customHeight="1">
      <c r="A21" s="19">
        <v>44533.61670946759</v>
      </c>
      <c r="B21" s="20" t="s">
        <v>4</v>
      </c>
      <c r="C21" s="20" t="s">
        <v>22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3" t="s">
        <v>229</v>
      </c>
      <c r="EV21" s="22"/>
      <c r="EW21" s="23" t="s">
        <v>230</v>
      </c>
      <c r="EX21" s="23" t="s">
        <v>231</v>
      </c>
      <c r="EY21" s="23" t="s">
        <v>232</v>
      </c>
      <c r="EZ21" s="22"/>
      <c r="FA21" s="24">
        <v>44579.0</v>
      </c>
      <c r="FB21" s="22"/>
      <c r="FC21" s="22"/>
      <c r="FD21" s="22"/>
      <c r="FE21" s="22"/>
      <c r="FF21" s="25" t="s">
        <v>233</v>
      </c>
      <c r="FG21" s="22"/>
      <c r="FH21" s="22"/>
      <c r="FI21" s="22"/>
      <c r="FJ21" s="22"/>
      <c r="FK21" s="22"/>
      <c r="FL21" s="23" t="s">
        <v>234</v>
      </c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2"/>
      <c r="GV21" s="22"/>
      <c r="GW21" s="22"/>
      <c r="GX21" s="22"/>
      <c r="GY21" s="22"/>
      <c r="GZ21" s="22"/>
      <c r="HA21" s="22"/>
    </row>
    <row r="22" ht="23.25" customHeight="1">
      <c r="A22" s="19">
        <v>44533.750061886574</v>
      </c>
      <c r="B22" s="20" t="s">
        <v>5</v>
      </c>
      <c r="C22" s="20" t="s">
        <v>22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3" t="s">
        <v>235</v>
      </c>
      <c r="EV22" s="22"/>
      <c r="EW22" s="23" t="s">
        <v>236</v>
      </c>
      <c r="EX22" s="23" t="s">
        <v>237</v>
      </c>
      <c r="EY22" s="23" t="s">
        <v>238</v>
      </c>
      <c r="EZ22" s="22"/>
      <c r="FA22" s="24">
        <v>44445.0</v>
      </c>
      <c r="FB22" s="22"/>
      <c r="FC22" s="22"/>
      <c r="FD22" s="22"/>
      <c r="FE22" s="22"/>
      <c r="FF22" s="25" t="s">
        <v>239</v>
      </c>
      <c r="FG22" s="22"/>
      <c r="FH22" s="22"/>
      <c r="FI22" s="22"/>
      <c r="FJ22" s="22"/>
      <c r="FK22" s="22"/>
      <c r="FL22" s="23" t="s">
        <v>240</v>
      </c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2"/>
      <c r="GV22" s="22"/>
      <c r="GW22" s="22"/>
      <c r="GX22" s="22"/>
      <c r="GY22" s="22"/>
      <c r="GZ22" s="22"/>
      <c r="HA22" s="22"/>
    </row>
    <row r="23" ht="23.25" customHeight="1">
      <c r="A23" s="19">
        <v>44533.91458686342</v>
      </c>
      <c r="B23" s="20" t="s">
        <v>5</v>
      </c>
      <c r="C23" s="20" t="s">
        <v>22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3" t="s">
        <v>241</v>
      </c>
      <c r="EV23" s="22"/>
      <c r="EW23" s="23" t="s">
        <v>242</v>
      </c>
      <c r="EX23" s="23" t="s">
        <v>243</v>
      </c>
      <c r="EY23" s="23" t="s">
        <v>244</v>
      </c>
      <c r="EZ23" s="22"/>
      <c r="FA23" s="24">
        <v>44434.0</v>
      </c>
      <c r="FB23" s="22"/>
      <c r="FC23" s="22"/>
      <c r="FD23" s="22"/>
      <c r="FE23" s="22"/>
      <c r="FF23" s="25" t="s">
        <v>245</v>
      </c>
      <c r="FG23" s="22"/>
      <c r="FH23" s="22"/>
      <c r="FI23" s="22"/>
      <c r="FJ23" s="22"/>
      <c r="FK23" s="22"/>
      <c r="FL23" s="23" t="s">
        <v>246</v>
      </c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2"/>
      <c r="GV23" s="22"/>
      <c r="GW23" s="22"/>
      <c r="GX23" s="22"/>
      <c r="GY23" s="22"/>
      <c r="GZ23" s="22"/>
      <c r="HA23" s="22"/>
    </row>
    <row r="24" ht="23.25" customHeight="1">
      <c r="A24" s="19">
        <v>44558.4615409838</v>
      </c>
      <c r="B24" s="20" t="s">
        <v>2</v>
      </c>
      <c r="C24" s="20" t="s">
        <v>22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3" t="s">
        <v>247</v>
      </c>
      <c r="EV24" s="22"/>
      <c r="EW24" s="23" t="s">
        <v>248</v>
      </c>
      <c r="EX24" s="23" t="s">
        <v>243</v>
      </c>
      <c r="EY24" s="23" t="s">
        <v>249</v>
      </c>
      <c r="EZ24" s="22"/>
      <c r="FA24" s="24">
        <v>44567.0</v>
      </c>
      <c r="FB24" s="22"/>
      <c r="FC24" s="22"/>
      <c r="FD24" s="22"/>
      <c r="FE24" s="22"/>
      <c r="FF24" s="25" t="s">
        <v>250</v>
      </c>
      <c r="FG24" s="22"/>
      <c r="FH24" s="22"/>
      <c r="FI24" s="22"/>
      <c r="FJ24" s="22"/>
      <c r="FK24" s="22"/>
      <c r="FL24" s="23" t="s">
        <v>251</v>
      </c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2"/>
      <c r="GV24" s="22"/>
      <c r="GW24" s="22"/>
      <c r="GX24" s="22"/>
      <c r="GY24" s="22"/>
      <c r="GZ24" s="22"/>
      <c r="HA24" s="22"/>
    </row>
    <row r="25" ht="23.25" customHeight="1">
      <c r="A25" s="19">
        <v>44645.386614386574</v>
      </c>
      <c r="B25" s="20" t="s">
        <v>6</v>
      </c>
      <c r="C25" s="20" t="s">
        <v>12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0" t="s">
        <v>252</v>
      </c>
      <c r="AO25" s="20" t="s">
        <v>253</v>
      </c>
      <c r="AP25" s="20" t="s">
        <v>254</v>
      </c>
      <c r="AQ25" s="20" t="s">
        <v>255</v>
      </c>
      <c r="AR25" s="27">
        <v>44621.0</v>
      </c>
      <c r="AS25" s="27">
        <v>44701.0</v>
      </c>
      <c r="AT25" s="20" t="s">
        <v>256</v>
      </c>
      <c r="AU25" s="20" t="s">
        <v>257</v>
      </c>
      <c r="AV25" s="20">
        <v>0.0</v>
      </c>
      <c r="AW25" s="28" t="s">
        <v>258</v>
      </c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3" t="s">
        <v>259</v>
      </c>
      <c r="FM25" s="23" t="s">
        <v>260</v>
      </c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2"/>
      <c r="GT25" s="22"/>
      <c r="GU25" s="22"/>
      <c r="GV25" s="22"/>
      <c r="GW25" s="22"/>
      <c r="GX25" s="22"/>
      <c r="GY25" s="22"/>
      <c r="GZ25" s="22"/>
      <c r="HA25" s="22"/>
    </row>
    <row r="26" ht="23.25" customHeight="1">
      <c r="A26" s="19">
        <v>44646.55924634259</v>
      </c>
      <c r="B26" s="20" t="s">
        <v>6</v>
      </c>
      <c r="C26" s="20" t="s">
        <v>12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0" t="s">
        <v>261</v>
      </c>
      <c r="AO26" s="20" t="s">
        <v>262</v>
      </c>
      <c r="AP26" s="20" t="s">
        <v>263</v>
      </c>
      <c r="AQ26" s="20" t="s">
        <v>264</v>
      </c>
      <c r="AR26" s="27">
        <v>44578.0</v>
      </c>
      <c r="AS26" s="27">
        <v>44759.0</v>
      </c>
      <c r="AT26" s="20" t="s">
        <v>256</v>
      </c>
      <c r="AU26" s="20" t="s">
        <v>257</v>
      </c>
      <c r="AV26" s="20">
        <v>0.0</v>
      </c>
      <c r="AW26" s="28" t="s">
        <v>265</v>
      </c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3" t="s">
        <v>266</v>
      </c>
      <c r="FM26" s="23" t="s">
        <v>260</v>
      </c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2"/>
      <c r="GT26" s="22"/>
      <c r="GU26" s="22"/>
      <c r="GV26" s="22"/>
      <c r="GW26" s="22"/>
      <c r="GX26" s="22"/>
      <c r="GY26" s="22"/>
      <c r="GZ26" s="22"/>
      <c r="HA26" s="22"/>
    </row>
    <row r="27" ht="23.25" customHeight="1">
      <c r="A27" s="19">
        <v>44649.69578190972</v>
      </c>
      <c r="B27" s="20" t="s">
        <v>6</v>
      </c>
      <c r="C27" s="20" t="s">
        <v>12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0" t="s">
        <v>267</v>
      </c>
      <c r="AO27" s="20" t="s">
        <v>268</v>
      </c>
      <c r="AP27" s="20" t="s">
        <v>269</v>
      </c>
      <c r="AQ27" s="20">
        <v>4.0</v>
      </c>
      <c r="AR27" s="27">
        <v>44628.0</v>
      </c>
      <c r="AS27" s="27">
        <v>44740.0</v>
      </c>
      <c r="AT27" s="20" t="s">
        <v>257</v>
      </c>
      <c r="AU27" s="20" t="s">
        <v>257</v>
      </c>
      <c r="AV27" s="20">
        <v>0.0</v>
      </c>
      <c r="AW27" s="28" t="s">
        <v>270</v>
      </c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3" t="s">
        <v>271</v>
      </c>
      <c r="FM27" s="23" t="s">
        <v>260</v>
      </c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2"/>
      <c r="GT27" s="22"/>
      <c r="GU27" s="22"/>
      <c r="GV27" s="22"/>
      <c r="GW27" s="22"/>
      <c r="GX27" s="22"/>
      <c r="GY27" s="22"/>
      <c r="GZ27" s="22"/>
      <c r="HA27" s="22"/>
    </row>
    <row r="28" ht="23.25" customHeight="1">
      <c r="A28" s="19">
        <v>44657.4508566088</v>
      </c>
      <c r="B28" s="20" t="s">
        <v>6</v>
      </c>
      <c r="C28" s="20" t="s">
        <v>14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0" t="s">
        <v>272</v>
      </c>
      <c r="BJ28" s="20" t="s">
        <v>272</v>
      </c>
      <c r="BK28" s="20" t="s">
        <v>150</v>
      </c>
      <c r="BL28" s="20" t="s">
        <v>151</v>
      </c>
      <c r="BM28" s="20" t="s">
        <v>273</v>
      </c>
      <c r="BN28" s="20">
        <v>3.0</v>
      </c>
      <c r="BO28" s="27">
        <v>44540.0</v>
      </c>
      <c r="BP28" s="27">
        <v>44542.0</v>
      </c>
      <c r="BQ28" s="20" t="s">
        <v>274</v>
      </c>
      <c r="BR28" s="20" t="s">
        <v>275</v>
      </c>
      <c r="BS28" s="20" t="s">
        <v>276</v>
      </c>
      <c r="BT28" s="20" t="s">
        <v>156</v>
      </c>
      <c r="BU28" s="21"/>
      <c r="BV28" s="28" t="s">
        <v>277</v>
      </c>
      <c r="BW28" s="21"/>
      <c r="BX28" s="21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3" t="s">
        <v>219</v>
      </c>
      <c r="FM28" s="23" t="s">
        <v>278</v>
      </c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</row>
    <row r="29" ht="23.25" customHeight="1">
      <c r="A29" s="19">
        <v>44657.464938958336</v>
      </c>
      <c r="B29" s="20" t="s">
        <v>7</v>
      </c>
      <c r="C29" s="20" t="s">
        <v>19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3" t="s">
        <v>279</v>
      </c>
      <c r="DO29" s="23" t="s">
        <v>196</v>
      </c>
      <c r="DP29" s="24">
        <v>44564.0</v>
      </c>
      <c r="DQ29" s="24">
        <v>44564.0</v>
      </c>
      <c r="DR29" s="23">
        <v>13.0</v>
      </c>
      <c r="DS29" s="23" t="s">
        <v>280</v>
      </c>
      <c r="DT29" s="23" t="s">
        <v>281</v>
      </c>
      <c r="DU29" s="23">
        <v>0.0</v>
      </c>
      <c r="DV29" s="23">
        <v>0.0</v>
      </c>
      <c r="DW29" s="25" t="s">
        <v>282</v>
      </c>
      <c r="DX29" s="22"/>
      <c r="DY29" s="22"/>
      <c r="DZ29" s="22"/>
      <c r="EA29" s="22"/>
      <c r="EB29" s="22"/>
      <c r="EC29" s="22"/>
      <c r="ED29" s="22"/>
      <c r="EE29" s="22"/>
      <c r="EF29" s="22"/>
      <c r="EG29" s="23">
        <v>0.0</v>
      </c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3" t="s">
        <v>219</v>
      </c>
      <c r="FM29" s="23" t="s">
        <v>283</v>
      </c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</row>
    <row r="30" ht="23.25" customHeight="1">
      <c r="A30" s="19">
        <v>44657.46662028936</v>
      </c>
      <c r="B30" s="20" t="s">
        <v>7</v>
      </c>
      <c r="C30" s="20" t="s">
        <v>19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3" t="s">
        <v>284</v>
      </c>
      <c r="DO30" s="23" t="s">
        <v>196</v>
      </c>
      <c r="DP30" s="24">
        <v>44587.0</v>
      </c>
      <c r="DQ30" s="24">
        <v>44587.0</v>
      </c>
      <c r="DR30" s="23">
        <v>9.0</v>
      </c>
      <c r="DS30" s="23" t="s">
        <v>285</v>
      </c>
      <c r="DT30" s="23" t="s">
        <v>281</v>
      </c>
      <c r="DU30" s="23">
        <v>0.0</v>
      </c>
      <c r="DV30" s="23">
        <v>0.0</v>
      </c>
      <c r="DW30" s="25" t="s">
        <v>286</v>
      </c>
      <c r="DX30" s="22"/>
      <c r="DY30" s="22"/>
      <c r="DZ30" s="22"/>
      <c r="EA30" s="22"/>
      <c r="EB30" s="22"/>
      <c r="EC30" s="22"/>
      <c r="ED30" s="22"/>
      <c r="EE30" s="22"/>
      <c r="EF30" s="22"/>
      <c r="EG30" s="23">
        <v>0.0</v>
      </c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3" t="s">
        <v>219</v>
      </c>
      <c r="FM30" s="23" t="s">
        <v>283</v>
      </c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</row>
    <row r="31" ht="23.25" customHeight="1">
      <c r="A31" s="19">
        <v>44657.47451568287</v>
      </c>
      <c r="B31" s="20" t="s">
        <v>7</v>
      </c>
      <c r="C31" s="20" t="s">
        <v>17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3" t="s">
        <v>287</v>
      </c>
      <c r="CT31" s="23">
        <v>1.0</v>
      </c>
      <c r="CU31" s="24">
        <v>44628.0</v>
      </c>
      <c r="CV31" s="24">
        <v>44628.0</v>
      </c>
      <c r="CW31" s="23">
        <v>14.0</v>
      </c>
      <c r="CX31" s="23" t="s">
        <v>288</v>
      </c>
      <c r="CY31" s="23" t="s">
        <v>289</v>
      </c>
      <c r="CZ31" s="23">
        <v>0.0</v>
      </c>
      <c r="DA31" s="23">
        <v>0.0</v>
      </c>
      <c r="DB31" s="23">
        <v>0.0</v>
      </c>
      <c r="DC31" s="25" t="s">
        <v>290</v>
      </c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3" t="s">
        <v>291</v>
      </c>
      <c r="FM31" s="23" t="s">
        <v>283</v>
      </c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</row>
    <row r="32" ht="23.25" customHeight="1">
      <c r="A32" s="19">
        <v>44657.47643563658</v>
      </c>
      <c r="B32" s="20" t="s">
        <v>7</v>
      </c>
      <c r="C32" s="20" t="s">
        <v>19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3" t="s">
        <v>292</v>
      </c>
      <c r="DO32" s="23" t="s">
        <v>196</v>
      </c>
      <c r="DP32" s="24">
        <v>44508.0</v>
      </c>
      <c r="DQ32" s="24">
        <v>44508.0</v>
      </c>
      <c r="DR32" s="23">
        <v>6.0</v>
      </c>
      <c r="DS32" s="23" t="s">
        <v>293</v>
      </c>
      <c r="DT32" s="23" t="s">
        <v>293</v>
      </c>
      <c r="DU32" s="23">
        <v>0.0</v>
      </c>
      <c r="DV32" s="23">
        <v>0.0</v>
      </c>
      <c r="DW32" s="25" t="s">
        <v>294</v>
      </c>
      <c r="DX32" s="22"/>
      <c r="DY32" s="22"/>
      <c r="DZ32" s="22"/>
      <c r="EA32" s="22"/>
      <c r="EB32" s="22"/>
      <c r="EC32" s="22"/>
      <c r="ED32" s="22"/>
      <c r="EE32" s="22"/>
      <c r="EF32" s="22"/>
      <c r="EG32" s="23">
        <v>0.0</v>
      </c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3" t="s">
        <v>219</v>
      </c>
      <c r="FM32" s="23" t="s">
        <v>283</v>
      </c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</row>
    <row r="33" ht="23.25" customHeight="1">
      <c r="A33" s="19">
        <v>44657.48661759259</v>
      </c>
      <c r="B33" s="20" t="s">
        <v>7</v>
      </c>
      <c r="C33" s="20" t="s">
        <v>17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3" t="s">
        <v>295</v>
      </c>
      <c r="CT33" s="23" t="s">
        <v>296</v>
      </c>
      <c r="CU33" s="24">
        <v>44513.0</v>
      </c>
      <c r="CV33" s="24">
        <v>44514.0</v>
      </c>
      <c r="CW33" s="23">
        <v>27.0</v>
      </c>
      <c r="CX33" s="23" t="s">
        <v>297</v>
      </c>
      <c r="CY33" s="23" t="s">
        <v>281</v>
      </c>
      <c r="CZ33" s="22"/>
      <c r="DA33" s="22"/>
      <c r="DB33" s="22"/>
      <c r="DC33" s="25" t="s">
        <v>298</v>
      </c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3" t="s">
        <v>219</v>
      </c>
      <c r="FM33" s="23" t="s">
        <v>283</v>
      </c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</row>
    <row r="34" ht="23.25" customHeight="1">
      <c r="A34" s="19">
        <v>44658.42459239584</v>
      </c>
      <c r="B34" s="20" t="s">
        <v>6</v>
      </c>
      <c r="C34" s="20" t="s">
        <v>23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3" t="s">
        <v>299</v>
      </c>
      <c r="FH34" s="23" t="s">
        <v>300</v>
      </c>
      <c r="FI34" s="23" t="s">
        <v>301</v>
      </c>
      <c r="FJ34" s="24">
        <v>44637.0</v>
      </c>
      <c r="FK34" s="25" t="s">
        <v>302</v>
      </c>
      <c r="FL34" s="23" t="s">
        <v>303</v>
      </c>
      <c r="FM34" s="23" t="s">
        <v>260</v>
      </c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</row>
    <row r="35" ht="23.25" customHeight="1">
      <c r="A35" s="19">
        <v>44658.432450555556</v>
      </c>
      <c r="B35" s="20" t="s">
        <v>6</v>
      </c>
      <c r="C35" s="20" t="s">
        <v>12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0" t="s">
        <v>299</v>
      </c>
      <c r="AO35" s="20" t="s">
        <v>300</v>
      </c>
      <c r="AP35" s="20" t="s">
        <v>304</v>
      </c>
      <c r="AQ35" s="20" t="s">
        <v>305</v>
      </c>
      <c r="AR35" s="27">
        <v>44677.0</v>
      </c>
      <c r="AS35" s="27">
        <v>44681.0</v>
      </c>
      <c r="AT35" s="20" t="s">
        <v>257</v>
      </c>
      <c r="AU35" s="20" t="s">
        <v>257</v>
      </c>
      <c r="AV35" s="20">
        <v>0.0</v>
      </c>
      <c r="AW35" s="28" t="s">
        <v>306</v>
      </c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3" t="s">
        <v>303</v>
      </c>
      <c r="FM35" s="23" t="s">
        <v>260</v>
      </c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</row>
    <row r="36" ht="23.25" customHeight="1">
      <c r="A36" s="19">
        <v>44658.446893043976</v>
      </c>
      <c r="B36" s="20" t="s">
        <v>6</v>
      </c>
      <c r="C36" s="20" t="s">
        <v>12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0" t="s">
        <v>307</v>
      </c>
      <c r="AO36" s="20" t="s">
        <v>308</v>
      </c>
      <c r="AP36" s="20" t="s">
        <v>309</v>
      </c>
      <c r="AQ36" s="20" t="s">
        <v>310</v>
      </c>
      <c r="AR36" s="27">
        <v>44480.0</v>
      </c>
      <c r="AS36" s="27">
        <v>44544.0</v>
      </c>
      <c r="AT36" s="20" t="s">
        <v>257</v>
      </c>
      <c r="AU36" s="20" t="s">
        <v>257</v>
      </c>
      <c r="AV36" s="20">
        <v>0.0</v>
      </c>
      <c r="AW36" s="28" t="s">
        <v>311</v>
      </c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3" t="s">
        <v>312</v>
      </c>
      <c r="FM36" s="23" t="s">
        <v>278</v>
      </c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</row>
    <row r="37" ht="23.25" customHeight="1">
      <c r="A37" s="19">
        <v>44658.448335567125</v>
      </c>
      <c r="B37" s="20" t="s">
        <v>6</v>
      </c>
      <c r="C37" s="20" t="s">
        <v>14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0" t="s">
        <v>299</v>
      </c>
      <c r="BJ37" s="20" t="s">
        <v>300</v>
      </c>
      <c r="BK37" s="20" t="s">
        <v>313</v>
      </c>
      <c r="BL37" s="20" t="s">
        <v>172</v>
      </c>
      <c r="BM37" s="20" t="s">
        <v>314</v>
      </c>
      <c r="BN37" s="20">
        <v>1.0</v>
      </c>
      <c r="BO37" s="27">
        <v>44516.0</v>
      </c>
      <c r="BP37" s="27">
        <v>44516.0</v>
      </c>
      <c r="BQ37" s="20" t="s">
        <v>315</v>
      </c>
      <c r="BR37" s="20" t="s">
        <v>316</v>
      </c>
      <c r="BS37" s="20" t="s">
        <v>155</v>
      </c>
      <c r="BT37" s="20" t="s">
        <v>156</v>
      </c>
      <c r="BU37" s="21"/>
      <c r="BV37" s="28" t="s">
        <v>317</v>
      </c>
      <c r="BW37" s="21"/>
      <c r="BX37" s="21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3" t="s">
        <v>303</v>
      </c>
      <c r="FM37" s="23" t="s">
        <v>278</v>
      </c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</row>
    <row r="38" ht="23.25" customHeight="1">
      <c r="A38" s="19">
        <v>44658.45164961806</v>
      </c>
      <c r="B38" s="20" t="s">
        <v>6</v>
      </c>
      <c r="C38" s="20" t="s">
        <v>12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0" t="s">
        <v>318</v>
      </c>
      <c r="AO38" s="20" t="s">
        <v>319</v>
      </c>
      <c r="AP38" s="20" t="s">
        <v>309</v>
      </c>
      <c r="AQ38" s="20" t="s">
        <v>320</v>
      </c>
      <c r="AR38" s="27">
        <v>44480.0</v>
      </c>
      <c r="AS38" s="27">
        <v>44544.0</v>
      </c>
      <c r="AT38" s="20" t="s">
        <v>257</v>
      </c>
      <c r="AU38" s="20" t="s">
        <v>257</v>
      </c>
      <c r="AV38" s="20">
        <v>0.0</v>
      </c>
      <c r="AW38" s="28" t="s">
        <v>321</v>
      </c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3" t="s">
        <v>322</v>
      </c>
      <c r="FM38" s="23" t="s">
        <v>323</v>
      </c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</row>
    <row r="39" ht="23.25" customHeight="1">
      <c r="A39" s="19">
        <v>44658.45187828704</v>
      </c>
      <c r="B39" s="20" t="s">
        <v>6</v>
      </c>
      <c r="C39" s="20" t="s">
        <v>14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0" t="s">
        <v>299</v>
      </c>
      <c r="BJ39" s="20" t="s">
        <v>300</v>
      </c>
      <c r="BK39" s="20" t="s">
        <v>313</v>
      </c>
      <c r="BL39" s="20" t="s">
        <v>172</v>
      </c>
      <c r="BM39" s="20" t="s">
        <v>324</v>
      </c>
      <c r="BN39" s="20">
        <v>1.0</v>
      </c>
      <c r="BO39" s="27">
        <v>44637.0</v>
      </c>
      <c r="BP39" s="27">
        <v>44637.0</v>
      </c>
      <c r="BQ39" s="20" t="s">
        <v>325</v>
      </c>
      <c r="BR39" s="20" t="s">
        <v>326</v>
      </c>
      <c r="BS39" s="20" t="s">
        <v>176</v>
      </c>
      <c r="BT39" s="20" t="s">
        <v>156</v>
      </c>
      <c r="BU39" s="21"/>
      <c r="BV39" s="28" t="s">
        <v>327</v>
      </c>
      <c r="BW39" s="21"/>
      <c r="BX39" s="21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3" t="s">
        <v>303</v>
      </c>
      <c r="FM39" s="23" t="s">
        <v>260</v>
      </c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</row>
    <row r="40" ht="23.25" customHeight="1">
      <c r="A40" s="19">
        <v>44658.47780146991</v>
      </c>
      <c r="B40" s="20" t="s">
        <v>6</v>
      </c>
      <c r="C40" s="20" t="s">
        <v>13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0" t="s">
        <v>299</v>
      </c>
      <c r="AY40" s="20" t="s">
        <v>300</v>
      </c>
      <c r="AZ40" s="20" t="s">
        <v>328</v>
      </c>
      <c r="BA40" s="20" t="s">
        <v>329</v>
      </c>
      <c r="BB40" s="20" t="s">
        <v>305</v>
      </c>
      <c r="BC40" s="27">
        <v>43573.0</v>
      </c>
      <c r="BD40" s="27">
        <v>43573.0</v>
      </c>
      <c r="BE40" s="27">
        <v>43573.0</v>
      </c>
      <c r="BF40" s="20">
        <v>100.0</v>
      </c>
      <c r="BG40" s="20" t="s">
        <v>330</v>
      </c>
      <c r="BH40" s="28" t="s">
        <v>331</v>
      </c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3" t="s">
        <v>303</v>
      </c>
      <c r="FM40" s="23" t="s">
        <v>278</v>
      </c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</row>
    <row r="41" ht="23.25" customHeight="1">
      <c r="A41" s="19">
        <v>44658.48479478009</v>
      </c>
      <c r="B41" s="20" t="s">
        <v>6</v>
      </c>
      <c r="C41" s="20" t="s">
        <v>13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0" t="s">
        <v>299</v>
      </c>
      <c r="AY41" s="20" t="s">
        <v>300</v>
      </c>
      <c r="AZ41" s="20" t="s">
        <v>332</v>
      </c>
      <c r="BA41" s="20" t="s">
        <v>333</v>
      </c>
      <c r="BB41" s="20">
        <v>30.0</v>
      </c>
      <c r="BC41" s="27">
        <v>44489.0</v>
      </c>
      <c r="BD41" s="27">
        <v>44542.0</v>
      </c>
      <c r="BE41" s="27">
        <v>44663.0</v>
      </c>
      <c r="BF41" s="20">
        <v>100.0</v>
      </c>
      <c r="BG41" s="20" t="s">
        <v>334</v>
      </c>
      <c r="BH41" s="28" t="s">
        <v>335</v>
      </c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3" t="s">
        <v>303</v>
      </c>
      <c r="FM41" s="23" t="s">
        <v>260</v>
      </c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</row>
    <row r="42" ht="23.25" customHeight="1">
      <c r="A42" s="19">
        <v>44658.48549096065</v>
      </c>
      <c r="B42" s="20" t="s">
        <v>6</v>
      </c>
      <c r="C42" s="20" t="s">
        <v>13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0" t="s">
        <v>318</v>
      </c>
      <c r="AY42" s="20" t="s">
        <v>319</v>
      </c>
      <c r="AZ42" s="20" t="s">
        <v>336</v>
      </c>
      <c r="BA42" s="20" t="s">
        <v>337</v>
      </c>
      <c r="BB42" s="20" t="s">
        <v>338</v>
      </c>
      <c r="BC42" s="27">
        <v>44317.0</v>
      </c>
      <c r="BD42" s="27">
        <v>44373.0</v>
      </c>
      <c r="BE42" s="27">
        <v>44375.0</v>
      </c>
      <c r="BF42" s="20">
        <v>86.0</v>
      </c>
      <c r="BG42" s="20" t="s">
        <v>339</v>
      </c>
      <c r="BH42" s="28" t="s">
        <v>340</v>
      </c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3" t="s">
        <v>322</v>
      </c>
      <c r="FM42" s="23" t="s">
        <v>341</v>
      </c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</row>
    <row r="43" ht="23.25" customHeight="1">
      <c r="A43" s="19">
        <v>44658.48567440972</v>
      </c>
      <c r="B43" s="20" t="s">
        <v>6</v>
      </c>
      <c r="C43" s="20" t="s">
        <v>13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0" t="s">
        <v>342</v>
      </c>
      <c r="AY43" s="20" t="s">
        <v>308</v>
      </c>
      <c r="AZ43" s="20" t="s">
        <v>336</v>
      </c>
      <c r="BA43" s="20" t="s">
        <v>337</v>
      </c>
      <c r="BB43" s="20" t="s">
        <v>310</v>
      </c>
      <c r="BC43" s="27">
        <v>44317.0</v>
      </c>
      <c r="BD43" s="27">
        <v>44373.0</v>
      </c>
      <c r="BE43" s="27">
        <v>44375.0</v>
      </c>
      <c r="BF43" s="20">
        <v>86.0</v>
      </c>
      <c r="BG43" s="20" t="s">
        <v>339</v>
      </c>
      <c r="BH43" s="28" t="s">
        <v>343</v>
      </c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3" t="s">
        <v>312</v>
      </c>
      <c r="FM43" s="23" t="s">
        <v>341</v>
      </c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</row>
    <row r="44" ht="23.25" customHeight="1">
      <c r="A44" s="19">
        <v>44658.48733083333</v>
      </c>
      <c r="B44" s="20" t="s">
        <v>6</v>
      </c>
      <c r="C44" s="20" t="s">
        <v>13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0" t="s">
        <v>299</v>
      </c>
      <c r="AY44" s="20" t="s">
        <v>300</v>
      </c>
      <c r="AZ44" s="20" t="s">
        <v>344</v>
      </c>
      <c r="BA44" s="20" t="s">
        <v>345</v>
      </c>
      <c r="BB44" s="20" t="s">
        <v>305</v>
      </c>
      <c r="BC44" s="27">
        <v>43945.0</v>
      </c>
      <c r="BD44" s="27">
        <v>43945.0</v>
      </c>
      <c r="BE44" s="27">
        <v>43945.0</v>
      </c>
      <c r="BF44" s="20">
        <v>100.0</v>
      </c>
      <c r="BG44" s="20" t="s">
        <v>330</v>
      </c>
      <c r="BH44" s="28" t="s">
        <v>346</v>
      </c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3" t="s">
        <v>303</v>
      </c>
      <c r="FM44" s="23" t="s">
        <v>260</v>
      </c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</row>
    <row r="45" ht="23.25" customHeight="1">
      <c r="A45" s="19">
        <v>44658.48857004629</v>
      </c>
      <c r="B45" s="20" t="s">
        <v>6</v>
      </c>
      <c r="C45" s="20" t="s">
        <v>13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0" t="s">
        <v>318</v>
      </c>
      <c r="AY45" s="20" t="s">
        <v>319</v>
      </c>
      <c r="AZ45" s="20" t="s">
        <v>347</v>
      </c>
      <c r="BA45" s="20" t="s">
        <v>337</v>
      </c>
      <c r="BB45" s="20" t="s">
        <v>348</v>
      </c>
      <c r="BC45" s="27">
        <v>44320.0</v>
      </c>
      <c r="BD45" s="27">
        <v>44377.0</v>
      </c>
      <c r="BE45" s="27">
        <v>44379.0</v>
      </c>
      <c r="BF45" s="20">
        <v>89.0</v>
      </c>
      <c r="BG45" s="20" t="s">
        <v>349</v>
      </c>
      <c r="BH45" s="28" t="s">
        <v>350</v>
      </c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3" t="s">
        <v>322</v>
      </c>
      <c r="FM45" s="23" t="s">
        <v>341</v>
      </c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</row>
    <row r="46" ht="23.25" customHeight="1">
      <c r="A46" s="19">
        <v>44658.49151392361</v>
      </c>
      <c r="B46" s="20" t="s">
        <v>6</v>
      </c>
      <c r="C46" s="20" t="s">
        <v>13</v>
      </c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0" t="s">
        <v>318</v>
      </c>
      <c r="AY46" s="20" t="s">
        <v>319</v>
      </c>
      <c r="AZ46" s="20" t="s">
        <v>351</v>
      </c>
      <c r="BA46" s="20" t="s">
        <v>337</v>
      </c>
      <c r="BB46" s="20" t="s">
        <v>310</v>
      </c>
      <c r="BC46" s="27">
        <v>44321.0</v>
      </c>
      <c r="BD46" s="27">
        <v>44376.0</v>
      </c>
      <c r="BE46" s="27">
        <v>44381.0</v>
      </c>
      <c r="BF46" s="20">
        <v>88.0</v>
      </c>
      <c r="BG46" s="20" t="s">
        <v>339</v>
      </c>
      <c r="BH46" s="28" t="s">
        <v>352</v>
      </c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3" t="s">
        <v>322</v>
      </c>
      <c r="FM46" s="23" t="s">
        <v>341</v>
      </c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</row>
    <row r="47" ht="23.25" customHeight="1">
      <c r="A47" s="19">
        <v>44658.49284928241</v>
      </c>
      <c r="B47" s="20" t="s">
        <v>6</v>
      </c>
      <c r="C47" s="20" t="s">
        <v>13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0" t="s">
        <v>342</v>
      </c>
      <c r="AY47" s="20" t="s">
        <v>308</v>
      </c>
      <c r="AZ47" s="20" t="s">
        <v>347</v>
      </c>
      <c r="BA47" s="20" t="s">
        <v>337</v>
      </c>
      <c r="BB47" s="20" t="s">
        <v>310</v>
      </c>
      <c r="BC47" s="27">
        <v>44323.0</v>
      </c>
      <c r="BD47" s="27">
        <v>44376.0</v>
      </c>
      <c r="BE47" s="27">
        <v>44379.0</v>
      </c>
      <c r="BF47" s="20">
        <v>84.0</v>
      </c>
      <c r="BG47" s="20" t="s">
        <v>339</v>
      </c>
      <c r="BH47" s="28" t="s">
        <v>353</v>
      </c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3" t="s">
        <v>312</v>
      </c>
      <c r="FM47" s="23" t="s">
        <v>341</v>
      </c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</row>
    <row r="48" ht="23.25" customHeight="1">
      <c r="A48" s="19">
        <v>44658.49439015046</v>
      </c>
      <c r="B48" s="20" t="s">
        <v>6</v>
      </c>
      <c r="C48" s="20" t="s">
        <v>13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0" t="s">
        <v>318</v>
      </c>
      <c r="AY48" s="20" t="s">
        <v>319</v>
      </c>
      <c r="AZ48" s="20" t="s">
        <v>354</v>
      </c>
      <c r="BA48" s="20" t="s">
        <v>337</v>
      </c>
      <c r="BB48" s="20" t="s">
        <v>310</v>
      </c>
      <c r="BC48" s="27">
        <v>44323.0</v>
      </c>
      <c r="BD48" s="27">
        <v>44376.0</v>
      </c>
      <c r="BE48" s="27">
        <v>44379.0</v>
      </c>
      <c r="BF48" s="20">
        <v>88.0</v>
      </c>
      <c r="BG48" s="20" t="s">
        <v>339</v>
      </c>
      <c r="BH48" s="28" t="s">
        <v>355</v>
      </c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3" t="s">
        <v>322</v>
      </c>
      <c r="FM48" s="23" t="s">
        <v>341</v>
      </c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</row>
    <row r="49" ht="23.25" customHeight="1">
      <c r="A49" s="19">
        <v>44658.49750153935</v>
      </c>
      <c r="B49" s="20" t="s">
        <v>6</v>
      </c>
      <c r="C49" s="20" t="s">
        <v>13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0" t="s">
        <v>318</v>
      </c>
      <c r="AY49" s="20" t="s">
        <v>319</v>
      </c>
      <c r="AZ49" s="20" t="s">
        <v>356</v>
      </c>
      <c r="BA49" s="20" t="s">
        <v>337</v>
      </c>
      <c r="BB49" s="20" t="s">
        <v>310</v>
      </c>
      <c r="BC49" s="27">
        <v>44319.0</v>
      </c>
      <c r="BD49" s="27">
        <v>44376.0</v>
      </c>
      <c r="BE49" s="27">
        <v>44382.0</v>
      </c>
      <c r="BF49" s="20">
        <v>87.0</v>
      </c>
      <c r="BG49" s="20" t="s">
        <v>339</v>
      </c>
      <c r="BH49" s="28" t="s">
        <v>357</v>
      </c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3" t="s">
        <v>322</v>
      </c>
      <c r="FM49" s="23" t="s">
        <v>341</v>
      </c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</row>
    <row r="50" ht="23.25" customHeight="1">
      <c r="A50" s="19">
        <v>44658.500300810185</v>
      </c>
      <c r="B50" s="20" t="s">
        <v>6</v>
      </c>
      <c r="C50" s="20" t="s">
        <v>13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0" t="s">
        <v>342</v>
      </c>
      <c r="AY50" s="20" t="s">
        <v>308</v>
      </c>
      <c r="AZ50" s="20" t="s">
        <v>351</v>
      </c>
      <c r="BA50" s="20" t="s">
        <v>337</v>
      </c>
      <c r="BB50" s="20" t="s">
        <v>310</v>
      </c>
      <c r="BC50" s="27">
        <v>44348.0</v>
      </c>
      <c r="BD50" s="27">
        <v>44403.0</v>
      </c>
      <c r="BE50" s="27">
        <v>44404.0</v>
      </c>
      <c r="BF50" s="20">
        <v>86.0</v>
      </c>
      <c r="BG50" s="20" t="s">
        <v>339</v>
      </c>
      <c r="BH50" s="28" t="s">
        <v>358</v>
      </c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3" t="s">
        <v>312</v>
      </c>
      <c r="FM50" s="23" t="s">
        <v>341</v>
      </c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</row>
    <row r="51" ht="23.25" customHeight="1">
      <c r="A51" s="19">
        <v>44658.50273407408</v>
      </c>
      <c r="B51" s="20" t="s">
        <v>6</v>
      </c>
      <c r="C51" s="20" t="s">
        <v>13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0" t="s">
        <v>342</v>
      </c>
      <c r="AY51" s="20" t="s">
        <v>308</v>
      </c>
      <c r="AZ51" s="20" t="s">
        <v>354</v>
      </c>
      <c r="BA51" s="20" t="s">
        <v>337</v>
      </c>
      <c r="BB51" s="20" t="s">
        <v>310</v>
      </c>
      <c r="BC51" s="27">
        <v>44320.0</v>
      </c>
      <c r="BD51" s="27">
        <v>44376.0</v>
      </c>
      <c r="BE51" s="27">
        <v>44383.0</v>
      </c>
      <c r="BF51" s="20">
        <v>86.0</v>
      </c>
      <c r="BG51" s="20" t="s">
        <v>339</v>
      </c>
      <c r="BH51" s="28" t="s">
        <v>359</v>
      </c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3" t="s">
        <v>312</v>
      </c>
      <c r="FM51" s="23" t="s">
        <v>341</v>
      </c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</row>
    <row r="52" ht="23.25" customHeight="1">
      <c r="A52" s="19">
        <v>44658.50415759259</v>
      </c>
      <c r="B52" s="20" t="s">
        <v>6</v>
      </c>
      <c r="C52" s="20" t="s">
        <v>13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0" t="s">
        <v>342</v>
      </c>
      <c r="AY52" s="20" t="s">
        <v>308</v>
      </c>
      <c r="AZ52" s="20" t="s">
        <v>356</v>
      </c>
      <c r="BA52" s="20" t="s">
        <v>337</v>
      </c>
      <c r="BB52" s="20" t="s">
        <v>348</v>
      </c>
      <c r="BC52" s="27">
        <v>44328.0</v>
      </c>
      <c r="BD52" s="27">
        <v>44376.0</v>
      </c>
      <c r="BE52" s="27">
        <v>44383.0</v>
      </c>
      <c r="BF52" s="20">
        <v>86.0</v>
      </c>
      <c r="BG52" s="20" t="s">
        <v>339</v>
      </c>
      <c r="BH52" s="28" t="s">
        <v>360</v>
      </c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3" t="s">
        <v>312</v>
      </c>
      <c r="FM52" s="23" t="s">
        <v>341</v>
      </c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</row>
    <row r="53" ht="23.25" customHeight="1">
      <c r="A53" s="19">
        <v>44658.514885462966</v>
      </c>
      <c r="B53" s="20" t="s">
        <v>6</v>
      </c>
      <c r="C53" s="20" t="s">
        <v>20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3" t="s">
        <v>318</v>
      </c>
      <c r="DY53" s="23" t="s">
        <v>319</v>
      </c>
      <c r="DZ53" s="23" t="s">
        <v>171</v>
      </c>
      <c r="EA53" s="23" t="s">
        <v>361</v>
      </c>
      <c r="EB53" s="24">
        <v>44339.0</v>
      </c>
      <c r="EC53" s="23" t="s">
        <v>362</v>
      </c>
      <c r="ED53" s="25" t="s">
        <v>363</v>
      </c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3" t="s">
        <v>322</v>
      </c>
      <c r="FM53" s="23" t="s">
        <v>283</v>
      </c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</row>
    <row r="54" ht="23.25" customHeight="1">
      <c r="A54" s="19">
        <v>44658.51835239583</v>
      </c>
      <c r="B54" s="20" t="s">
        <v>6</v>
      </c>
      <c r="C54" s="20" t="s">
        <v>13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0" t="s">
        <v>318</v>
      </c>
      <c r="AY54" s="20" t="s">
        <v>319</v>
      </c>
      <c r="AZ54" s="20" t="s">
        <v>364</v>
      </c>
      <c r="BA54" s="20" t="s">
        <v>345</v>
      </c>
      <c r="BB54" s="20" t="s">
        <v>310</v>
      </c>
      <c r="BC54" s="27">
        <v>43868.0</v>
      </c>
      <c r="BD54" s="27">
        <v>43937.0</v>
      </c>
      <c r="BE54" s="27">
        <v>43942.0</v>
      </c>
      <c r="BF54" s="20">
        <v>96.0</v>
      </c>
      <c r="BG54" s="20" t="s">
        <v>365</v>
      </c>
      <c r="BH54" s="28" t="s">
        <v>366</v>
      </c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3" t="s">
        <v>322</v>
      </c>
      <c r="FM54" s="23" t="s">
        <v>323</v>
      </c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</row>
    <row r="55" ht="23.25" customHeight="1">
      <c r="A55" s="19">
        <v>44658.52000722222</v>
      </c>
      <c r="B55" s="20" t="s">
        <v>6</v>
      </c>
      <c r="C55" s="20" t="s">
        <v>13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0" t="s">
        <v>318</v>
      </c>
      <c r="AY55" s="20" t="s">
        <v>319</v>
      </c>
      <c r="AZ55" s="20" t="s">
        <v>367</v>
      </c>
      <c r="BA55" s="20" t="s">
        <v>345</v>
      </c>
      <c r="BB55" s="20" t="s">
        <v>310</v>
      </c>
      <c r="BC55" s="27">
        <v>43866.0</v>
      </c>
      <c r="BD55" s="27">
        <v>43922.0</v>
      </c>
      <c r="BE55" s="27">
        <v>43924.0</v>
      </c>
      <c r="BF55" s="20">
        <v>96.0</v>
      </c>
      <c r="BG55" s="20" t="s">
        <v>365</v>
      </c>
      <c r="BH55" s="28" t="s">
        <v>368</v>
      </c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3" t="s">
        <v>322</v>
      </c>
      <c r="FM55" s="23" t="s">
        <v>323</v>
      </c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</row>
    <row r="56" ht="23.25" customHeight="1">
      <c r="A56" s="19">
        <v>44658.52185094907</v>
      </c>
      <c r="B56" s="20" t="s">
        <v>6</v>
      </c>
      <c r="C56" s="20" t="s">
        <v>13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0" t="s">
        <v>342</v>
      </c>
      <c r="AY56" s="20" t="s">
        <v>308</v>
      </c>
      <c r="AZ56" s="20" t="s">
        <v>369</v>
      </c>
      <c r="BA56" s="20" t="s">
        <v>345</v>
      </c>
      <c r="BB56" s="20" t="s">
        <v>370</v>
      </c>
      <c r="BC56" s="27">
        <v>43864.0</v>
      </c>
      <c r="BD56" s="27">
        <v>43920.0</v>
      </c>
      <c r="BE56" s="27">
        <v>43923.0</v>
      </c>
      <c r="BF56" s="20">
        <v>92.0</v>
      </c>
      <c r="BG56" s="20" t="s">
        <v>365</v>
      </c>
      <c r="BH56" s="28" t="s">
        <v>371</v>
      </c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3" t="s">
        <v>312</v>
      </c>
      <c r="FM56" s="23" t="s">
        <v>323</v>
      </c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</row>
    <row r="57" ht="23.25" customHeight="1">
      <c r="A57" s="19">
        <v>44658.52340939815</v>
      </c>
      <c r="B57" s="20" t="s">
        <v>6</v>
      </c>
      <c r="C57" s="20" t="s">
        <v>13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0" t="s">
        <v>342</v>
      </c>
      <c r="AY57" s="20" t="s">
        <v>308</v>
      </c>
      <c r="AZ57" s="20" t="s">
        <v>344</v>
      </c>
      <c r="BA57" s="20" t="s">
        <v>372</v>
      </c>
      <c r="BB57" s="20" t="s">
        <v>310</v>
      </c>
      <c r="BC57" s="27">
        <v>43865.0</v>
      </c>
      <c r="BD57" s="27">
        <v>43920.0</v>
      </c>
      <c r="BE57" s="27">
        <v>43923.0</v>
      </c>
      <c r="BF57" s="20">
        <v>94.0</v>
      </c>
      <c r="BG57" s="20" t="s">
        <v>365</v>
      </c>
      <c r="BH57" s="28" t="s">
        <v>373</v>
      </c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3" t="s">
        <v>312</v>
      </c>
      <c r="FM57" s="23" t="s">
        <v>323</v>
      </c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</row>
    <row r="58" ht="23.25" customHeight="1">
      <c r="A58" s="19">
        <v>44658.56834935185</v>
      </c>
      <c r="B58" s="20" t="s">
        <v>6</v>
      </c>
      <c r="C58" s="20" t="s">
        <v>13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0" t="s">
        <v>374</v>
      </c>
      <c r="AY58" s="20" t="s">
        <v>375</v>
      </c>
      <c r="AZ58" s="20" t="s">
        <v>376</v>
      </c>
      <c r="BA58" s="20" t="s">
        <v>377</v>
      </c>
      <c r="BB58" s="20" t="s">
        <v>378</v>
      </c>
      <c r="BC58" s="27">
        <v>43472.0</v>
      </c>
      <c r="BD58" s="27">
        <v>43563.0</v>
      </c>
      <c r="BE58" s="27">
        <v>43567.0</v>
      </c>
      <c r="BF58" s="20">
        <v>84.0</v>
      </c>
      <c r="BG58" s="20" t="s">
        <v>379</v>
      </c>
      <c r="BH58" s="28" t="s">
        <v>380</v>
      </c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3" t="s">
        <v>381</v>
      </c>
      <c r="FM58" s="23" t="s">
        <v>382</v>
      </c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</row>
    <row r="59" ht="23.25" customHeight="1">
      <c r="A59" s="29">
        <v>44658.622874884255</v>
      </c>
      <c r="B59" s="30" t="s">
        <v>6</v>
      </c>
      <c r="C59" s="30" t="s">
        <v>20</v>
      </c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3" t="s">
        <v>383</v>
      </c>
      <c r="DY59" s="23" t="s">
        <v>384</v>
      </c>
      <c r="DZ59" s="23" t="s">
        <v>171</v>
      </c>
      <c r="EA59" s="23" t="s">
        <v>385</v>
      </c>
      <c r="EB59" s="24">
        <v>44623.0</v>
      </c>
      <c r="EC59" s="23" t="s">
        <v>386</v>
      </c>
      <c r="ED59" s="25" t="s">
        <v>387</v>
      </c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3" t="s">
        <v>388</v>
      </c>
      <c r="FM59" s="23" t="s">
        <v>260</v>
      </c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</row>
    <row r="60" ht="23.25" customHeight="1">
      <c r="A60" s="29">
        <v>44658.6437459375</v>
      </c>
      <c r="B60" s="30" t="s">
        <v>6</v>
      </c>
      <c r="C60" s="30" t="s">
        <v>12</v>
      </c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0" t="s">
        <v>389</v>
      </c>
      <c r="AO60" s="30" t="s">
        <v>390</v>
      </c>
      <c r="AP60" s="30" t="s">
        <v>309</v>
      </c>
      <c r="AQ60" s="30" t="s">
        <v>391</v>
      </c>
      <c r="AR60" s="32">
        <v>44489.0</v>
      </c>
      <c r="AS60" s="32">
        <v>44561.0</v>
      </c>
      <c r="AT60" s="30" t="s">
        <v>257</v>
      </c>
      <c r="AU60" s="30" t="s">
        <v>257</v>
      </c>
      <c r="AV60" s="30">
        <v>0.0</v>
      </c>
      <c r="AW60" s="33" t="s">
        <v>392</v>
      </c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3" t="s">
        <v>393</v>
      </c>
      <c r="FM60" s="23" t="s">
        <v>278</v>
      </c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</row>
    <row r="61" ht="23.25" customHeight="1">
      <c r="A61" s="29">
        <v>44658.647296875</v>
      </c>
      <c r="B61" s="30" t="s">
        <v>6</v>
      </c>
      <c r="C61" s="30" t="s">
        <v>13</v>
      </c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0" t="s">
        <v>389</v>
      </c>
      <c r="AY61" s="30" t="s">
        <v>390</v>
      </c>
      <c r="AZ61" s="30" t="s">
        <v>332</v>
      </c>
      <c r="BA61" s="30" t="s">
        <v>333</v>
      </c>
      <c r="BB61" s="30">
        <v>30.0</v>
      </c>
      <c r="BC61" s="32">
        <v>44489.0</v>
      </c>
      <c r="BD61" s="32">
        <v>44543.0</v>
      </c>
      <c r="BE61" s="32">
        <v>44534.0</v>
      </c>
      <c r="BF61" s="30">
        <v>100.0</v>
      </c>
      <c r="BG61" s="30" t="s">
        <v>394</v>
      </c>
      <c r="BH61" s="33" t="s">
        <v>395</v>
      </c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3" t="s">
        <v>393</v>
      </c>
      <c r="FM61" s="23" t="s">
        <v>260</v>
      </c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</row>
    <row r="62" ht="23.25" customHeight="1">
      <c r="A62" s="29">
        <v>44658.649338460644</v>
      </c>
      <c r="B62" s="30" t="s">
        <v>6</v>
      </c>
      <c r="C62" s="30" t="s">
        <v>13</v>
      </c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0" t="s">
        <v>389</v>
      </c>
      <c r="AY62" s="30" t="s">
        <v>390</v>
      </c>
      <c r="AZ62" s="30" t="s">
        <v>396</v>
      </c>
      <c r="BA62" s="30" t="s">
        <v>345</v>
      </c>
      <c r="BB62" s="30" t="s">
        <v>320</v>
      </c>
      <c r="BC62" s="32">
        <v>43871.0</v>
      </c>
      <c r="BD62" s="32">
        <v>43931.0</v>
      </c>
      <c r="BE62" s="32">
        <v>43932.0</v>
      </c>
      <c r="BF62" s="30">
        <v>100.0</v>
      </c>
      <c r="BG62" s="30" t="s">
        <v>397</v>
      </c>
      <c r="BH62" s="33" t="s">
        <v>398</v>
      </c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3" t="s">
        <v>393</v>
      </c>
      <c r="FM62" s="23" t="s">
        <v>283</v>
      </c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</row>
    <row r="63" ht="23.25" customHeight="1">
      <c r="A63" s="29">
        <v>44658.65278484953</v>
      </c>
      <c r="B63" s="30" t="s">
        <v>6</v>
      </c>
      <c r="C63" s="30" t="s">
        <v>13</v>
      </c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0" t="s">
        <v>389</v>
      </c>
      <c r="AY63" s="30" t="s">
        <v>390</v>
      </c>
      <c r="AZ63" s="30" t="s">
        <v>399</v>
      </c>
      <c r="BA63" s="30" t="s">
        <v>337</v>
      </c>
      <c r="BB63" s="30" t="s">
        <v>320</v>
      </c>
      <c r="BC63" s="32">
        <v>44291.0</v>
      </c>
      <c r="BD63" s="32">
        <v>44377.0</v>
      </c>
      <c r="BE63" s="32">
        <v>44379.0</v>
      </c>
      <c r="BF63" s="30">
        <v>90.0</v>
      </c>
      <c r="BG63" s="30" t="s">
        <v>339</v>
      </c>
      <c r="BH63" s="33" t="s">
        <v>400</v>
      </c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3" t="s">
        <v>393</v>
      </c>
      <c r="FM63" s="23" t="s">
        <v>341</v>
      </c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</row>
    <row r="64" ht="23.25" customHeight="1">
      <c r="A64" s="29">
        <v>44658.655300196755</v>
      </c>
      <c r="B64" s="30" t="s">
        <v>6</v>
      </c>
      <c r="C64" s="30" t="s">
        <v>14</v>
      </c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0" t="s">
        <v>389</v>
      </c>
      <c r="BJ64" s="30" t="s">
        <v>390</v>
      </c>
      <c r="BK64" s="30" t="s">
        <v>171</v>
      </c>
      <c r="BL64" s="30" t="s">
        <v>172</v>
      </c>
      <c r="BM64" s="30" t="s">
        <v>201</v>
      </c>
      <c r="BN64" s="30">
        <v>1.0</v>
      </c>
      <c r="BO64" s="32">
        <v>44533.0</v>
      </c>
      <c r="BP64" s="32">
        <v>44533.0</v>
      </c>
      <c r="BQ64" s="30" t="s">
        <v>174</v>
      </c>
      <c r="BR64" s="30" t="s">
        <v>181</v>
      </c>
      <c r="BS64" s="30" t="s">
        <v>176</v>
      </c>
      <c r="BT64" s="30" t="s">
        <v>156</v>
      </c>
      <c r="BU64" s="31"/>
      <c r="BV64" s="33" t="s">
        <v>401</v>
      </c>
      <c r="BW64" s="31"/>
      <c r="BX64" s="31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3" t="s">
        <v>393</v>
      </c>
      <c r="FM64" s="23" t="s">
        <v>278</v>
      </c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</row>
    <row r="65" ht="23.25" customHeight="1">
      <c r="A65" s="29">
        <v>44658.66646961805</v>
      </c>
      <c r="B65" s="30" t="s">
        <v>6</v>
      </c>
      <c r="C65" s="30" t="s">
        <v>12</v>
      </c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0" t="s">
        <v>402</v>
      </c>
      <c r="AO65" s="30" t="s">
        <v>403</v>
      </c>
      <c r="AP65" s="30" t="s">
        <v>309</v>
      </c>
      <c r="AQ65" s="30" t="s">
        <v>310</v>
      </c>
      <c r="AR65" s="32">
        <v>44489.0</v>
      </c>
      <c r="AS65" s="32">
        <v>44561.0</v>
      </c>
      <c r="AT65" s="30" t="s">
        <v>257</v>
      </c>
      <c r="AU65" s="30" t="s">
        <v>257</v>
      </c>
      <c r="AV65" s="30">
        <v>0.0</v>
      </c>
      <c r="AW65" s="33" t="s">
        <v>404</v>
      </c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3" t="s">
        <v>405</v>
      </c>
      <c r="FM65" s="23" t="s">
        <v>260</v>
      </c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</row>
    <row r="66" ht="23.25" customHeight="1">
      <c r="A66" s="29">
        <v>44658.68206739583</v>
      </c>
      <c r="B66" s="30" t="s">
        <v>6</v>
      </c>
      <c r="C66" s="30" t="s">
        <v>13</v>
      </c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0" t="s">
        <v>406</v>
      </c>
      <c r="AY66" s="30" t="s">
        <v>407</v>
      </c>
      <c r="AZ66" s="30" t="s">
        <v>408</v>
      </c>
      <c r="BA66" s="30" t="s">
        <v>409</v>
      </c>
      <c r="BB66" s="30" t="s">
        <v>410</v>
      </c>
      <c r="BC66" s="32">
        <v>43623.0</v>
      </c>
      <c r="BD66" s="32">
        <v>43672.0</v>
      </c>
      <c r="BE66" s="32">
        <v>44677.0</v>
      </c>
      <c r="BF66" s="30">
        <v>80.0</v>
      </c>
      <c r="BG66" s="30" t="s">
        <v>411</v>
      </c>
      <c r="BH66" s="33" t="s">
        <v>412</v>
      </c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3" t="s">
        <v>413</v>
      </c>
      <c r="FM66" s="23" t="s">
        <v>414</v>
      </c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</row>
    <row r="67" ht="23.25" customHeight="1">
      <c r="A67" s="29">
        <v>44658.68520608796</v>
      </c>
      <c r="B67" s="30" t="s">
        <v>6</v>
      </c>
      <c r="C67" s="30" t="s">
        <v>12</v>
      </c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0" t="s">
        <v>415</v>
      </c>
      <c r="AO67" s="30" t="s">
        <v>407</v>
      </c>
      <c r="AP67" s="30" t="s">
        <v>416</v>
      </c>
      <c r="AQ67" s="30" t="s">
        <v>417</v>
      </c>
      <c r="AR67" s="32">
        <v>44475.0</v>
      </c>
      <c r="AS67" s="32">
        <v>44560.0</v>
      </c>
      <c r="AT67" s="30" t="s">
        <v>257</v>
      </c>
      <c r="AU67" s="30" t="s">
        <v>257</v>
      </c>
      <c r="AV67" s="30">
        <v>0.0</v>
      </c>
      <c r="AW67" s="33" t="s">
        <v>418</v>
      </c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3" t="s">
        <v>413</v>
      </c>
      <c r="FM67" s="23" t="s">
        <v>278</v>
      </c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</row>
    <row r="68" ht="23.25" customHeight="1">
      <c r="A68" s="29">
        <v>44658.68968927083</v>
      </c>
      <c r="B68" s="30" t="s">
        <v>6</v>
      </c>
      <c r="C68" s="30" t="s">
        <v>20</v>
      </c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3" t="s">
        <v>415</v>
      </c>
      <c r="DY68" s="23" t="s">
        <v>407</v>
      </c>
      <c r="DZ68" s="23" t="s">
        <v>171</v>
      </c>
      <c r="EA68" s="23" t="s">
        <v>419</v>
      </c>
      <c r="EB68" s="24">
        <v>44523.0</v>
      </c>
      <c r="EC68" s="23" t="s">
        <v>420</v>
      </c>
      <c r="ED68" s="25" t="s">
        <v>421</v>
      </c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3" t="s">
        <v>413</v>
      </c>
      <c r="FM68" s="23" t="s">
        <v>283</v>
      </c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</row>
    <row r="69" ht="23.25" customHeight="1">
      <c r="A69" s="29">
        <v>44658.69487378473</v>
      </c>
      <c r="B69" s="30" t="s">
        <v>6</v>
      </c>
      <c r="C69" s="30" t="s">
        <v>13</v>
      </c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0" t="s">
        <v>415</v>
      </c>
      <c r="AY69" s="30" t="s">
        <v>407</v>
      </c>
      <c r="AZ69" s="30" t="s">
        <v>422</v>
      </c>
      <c r="BA69" s="30" t="s">
        <v>423</v>
      </c>
      <c r="BB69" s="30">
        <v>1.0</v>
      </c>
      <c r="BC69" s="32">
        <v>44481.0</v>
      </c>
      <c r="BD69" s="32">
        <v>44481.0</v>
      </c>
      <c r="BE69" s="32">
        <v>44481.0</v>
      </c>
      <c r="BF69" s="30">
        <v>100.0</v>
      </c>
      <c r="BG69" s="30" t="s">
        <v>424</v>
      </c>
      <c r="BH69" s="33" t="s">
        <v>425</v>
      </c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3" t="s">
        <v>413</v>
      </c>
      <c r="FM69" s="23" t="s">
        <v>278</v>
      </c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</row>
    <row r="70" ht="23.25" customHeight="1">
      <c r="A70" s="29">
        <v>44658.69992616898</v>
      </c>
      <c r="B70" s="30" t="s">
        <v>6</v>
      </c>
      <c r="C70" s="30" t="s">
        <v>13</v>
      </c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0" t="s">
        <v>415</v>
      </c>
      <c r="AY70" s="30" t="s">
        <v>407</v>
      </c>
      <c r="AZ70" s="30" t="s">
        <v>426</v>
      </c>
      <c r="BA70" s="30" t="s">
        <v>427</v>
      </c>
      <c r="BB70" s="30" t="s">
        <v>196</v>
      </c>
      <c r="BC70" s="32">
        <v>44039.0</v>
      </c>
      <c r="BD70" s="32">
        <v>44034.0</v>
      </c>
      <c r="BE70" s="32">
        <v>44039.0</v>
      </c>
      <c r="BF70" s="30">
        <v>100.0</v>
      </c>
      <c r="BG70" s="30" t="s">
        <v>428</v>
      </c>
      <c r="BH70" s="33" t="s">
        <v>429</v>
      </c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3" t="s">
        <v>413</v>
      </c>
      <c r="FM70" s="23" t="s">
        <v>323</v>
      </c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</row>
    <row r="71" ht="23.25" customHeight="1">
      <c r="A71" s="29">
        <v>44658.70170556713</v>
      </c>
      <c r="B71" s="30" t="s">
        <v>6</v>
      </c>
      <c r="C71" s="30" t="s">
        <v>14</v>
      </c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0" t="s">
        <v>430</v>
      </c>
      <c r="BJ71" s="30" t="s">
        <v>431</v>
      </c>
      <c r="BK71" s="30" t="s">
        <v>171</v>
      </c>
      <c r="BL71" s="30" t="s">
        <v>172</v>
      </c>
      <c r="BM71" s="30" t="s">
        <v>432</v>
      </c>
      <c r="BN71" s="30">
        <v>1.0</v>
      </c>
      <c r="BO71" s="32">
        <v>44017.0</v>
      </c>
      <c r="BP71" s="32">
        <v>44017.0</v>
      </c>
      <c r="BQ71" s="30" t="s">
        <v>433</v>
      </c>
      <c r="BR71" s="30" t="s">
        <v>434</v>
      </c>
      <c r="BS71" s="30" t="s">
        <v>176</v>
      </c>
      <c r="BT71" s="30" t="s">
        <v>156</v>
      </c>
      <c r="BU71" s="31"/>
      <c r="BV71" s="33" t="s">
        <v>435</v>
      </c>
      <c r="BW71" s="31"/>
      <c r="BX71" s="31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3" t="s">
        <v>436</v>
      </c>
      <c r="FM71" s="23" t="s">
        <v>323</v>
      </c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</row>
    <row r="72" ht="23.25" customHeight="1">
      <c r="A72" s="29">
        <v>44658.70403415509</v>
      </c>
      <c r="B72" s="30" t="s">
        <v>6</v>
      </c>
      <c r="C72" s="30" t="s">
        <v>14</v>
      </c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0" t="s">
        <v>415</v>
      </c>
      <c r="BJ72" s="30" t="s">
        <v>407</v>
      </c>
      <c r="BK72" s="30" t="s">
        <v>313</v>
      </c>
      <c r="BL72" s="30" t="s">
        <v>172</v>
      </c>
      <c r="BM72" s="30" t="s">
        <v>437</v>
      </c>
      <c r="BN72" s="30">
        <v>1.0</v>
      </c>
      <c r="BO72" s="32">
        <v>44567.0</v>
      </c>
      <c r="BP72" s="32">
        <v>44567.0</v>
      </c>
      <c r="BQ72" s="30" t="s">
        <v>438</v>
      </c>
      <c r="BR72" s="30" t="s">
        <v>439</v>
      </c>
      <c r="BS72" s="30" t="s">
        <v>176</v>
      </c>
      <c r="BT72" s="30" t="s">
        <v>156</v>
      </c>
      <c r="BU72" s="31"/>
      <c r="BV72" s="33" t="s">
        <v>440</v>
      </c>
      <c r="BW72" s="31"/>
      <c r="BX72" s="31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3" t="s">
        <v>413</v>
      </c>
      <c r="FM72" s="23" t="s">
        <v>278</v>
      </c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</row>
    <row r="73" ht="23.25" customHeight="1">
      <c r="A73" s="29">
        <v>44658.70890359954</v>
      </c>
      <c r="B73" s="30" t="s">
        <v>6</v>
      </c>
      <c r="C73" s="30" t="s">
        <v>13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0" t="s">
        <v>441</v>
      </c>
      <c r="AY73" s="30" t="s">
        <v>149</v>
      </c>
      <c r="AZ73" s="30" t="s">
        <v>442</v>
      </c>
      <c r="BA73" s="30" t="s">
        <v>443</v>
      </c>
      <c r="BB73" s="30" t="s">
        <v>444</v>
      </c>
      <c r="BC73" s="32">
        <v>44470.0</v>
      </c>
      <c r="BD73" s="32">
        <v>44561.0</v>
      </c>
      <c r="BE73" s="32">
        <v>44561.0</v>
      </c>
      <c r="BF73" s="30">
        <v>100.0</v>
      </c>
      <c r="BG73" s="30" t="s">
        <v>445</v>
      </c>
      <c r="BH73" s="33" t="s">
        <v>446</v>
      </c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3" t="s">
        <v>447</v>
      </c>
      <c r="FM73" s="23" t="s">
        <v>260</v>
      </c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</row>
    <row r="74" ht="23.25" customHeight="1">
      <c r="A74" s="29">
        <v>44658.70959</v>
      </c>
      <c r="B74" s="30" t="s">
        <v>6</v>
      </c>
      <c r="C74" s="30" t="s">
        <v>13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0" t="s">
        <v>448</v>
      </c>
      <c r="AY74" s="30" t="s">
        <v>449</v>
      </c>
      <c r="AZ74" s="30" t="s">
        <v>442</v>
      </c>
      <c r="BA74" s="30" t="s">
        <v>443</v>
      </c>
      <c r="BB74" s="30" t="s">
        <v>450</v>
      </c>
      <c r="BC74" s="32">
        <v>44470.0</v>
      </c>
      <c r="BD74" s="32">
        <v>44561.0</v>
      </c>
      <c r="BE74" s="32">
        <v>44561.0</v>
      </c>
      <c r="BF74" s="30">
        <v>100.0</v>
      </c>
      <c r="BG74" s="30" t="s">
        <v>445</v>
      </c>
      <c r="BH74" s="33" t="s">
        <v>451</v>
      </c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3" t="s">
        <v>452</v>
      </c>
      <c r="FM74" s="23" t="s">
        <v>260</v>
      </c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</row>
    <row r="75" ht="23.25" customHeight="1">
      <c r="A75" s="29">
        <v>44658.730894884255</v>
      </c>
      <c r="B75" s="30" t="s">
        <v>6</v>
      </c>
      <c r="C75" s="20" t="s">
        <v>15</v>
      </c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0" t="s">
        <v>453</v>
      </c>
      <c r="BX75" s="30" t="s">
        <v>454</v>
      </c>
      <c r="BY75" s="22"/>
      <c r="BZ75" s="23" t="s">
        <v>313</v>
      </c>
      <c r="CA75" s="23" t="s">
        <v>455</v>
      </c>
      <c r="CB75" s="23" t="s">
        <v>456</v>
      </c>
      <c r="CC75" s="23" t="s">
        <v>457</v>
      </c>
      <c r="CD75" s="24">
        <v>44444.0</v>
      </c>
      <c r="CE75" s="24">
        <v>44535.0</v>
      </c>
      <c r="CF75" s="23">
        <v>62.0</v>
      </c>
      <c r="CG75" s="25" t="s">
        <v>458</v>
      </c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3" t="s">
        <v>459</v>
      </c>
      <c r="FM75" s="23" t="s">
        <v>260</v>
      </c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</row>
    <row r="76" ht="23.25" customHeight="1">
      <c r="A76" s="29">
        <v>44658.73471167824</v>
      </c>
      <c r="B76" s="30" t="s">
        <v>6</v>
      </c>
      <c r="C76" s="30" t="s">
        <v>12</v>
      </c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0" t="s">
        <v>453</v>
      </c>
      <c r="AO76" s="30" t="s">
        <v>454</v>
      </c>
      <c r="AP76" s="30" t="s">
        <v>309</v>
      </c>
      <c r="AQ76" s="30" t="s">
        <v>391</v>
      </c>
      <c r="AR76" s="32">
        <v>44476.0</v>
      </c>
      <c r="AS76" s="32">
        <v>44537.0</v>
      </c>
      <c r="AT76" s="30" t="s">
        <v>257</v>
      </c>
      <c r="AU76" s="30" t="s">
        <v>257</v>
      </c>
      <c r="AV76" s="30">
        <v>0.0</v>
      </c>
      <c r="AW76" s="33" t="s">
        <v>460</v>
      </c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3" t="s">
        <v>459</v>
      </c>
      <c r="FM76" s="23" t="s">
        <v>260</v>
      </c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</row>
    <row r="77" ht="23.25" customHeight="1">
      <c r="A77" s="29">
        <v>44658.73932422454</v>
      </c>
      <c r="B77" s="30" t="s">
        <v>6</v>
      </c>
      <c r="C77" s="30" t="s">
        <v>14</v>
      </c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0" t="s">
        <v>441</v>
      </c>
      <c r="BJ77" s="30" t="s">
        <v>149</v>
      </c>
      <c r="BK77" s="30" t="s">
        <v>150</v>
      </c>
      <c r="BL77" s="30" t="s">
        <v>151</v>
      </c>
      <c r="BM77" s="30" t="s">
        <v>461</v>
      </c>
      <c r="BN77" s="30">
        <v>2.0</v>
      </c>
      <c r="BO77" s="32">
        <v>43462.0</v>
      </c>
      <c r="BP77" s="32">
        <v>43463.0</v>
      </c>
      <c r="BQ77" s="30" t="s">
        <v>462</v>
      </c>
      <c r="BR77" s="30" t="s">
        <v>463</v>
      </c>
      <c r="BS77" s="30" t="s">
        <v>155</v>
      </c>
      <c r="BT77" s="30" t="s">
        <v>156</v>
      </c>
      <c r="BU77" s="31"/>
      <c r="BV77" s="33" t="s">
        <v>464</v>
      </c>
      <c r="BW77" s="31"/>
      <c r="BX77" s="31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3" t="s">
        <v>447</v>
      </c>
      <c r="FM77" s="23" t="s">
        <v>260</v>
      </c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</row>
    <row r="78" ht="23.25" customHeight="1">
      <c r="A78" s="29">
        <v>44658.743679861116</v>
      </c>
      <c r="B78" s="30" t="s">
        <v>6</v>
      </c>
      <c r="C78" s="30" t="s">
        <v>20</v>
      </c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3" t="s">
        <v>441</v>
      </c>
      <c r="DY78" s="23" t="s">
        <v>149</v>
      </c>
      <c r="DZ78" s="23" t="s">
        <v>159</v>
      </c>
      <c r="EA78" s="23" t="s">
        <v>465</v>
      </c>
      <c r="EB78" s="24">
        <v>43899.0</v>
      </c>
      <c r="EC78" s="23" t="s">
        <v>161</v>
      </c>
      <c r="ED78" s="25" t="s">
        <v>466</v>
      </c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3" t="s">
        <v>447</v>
      </c>
      <c r="FM78" s="23" t="s">
        <v>260</v>
      </c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</row>
    <row r="79" ht="23.25" customHeight="1">
      <c r="A79" s="29">
        <v>44658.74434123843</v>
      </c>
      <c r="B79" s="30" t="s">
        <v>6</v>
      </c>
      <c r="C79" s="30" t="s">
        <v>13</v>
      </c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0" t="s">
        <v>467</v>
      </c>
      <c r="AY79" s="30" t="s">
        <v>468</v>
      </c>
      <c r="AZ79" s="30" t="s">
        <v>469</v>
      </c>
      <c r="BA79" s="30" t="s">
        <v>470</v>
      </c>
      <c r="BB79" s="30" t="s">
        <v>471</v>
      </c>
      <c r="BC79" s="32">
        <v>43934.0</v>
      </c>
      <c r="BD79" s="32">
        <v>43938.0</v>
      </c>
      <c r="BE79" s="32">
        <v>43938.0</v>
      </c>
      <c r="BF79" s="30">
        <v>100.0</v>
      </c>
      <c r="BG79" s="30" t="s">
        <v>472</v>
      </c>
      <c r="BH79" s="33" t="s">
        <v>473</v>
      </c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3" t="s">
        <v>474</v>
      </c>
      <c r="FM79" s="23" t="s">
        <v>260</v>
      </c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</row>
    <row r="80" ht="23.25" customHeight="1">
      <c r="A80" s="29">
        <v>44658.748110243054</v>
      </c>
      <c r="B80" s="30" t="s">
        <v>6</v>
      </c>
      <c r="C80" s="20" t="s">
        <v>15</v>
      </c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0" t="s">
        <v>467</v>
      </c>
      <c r="BX80" s="30" t="s">
        <v>468</v>
      </c>
      <c r="BY80" s="22"/>
      <c r="BZ80" s="23" t="s">
        <v>171</v>
      </c>
      <c r="CA80" s="23" t="s">
        <v>455</v>
      </c>
      <c r="CB80" s="23" t="s">
        <v>456</v>
      </c>
      <c r="CC80" s="23" t="s">
        <v>475</v>
      </c>
      <c r="CD80" s="24">
        <v>44089.0</v>
      </c>
      <c r="CE80" s="24">
        <v>44190.0</v>
      </c>
      <c r="CF80" s="23">
        <v>63.0</v>
      </c>
      <c r="CG80" s="25" t="s">
        <v>476</v>
      </c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3" t="s">
        <v>474</v>
      </c>
      <c r="FM80" s="23" t="s">
        <v>260</v>
      </c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</row>
    <row r="81" ht="23.25" customHeight="1">
      <c r="A81" s="29">
        <v>44658.74831681713</v>
      </c>
      <c r="B81" s="30" t="s">
        <v>6</v>
      </c>
      <c r="C81" s="30" t="s">
        <v>23</v>
      </c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3" t="s">
        <v>477</v>
      </c>
      <c r="FH81" s="23" t="s">
        <v>478</v>
      </c>
      <c r="FI81" s="23" t="s">
        <v>301</v>
      </c>
      <c r="FJ81" s="24">
        <v>44637.0</v>
      </c>
      <c r="FK81" s="25" t="s">
        <v>479</v>
      </c>
      <c r="FL81" s="23" t="s">
        <v>480</v>
      </c>
      <c r="FM81" s="23" t="s">
        <v>278</v>
      </c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</row>
    <row r="82" ht="23.25" customHeight="1">
      <c r="A82" s="29">
        <v>44658.74901341435</v>
      </c>
      <c r="B82" s="30" t="s">
        <v>6</v>
      </c>
      <c r="C82" s="30" t="s">
        <v>13</v>
      </c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0" t="s">
        <v>481</v>
      </c>
      <c r="AY82" s="30" t="s">
        <v>407</v>
      </c>
      <c r="AZ82" s="30" t="s">
        <v>482</v>
      </c>
      <c r="BA82" s="30" t="s">
        <v>483</v>
      </c>
      <c r="BB82" s="30" t="s">
        <v>484</v>
      </c>
      <c r="BC82" s="32">
        <v>44106.0</v>
      </c>
      <c r="BD82" s="32">
        <v>44229.0</v>
      </c>
      <c r="BE82" s="32">
        <v>44229.0</v>
      </c>
      <c r="BF82" s="30">
        <v>100.0</v>
      </c>
      <c r="BG82" s="30" t="s">
        <v>485</v>
      </c>
      <c r="BH82" s="33" t="s">
        <v>486</v>
      </c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3" t="s">
        <v>413</v>
      </c>
      <c r="FM82" s="23" t="s">
        <v>341</v>
      </c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</row>
    <row r="83" ht="23.25" customHeight="1">
      <c r="A83" s="29">
        <v>44658.750353553245</v>
      </c>
      <c r="B83" s="30" t="s">
        <v>6</v>
      </c>
      <c r="C83" s="30" t="s">
        <v>14</v>
      </c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0" t="s">
        <v>487</v>
      </c>
      <c r="BJ83" s="30" t="s">
        <v>488</v>
      </c>
      <c r="BK83" s="30" t="s">
        <v>313</v>
      </c>
      <c r="BL83" s="30" t="s">
        <v>172</v>
      </c>
      <c r="BM83" s="30" t="s">
        <v>201</v>
      </c>
      <c r="BN83" s="30">
        <v>1.0</v>
      </c>
      <c r="BO83" s="32">
        <v>44619.0</v>
      </c>
      <c r="BP83" s="32">
        <v>44619.0</v>
      </c>
      <c r="BQ83" s="30" t="s">
        <v>174</v>
      </c>
      <c r="BR83" s="30" t="s">
        <v>202</v>
      </c>
      <c r="BS83" s="30" t="s">
        <v>176</v>
      </c>
      <c r="BT83" s="30" t="s">
        <v>156</v>
      </c>
      <c r="BU83" s="31"/>
      <c r="BV83" s="33" t="s">
        <v>489</v>
      </c>
      <c r="BW83" s="31"/>
      <c r="BX83" s="31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3" t="s">
        <v>490</v>
      </c>
      <c r="FM83" s="23" t="s">
        <v>260</v>
      </c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</row>
    <row r="84" ht="23.25" customHeight="1">
      <c r="A84" s="29">
        <v>44658.75037284722</v>
      </c>
      <c r="B84" s="30" t="s">
        <v>6</v>
      </c>
      <c r="C84" s="30" t="s">
        <v>13</v>
      </c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0" t="s">
        <v>453</v>
      </c>
      <c r="AY84" s="30" t="s">
        <v>454</v>
      </c>
      <c r="AZ84" s="30" t="s">
        <v>351</v>
      </c>
      <c r="BA84" s="30" t="s">
        <v>377</v>
      </c>
      <c r="BB84" s="30" t="s">
        <v>491</v>
      </c>
      <c r="BC84" s="32">
        <v>43611.0</v>
      </c>
      <c r="BD84" s="32">
        <v>43672.0</v>
      </c>
      <c r="BE84" s="32">
        <v>43672.0</v>
      </c>
      <c r="BF84" s="30">
        <v>100.0</v>
      </c>
      <c r="BG84" s="30" t="s">
        <v>492</v>
      </c>
      <c r="BH84" s="33" t="s">
        <v>493</v>
      </c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3" t="s">
        <v>459</v>
      </c>
      <c r="FM84" s="23" t="s">
        <v>260</v>
      </c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</row>
    <row r="85" ht="23.25" customHeight="1">
      <c r="A85" s="29">
        <v>44658.75359425926</v>
      </c>
      <c r="B85" s="30" t="s">
        <v>6</v>
      </c>
      <c r="C85" s="30" t="s">
        <v>12</v>
      </c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0" t="s">
        <v>467</v>
      </c>
      <c r="AO85" s="30" t="s">
        <v>468</v>
      </c>
      <c r="AP85" s="30" t="s">
        <v>494</v>
      </c>
      <c r="AQ85" s="30" t="s">
        <v>495</v>
      </c>
      <c r="AR85" s="32">
        <v>44505.0</v>
      </c>
      <c r="AS85" s="32">
        <v>44537.0</v>
      </c>
      <c r="AT85" s="30" t="s">
        <v>257</v>
      </c>
      <c r="AU85" s="30" t="s">
        <v>257</v>
      </c>
      <c r="AV85" s="30">
        <v>0.0</v>
      </c>
      <c r="AW85" s="33" t="s">
        <v>496</v>
      </c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3" t="s">
        <v>474</v>
      </c>
      <c r="FM85" s="23" t="s">
        <v>260</v>
      </c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</row>
    <row r="86" ht="23.25" customHeight="1">
      <c r="A86" s="29">
        <v>44658.753887962965</v>
      </c>
      <c r="B86" s="30" t="s">
        <v>6</v>
      </c>
      <c r="C86" s="30" t="s">
        <v>13</v>
      </c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0" t="s">
        <v>477</v>
      </c>
      <c r="AY86" s="30" t="s">
        <v>478</v>
      </c>
      <c r="AZ86" s="30" t="s">
        <v>351</v>
      </c>
      <c r="BA86" s="30" t="s">
        <v>377</v>
      </c>
      <c r="BB86" s="30" t="s">
        <v>310</v>
      </c>
      <c r="BC86" s="32">
        <v>44340.0</v>
      </c>
      <c r="BD86" s="32">
        <v>44401.0</v>
      </c>
      <c r="BE86" s="32">
        <v>44401.0</v>
      </c>
      <c r="BF86" s="30">
        <v>100.0</v>
      </c>
      <c r="BG86" s="30" t="s">
        <v>497</v>
      </c>
      <c r="BH86" s="33" t="s">
        <v>498</v>
      </c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3" t="s">
        <v>480</v>
      </c>
      <c r="FM86" s="23" t="s">
        <v>341</v>
      </c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</row>
    <row r="87" ht="23.25" customHeight="1">
      <c r="A87" s="29">
        <v>44658.754161122684</v>
      </c>
      <c r="B87" s="30" t="s">
        <v>6</v>
      </c>
      <c r="C87" s="30" t="s">
        <v>13</v>
      </c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0" t="s">
        <v>453</v>
      </c>
      <c r="AY87" s="30" t="s">
        <v>454</v>
      </c>
      <c r="AZ87" s="30" t="s">
        <v>499</v>
      </c>
      <c r="BA87" s="30" t="s">
        <v>500</v>
      </c>
      <c r="BB87" s="30" t="s">
        <v>491</v>
      </c>
      <c r="BC87" s="32">
        <v>44481.0</v>
      </c>
      <c r="BD87" s="32">
        <v>44542.0</v>
      </c>
      <c r="BE87" s="32">
        <v>44542.0</v>
      </c>
      <c r="BF87" s="30">
        <v>100.0</v>
      </c>
      <c r="BG87" s="30" t="s">
        <v>492</v>
      </c>
      <c r="BH87" s="33" t="s">
        <v>501</v>
      </c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3" t="s">
        <v>459</v>
      </c>
      <c r="FM87" s="23" t="s">
        <v>260</v>
      </c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</row>
    <row r="88" ht="23.25" customHeight="1">
      <c r="A88" s="29">
        <v>44658.75584484954</v>
      </c>
      <c r="B88" s="30" t="s">
        <v>6</v>
      </c>
      <c r="C88" s="30" t="s">
        <v>13</v>
      </c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0" t="s">
        <v>477</v>
      </c>
      <c r="AY88" s="30" t="s">
        <v>478</v>
      </c>
      <c r="AZ88" s="30" t="s">
        <v>502</v>
      </c>
      <c r="BA88" s="30" t="s">
        <v>377</v>
      </c>
      <c r="BB88" s="30" t="s">
        <v>503</v>
      </c>
      <c r="BC88" s="32">
        <v>44268.0</v>
      </c>
      <c r="BD88" s="32">
        <v>44329.0</v>
      </c>
      <c r="BE88" s="32">
        <v>44329.0</v>
      </c>
      <c r="BF88" s="30">
        <v>100.0</v>
      </c>
      <c r="BG88" s="30" t="s">
        <v>497</v>
      </c>
      <c r="BH88" s="33" t="s">
        <v>504</v>
      </c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3" t="s">
        <v>480</v>
      </c>
      <c r="FM88" s="23" t="s">
        <v>323</v>
      </c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</row>
    <row r="89" ht="23.25" customHeight="1">
      <c r="A89" s="29">
        <v>44658.759175659725</v>
      </c>
      <c r="B89" s="30" t="s">
        <v>6</v>
      </c>
      <c r="C89" s="30" t="s">
        <v>13</v>
      </c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0" t="s">
        <v>487</v>
      </c>
      <c r="AY89" s="30" t="s">
        <v>488</v>
      </c>
      <c r="AZ89" s="30" t="s">
        <v>505</v>
      </c>
      <c r="BA89" s="30" t="s">
        <v>506</v>
      </c>
      <c r="BB89" s="30" t="s">
        <v>507</v>
      </c>
      <c r="BC89" s="32">
        <v>44418.0</v>
      </c>
      <c r="BD89" s="32">
        <v>44560.0</v>
      </c>
      <c r="BE89" s="32">
        <v>44550.0</v>
      </c>
      <c r="BF89" s="30">
        <v>94.0</v>
      </c>
      <c r="BG89" s="30" t="s">
        <v>492</v>
      </c>
      <c r="BH89" s="33" t="s">
        <v>508</v>
      </c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3" t="s">
        <v>490</v>
      </c>
      <c r="FM89" s="23" t="s">
        <v>278</v>
      </c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</row>
    <row r="90" ht="23.25" customHeight="1">
      <c r="A90" s="29">
        <v>44658.7595892824</v>
      </c>
      <c r="B90" s="30" t="s">
        <v>6</v>
      </c>
      <c r="C90" s="30" t="s">
        <v>13</v>
      </c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0" t="s">
        <v>509</v>
      </c>
      <c r="AY90" s="30" t="s">
        <v>478</v>
      </c>
      <c r="AZ90" s="30" t="s">
        <v>502</v>
      </c>
      <c r="BA90" s="30" t="s">
        <v>377</v>
      </c>
      <c r="BB90" s="30" t="s">
        <v>510</v>
      </c>
      <c r="BC90" s="32">
        <v>44299.0</v>
      </c>
      <c r="BD90" s="32">
        <v>44268.0</v>
      </c>
      <c r="BE90" s="32">
        <v>44268.0</v>
      </c>
      <c r="BF90" s="30">
        <v>100.0</v>
      </c>
      <c r="BG90" s="30" t="s">
        <v>497</v>
      </c>
      <c r="BH90" s="33" t="s">
        <v>511</v>
      </c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3" t="s">
        <v>480</v>
      </c>
      <c r="FM90" s="23" t="s">
        <v>283</v>
      </c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</row>
    <row r="91" ht="23.25" customHeight="1">
      <c r="A91" s="29">
        <v>44658.762952951394</v>
      </c>
      <c r="B91" s="30" t="s">
        <v>6</v>
      </c>
      <c r="C91" s="30" t="s">
        <v>13</v>
      </c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0" t="s">
        <v>509</v>
      </c>
      <c r="AY91" s="30" t="s">
        <v>478</v>
      </c>
      <c r="AZ91" s="30" t="s">
        <v>351</v>
      </c>
      <c r="BA91" s="30" t="s">
        <v>377</v>
      </c>
      <c r="BB91" s="30" t="s">
        <v>444</v>
      </c>
      <c r="BC91" s="32">
        <v>44340.0</v>
      </c>
      <c r="BD91" s="32">
        <v>44401.0</v>
      </c>
      <c r="BE91" s="32">
        <v>44401.0</v>
      </c>
      <c r="BF91" s="30">
        <v>100.0</v>
      </c>
      <c r="BG91" s="30" t="s">
        <v>497</v>
      </c>
      <c r="BH91" s="33" t="s">
        <v>512</v>
      </c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3" t="s">
        <v>480</v>
      </c>
      <c r="FM91" s="23" t="s">
        <v>278</v>
      </c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</row>
    <row r="92" ht="23.25" customHeight="1">
      <c r="A92" s="29">
        <v>44658.765028634254</v>
      </c>
      <c r="B92" s="30" t="s">
        <v>6</v>
      </c>
      <c r="C92" s="30" t="s">
        <v>13</v>
      </c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0" t="s">
        <v>509</v>
      </c>
      <c r="AY92" s="30" t="s">
        <v>478</v>
      </c>
      <c r="AZ92" s="30" t="s">
        <v>356</v>
      </c>
      <c r="BA92" s="30" t="s">
        <v>377</v>
      </c>
      <c r="BB92" s="30" t="s">
        <v>444</v>
      </c>
      <c r="BC92" s="32">
        <v>44273.0</v>
      </c>
      <c r="BD92" s="32">
        <v>44334.0</v>
      </c>
      <c r="BE92" s="32">
        <v>44334.0</v>
      </c>
      <c r="BF92" s="30">
        <v>100.0</v>
      </c>
      <c r="BG92" s="30" t="s">
        <v>497</v>
      </c>
      <c r="BH92" s="33" t="s">
        <v>513</v>
      </c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3" t="s">
        <v>480</v>
      </c>
      <c r="FM92" s="23" t="s">
        <v>283</v>
      </c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</row>
    <row r="93" ht="23.25" customHeight="1">
      <c r="A93" s="29">
        <v>44658.76747590278</v>
      </c>
      <c r="B93" s="30" t="s">
        <v>6</v>
      </c>
      <c r="C93" s="30" t="s">
        <v>13</v>
      </c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0" t="s">
        <v>509</v>
      </c>
      <c r="AY93" s="30" t="s">
        <v>478</v>
      </c>
      <c r="AZ93" s="30" t="s">
        <v>514</v>
      </c>
      <c r="BA93" s="30" t="s">
        <v>377</v>
      </c>
      <c r="BB93" s="30" t="s">
        <v>495</v>
      </c>
      <c r="BC93" s="32">
        <v>44640.0</v>
      </c>
      <c r="BD93" s="32">
        <v>44657.0</v>
      </c>
      <c r="BE93" s="32">
        <v>44657.0</v>
      </c>
      <c r="BF93" s="30">
        <v>100.0</v>
      </c>
      <c r="BG93" s="30" t="s">
        <v>497</v>
      </c>
      <c r="BH93" s="33" t="s">
        <v>515</v>
      </c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3" t="s">
        <v>480</v>
      </c>
      <c r="FM93" s="23" t="s">
        <v>260</v>
      </c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</row>
    <row r="94" ht="23.25" customHeight="1">
      <c r="A94" s="29">
        <v>44658.7859305787</v>
      </c>
      <c r="B94" s="30" t="s">
        <v>6</v>
      </c>
      <c r="C94" s="30" t="s">
        <v>12</v>
      </c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0" t="s">
        <v>516</v>
      </c>
      <c r="AO94" s="30" t="s">
        <v>517</v>
      </c>
      <c r="AP94" s="30" t="s">
        <v>518</v>
      </c>
      <c r="AQ94" s="30" t="s">
        <v>450</v>
      </c>
      <c r="AR94" s="32">
        <v>44620.0</v>
      </c>
      <c r="AS94" s="32">
        <v>44701.0</v>
      </c>
      <c r="AT94" s="30" t="s">
        <v>256</v>
      </c>
      <c r="AU94" s="30" t="s">
        <v>257</v>
      </c>
      <c r="AV94" s="30">
        <v>220001.0</v>
      </c>
      <c r="AW94" s="33" t="s">
        <v>519</v>
      </c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3" t="s">
        <v>520</v>
      </c>
      <c r="FM94" s="23" t="s">
        <v>260</v>
      </c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</row>
    <row r="95" ht="23.25" customHeight="1">
      <c r="A95" s="29">
        <v>44658.788155092596</v>
      </c>
      <c r="B95" s="30" t="s">
        <v>6</v>
      </c>
      <c r="C95" s="30" t="s">
        <v>13</v>
      </c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0" t="s">
        <v>487</v>
      </c>
      <c r="AY95" s="30" t="s">
        <v>488</v>
      </c>
      <c r="AZ95" s="30" t="s">
        <v>521</v>
      </c>
      <c r="BA95" s="30" t="s">
        <v>345</v>
      </c>
      <c r="BB95" s="30" t="s">
        <v>522</v>
      </c>
      <c r="BC95" s="32">
        <v>43962.0</v>
      </c>
      <c r="BD95" s="32">
        <v>43993.0</v>
      </c>
      <c r="BE95" s="32">
        <v>43992.0</v>
      </c>
      <c r="BF95" s="30">
        <v>100.0</v>
      </c>
      <c r="BG95" s="30" t="s">
        <v>523</v>
      </c>
      <c r="BH95" s="33" t="s">
        <v>524</v>
      </c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3" t="s">
        <v>490</v>
      </c>
      <c r="FM95" s="23" t="s">
        <v>323</v>
      </c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</row>
    <row r="96" ht="23.25" customHeight="1">
      <c r="A96" s="29">
        <v>44658.789040578704</v>
      </c>
      <c r="B96" s="30" t="s">
        <v>6</v>
      </c>
      <c r="C96" s="30" t="s">
        <v>13</v>
      </c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0" t="s">
        <v>516</v>
      </c>
      <c r="AY96" s="30" t="s">
        <v>517</v>
      </c>
      <c r="AZ96" s="30" t="s">
        <v>347</v>
      </c>
      <c r="BA96" s="30" t="s">
        <v>377</v>
      </c>
      <c r="BB96" s="30" t="s">
        <v>310</v>
      </c>
      <c r="BC96" s="32">
        <v>44329.0</v>
      </c>
      <c r="BD96" s="32">
        <v>44386.0</v>
      </c>
      <c r="BE96" s="32">
        <v>44386.0</v>
      </c>
      <c r="BF96" s="30">
        <v>87.0</v>
      </c>
      <c r="BG96" s="30" t="s">
        <v>525</v>
      </c>
      <c r="BH96" s="33" t="s">
        <v>526</v>
      </c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3" t="s">
        <v>520</v>
      </c>
      <c r="FM96" s="23" t="s">
        <v>260</v>
      </c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</row>
    <row r="97" ht="23.25" customHeight="1">
      <c r="A97" s="29">
        <v>44658.78997471065</v>
      </c>
      <c r="B97" s="30" t="s">
        <v>6</v>
      </c>
      <c r="C97" s="30" t="s">
        <v>12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0" t="s">
        <v>527</v>
      </c>
      <c r="AO97" s="30" t="s">
        <v>528</v>
      </c>
      <c r="AP97" s="30" t="s">
        <v>309</v>
      </c>
      <c r="AQ97" s="30" t="s">
        <v>310</v>
      </c>
      <c r="AR97" s="32">
        <v>44470.0</v>
      </c>
      <c r="AS97" s="32">
        <v>44537.0</v>
      </c>
      <c r="AT97" s="30" t="s">
        <v>257</v>
      </c>
      <c r="AU97" s="30" t="s">
        <v>257</v>
      </c>
      <c r="AV97" s="30">
        <v>0.0</v>
      </c>
      <c r="AW97" s="33" t="s">
        <v>529</v>
      </c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3" t="s">
        <v>530</v>
      </c>
      <c r="FM97" s="23" t="s">
        <v>278</v>
      </c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</row>
    <row r="98" ht="23.25" customHeight="1">
      <c r="A98" s="29">
        <v>44658.79098601852</v>
      </c>
      <c r="B98" s="30" t="s">
        <v>6</v>
      </c>
      <c r="C98" s="30" t="s">
        <v>13</v>
      </c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0" t="s">
        <v>487</v>
      </c>
      <c r="AY98" s="30" t="s">
        <v>488</v>
      </c>
      <c r="AZ98" s="30" t="s">
        <v>531</v>
      </c>
      <c r="BA98" s="30" t="s">
        <v>345</v>
      </c>
      <c r="BB98" s="30" t="s">
        <v>510</v>
      </c>
      <c r="BC98" s="32">
        <v>43911.0</v>
      </c>
      <c r="BD98" s="32">
        <v>43969.0</v>
      </c>
      <c r="BE98" s="32">
        <v>43966.0</v>
      </c>
      <c r="BF98" s="30">
        <v>100.0</v>
      </c>
      <c r="BG98" s="30" t="s">
        <v>523</v>
      </c>
      <c r="BH98" s="33" t="s">
        <v>532</v>
      </c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3" t="s">
        <v>490</v>
      </c>
      <c r="FM98" s="23" t="s">
        <v>323</v>
      </c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</row>
    <row r="99" ht="23.25" customHeight="1">
      <c r="A99" s="29">
        <v>44658.79206383102</v>
      </c>
      <c r="B99" s="30" t="s">
        <v>6</v>
      </c>
      <c r="C99" s="30" t="s">
        <v>13</v>
      </c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0" t="s">
        <v>516</v>
      </c>
      <c r="AY99" s="30" t="s">
        <v>517</v>
      </c>
      <c r="AZ99" s="30" t="s">
        <v>533</v>
      </c>
      <c r="BA99" s="30" t="s">
        <v>534</v>
      </c>
      <c r="BB99" s="30" t="s">
        <v>495</v>
      </c>
      <c r="BC99" s="32">
        <v>44208.0</v>
      </c>
      <c r="BD99" s="32">
        <v>44244.0</v>
      </c>
      <c r="BE99" s="32">
        <v>44244.0</v>
      </c>
      <c r="BF99" s="30">
        <v>100.0</v>
      </c>
      <c r="BG99" s="30" t="s">
        <v>397</v>
      </c>
      <c r="BH99" s="33" t="s">
        <v>535</v>
      </c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3" t="s">
        <v>520</v>
      </c>
      <c r="FM99" s="23" t="s">
        <v>260</v>
      </c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</row>
    <row r="100" ht="23.25" customHeight="1">
      <c r="A100" s="29">
        <v>44658.79246119213</v>
      </c>
      <c r="B100" s="30" t="s">
        <v>6</v>
      </c>
      <c r="C100" s="30" t="s">
        <v>13</v>
      </c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0" t="s">
        <v>536</v>
      </c>
      <c r="AY100" s="30" t="s">
        <v>528</v>
      </c>
      <c r="AZ100" s="30" t="s">
        <v>531</v>
      </c>
      <c r="BA100" s="30" t="s">
        <v>345</v>
      </c>
      <c r="BB100" s="30" t="s">
        <v>310</v>
      </c>
      <c r="BC100" s="32">
        <v>43864.0</v>
      </c>
      <c r="BD100" s="32">
        <v>43921.0</v>
      </c>
      <c r="BE100" s="32">
        <v>43923.0</v>
      </c>
      <c r="BF100" s="30">
        <v>96.0</v>
      </c>
      <c r="BG100" s="30" t="s">
        <v>365</v>
      </c>
      <c r="BH100" s="33" t="s">
        <v>537</v>
      </c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3" t="s">
        <v>530</v>
      </c>
      <c r="FM100" s="23" t="s">
        <v>323</v>
      </c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</row>
    <row r="101" ht="23.25" customHeight="1">
      <c r="A101" s="29">
        <v>44658.79343333333</v>
      </c>
      <c r="B101" s="30" t="s">
        <v>6</v>
      </c>
      <c r="C101" s="30" t="s">
        <v>13</v>
      </c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0" t="s">
        <v>487</v>
      </c>
      <c r="AY101" s="30" t="s">
        <v>488</v>
      </c>
      <c r="AZ101" s="30" t="s">
        <v>538</v>
      </c>
      <c r="BA101" s="30" t="s">
        <v>345</v>
      </c>
      <c r="BB101" s="30" t="s">
        <v>510</v>
      </c>
      <c r="BC101" s="32">
        <v>44018.0</v>
      </c>
      <c r="BD101" s="32">
        <v>44081.0</v>
      </c>
      <c r="BE101" s="32">
        <v>44080.0</v>
      </c>
      <c r="BF101" s="30">
        <v>100.0</v>
      </c>
      <c r="BG101" s="30" t="s">
        <v>523</v>
      </c>
      <c r="BH101" s="33" t="s">
        <v>539</v>
      </c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3" t="s">
        <v>490</v>
      </c>
      <c r="FM101" s="23" t="s">
        <v>341</v>
      </c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</row>
    <row r="102" ht="23.25" customHeight="1">
      <c r="A102" s="29">
        <v>44658.79452376158</v>
      </c>
      <c r="B102" s="30" t="s">
        <v>6</v>
      </c>
      <c r="C102" s="30" t="s">
        <v>13</v>
      </c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0" t="s">
        <v>536</v>
      </c>
      <c r="AY102" s="30" t="s">
        <v>528</v>
      </c>
      <c r="AZ102" s="30" t="s">
        <v>369</v>
      </c>
      <c r="BA102" s="30" t="s">
        <v>345</v>
      </c>
      <c r="BB102" s="30" t="s">
        <v>310</v>
      </c>
      <c r="BC102" s="32">
        <v>43891.0</v>
      </c>
      <c r="BD102" s="32">
        <v>43941.0</v>
      </c>
      <c r="BE102" s="32">
        <v>43945.0</v>
      </c>
      <c r="BF102" s="30">
        <v>90.0</v>
      </c>
      <c r="BG102" s="30" t="s">
        <v>365</v>
      </c>
      <c r="BH102" s="33" t="s">
        <v>540</v>
      </c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3" t="s">
        <v>530</v>
      </c>
      <c r="FM102" s="23" t="s">
        <v>323</v>
      </c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</row>
    <row r="103" ht="23.25" customHeight="1">
      <c r="A103" s="29">
        <v>44658.79549015046</v>
      </c>
      <c r="B103" s="30" t="s">
        <v>6</v>
      </c>
      <c r="C103" s="30" t="s">
        <v>13</v>
      </c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0" t="s">
        <v>516</v>
      </c>
      <c r="AY103" s="30" t="s">
        <v>517</v>
      </c>
      <c r="AZ103" s="30" t="s">
        <v>541</v>
      </c>
      <c r="BA103" s="30" t="s">
        <v>345</v>
      </c>
      <c r="BB103" s="30" t="s">
        <v>495</v>
      </c>
      <c r="BC103" s="32">
        <v>43864.0</v>
      </c>
      <c r="BD103" s="32">
        <v>43895.0</v>
      </c>
      <c r="BE103" s="32">
        <v>43895.0</v>
      </c>
      <c r="BF103" s="30">
        <v>87.0</v>
      </c>
      <c r="BG103" s="30" t="s">
        <v>397</v>
      </c>
      <c r="BH103" s="33" t="s">
        <v>542</v>
      </c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3" t="s">
        <v>520</v>
      </c>
      <c r="FM103" s="23" t="s">
        <v>260</v>
      </c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</row>
    <row r="104" ht="23.25" customHeight="1">
      <c r="A104" s="29">
        <v>44658.797149502316</v>
      </c>
      <c r="B104" s="30" t="s">
        <v>6</v>
      </c>
      <c r="C104" s="30" t="s">
        <v>13</v>
      </c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0" t="s">
        <v>516</v>
      </c>
      <c r="AY104" s="30" t="s">
        <v>517</v>
      </c>
      <c r="AZ104" s="30" t="s">
        <v>543</v>
      </c>
      <c r="BA104" s="30" t="s">
        <v>345</v>
      </c>
      <c r="BB104" s="30" t="s">
        <v>310</v>
      </c>
      <c r="BC104" s="32">
        <v>43908.0</v>
      </c>
      <c r="BD104" s="32">
        <v>43967.0</v>
      </c>
      <c r="BE104" s="32">
        <v>43967.0</v>
      </c>
      <c r="BF104" s="30">
        <v>82.0</v>
      </c>
      <c r="BG104" s="30" t="s">
        <v>544</v>
      </c>
      <c r="BH104" s="33" t="s">
        <v>545</v>
      </c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3" t="s">
        <v>520</v>
      </c>
      <c r="FM104" s="23" t="s">
        <v>260</v>
      </c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</row>
    <row r="105" ht="23.25" customHeight="1">
      <c r="A105" s="29">
        <v>44658.798706030095</v>
      </c>
      <c r="B105" s="30" t="s">
        <v>6</v>
      </c>
      <c r="C105" s="30" t="s">
        <v>13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0" t="s">
        <v>516</v>
      </c>
      <c r="AY105" s="30" t="s">
        <v>517</v>
      </c>
      <c r="AZ105" s="30" t="s">
        <v>546</v>
      </c>
      <c r="BA105" s="30" t="s">
        <v>345</v>
      </c>
      <c r="BB105" s="30" t="s">
        <v>495</v>
      </c>
      <c r="BC105" s="32">
        <v>43903.0</v>
      </c>
      <c r="BD105" s="32">
        <v>43925.0</v>
      </c>
      <c r="BE105" s="32">
        <v>43942.0</v>
      </c>
      <c r="BF105" s="30">
        <v>83.0</v>
      </c>
      <c r="BG105" s="30" t="s">
        <v>544</v>
      </c>
      <c r="BH105" s="33" t="s">
        <v>547</v>
      </c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3" t="s">
        <v>520</v>
      </c>
      <c r="FM105" s="23" t="s">
        <v>260</v>
      </c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</row>
    <row r="106" ht="23.25" customHeight="1">
      <c r="A106" s="29">
        <v>44658.8003197338</v>
      </c>
      <c r="B106" s="30" t="s">
        <v>6</v>
      </c>
      <c r="C106" s="30" t="s">
        <v>13</v>
      </c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0" t="s">
        <v>516</v>
      </c>
      <c r="AY106" s="30" t="s">
        <v>517</v>
      </c>
      <c r="AZ106" s="30" t="s">
        <v>548</v>
      </c>
      <c r="BA106" s="30" t="s">
        <v>345</v>
      </c>
      <c r="BB106" s="30" t="s">
        <v>495</v>
      </c>
      <c r="BC106" s="32">
        <v>43911.0</v>
      </c>
      <c r="BD106" s="32">
        <v>43941.0</v>
      </c>
      <c r="BE106" s="32">
        <v>43941.0</v>
      </c>
      <c r="BF106" s="30">
        <v>91.0</v>
      </c>
      <c r="BG106" s="30" t="s">
        <v>544</v>
      </c>
      <c r="BH106" s="33" t="s">
        <v>549</v>
      </c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3" t="s">
        <v>520</v>
      </c>
      <c r="FM106" s="23" t="s">
        <v>260</v>
      </c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</row>
    <row r="107" ht="23.25" customHeight="1">
      <c r="A107" s="29">
        <v>44658.8023221412</v>
      </c>
      <c r="B107" s="30" t="s">
        <v>6</v>
      </c>
      <c r="C107" s="30" t="s">
        <v>12</v>
      </c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0" t="s">
        <v>516</v>
      </c>
      <c r="AO107" s="30" t="s">
        <v>517</v>
      </c>
      <c r="AP107" s="30" t="s">
        <v>550</v>
      </c>
      <c r="AQ107" s="30" t="s">
        <v>450</v>
      </c>
      <c r="AR107" s="32">
        <v>44474.0</v>
      </c>
      <c r="AS107" s="32">
        <v>44555.0</v>
      </c>
      <c r="AT107" s="30" t="s">
        <v>257</v>
      </c>
      <c r="AU107" s="30" t="s">
        <v>257</v>
      </c>
      <c r="AV107" s="30">
        <v>0.0</v>
      </c>
      <c r="AW107" s="33" t="s">
        <v>551</v>
      </c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3" t="s">
        <v>520</v>
      </c>
      <c r="FM107" s="23" t="s">
        <v>260</v>
      </c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</row>
    <row r="108" ht="23.25" customHeight="1">
      <c r="A108" s="29">
        <v>44658.860676365744</v>
      </c>
      <c r="B108" s="30" t="s">
        <v>6</v>
      </c>
      <c r="C108" s="20" t="s">
        <v>15</v>
      </c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0" t="s">
        <v>252</v>
      </c>
      <c r="BX108" s="30" t="s">
        <v>253</v>
      </c>
      <c r="BY108" s="22"/>
      <c r="BZ108" s="23" t="s">
        <v>159</v>
      </c>
      <c r="CA108" s="23" t="s">
        <v>552</v>
      </c>
      <c r="CB108" s="23" t="s">
        <v>456</v>
      </c>
      <c r="CC108" s="23" t="s">
        <v>553</v>
      </c>
      <c r="CD108" s="24">
        <v>43647.0</v>
      </c>
      <c r="CE108" s="24">
        <v>43709.0</v>
      </c>
      <c r="CF108" s="23">
        <v>84.0</v>
      </c>
      <c r="CG108" s="25" t="s">
        <v>554</v>
      </c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3" t="s">
        <v>259</v>
      </c>
      <c r="FM108" s="23" t="s">
        <v>555</v>
      </c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</row>
    <row r="109" ht="23.25" customHeight="1">
      <c r="A109" s="29">
        <v>44658.86434662037</v>
      </c>
      <c r="B109" s="30" t="s">
        <v>6</v>
      </c>
      <c r="C109" s="20" t="s">
        <v>15</v>
      </c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0" t="s">
        <v>252</v>
      </c>
      <c r="BX109" s="30" t="s">
        <v>253</v>
      </c>
      <c r="BY109" s="22"/>
      <c r="BZ109" s="23" t="s">
        <v>159</v>
      </c>
      <c r="CA109" s="23" t="s">
        <v>556</v>
      </c>
      <c r="CB109" s="23" t="s">
        <v>456</v>
      </c>
      <c r="CC109" s="23" t="s">
        <v>475</v>
      </c>
      <c r="CD109" s="24">
        <v>43831.0</v>
      </c>
      <c r="CE109" s="24">
        <v>43921.0</v>
      </c>
      <c r="CF109" s="23">
        <v>96.0</v>
      </c>
      <c r="CG109" s="25" t="s">
        <v>557</v>
      </c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3" t="s">
        <v>259</v>
      </c>
      <c r="FM109" s="23" t="s">
        <v>323</v>
      </c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</row>
    <row r="110" ht="23.25" customHeight="1">
      <c r="A110" s="29">
        <v>44658.86763946759</v>
      </c>
      <c r="B110" s="30" t="s">
        <v>6</v>
      </c>
      <c r="C110" s="30" t="s">
        <v>12</v>
      </c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0" t="s">
        <v>252</v>
      </c>
      <c r="AO110" s="30" t="s">
        <v>253</v>
      </c>
      <c r="AP110" s="30" t="s">
        <v>309</v>
      </c>
      <c r="AQ110" s="30" t="s">
        <v>507</v>
      </c>
      <c r="AR110" s="32">
        <v>44489.0</v>
      </c>
      <c r="AS110" s="32">
        <v>44561.0</v>
      </c>
      <c r="AT110" s="30" t="s">
        <v>257</v>
      </c>
      <c r="AU110" s="30" t="s">
        <v>257</v>
      </c>
      <c r="AV110" s="30">
        <v>0.0</v>
      </c>
      <c r="AW110" s="33" t="s">
        <v>558</v>
      </c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3" t="s">
        <v>259</v>
      </c>
      <c r="FM110" s="23" t="s">
        <v>278</v>
      </c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</row>
    <row r="111" ht="23.25" customHeight="1">
      <c r="A111" s="29">
        <v>44658.8677187963</v>
      </c>
      <c r="B111" s="30" t="s">
        <v>6</v>
      </c>
      <c r="C111" s="30" t="s">
        <v>13</v>
      </c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0" t="s">
        <v>487</v>
      </c>
      <c r="AY111" s="30" t="s">
        <v>488</v>
      </c>
      <c r="AZ111" s="30" t="s">
        <v>502</v>
      </c>
      <c r="BA111" s="30" t="s">
        <v>337</v>
      </c>
      <c r="BB111" s="30" t="s">
        <v>510</v>
      </c>
      <c r="BC111" s="32">
        <v>44268.0</v>
      </c>
      <c r="BD111" s="32">
        <v>44336.0</v>
      </c>
      <c r="BE111" s="32">
        <v>44335.0</v>
      </c>
      <c r="BF111" s="30">
        <v>100.0</v>
      </c>
      <c r="BG111" s="30" t="s">
        <v>559</v>
      </c>
      <c r="BH111" s="33" t="s">
        <v>560</v>
      </c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N111" s="22"/>
      <c r="EO111" s="22"/>
      <c r="EP111" s="22"/>
      <c r="EQ111" s="22"/>
      <c r="ER111" s="22"/>
      <c r="ES111" s="22"/>
      <c r="ET111" s="22"/>
      <c r="EU111" s="22"/>
      <c r="EV111" s="22"/>
      <c r="EW111" s="22"/>
      <c r="EX111" s="22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  <c r="FL111" s="23" t="s">
        <v>490</v>
      </c>
      <c r="FM111" s="23" t="s">
        <v>341</v>
      </c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  <c r="GS111" s="22"/>
      <c r="GT111" s="22"/>
      <c r="GU111" s="22"/>
      <c r="GV111" s="22"/>
      <c r="GW111" s="22"/>
      <c r="GX111" s="22"/>
      <c r="GY111" s="22"/>
      <c r="GZ111" s="22"/>
      <c r="HA111" s="22"/>
    </row>
    <row r="112" ht="23.25" customHeight="1">
      <c r="A112" s="29">
        <v>44658.870292060186</v>
      </c>
      <c r="B112" s="30" t="s">
        <v>6</v>
      </c>
      <c r="C112" s="30" t="s">
        <v>13</v>
      </c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0" t="s">
        <v>561</v>
      </c>
      <c r="AY112" s="30" t="s">
        <v>488</v>
      </c>
      <c r="AZ112" s="30" t="s">
        <v>351</v>
      </c>
      <c r="BA112" s="30" t="s">
        <v>409</v>
      </c>
      <c r="BB112" s="30" t="s">
        <v>310</v>
      </c>
      <c r="BC112" s="32">
        <v>44341.0</v>
      </c>
      <c r="BD112" s="32">
        <v>44404.0</v>
      </c>
      <c r="BE112" s="32">
        <v>44403.0</v>
      </c>
      <c r="BF112" s="30">
        <v>100.0</v>
      </c>
      <c r="BG112" s="30" t="s">
        <v>559</v>
      </c>
      <c r="BH112" s="33" t="s">
        <v>562</v>
      </c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3" t="s">
        <v>490</v>
      </c>
      <c r="FM112" s="23" t="s">
        <v>341</v>
      </c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</row>
    <row r="113" ht="23.25" customHeight="1">
      <c r="A113" s="29">
        <v>44658.87257572917</v>
      </c>
      <c r="B113" s="30" t="s">
        <v>6</v>
      </c>
      <c r="C113" s="30" t="s">
        <v>20</v>
      </c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3" t="s">
        <v>252</v>
      </c>
      <c r="DY113" s="23" t="s">
        <v>253</v>
      </c>
      <c r="DZ113" s="23" t="s">
        <v>313</v>
      </c>
      <c r="EA113" s="23" t="s">
        <v>563</v>
      </c>
      <c r="EB113" s="24">
        <v>44618.0</v>
      </c>
      <c r="EC113" s="23" t="s">
        <v>564</v>
      </c>
      <c r="ED113" s="25" t="s">
        <v>565</v>
      </c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3" t="s">
        <v>259</v>
      </c>
      <c r="FM113" s="23" t="s">
        <v>260</v>
      </c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</row>
    <row r="114" ht="23.25" customHeight="1">
      <c r="A114" s="29">
        <v>44658.87308600695</v>
      </c>
      <c r="B114" s="30" t="s">
        <v>6</v>
      </c>
      <c r="C114" s="30" t="s">
        <v>13</v>
      </c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0" t="s">
        <v>487</v>
      </c>
      <c r="AY114" s="30" t="s">
        <v>488</v>
      </c>
      <c r="AZ114" s="30" t="s">
        <v>566</v>
      </c>
      <c r="BA114" s="30" t="s">
        <v>337</v>
      </c>
      <c r="BB114" s="30" t="s">
        <v>510</v>
      </c>
      <c r="BC114" s="32">
        <v>44321.0</v>
      </c>
      <c r="BD114" s="32">
        <v>44381.0</v>
      </c>
      <c r="BE114" s="32">
        <v>44380.0</v>
      </c>
      <c r="BF114" s="30">
        <v>100.0</v>
      </c>
      <c r="BG114" s="30" t="s">
        <v>559</v>
      </c>
      <c r="BH114" s="33" t="s">
        <v>567</v>
      </c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3" t="s">
        <v>490</v>
      </c>
      <c r="FM114" s="23" t="s">
        <v>341</v>
      </c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</row>
    <row r="115" ht="23.25" customHeight="1">
      <c r="A115" s="29">
        <v>44658.88924418981</v>
      </c>
      <c r="B115" s="30" t="s">
        <v>6</v>
      </c>
      <c r="C115" s="30" t="s">
        <v>12</v>
      </c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0" t="s">
        <v>261</v>
      </c>
      <c r="AO115" s="30" t="s">
        <v>262</v>
      </c>
      <c r="AP115" s="30" t="s">
        <v>568</v>
      </c>
      <c r="AQ115" s="30" t="s">
        <v>495</v>
      </c>
      <c r="AR115" s="32">
        <v>44338.0</v>
      </c>
      <c r="AS115" s="32">
        <v>44732.0</v>
      </c>
      <c r="AT115" s="30" t="s">
        <v>257</v>
      </c>
      <c r="AU115" s="30" t="s">
        <v>257</v>
      </c>
      <c r="AV115" s="30">
        <v>0.0</v>
      </c>
      <c r="AW115" s="33" t="s">
        <v>569</v>
      </c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3" t="s">
        <v>570</v>
      </c>
      <c r="FM115" s="23" t="s">
        <v>260</v>
      </c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</row>
    <row r="116" ht="23.25" customHeight="1">
      <c r="A116" s="29">
        <v>44658.89027307871</v>
      </c>
      <c r="B116" s="30" t="s">
        <v>6</v>
      </c>
      <c r="C116" s="30" t="s">
        <v>13</v>
      </c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0" t="s">
        <v>252</v>
      </c>
      <c r="AY116" s="30" t="s">
        <v>253</v>
      </c>
      <c r="AZ116" s="30" t="s">
        <v>571</v>
      </c>
      <c r="BA116" s="30" t="s">
        <v>337</v>
      </c>
      <c r="BB116" s="30" t="s">
        <v>310</v>
      </c>
      <c r="BC116" s="32">
        <v>44317.0</v>
      </c>
      <c r="BD116" s="32">
        <v>44378.0</v>
      </c>
      <c r="BE116" s="32">
        <v>44377.0</v>
      </c>
      <c r="BF116" s="30">
        <v>98.0</v>
      </c>
      <c r="BG116" s="30" t="s">
        <v>339</v>
      </c>
      <c r="BH116" s="33" t="s">
        <v>572</v>
      </c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3" t="s">
        <v>259</v>
      </c>
      <c r="FM116" s="23" t="s">
        <v>341</v>
      </c>
      <c r="FN116" s="22"/>
      <c r="FO116" s="22"/>
      <c r="FP116" s="22"/>
      <c r="FQ116" s="22"/>
      <c r="FR116" s="22"/>
      <c r="FS116" s="22"/>
      <c r="FT116" s="22"/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/>
      <c r="GO116" s="22"/>
      <c r="GP116" s="22"/>
      <c r="GQ116" s="22"/>
      <c r="GR116" s="22"/>
      <c r="GS116" s="22"/>
      <c r="GT116" s="22"/>
      <c r="GU116" s="22"/>
      <c r="GV116" s="22"/>
      <c r="GW116" s="22"/>
      <c r="GX116" s="22"/>
      <c r="GY116" s="22"/>
      <c r="GZ116" s="22"/>
      <c r="HA116" s="22"/>
    </row>
    <row r="117" ht="23.25" customHeight="1">
      <c r="A117" s="29">
        <v>44658.892439953706</v>
      </c>
      <c r="B117" s="30" t="s">
        <v>6</v>
      </c>
      <c r="C117" s="30" t="s">
        <v>12</v>
      </c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0" t="s">
        <v>261</v>
      </c>
      <c r="AO117" s="30" t="s">
        <v>262</v>
      </c>
      <c r="AP117" s="30" t="s">
        <v>568</v>
      </c>
      <c r="AQ117" s="30" t="s">
        <v>495</v>
      </c>
      <c r="AR117" s="32">
        <v>44338.0</v>
      </c>
      <c r="AS117" s="32">
        <v>44367.0</v>
      </c>
      <c r="AT117" s="30" t="s">
        <v>257</v>
      </c>
      <c r="AU117" s="30" t="s">
        <v>257</v>
      </c>
      <c r="AV117" s="30">
        <v>0.0</v>
      </c>
      <c r="AW117" s="33" t="s">
        <v>573</v>
      </c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3" t="s">
        <v>266</v>
      </c>
      <c r="FM117" s="23" t="s">
        <v>260</v>
      </c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</row>
    <row r="118" ht="23.25" customHeight="1">
      <c r="A118" s="29">
        <v>44658.893669074074</v>
      </c>
      <c r="B118" s="30" t="s">
        <v>6</v>
      </c>
      <c r="C118" s="30" t="s">
        <v>13</v>
      </c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0" t="s">
        <v>252</v>
      </c>
      <c r="AY118" s="30" t="s">
        <v>253</v>
      </c>
      <c r="AZ118" s="30" t="s">
        <v>351</v>
      </c>
      <c r="BA118" s="30" t="s">
        <v>337</v>
      </c>
      <c r="BB118" s="30" t="s">
        <v>495</v>
      </c>
      <c r="BC118" s="32">
        <v>43647.0</v>
      </c>
      <c r="BD118" s="32">
        <v>43676.0</v>
      </c>
      <c r="BE118" s="32">
        <v>43675.0</v>
      </c>
      <c r="BF118" s="30">
        <v>100.0</v>
      </c>
      <c r="BG118" s="30" t="s">
        <v>574</v>
      </c>
      <c r="BH118" s="33" t="s">
        <v>575</v>
      </c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3" t="s">
        <v>259</v>
      </c>
      <c r="FM118" s="23" t="s">
        <v>555</v>
      </c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</row>
    <row r="119" ht="23.25" customHeight="1">
      <c r="A119" s="29">
        <v>44658.89629347222</v>
      </c>
      <c r="B119" s="30" t="s">
        <v>6</v>
      </c>
      <c r="C119" s="30" t="s">
        <v>12</v>
      </c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0" t="s">
        <v>261</v>
      </c>
      <c r="AO119" s="30" t="s">
        <v>262</v>
      </c>
      <c r="AP119" s="30" t="s">
        <v>576</v>
      </c>
      <c r="AQ119" s="30" t="s">
        <v>495</v>
      </c>
      <c r="AR119" s="32">
        <v>44338.0</v>
      </c>
      <c r="AS119" s="32">
        <v>44367.0</v>
      </c>
      <c r="AT119" s="30" t="s">
        <v>257</v>
      </c>
      <c r="AU119" s="30" t="s">
        <v>257</v>
      </c>
      <c r="AV119" s="30">
        <v>0.0</v>
      </c>
      <c r="AW119" s="33" t="s">
        <v>577</v>
      </c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3" t="s">
        <v>266</v>
      </c>
      <c r="FM119" s="23" t="s">
        <v>283</v>
      </c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</row>
    <row r="120" ht="23.25" customHeight="1">
      <c r="A120" s="29">
        <v>44658.898457511576</v>
      </c>
      <c r="B120" s="30" t="s">
        <v>6</v>
      </c>
      <c r="C120" s="30" t="s">
        <v>12</v>
      </c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0" t="s">
        <v>261</v>
      </c>
      <c r="AO120" s="30" t="s">
        <v>262</v>
      </c>
      <c r="AP120" s="30" t="s">
        <v>263</v>
      </c>
      <c r="AQ120" s="30" t="s">
        <v>264</v>
      </c>
      <c r="AR120" s="32">
        <v>44578.0</v>
      </c>
      <c r="AS120" s="32">
        <v>44729.0</v>
      </c>
      <c r="AT120" s="30" t="s">
        <v>256</v>
      </c>
      <c r="AU120" s="30" t="s">
        <v>257</v>
      </c>
      <c r="AV120" s="30">
        <v>0.0</v>
      </c>
      <c r="AW120" s="33" t="s">
        <v>578</v>
      </c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3" t="s">
        <v>266</v>
      </c>
      <c r="FM120" s="23" t="s">
        <v>260</v>
      </c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  <c r="GW120" s="22"/>
      <c r="GX120" s="22"/>
      <c r="GY120" s="22"/>
      <c r="GZ120" s="22"/>
      <c r="HA120" s="22"/>
    </row>
    <row r="121" ht="23.25" customHeight="1">
      <c r="A121" s="29">
        <v>44658.90306459491</v>
      </c>
      <c r="B121" s="30" t="s">
        <v>6</v>
      </c>
      <c r="C121" s="30" t="s">
        <v>13</v>
      </c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0" t="s">
        <v>261</v>
      </c>
      <c r="AY121" s="30" t="s">
        <v>262</v>
      </c>
      <c r="AZ121" s="30" t="s">
        <v>579</v>
      </c>
      <c r="BA121" s="30" t="s">
        <v>422</v>
      </c>
      <c r="BB121" s="30" t="s">
        <v>495</v>
      </c>
      <c r="BC121" s="32">
        <v>44531.0</v>
      </c>
      <c r="BD121" s="32">
        <v>44561.0</v>
      </c>
      <c r="BE121" s="32">
        <v>44561.0</v>
      </c>
      <c r="BF121" s="30">
        <v>100.0</v>
      </c>
      <c r="BG121" s="30" t="s">
        <v>580</v>
      </c>
      <c r="BH121" s="33" t="s">
        <v>581</v>
      </c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N121" s="22"/>
      <c r="EO121" s="22"/>
      <c r="EP121" s="22"/>
      <c r="EQ121" s="22"/>
      <c r="ER121" s="22"/>
      <c r="ES121" s="22"/>
      <c r="ET121" s="22"/>
      <c r="EU121" s="22"/>
      <c r="EV121" s="22"/>
      <c r="EW121" s="22"/>
      <c r="EX121" s="22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3" t="s">
        <v>266</v>
      </c>
      <c r="FM121" s="23" t="s">
        <v>283</v>
      </c>
      <c r="FN121" s="22"/>
      <c r="FO121" s="22"/>
      <c r="FP121" s="22"/>
      <c r="FQ121" s="22"/>
      <c r="FR121" s="22"/>
      <c r="FS121" s="22"/>
      <c r="FT121" s="22"/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  <c r="GW121" s="22"/>
      <c r="GX121" s="22"/>
      <c r="GY121" s="22"/>
      <c r="GZ121" s="22"/>
      <c r="HA121" s="22"/>
    </row>
    <row r="122" ht="23.25" customHeight="1">
      <c r="A122" s="29">
        <v>44658.904584710646</v>
      </c>
      <c r="B122" s="30" t="s">
        <v>6</v>
      </c>
      <c r="C122" s="30" t="s">
        <v>13</v>
      </c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0" t="s">
        <v>261</v>
      </c>
      <c r="AY122" s="30" t="s">
        <v>262</v>
      </c>
      <c r="AZ122" s="30" t="s">
        <v>422</v>
      </c>
      <c r="BA122" s="30" t="s">
        <v>582</v>
      </c>
      <c r="BB122" s="30" t="s">
        <v>495</v>
      </c>
      <c r="BC122" s="32">
        <v>44531.0</v>
      </c>
      <c r="BD122" s="32">
        <v>44561.0</v>
      </c>
      <c r="BE122" s="32">
        <v>44561.0</v>
      </c>
      <c r="BF122" s="30">
        <v>100.0</v>
      </c>
      <c r="BG122" s="30" t="s">
        <v>583</v>
      </c>
      <c r="BH122" s="33" t="s">
        <v>584</v>
      </c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3" t="s">
        <v>266</v>
      </c>
      <c r="FM122" s="23" t="s">
        <v>283</v>
      </c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</row>
    <row r="123" ht="23.25" customHeight="1">
      <c r="A123" s="29">
        <v>44658.90611098379</v>
      </c>
      <c r="B123" s="30" t="s">
        <v>6</v>
      </c>
      <c r="C123" s="30" t="s">
        <v>13</v>
      </c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0" t="s">
        <v>261</v>
      </c>
      <c r="AY123" s="30" t="s">
        <v>262</v>
      </c>
      <c r="AZ123" s="30" t="s">
        <v>585</v>
      </c>
      <c r="BA123" s="30" t="s">
        <v>582</v>
      </c>
      <c r="BB123" s="30" t="s">
        <v>495</v>
      </c>
      <c r="BC123" s="32">
        <v>44531.0</v>
      </c>
      <c r="BD123" s="32">
        <v>44561.0</v>
      </c>
      <c r="BE123" s="32">
        <v>44561.0</v>
      </c>
      <c r="BF123" s="30">
        <v>100.0</v>
      </c>
      <c r="BG123" s="30" t="s">
        <v>583</v>
      </c>
      <c r="BH123" s="33" t="s">
        <v>586</v>
      </c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3" t="s">
        <v>266</v>
      </c>
      <c r="FM123" s="23" t="s">
        <v>283</v>
      </c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</row>
    <row r="124" ht="23.25" customHeight="1">
      <c r="A124" s="29">
        <v>44658.90922677083</v>
      </c>
      <c r="B124" s="30" t="s">
        <v>6</v>
      </c>
      <c r="C124" s="30" t="s">
        <v>13</v>
      </c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0" t="s">
        <v>252</v>
      </c>
      <c r="AY124" s="30" t="s">
        <v>253</v>
      </c>
      <c r="AZ124" s="30" t="s">
        <v>499</v>
      </c>
      <c r="BA124" s="30" t="s">
        <v>587</v>
      </c>
      <c r="BB124" s="30" t="s">
        <v>495</v>
      </c>
      <c r="BC124" s="32">
        <v>44531.0</v>
      </c>
      <c r="BD124" s="32">
        <v>44542.0</v>
      </c>
      <c r="BE124" s="32">
        <v>44542.0</v>
      </c>
      <c r="BF124" s="30">
        <v>100.0</v>
      </c>
      <c r="BG124" s="30" t="s">
        <v>583</v>
      </c>
      <c r="BH124" s="33" t="s">
        <v>588</v>
      </c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N124" s="22"/>
      <c r="EO124" s="22"/>
      <c r="EP124" s="22"/>
      <c r="EQ124" s="22"/>
      <c r="ER124" s="22"/>
      <c r="ES124" s="22"/>
      <c r="ET124" s="22"/>
      <c r="EU124" s="22"/>
      <c r="EV124" s="22"/>
      <c r="EW124" s="22"/>
      <c r="EX124" s="22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  <c r="FL124" s="23" t="s">
        <v>259</v>
      </c>
      <c r="FM124" s="23" t="s">
        <v>278</v>
      </c>
      <c r="FN124" s="22"/>
      <c r="FO124" s="22"/>
      <c r="FP124" s="22"/>
      <c r="FQ124" s="22"/>
      <c r="FR124" s="22"/>
      <c r="FS124" s="22"/>
      <c r="FT124" s="22"/>
      <c r="FU124" s="22"/>
      <c r="FV124" s="22"/>
      <c r="FW124" s="22"/>
      <c r="FX124" s="22"/>
      <c r="FY124" s="22"/>
      <c r="FZ124" s="22"/>
      <c r="GA124" s="22"/>
      <c r="GB124" s="22"/>
      <c r="GC124" s="22"/>
      <c r="GD124" s="22"/>
      <c r="GE124" s="22"/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  <c r="GW124" s="22"/>
      <c r="GX124" s="22"/>
      <c r="GY124" s="22"/>
      <c r="GZ124" s="22"/>
      <c r="HA124" s="22"/>
    </row>
    <row r="125" ht="23.25" customHeight="1">
      <c r="A125" s="29">
        <v>44658.911077488425</v>
      </c>
      <c r="B125" s="30" t="s">
        <v>6</v>
      </c>
      <c r="C125" s="30" t="s">
        <v>13</v>
      </c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0" t="s">
        <v>252</v>
      </c>
      <c r="AY125" s="30" t="s">
        <v>253</v>
      </c>
      <c r="AZ125" s="30" t="s">
        <v>589</v>
      </c>
      <c r="BA125" s="30" t="s">
        <v>587</v>
      </c>
      <c r="BB125" s="30" t="s">
        <v>495</v>
      </c>
      <c r="BC125" s="32">
        <v>44545.0</v>
      </c>
      <c r="BD125" s="32">
        <v>44575.0</v>
      </c>
      <c r="BE125" s="32">
        <v>44574.0</v>
      </c>
      <c r="BF125" s="30">
        <v>100.0</v>
      </c>
      <c r="BG125" s="30" t="s">
        <v>583</v>
      </c>
      <c r="BH125" s="33" t="s">
        <v>590</v>
      </c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N125" s="22"/>
      <c r="EO125" s="22"/>
      <c r="EP125" s="22"/>
      <c r="EQ125" s="22"/>
      <c r="ER125" s="22"/>
      <c r="ES125" s="22"/>
      <c r="ET125" s="22"/>
      <c r="EU125" s="22"/>
      <c r="EV125" s="22"/>
      <c r="EW125" s="22"/>
      <c r="EX125" s="22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3" t="s">
        <v>259</v>
      </c>
      <c r="FM125" s="23" t="s">
        <v>278</v>
      </c>
      <c r="FN125" s="22"/>
      <c r="FO125" s="22"/>
      <c r="FP125" s="22"/>
      <c r="FQ125" s="22"/>
      <c r="FR125" s="22"/>
      <c r="FS125" s="22"/>
      <c r="FT125" s="22"/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/>
      <c r="GJ125" s="22"/>
      <c r="GK125" s="22"/>
      <c r="GL125" s="22"/>
      <c r="GM125" s="22"/>
      <c r="GN125" s="22"/>
      <c r="GO125" s="22"/>
      <c r="GP125" s="22"/>
      <c r="GQ125" s="22"/>
      <c r="GR125" s="22"/>
      <c r="GS125" s="22"/>
      <c r="GT125" s="22"/>
      <c r="GU125" s="22"/>
      <c r="GV125" s="22"/>
      <c r="GW125" s="22"/>
      <c r="GX125" s="22"/>
      <c r="GY125" s="22"/>
      <c r="GZ125" s="22"/>
      <c r="HA125" s="22"/>
    </row>
    <row r="126" ht="23.25" customHeight="1">
      <c r="A126" s="29">
        <v>44658.91112467593</v>
      </c>
      <c r="B126" s="30" t="s">
        <v>6</v>
      </c>
      <c r="C126" s="30" t="s">
        <v>13</v>
      </c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0" t="s">
        <v>261</v>
      </c>
      <c r="AY126" s="30" t="s">
        <v>262</v>
      </c>
      <c r="AZ126" s="30" t="s">
        <v>591</v>
      </c>
      <c r="BA126" s="30" t="s">
        <v>345</v>
      </c>
      <c r="BB126" s="30" t="s">
        <v>495</v>
      </c>
      <c r="BC126" s="32">
        <v>43952.0</v>
      </c>
      <c r="BD126" s="32">
        <v>43983.0</v>
      </c>
      <c r="BE126" s="32">
        <v>43983.0</v>
      </c>
      <c r="BF126" s="30">
        <v>100.0</v>
      </c>
      <c r="BG126" s="30" t="s">
        <v>523</v>
      </c>
      <c r="BH126" s="33" t="s">
        <v>592</v>
      </c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3" t="s">
        <v>266</v>
      </c>
      <c r="FM126" s="23" t="s">
        <v>555</v>
      </c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</row>
    <row r="127" ht="23.25" customHeight="1">
      <c r="A127" s="29">
        <v>44658.91417380787</v>
      </c>
      <c r="B127" s="30" t="s">
        <v>6</v>
      </c>
      <c r="C127" s="30" t="s">
        <v>13</v>
      </c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0" t="s">
        <v>261</v>
      </c>
      <c r="AY127" s="30" t="s">
        <v>262</v>
      </c>
      <c r="AZ127" s="30" t="s">
        <v>593</v>
      </c>
      <c r="BA127" s="30" t="s">
        <v>377</v>
      </c>
      <c r="BB127" s="30">
        <v>1.0</v>
      </c>
      <c r="BC127" s="32">
        <v>44348.0</v>
      </c>
      <c r="BD127" s="32">
        <v>44378.0</v>
      </c>
      <c r="BE127" s="32">
        <v>44378.0</v>
      </c>
      <c r="BF127" s="30">
        <v>100.0</v>
      </c>
      <c r="BG127" s="30" t="s">
        <v>523</v>
      </c>
      <c r="BH127" s="33" t="s">
        <v>594</v>
      </c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3" t="s">
        <v>266</v>
      </c>
      <c r="FM127" s="23" t="s">
        <v>341</v>
      </c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</row>
    <row r="128" ht="23.25" customHeight="1">
      <c r="A128" s="29">
        <v>44658.91795326389</v>
      </c>
      <c r="B128" s="30" t="s">
        <v>6</v>
      </c>
      <c r="C128" s="30" t="s">
        <v>13</v>
      </c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0" t="s">
        <v>261</v>
      </c>
      <c r="AY128" s="30" t="s">
        <v>262</v>
      </c>
      <c r="AZ128" s="30" t="s">
        <v>261</v>
      </c>
      <c r="BA128" s="30" t="s">
        <v>377</v>
      </c>
      <c r="BB128" s="30" t="s">
        <v>595</v>
      </c>
      <c r="BC128" s="32">
        <v>43617.0</v>
      </c>
      <c r="BD128" s="32">
        <v>44348.0</v>
      </c>
      <c r="BE128" s="32">
        <v>44348.0</v>
      </c>
      <c r="BF128" s="30">
        <v>100.0</v>
      </c>
      <c r="BG128" s="30" t="s">
        <v>583</v>
      </c>
      <c r="BH128" s="33" t="s">
        <v>596</v>
      </c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3" t="s">
        <v>266</v>
      </c>
      <c r="FM128" s="23" t="s">
        <v>382</v>
      </c>
      <c r="FN128" s="22"/>
      <c r="FO128" s="22"/>
      <c r="FP128" s="22"/>
      <c r="FQ128" s="22"/>
      <c r="FR128" s="22"/>
      <c r="FS128" s="22"/>
      <c r="FT128" s="22"/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/>
      <c r="GO128" s="22"/>
      <c r="GP128" s="22"/>
      <c r="GQ128" s="22"/>
      <c r="GR128" s="22"/>
      <c r="GS128" s="22"/>
      <c r="GT128" s="22"/>
      <c r="GU128" s="22"/>
      <c r="GV128" s="22"/>
      <c r="GW128" s="22"/>
      <c r="GX128" s="22"/>
      <c r="GY128" s="22"/>
      <c r="GZ128" s="22"/>
      <c r="HA128" s="22"/>
    </row>
    <row r="129" ht="23.25" customHeight="1">
      <c r="A129" s="29">
        <v>44658.920066990744</v>
      </c>
      <c r="B129" s="30" t="s">
        <v>6</v>
      </c>
      <c r="C129" s="30" t="s">
        <v>12</v>
      </c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0" t="s">
        <v>261</v>
      </c>
      <c r="AO129" s="30" t="s">
        <v>262</v>
      </c>
      <c r="AP129" s="30" t="s">
        <v>597</v>
      </c>
      <c r="AQ129" s="30" t="s">
        <v>495</v>
      </c>
      <c r="AR129" s="32">
        <v>44470.0</v>
      </c>
      <c r="AS129" s="32">
        <v>44531.0</v>
      </c>
      <c r="AT129" s="30" t="s">
        <v>257</v>
      </c>
      <c r="AU129" s="30" t="s">
        <v>257</v>
      </c>
      <c r="AV129" s="30">
        <v>0.0</v>
      </c>
      <c r="AW129" s="33" t="s">
        <v>598</v>
      </c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3" t="s">
        <v>266</v>
      </c>
      <c r="FM129" s="23" t="s">
        <v>283</v>
      </c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</row>
    <row r="130" ht="23.25" customHeight="1">
      <c r="A130" s="29">
        <v>44658.92104288195</v>
      </c>
      <c r="B130" s="30" t="s">
        <v>6</v>
      </c>
      <c r="C130" s="30" t="s">
        <v>14</v>
      </c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0" t="s">
        <v>430</v>
      </c>
      <c r="BJ130" s="30" t="s">
        <v>431</v>
      </c>
      <c r="BK130" s="30" t="s">
        <v>171</v>
      </c>
      <c r="BL130" s="30" t="s">
        <v>172</v>
      </c>
      <c r="BM130" s="30" t="s">
        <v>599</v>
      </c>
      <c r="BN130" s="30">
        <v>1.0</v>
      </c>
      <c r="BO130" s="32">
        <v>44020.0</v>
      </c>
      <c r="BP130" s="32">
        <v>44020.0</v>
      </c>
      <c r="BQ130" s="30" t="s">
        <v>600</v>
      </c>
      <c r="BR130" s="30" t="s">
        <v>601</v>
      </c>
      <c r="BS130" s="30" t="s">
        <v>276</v>
      </c>
      <c r="BT130" s="30" t="s">
        <v>156</v>
      </c>
      <c r="BU130" s="31"/>
      <c r="BV130" s="33" t="s">
        <v>602</v>
      </c>
      <c r="BW130" s="31"/>
      <c r="BX130" s="31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3" t="s">
        <v>436</v>
      </c>
      <c r="FM130" s="23" t="s">
        <v>341</v>
      </c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</row>
    <row r="131" ht="23.25" customHeight="1">
      <c r="A131" s="29">
        <v>44658.921583194446</v>
      </c>
      <c r="B131" s="30" t="s">
        <v>6</v>
      </c>
      <c r="C131" s="30" t="s">
        <v>13</v>
      </c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0" t="s">
        <v>261</v>
      </c>
      <c r="AY131" s="30" t="s">
        <v>262</v>
      </c>
      <c r="AZ131" s="30" t="s">
        <v>603</v>
      </c>
      <c r="BA131" s="30" t="s">
        <v>309</v>
      </c>
      <c r="BB131" s="30">
        <v>1.0</v>
      </c>
      <c r="BC131" s="32">
        <v>44652.0</v>
      </c>
      <c r="BD131" s="32">
        <v>44681.0</v>
      </c>
      <c r="BE131" s="32">
        <v>44681.0</v>
      </c>
      <c r="BF131" s="30">
        <v>100.0</v>
      </c>
      <c r="BG131" s="30" t="s">
        <v>604</v>
      </c>
      <c r="BH131" s="33" t="s">
        <v>605</v>
      </c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3" t="s">
        <v>266</v>
      </c>
      <c r="FM131" s="23" t="s">
        <v>260</v>
      </c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</row>
    <row r="132" ht="23.25" customHeight="1">
      <c r="A132" s="29">
        <v>44658.92469280092</v>
      </c>
      <c r="B132" s="30" t="s">
        <v>6</v>
      </c>
      <c r="C132" s="30" t="s">
        <v>14</v>
      </c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0" t="s">
        <v>430</v>
      </c>
      <c r="BJ132" s="30" t="s">
        <v>431</v>
      </c>
      <c r="BK132" s="30" t="s">
        <v>171</v>
      </c>
      <c r="BL132" s="30" t="s">
        <v>172</v>
      </c>
      <c r="BM132" s="30" t="s">
        <v>606</v>
      </c>
      <c r="BN132" s="30">
        <v>1.0</v>
      </c>
      <c r="BO132" s="32">
        <v>44024.0</v>
      </c>
      <c r="BP132" s="32">
        <v>44024.0</v>
      </c>
      <c r="BQ132" s="30" t="s">
        <v>607</v>
      </c>
      <c r="BR132" s="30" t="s">
        <v>608</v>
      </c>
      <c r="BS132" s="30" t="s">
        <v>276</v>
      </c>
      <c r="BT132" s="30" t="s">
        <v>156</v>
      </c>
      <c r="BU132" s="31"/>
      <c r="BV132" s="33" t="s">
        <v>609</v>
      </c>
      <c r="BW132" s="31"/>
      <c r="BX132" s="31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3" t="s">
        <v>436</v>
      </c>
      <c r="FM132" s="23" t="s">
        <v>341</v>
      </c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  <c r="GW132" s="22"/>
      <c r="GX132" s="22"/>
      <c r="GY132" s="22"/>
      <c r="GZ132" s="22"/>
      <c r="HA132" s="22"/>
    </row>
    <row r="133" ht="23.25" customHeight="1">
      <c r="A133" s="29">
        <v>44658.92475452546</v>
      </c>
      <c r="B133" s="30" t="s">
        <v>6</v>
      </c>
      <c r="C133" s="30" t="s">
        <v>14</v>
      </c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0" t="s">
        <v>261</v>
      </c>
      <c r="BJ133" s="30" t="s">
        <v>262</v>
      </c>
      <c r="BK133" s="30" t="s">
        <v>159</v>
      </c>
      <c r="BL133" s="30" t="s">
        <v>172</v>
      </c>
      <c r="BM133" s="30" t="s">
        <v>610</v>
      </c>
      <c r="BN133" s="30">
        <v>30.0</v>
      </c>
      <c r="BO133" s="32">
        <v>44075.0</v>
      </c>
      <c r="BP133" s="32">
        <v>44105.0</v>
      </c>
      <c r="BQ133" s="30" t="s">
        <v>611</v>
      </c>
      <c r="BR133" s="30" t="s">
        <v>523</v>
      </c>
      <c r="BS133" s="30" t="s">
        <v>276</v>
      </c>
      <c r="BT133" s="30" t="s">
        <v>156</v>
      </c>
      <c r="BU133" s="30">
        <v>0.0</v>
      </c>
      <c r="BV133" s="33" t="s">
        <v>612</v>
      </c>
      <c r="BW133" s="31"/>
      <c r="BX133" s="31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3" t="s">
        <v>266</v>
      </c>
      <c r="FM133" s="23" t="s">
        <v>323</v>
      </c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</row>
    <row r="134" ht="23.25" customHeight="1">
      <c r="A134" s="29">
        <v>44658.92971287037</v>
      </c>
      <c r="B134" s="30" t="s">
        <v>6</v>
      </c>
      <c r="C134" s="30" t="s">
        <v>13</v>
      </c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0" t="s">
        <v>261</v>
      </c>
      <c r="AY134" s="30" t="s">
        <v>262</v>
      </c>
      <c r="AZ134" s="30" t="s">
        <v>613</v>
      </c>
      <c r="BA134" s="30" t="s">
        <v>613</v>
      </c>
      <c r="BB134" s="30">
        <v>2.0</v>
      </c>
      <c r="BC134" s="32">
        <v>43983.0</v>
      </c>
      <c r="BD134" s="32">
        <v>44531.0</v>
      </c>
      <c r="BE134" s="32">
        <v>44531.0</v>
      </c>
      <c r="BF134" s="30">
        <v>100.0</v>
      </c>
      <c r="BG134" s="30" t="s">
        <v>523</v>
      </c>
      <c r="BH134" s="33" t="s">
        <v>614</v>
      </c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3" t="s">
        <v>266</v>
      </c>
      <c r="FM134" s="23" t="s">
        <v>555</v>
      </c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</row>
    <row r="135" ht="23.25" customHeight="1">
      <c r="A135" s="29">
        <v>44658.932207094906</v>
      </c>
      <c r="B135" s="30" t="s">
        <v>6</v>
      </c>
      <c r="C135" s="30" t="s">
        <v>14</v>
      </c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0" t="s">
        <v>261</v>
      </c>
      <c r="BJ135" s="30" t="s">
        <v>262</v>
      </c>
      <c r="BK135" s="30" t="s">
        <v>313</v>
      </c>
      <c r="BL135" s="30" t="s">
        <v>172</v>
      </c>
      <c r="BM135" s="30" t="s">
        <v>615</v>
      </c>
      <c r="BN135" s="30">
        <v>1.0</v>
      </c>
      <c r="BO135" s="32">
        <v>44567.0</v>
      </c>
      <c r="BP135" s="32">
        <v>44567.0</v>
      </c>
      <c r="BQ135" s="30" t="s">
        <v>616</v>
      </c>
      <c r="BR135" s="30" t="s">
        <v>616</v>
      </c>
      <c r="BS135" s="30" t="s">
        <v>176</v>
      </c>
      <c r="BT135" s="30" t="s">
        <v>156</v>
      </c>
      <c r="BU135" s="30">
        <v>0.0</v>
      </c>
      <c r="BV135" s="33" t="s">
        <v>617</v>
      </c>
      <c r="BW135" s="31"/>
      <c r="BX135" s="31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3" t="s">
        <v>266</v>
      </c>
      <c r="FM135" s="23" t="s">
        <v>278</v>
      </c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</row>
    <row r="136" ht="23.25" customHeight="1">
      <c r="A136" s="29">
        <v>44659.36010152778</v>
      </c>
      <c r="B136" s="30" t="s">
        <v>6</v>
      </c>
      <c r="C136" s="30" t="s">
        <v>13</v>
      </c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0" t="s">
        <v>618</v>
      </c>
      <c r="AY136" s="30" t="s">
        <v>619</v>
      </c>
      <c r="AZ136" s="30" t="s">
        <v>620</v>
      </c>
      <c r="BA136" s="30" t="s">
        <v>377</v>
      </c>
      <c r="BB136" s="30">
        <v>6.0</v>
      </c>
      <c r="BC136" s="32">
        <v>43836.0</v>
      </c>
      <c r="BD136" s="32">
        <v>44020.0</v>
      </c>
      <c r="BE136" s="32">
        <v>44026.0</v>
      </c>
      <c r="BF136" s="30">
        <v>95.0</v>
      </c>
      <c r="BG136" s="30" t="s">
        <v>559</v>
      </c>
      <c r="BH136" s="33" t="s">
        <v>621</v>
      </c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3" t="s">
        <v>622</v>
      </c>
      <c r="FM136" s="23" t="s">
        <v>323</v>
      </c>
      <c r="FN136" s="22"/>
      <c r="FO136" s="22"/>
      <c r="FP136" s="22"/>
      <c r="FQ136" s="22"/>
      <c r="FR136" s="22"/>
      <c r="FS136" s="22"/>
      <c r="FT136" s="22"/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/>
      <c r="GO136" s="22"/>
      <c r="GP136" s="22"/>
      <c r="GQ136" s="22"/>
      <c r="GR136" s="22"/>
      <c r="GS136" s="22"/>
      <c r="GT136" s="22"/>
      <c r="GU136" s="22"/>
      <c r="GV136" s="22"/>
      <c r="GW136" s="22"/>
      <c r="GX136" s="22"/>
      <c r="GY136" s="22"/>
      <c r="GZ136" s="22"/>
      <c r="HA136" s="22"/>
    </row>
    <row r="137" ht="23.25" customHeight="1">
      <c r="A137" s="29">
        <v>44659.370212615744</v>
      </c>
      <c r="B137" s="30" t="s">
        <v>6</v>
      </c>
      <c r="C137" s="30" t="s">
        <v>12</v>
      </c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0" t="s">
        <v>374</v>
      </c>
      <c r="AO137" s="30" t="s">
        <v>375</v>
      </c>
      <c r="AP137" s="30" t="s">
        <v>518</v>
      </c>
      <c r="AQ137" s="30" t="s">
        <v>255</v>
      </c>
      <c r="AR137" s="32">
        <v>44621.0</v>
      </c>
      <c r="AS137" s="32">
        <v>44687.0</v>
      </c>
      <c r="AT137" s="30" t="s">
        <v>256</v>
      </c>
      <c r="AU137" s="30" t="s">
        <v>257</v>
      </c>
      <c r="AV137" s="30">
        <v>0.0</v>
      </c>
      <c r="AW137" s="33" t="s">
        <v>623</v>
      </c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3" t="s">
        <v>381</v>
      </c>
      <c r="FM137" s="23" t="s">
        <v>260</v>
      </c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</row>
    <row r="138" ht="23.25" customHeight="1">
      <c r="A138" s="29">
        <v>44659.37789498843</v>
      </c>
      <c r="B138" s="30" t="s">
        <v>6</v>
      </c>
      <c r="C138" s="30" t="s">
        <v>12</v>
      </c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0" t="s">
        <v>430</v>
      </c>
      <c r="AO138" s="30" t="s">
        <v>431</v>
      </c>
      <c r="AP138" s="30" t="s">
        <v>624</v>
      </c>
      <c r="AQ138" s="30" t="s">
        <v>625</v>
      </c>
      <c r="AR138" s="32">
        <v>44467.0</v>
      </c>
      <c r="AS138" s="32">
        <v>44501.0</v>
      </c>
      <c r="AT138" s="30" t="s">
        <v>257</v>
      </c>
      <c r="AU138" s="30" t="s">
        <v>257</v>
      </c>
      <c r="AV138" s="30">
        <v>0.0</v>
      </c>
      <c r="AW138" s="33" t="s">
        <v>626</v>
      </c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3" t="s">
        <v>436</v>
      </c>
      <c r="FM138" s="23" t="s">
        <v>278</v>
      </c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</row>
    <row r="139" ht="23.25" customHeight="1">
      <c r="A139" s="29">
        <v>44659.383908090276</v>
      </c>
      <c r="B139" s="30" t="s">
        <v>6</v>
      </c>
      <c r="C139" s="30" t="s">
        <v>13</v>
      </c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0" t="s">
        <v>430</v>
      </c>
      <c r="AY139" s="30" t="s">
        <v>431</v>
      </c>
      <c r="AZ139" s="30" t="s">
        <v>603</v>
      </c>
      <c r="BA139" s="30" t="s">
        <v>309</v>
      </c>
      <c r="BB139" s="30" t="s">
        <v>627</v>
      </c>
      <c r="BC139" s="32">
        <v>44652.0</v>
      </c>
      <c r="BD139" s="32">
        <v>44681.0</v>
      </c>
      <c r="BE139" s="32">
        <v>44681.0</v>
      </c>
      <c r="BF139" s="30">
        <v>100.0</v>
      </c>
      <c r="BG139" s="30" t="s">
        <v>339</v>
      </c>
      <c r="BH139" s="33" t="s">
        <v>628</v>
      </c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3" t="s">
        <v>436</v>
      </c>
      <c r="FM139" s="23" t="s">
        <v>260</v>
      </c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</row>
    <row r="140" ht="23.25" customHeight="1">
      <c r="A140" s="29">
        <v>44659.391369571764</v>
      </c>
      <c r="B140" s="30" t="s">
        <v>6</v>
      </c>
      <c r="C140" s="30" t="s">
        <v>14</v>
      </c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0" t="s">
        <v>618</v>
      </c>
      <c r="BJ140" s="30" t="s">
        <v>619</v>
      </c>
      <c r="BK140" s="30" t="s">
        <v>159</v>
      </c>
      <c r="BL140" s="30" t="s">
        <v>151</v>
      </c>
      <c r="BM140" s="30" t="s">
        <v>629</v>
      </c>
      <c r="BN140" s="30">
        <v>2.0</v>
      </c>
      <c r="BO140" s="32">
        <v>43505.0</v>
      </c>
      <c r="BP140" s="32">
        <v>43506.0</v>
      </c>
      <c r="BQ140" s="30" t="s">
        <v>630</v>
      </c>
      <c r="BR140" s="30" t="s">
        <v>631</v>
      </c>
      <c r="BS140" s="30" t="s">
        <v>276</v>
      </c>
      <c r="BT140" s="30" t="s">
        <v>632</v>
      </c>
      <c r="BU140" s="30">
        <v>200.0</v>
      </c>
      <c r="BV140" s="33" t="s">
        <v>633</v>
      </c>
      <c r="BW140" s="31"/>
      <c r="BX140" s="31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3" t="s">
        <v>622</v>
      </c>
      <c r="FM140" s="23" t="s">
        <v>382</v>
      </c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</row>
    <row r="141" ht="23.25" customHeight="1">
      <c r="A141" s="29">
        <v>44659.392447465274</v>
      </c>
      <c r="B141" s="30" t="s">
        <v>6</v>
      </c>
      <c r="C141" s="30" t="s">
        <v>13</v>
      </c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0" t="s">
        <v>634</v>
      </c>
      <c r="AY141" s="30" t="s">
        <v>635</v>
      </c>
      <c r="AZ141" s="30" t="s">
        <v>636</v>
      </c>
      <c r="BA141" s="30" t="s">
        <v>637</v>
      </c>
      <c r="BB141" s="30" t="s">
        <v>638</v>
      </c>
      <c r="BC141" s="32">
        <v>44657.0</v>
      </c>
      <c r="BD141" s="32">
        <v>44663.0</v>
      </c>
      <c r="BE141" s="32">
        <v>44657.0</v>
      </c>
      <c r="BF141" s="30">
        <v>95.0</v>
      </c>
      <c r="BG141" s="30" t="s">
        <v>639</v>
      </c>
      <c r="BH141" s="33" t="s">
        <v>640</v>
      </c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N141" s="22"/>
      <c r="EO141" s="22"/>
      <c r="EP141" s="22"/>
      <c r="EQ141" s="22"/>
      <c r="ER141" s="22"/>
      <c r="ES141" s="22"/>
      <c r="ET141" s="22"/>
      <c r="EU141" s="22"/>
      <c r="EV141" s="22"/>
      <c r="EW141" s="22"/>
      <c r="EX141" s="22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3" t="s">
        <v>641</v>
      </c>
      <c r="FM141" s="23" t="s">
        <v>260</v>
      </c>
      <c r="FN141" s="22"/>
      <c r="FO141" s="22"/>
      <c r="FP141" s="22"/>
      <c r="FQ141" s="22"/>
      <c r="FR141" s="22"/>
      <c r="FS141" s="22"/>
      <c r="FT141" s="22"/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/>
      <c r="GJ141" s="22"/>
      <c r="GK141" s="22"/>
      <c r="GL141" s="22"/>
      <c r="GM141" s="22"/>
      <c r="GN141" s="22"/>
      <c r="GO141" s="22"/>
      <c r="GP141" s="22"/>
      <c r="GQ141" s="22"/>
      <c r="GR141" s="22"/>
      <c r="GS141" s="22"/>
      <c r="GT141" s="22"/>
      <c r="GU141" s="22"/>
      <c r="GV141" s="22"/>
      <c r="GW141" s="22"/>
      <c r="GX141" s="22"/>
      <c r="GY141" s="22"/>
      <c r="GZ141" s="22"/>
      <c r="HA141" s="22"/>
    </row>
    <row r="142" ht="23.25" customHeight="1">
      <c r="A142" s="29">
        <v>44659.39603040509</v>
      </c>
      <c r="B142" s="30" t="s">
        <v>6</v>
      </c>
      <c r="C142" s="30" t="s">
        <v>13</v>
      </c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0" t="s">
        <v>430</v>
      </c>
      <c r="AY142" s="30" t="s">
        <v>431</v>
      </c>
      <c r="AZ142" s="30" t="s">
        <v>642</v>
      </c>
      <c r="BA142" s="30" t="s">
        <v>643</v>
      </c>
      <c r="BB142" s="30" t="s">
        <v>627</v>
      </c>
      <c r="BC142" s="32">
        <v>44371.0</v>
      </c>
      <c r="BD142" s="32">
        <v>44401.0</v>
      </c>
      <c r="BE142" s="32">
        <v>44401.0</v>
      </c>
      <c r="BF142" s="30">
        <v>100.0</v>
      </c>
      <c r="BG142" s="30" t="s">
        <v>559</v>
      </c>
      <c r="BH142" s="33" t="s">
        <v>644</v>
      </c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3" t="s">
        <v>436</v>
      </c>
      <c r="FM142" s="23" t="s">
        <v>283</v>
      </c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</row>
    <row r="143" ht="23.25" customHeight="1">
      <c r="A143" s="29">
        <v>44659.396955185184</v>
      </c>
      <c r="B143" s="30" t="s">
        <v>6</v>
      </c>
      <c r="C143" s="30" t="s">
        <v>12</v>
      </c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0" t="s">
        <v>645</v>
      </c>
      <c r="AO143" s="30" t="s">
        <v>635</v>
      </c>
      <c r="AP143" s="30" t="s">
        <v>637</v>
      </c>
      <c r="AQ143" s="30" t="s">
        <v>391</v>
      </c>
      <c r="AR143" s="32">
        <v>44630.0</v>
      </c>
      <c r="AS143" s="32">
        <v>44707.0</v>
      </c>
      <c r="AT143" s="30" t="s">
        <v>257</v>
      </c>
      <c r="AU143" s="30" t="s">
        <v>257</v>
      </c>
      <c r="AV143" s="30">
        <v>0.0</v>
      </c>
      <c r="AW143" s="33" t="s">
        <v>646</v>
      </c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3" t="s">
        <v>641</v>
      </c>
      <c r="FM143" s="23" t="s">
        <v>260</v>
      </c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</row>
    <row r="144" ht="23.25" customHeight="1">
      <c r="A144" s="29">
        <v>44659.40265012732</v>
      </c>
      <c r="B144" s="30" t="s">
        <v>6</v>
      </c>
      <c r="C144" s="30" t="s">
        <v>13</v>
      </c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0" t="s">
        <v>645</v>
      </c>
      <c r="AY144" s="30" t="s">
        <v>635</v>
      </c>
      <c r="AZ144" s="30" t="s">
        <v>647</v>
      </c>
      <c r="BA144" s="30" t="s">
        <v>648</v>
      </c>
      <c r="BB144" s="30" t="s">
        <v>649</v>
      </c>
      <c r="BC144" s="32">
        <v>44460.0</v>
      </c>
      <c r="BD144" s="32">
        <v>44526.0</v>
      </c>
      <c r="BE144" s="32">
        <v>44527.0</v>
      </c>
      <c r="BF144" s="30">
        <v>100.0</v>
      </c>
      <c r="BG144" s="30" t="s">
        <v>650</v>
      </c>
      <c r="BH144" s="33" t="s">
        <v>651</v>
      </c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3" t="s">
        <v>641</v>
      </c>
      <c r="FM144" s="23" t="s">
        <v>260</v>
      </c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</row>
    <row r="145" ht="23.25" customHeight="1">
      <c r="A145" s="29">
        <v>44659.40397796297</v>
      </c>
      <c r="B145" s="30" t="s">
        <v>6</v>
      </c>
      <c r="C145" s="30" t="s">
        <v>13</v>
      </c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0" t="s">
        <v>618</v>
      </c>
      <c r="AY145" s="30" t="s">
        <v>619</v>
      </c>
      <c r="AZ145" s="30" t="s">
        <v>652</v>
      </c>
      <c r="BA145" s="30" t="s">
        <v>377</v>
      </c>
      <c r="BB145" s="30" t="s">
        <v>653</v>
      </c>
      <c r="BC145" s="32">
        <v>43979.0</v>
      </c>
      <c r="BD145" s="32">
        <v>44035.0</v>
      </c>
      <c r="BE145" s="32">
        <v>44035.0</v>
      </c>
      <c r="BF145" s="30">
        <v>95.0</v>
      </c>
      <c r="BG145" s="30" t="s">
        <v>559</v>
      </c>
      <c r="BH145" s="33" t="s">
        <v>654</v>
      </c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3" t="s">
        <v>622</v>
      </c>
      <c r="FM145" s="23" t="s">
        <v>323</v>
      </c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</row>
    <row r="146" ht="23.25" customHeight="1">
      <c r="A146" s="29">
        <v>44659.40476895834</v>
      </c>
      <c r="B146" s="30" t="s">
        <v>6</v>
      </c>
      <c r="C146" s="30" t="s">
        <v>27</v>
      </c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3" t="s">
        <v>641</v>
      </c>
      <c r="FM146" s="23" t="s">
        <v>260</v>
      </c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3" t="s">
        <v>645</v>
      </c>
      <c r="GG146" s="23" t="s">
        <v>635</v>
      </c>
      <c r="GH146" s="23" t="s">
        <v>637</v>
      </c>
      <c r="GI146" s="24">
        <v>44585.0</v>
      </c>
      <c r="GJ146" s="25" t="s">
        <v>655</v>
      </c>
      <c r="GK146" s="23" t="s">
        <v>656</v>
      </c>
      <c r="GL146" s="23" t="s">
        <v>657</v>
      </c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</row>
    <row r="147" ht="23.25" customHeight="1">
      <c r="A147" s="29">
        <v>44659.407064363426</v>
      </c>
      <c r="B147" s="30" t="s">
        <v>6</v>
      </c>
      <c r="C147" s="30" t="s">
        <v>13</v>
      </c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0" t="s">
        <v>645</v>
      </c>
      <c r="AY147" s="30" t="s">
        <v>635</v>
      </c>
      <c r="AZ147" s="30" t="s">
        <v>658</v>
      </c>
      <c r="BA147" s="30" t="s">
        <v>637</v>
      </c>
      <c r="BB147" s="30" t="s">
        <v>659</v>
      </c>
      <c r="BC147" s="32">
        <v>44578.0</v>
      </c>
      <c r="BD147" s="32">
        <v>44578.0</v>
      </c>
      <c r="BE147" s="32">
        <v>44578.0</v>
      </c>
      <c r="BF147" s="30">
        <v>8.0</v>
      </c>
      <c r="BG147" s="30" t="s">
        <v>650</v>
      </c>
      <c r="BH147" s="33" t="s">
        <v>660</v>
      </c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N147" s="22"/>
      <c r="EO147" s="22"/>
      <c r="EP147" s="22"/>
      <c r="EQ147" s="22"/>
      <c r="ER147" s="22"/>
      <c r="ES147" s="22"/>
      <c r="ET147" s="22"/>
      <c r="EU147" s="22"/>
      <c r="EV147" s="22"/>
      <c r="EW147" s="22"/>
      <c r="EX147" s="22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3" t="s">
        <v>641</v>
      </c>
      <c r="FM147" s="23" t="s">
        <v>260</v>
      </c>
      <c r="FN147" s="22"/>
      <c r="FO147" s="22"/>
      <c r="FP147" s="22"/>
      <c r="FQ147" s="22"/>
      <c r="FR147" s="22"/>
      <c r="FS147" s="22"/>
      <c r="FT147" s="22"/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/>
      <c r="GP147" s="22"/>
      <c r="GQ147" s="22"/>
      <c r="GR147" s="22"/>
      <c r="GS147" s="22"/>
      <c r="GT147" s="22"/>
      <c r="GU147" s="22"/>
      <c r="GV147" s="22"/>
      <c r="GW147" s="22"/>
      <c r="GX147" s="22"/>
      <c r="GY147" s="22"/>
      <c r="GZ147" s="22"/>
      <c r="HA147" s="22"/>
    </row>
    <row r="148" ht="23.25" customHeight="1">
      <c r="A148" s="29">
        <v>44659.4082819676</v>
      </c>
      <c r="B148" s="30" t="s">
        <v>6</v>
      </c>
      <c r="C148" s="30" t="s">
        <v>12</v>
      </c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0" t="s">
        <v>645</v>
      </c>
      <c r="AO148" s="30" t="s">
        <v>635</v>
      </c>
      <c r="AP148" s="30" t="s">
        <v>637</v>
      </c>
      <c r="AQ148" s="30" t="s">
        <v>391</v>
      </c>
      <c r="AR148" s="32">
        <v>44630.0</v>
      </c>
      <c r="AS148" s="32">
        <v>44707.0</v>
      </c>
      <c r="AT148" s="30" t="s">
        <v>257</v>
      </c>
      <c r="AU148" s="30" t="s">
        <v>257</v>
      </c>
      <c r="AV148" s="30">
        <v>0.0</v>
      </c>
      <c r="AW148" s="33" t="s">
        <v>661</v>
      </c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3" t="s">
        <v>641</v>
      </c>
      <c r="FM148" s="23" t="s">
        <v>260</v>
      </c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</row>
    <row r="149" ht="23.25" customHeight="1">
      <c r="A149" s="29">
        <v>44659.40860439815</v>
      </c>
      <c r="B149" s="30" t="s">
        <v>6</v>
      </c>
      <c r="C149" s="30" t="s">
        <v>13</v>
      </c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0" t="s">
        <v>430</v>
      </c>
      <c r="AY149" s="30" t="s">
        <v>431</v>
      </c>
      <c r="AZ149" s="30" t="s">
        <v>662</v>
      </c>
      <c r="BA149" s="30" t="s">
        <v>377</v>
      </c>
      <c r="BB149" s="30" t="s">
        <v>663</v>
      </c>
      <c r="BC149" s="32">
        <v>44348.0</v>
      </c>
      <c r="BD149" s="32">
        <v>44378.0</v>
      </c>
      <c r="BE149" s="32">
        <v>44378.0</v>
      </c>
      <c r="BF149" s="30">
        <v>100.0</v>
      </c>
      <c r="BG149" s="30" t="s">
        <v>523</v>
      </c>
      <c r="BH149" s="33" t="s">
        <v>664</v>
      </c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3" t="s">
        <v>436</v>
      </c>
      <c r="FM149" s="23" t="s">
        <v>341</v>
      </c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</row>
    <row r="150" ht="23.25" customHeight="1">
      <c r="A150" s="29">
        <v>44659.4151887037</v>
      </c>
      <c r="B150" s="30" t="s">
        <v>6</v>
      </c>
      <c r="C150" s="30" t="s">
        <v>13</v>
      </c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0" t="s">
        <v>430</v>
      </c>
      <c r="AY150" s="30" t="s">
        <v>431</v>
      </c>
      <c r="AZ150" s="30" t="s">
        <v>571</v>
      </c>
      <c r="BA150" s="30" t="s">
        <v>665</v>
      </c>
      <c r="BB150" s="30" t="s">
        <v>320</v>
      </c>
      <c r="BC150" s="32">
        <v>44317.0</v>
      </c>
      <c r="BD150" s="32">
        <v>44378.0</v>
      </c>
      <c r="BE150" s="32">
        <v>44377.0</v>
      </c>
      <c r="BF150" s="30">
        <v>96.0</v>
      </c>
      <c r="BG150" s="30" t="s">
        <v>339</v>
      </c>
      <c r="BH150" s="33" t="s">
        <v>666</v>
      </c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/>
      <c r="EG150" s="22"/>
      <c r="EH150" s="22"/>
      <c r="EI150" s="22"/>
      <c r="EJ150" s="22"/>
      <c r="EK150" s="22"/>
      <c r="EL150" s="22"/>
      <c r="EM150" s="22"/>
      <c r="EN150" s="22"/>
      <c r="EO150" s="22"/>
      <c r="EP150" s="22"/>
      <c r="EQ150" s="22"/>
      <c r="ER150" s="22"/>
      <c r="ES150" s="22"/>
      <c r="ET150" s="22"/>
      <c r="EU150" s="22"/>
      <c r="EV150" s="22"/>
      <c r="EW150" s="22"/>
      <c r="EX150" s="22"/>
      <c r="EY150" s="22"/>
      <c r="EZ150" s="22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3" t="s">
        <v>436</v>
      </c>
      <c r="FM150" s="23" t="s">
        <v>341</v>
      </c>
      <c r="FN150" s="22"/>
      <c r="FO150" s="22"/>
      <c r="FP150" s="22"/>
      <c r="FQ150" s="22"/>
      <c r="FR150" s="22"/>
      <c r="FS150" s="22"/>
      <c r="FT150" s="22"/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/>
      <c r="GO150" s="22"/>
      <c r="GP150" s="22"/>
      <c r="GQ150" s="22"/>
      <c r="GR150" s="22"/>
      <c r="GS150" s="22"/>
      <c r="GT150" s="22"/>
      <c r="GU150" s="22"/>
      <c r="GV150" s="22"/>
      <c r="GW150" s="22"/>
      <c r="GX150" s="22"/>
      <c r="GY150" s="22"/>
      <c r="GZ150" s="22"/>
      <c r="HA150" s="22"/>
    </row>
    <row r="151" ht="23.25" customHeight="1">
      <c r="A151" s="29">
        <v>44659.41702857639</v>
      </c>
      <c r="B151" s="30" t="s">
        <v>6</v>
      </c>
      <c r="C151" s="30" t="s">
        <v>13</v>
      </c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0" t="s">
        <v>430</v>
      </c>
      <c r="AY151" s="30" t="s">
        <v>431</v>
      </c>
      <c r="AZ151" s="30" t="s">
        <v>667</v>
      </c>
      <c r="BA151" s="30" t="s">
        <v>337</v>
      </c>
      <c r="BB151" s="30" t="s">
        <v>320</v>
      </c>
      <c r="BC151" s="32">
        <v>44394.0</v>
      </c>
      <c r="BD151" s="32">
        <v>44456.0</v>
      </c>
      <c r="BE151" s="32">
        <v>44453.0</v>
      </c>
      <c r="BF151" s="30">
        <v>98.0</v>
      </c>
      <c r="BG151" s="30" t="s">
        <v>339</v>
      </c>
      <c r="BH151" s="33" t="s">
        <v>668</v>
      </c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/>
      <c r="EG151" s="22"/>
      <c r="EH151" s="22"/>
      <c r="EI151" s="22"/>
      <c r="EJ151" s="22"/>
      <c r="EK151" s="22"/>
      <c r="EL151" s="22"/>
      <c r="EM151" s="22"/>
      <c r="EN151" s="22"/>
      <c r="EO151" s="22"/>
      <c r="EP151" s="22"/>
      <c r="EQ151" s="22"/>
      <c r="ER151" s="22"/>
      <c r="ES151" s="22"/>
      <c r="ET151" s="22"/>
      <c r="EU151" s="22"/>
      <c r="EV151" s="22"/>
      <c r="EW151" s="22"/>
      <c r="EX151" s="22"/>
      <c r="EY151" s="22"/>
      <c r="EZ151" s="22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3" t="s">
        <v>436</v>
      </c>
      <c r="FM151" s="23" t="s">
        <v>341</v>
      </c>
      <c r="FN151" s="22"/>
      <c r="FO151" s="22"/>
      <c r="FP151" s="22"/>
      <c r="FQ151" s="22"/>
      <c r="FR151" s="22"/>
      <c r="FS151" s="22"/>
      <c r="FT151" s="22"/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/>
      <c r="GP151" s="22"/>
      <c r="GQ151" s="22"/>
      <c r="GR151" s="22"/>
      <c r="GS151" s="22"/>
      <c r="GT151" s="22"/>
      <c r="GU151" s="22"/>
      <c r="GV151" s="22"/>
      <c r="GW151" s="22"/>
      <c r="GX151" s="22"/>
      <c r="GY151" s="22"/>
      <c r="GZ151" s="22"/>
      <c r="HA151" s="22"/>
    </row>
    <row r="152" ht="23.25" customHeight="1">
      <c r="A152" s="29">
        <v>44659.41939298611</v>
      </c>
      <c r="B152" s="30" t="s">
        <v>6</v>
      </c>
      <c r="C152" s="30" t="s">
        <v>13</v>
      </c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0" t="s">
        <v>618</v>
      </c>
      <c r="AY152" s="30" t="s">
        <v>619</v>
      </c>
      <c r="AZ152" s="30" t="s">
        <v>669</v>
      </c>
      <c r="BA152" s="30" t="s">
        <v>309</v>
      </c>
      <c r="BB152" s="30" t="s">
        <v>670</v>
      </c>
      <c r="BC152" s="32">
        <v>44511.0</v>
      </c>
      <c r="BD152" s="32">
        <v>44512.0</v>
      </c>
      <c r="BE152" s="32">
        <v>44512.0</v>
      </c>
      <c r="BF152" s="30">
        <v>95.0</v>
      </c>
      <c r="BG152" s="30" t="s">
        <v>559</v>
      </c>
      <c r="BH152" s="33" t="s">
        <v>671</v>
      </c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/>
      <c r="EG152" s="22"/>
      <c r="EH152" s="22"/>
      <c r="EI152" s="22"/>
      <c r="EJ152" s="22"/>
      <c r="EK152" s="22"/>
      <c r="EL152" s="22"/>
      <c r="EM152" s="22"/>
      <c r="EN152" s="22"/>
      <c r="EO152" s="22"/>
      <c r="EP152" s="22"/>
      <c r="EQ152" s="22"/>
      <c r="ER152" s="22"/>
      <c r="ES152" s="22"/>
      <c r="ET152" s="22"/>
      <c r="EU152" s="22"/>
      <c r="EV152" s="22"/>
      <c r="EW152" s="22"/>
      <c r="EX152" s="22"/>
      <c r="EY152" s="22"/>
      <c r="EZ152" s="22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3" t="s">
        <v>622</v>
      </c>
      <c r="FM152" s="23" t="s">
        <v>278</v>
      </c>
      <c r="FN152" s="22"/>
      <c r="FO152" s="22"/>
      <c r="FP152" s="22"/>
      <c r="FQ152" s="22"/>
      <c r="FR152" s="22"/>
      <c r="FS152" s="22"/>
      <c r="FT152" s="22"/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/>
      <c r="GO152" s="22"/>
      <c r="GP152" s="22"/>
      <c r="GQ152" s="22"/>
      <c r="GR152" s="22"/>
      <c r="GS152" s="22"/>
      <c r="GT152" s="22"/>
      <c r="GU152" s="22"/>
      <c r="GV152" s="22"/>
      <c r="GW152" s="22"/>
      <c r="GX152" s="22"/>
      <c r="GY152" s="22"/>
      <c r="GZ152" s="22"/>
      <c r="HA152" s="22"/>
    </row>
    <row r="153" ht="23.25" customHeight="1">
      <c r="A153" s="29">
        <v>44659.42260903935</v>
      </c>
      <c r="B153" s="30" t="s">
        <v>6</v>
      </c>
      <c r="C153" s="30" t="s">
        <v>13</v>
      </c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0" t="s">
        <v>430</v>
      </c>
      <c r="AY153" s="30" t="s">
        <v>431</v>
      </c>
      <c r="AZ153" s="30" t="s">
        <v>351</v>
      </c>
      <c r="BA153" s="30" t="s">
        <v>337</v>
      </c>
      <c r="BB153" s="30" t="s">
        <v>320</v>
      </c>
      <c r="BC153" s="32">
        <v>44256.0</v>
      </c>
      <c r="BD153" s="32">
        <v>44317.0</v>
      </c>
      <c r="BE153" s="32">
        <v>44316.0</v>
      </c>
      <c r="BF153" s="30">
        <v>100.0</v>
      </c>
      <c r="BG153" s="30" t="s">
        <v>339</v>
      </c>
      <c r="BH153" s="33" t="s">
        <v>672</v>
      </c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/>
      <c r="EG153" s="22"/>
      <c r="EH153" s="22"/>
      <c r="EI153" s="22"/>
      <c r="EJ153" s="22"/>
      <c r="EK153" s="22"/>
      <c r="EL153" s="22"/>
      <c r="EM153" s="22"/>
      <c r="EN153" s="22"/>
      <c r="EO153" s="22"/>
      <c r="EP153" s="22"/>
      <c r="EQ153" s="22"/>
      <c r="ER153" s="22"/>
      <c r="ES153" s="22"/>
      <c r="ET153" s="22"/>
      <c r="EU153" s="22"/>
      <c r="EV153" s="22"/>
      <c r="EW153" s="22"/>
      <c r="EX153" s="22"/>
      <c r="EY153" s="22"/>
      <c r="EZ153" s="22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3" t="s">
        <v>436</v>
      </c>
      <c r="FM153" s="23" t="s">
        <v>341</v>
      </c>
      <c r="FN153" s="22"/>
      <c r="FO153" s="22"/>
      <c r="FP153" s="22"/>
      <c r="FQ153" s="22"/>
      <c r="FR153" s="22"/>
      <c r="FS153" s="22"/>
      <c r="FT153" s="22"/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/>
      <c r="GJ153" s="22"/>
      <c r="GK153" s="22"/>
      <c r="GL153" s="22"/>
      <c r="GM153" s="22"/>
      <c r="GN153" s="22"/>
      <c r="GO153" s="22"/>
      <c r="GP153" s="22"/>
      <c r="GQ153" s="22"/>
      <c r="GR153" s="22"/>
      <c r="GS153" s="22"/>
      <c r="GT153" s="22"/>
      <c r="GU153" s="22"/>
      <c r="GV153" s="22"/>
      <c r="GW153" s="22"/>
      <c r="GX153" s="22"/>
      <c r="GY153" s="22"/>
      <c r="GZ153" s="22"/>
      <c r="HA153" s="22"/>
    </row>
    <row r="154" ht="23.25" customHeight="1">
      <c r="A154" s="29">
        <v>44659.4246658912</v>
      </c>
      <c r="B154" s="30" t="s">
        <v>6</v>
      </c>
      <c r="C154" s="30" t="s">
        <v>13</v>
      </c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0" t="s">
        <v>430</v>
      </c>
      <c r="AY154" s="30" t="s">
        <v>431</v>
      </c>
      <c r="AZ154" s="30" t="s">
        <v>502</v>
      </c>
      <c r="BA154" s="30" t="s">
        <v>337</v>
      </c>
      <c r="BB154" s="30" t="s">
        <v>627</v>
      </c>
      <c r="BC154" s="32">
        <v>44287.0</v>
      </c>
      <c r="BD154" s="32">
        <v>44317.0</v>
      </c>
      <c r="BE154" s="32">
        <v>44311.0</v>
      </c>
      <c r="BF154" s="30">
        <v>95.0</v>
      </c>
      <c r="BG154" s="30" t="s">
        <v>339</v>
      </c>
      <c r="BH154" s="33" t="s">
        <v>673</v>
      </c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/>
      <c r="EG154" s="22"/>
      <c r="EH154" s="22"/>
      <c r="EI154" s="22"/>
      <c r="EJ154" s="22"/>
      <c r="EK154" s="22"/>
      <c r="EL154" s="22"/>
      <c r="EM154" s="22"/>
      <c r="EN154" s="22"/>
      <c r="EO154" s="22"/>
      <c r="EP154" s="22"/>
      <c r="EQ154" s="22"/>
      <c r="ER154" s="22"/>
      <c r="ES154" s="22"/>
      <c r="ET154" s="22"/>
      <c r="EU154" s="22"/>
      <c r="EV154" s="22"/>
      <c r="EW154" s="22"/>
      <c r="EX154" s="22"/>
      <c r="EY154" s="22"/>
      <c r="EZ154" s="22"/>
      <c r="FA154" s="22"/>
      <c r="FB154" s="22"/>
      <c r="FC154" s="22"/>
      <c r="FD154" s="22"/>
      <c r="FE154" s="22"/>
      <c r="FF154" s="22"/>
      <c r="FG154" s="22"/>
      <c r="FH154" s="22"/>
      <c r="FI154" s="22"/>
      <c r="FJ154" s="22"/>
      <c r="FK154" s="22"/>
      <c r="FL154" s="23" t="s">
        <v>436</v>
      </c>
      <c r="FM154" s="23" t="s">
        <v>341</v>
      </c>
      <c r="FN154" s="22"/>
      <c r="FO154" s="22"/>
      <c r="FP154" s="22"/>
      <c r="FQ154" s="22"/>
      <c r="FR154" s="22"/>
      <c r="FS154" s="22"/>
      <c r="FT154" s="22"/>
      <c r="FU154" s="22"/>
      <c r="FV154" s="22"/>
      <c r="FW154" s="22"/>
      <c r="FX154" s="22"/>
      <c r="FY154" s="22"/>
      <c r="FZ154" s="22"/>
      <c r="GA154" s="22"/>
      <c r="GB154" s="22"/>
      <c r="GC154" s="22"/>
      <c r="GD154" s="22"/>
      <c r="GE154" s="22"/>
      <c r="GF154" s="22"/>
      <c r="GG154" s="22"/>
      <c r="GH154" s="22"/>
      <c r="GI154" s="22"/>
      <c r="GJ154" s="22"/>
      <c r="GK154" s="22"/>
      <c r="GL154" s="22"/>
      <c r="GM154" s="22"/>
      <c r="GN154" s="22"/>
      <c r="GO154" s="22"/>
      <c r="GP154" s="22"/>
      <c r="GQ154" s="22"/>
      <c r="GR154" s="22"/>
      <c r="GS154" s="22"/>
      <c r="GT154" s="22"/>
      <c r="GU154" s="22"/>
      <c r="GV154" s="22"/>
      <c r="GW154" s="22"/>
      <c r="GX154" s="22"/>
      <c r="GY154" s="22"/>
      <c r="GZ154" s="22"/>
      <c r="HA154" s="22"/>
    </row>
    <row r="155" ht="23.25" customHeight="1">
      <c r="A155" s="29">
        <v>44659.42821380787</v>
      </c>
      <c r="B155" s="30" t="s">
        <v>6</v>
      </c>
      <c r="C155" s="30" t="s">
        <v>13</v>
      </c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0" t="s">
        <v>430</v>
      </c>
      <c r="AY155" s="30" t="s">
        <v>431</v>
      </c>
      <c r="AZ155" s="30" t="s">
        <v>674</v>
      </c>
      <c r="BA155" s="30" t="s">
        <v>337</v>
      </c>
      <c r="BB155" s="30" t="s">
        <v>627</v>
      </c>
      <c r="BC155" s="32">
        <v>44341.0</v>
      </c>
      <c r="BD155" s="32">
        <v>44372.0</v>
      </c>
      <c r="BE155" s="32">
        <v>44372.0</v>
      </c>
      <c r="BF155" s="30">
        <v>100.0</v>
      </c>
      <c r="BG155" s="30" t="s">
        <v>675</v>
      </c>
      <c r="BH155" s="33" t="s">
        <v>676</v>
      </c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/>
      <c r="EG155" s="22"/>
      <c r="EH155" s="22"/>
      <c r="EI155" s="22"/>
      <c r="EJ155" s="22"/>
      <c r="EK155" s="22"/>
      <c r="EL155" s="22"/>
      <c r="EM155" s="22"/>
      <c r="EN155" s="22"/>
      <c r="EO155" s="22"/>
      <c r="EP155" s="22"/>
      <c r="EQ155" s="22"/>
      <c r="ER155" s="22"/>
      <c r="ES155" s="22"/>
      <c r="ET155" s="22"/>
      <c r="EU155" s="22"/>
      <c r="EV155" s="22"/>
      <c r="EW155" s="22"/>
      <c r="EX155" s="22"/>
      <c r="EY155" s="22"/>
      <c r="EZ155" s="22"/>
      <c r="FA155" s="22"/>
      <c r="FB155" s="22"/>
      <c r="FC155" s="22"/>
      <c r="FD155" s="22"/>
      <c r="FE155" s="22"/>
      <c r="FF155" s="22"/>
      <c r="FG155" s="22"/>
      <c r="FH155" s="22"/>
      <c r="FI155" s="22"/>
      <c r="FJ155" s="22"/>
      <c r="FK155" s="22"/>
      <c r="FL155" s="23" t="s">
        <v>436</v>
      </c>
      <c r="FM155" s="23" t="s">
        <v>283</v>
      </c>
      <c r="FN155" s="22"/>
      <c r="FO155" s="22"/>
      <c r="FP155" s="22"/>
      <c r="FQ155" s="22"/>
      <c r="FR155" s="22"/>
      <c r="FS155" s="22"/>
      <c r="FT155" s="22"/>
      <c r="FU155" s="22"/>
      <c r="FV155" s="22"/>
      <c r="FW155" s="22"/>
      <c r="FX155" s="22"/>
      <c r="FY155" s="22"/>
      <c r="FZ155" s="22"/>
      <c r="GA155" s="22"/>
      <c r="GB155" s="22"/>
      <c r="GC155" s="22"/>
      <c r="GD155" s="22"/>
      <c r="GE155" s="22"/>
      <c r="GF155" s="22"/>
      <c r="GG155" s="22"/>
      <c r="GH155" s="22"/>
      <c r="GI155" s="22"/>
      <c r="GJ155" s="22"/>
      <c r="GK155" s="22"/>
      <c r="GL155" s="22"/>
      <c r="GM155" s="22"/>
      <c r="GN155" s="22"/>
      <c r="GO155" s="22"/>
      <c r="GP155" s="22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</row>
    <row r="156" ht="23.25" customHeight="1">
      <c r="A156" s="29">
        <v>44659.43116486111</v>
      </c>
      <c r="B156" s="30" t="s">
        <v>6</v>
      </c>
      <c r="C156" s="30" t="s">
        <v>13</v>
      </c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0" t="s">
        <v>430</v>
      </c>
      <c r="AY156" s="30" t="s">
        <v>431</v>
      </c>
      <c r="AZ156" s="30" t="s">
        <v>677</v>
      </c>
      <c r="BA156" s="30" t="s">
        <v>337</v>
      </c>
      <c r="BB156" s="30" t="s">
        <v>627</v>
      </c>
      <c r="BC156" s="32">
        <v>44353.0</v>
      </c>
      <c r="BD156" s="32">
        <v>44383.0</v>
      </c>
      <c r="BE156" s="32">
        <v>44383.0</v>
      </c>
      <c r="BF156" s="30">
        <v>95.0</v>
      </c>
      <c r="BG156" s="30" t="s">
        <v>678</v>
      </c>
      <c r="BH156" s="33" t="s">
        <v>679</v>
      </c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/>
      <c r="EG156" s="22"/>
      <c r="EH156" s="22"/>
      <c r="EI156" s="22"/>
      <c r="EJ156" s="22"/>
      <c r="EK156" s="22"/>
      <c r="EL156" s="22"/>
      <c r="EM156" s="22"/>
      <c r="EN156" s="22"/>
      <c r="EO156" s="22"/>
      <c r="EP156" s="22"/>
      <c r="EQ156" s="22"/>
      <c r="ER156" s="22"/>
      <c r="ES156" s="22"/>
      <c r="ET156" s="22"/>
      <c r="EU156" s="22"/>
      <c r="EV156" s="22"/>
      <c r="EW156" s="22"/>
      <c r="EX156" s="22"/>
      <c r="EY156" s="22"/>
      <c r="EZ156" s="22"/>
      <c r="FA156" s="22"/>
      <c r="FB156" s="22"/>
      <c r="FC156" s="22"/>
      <c r="FD156" s="22"/>
      <c r="FE156" s="22"/>
      <c r="FF156" s="22"/>
      <c r="FG156" s="22"/>
      <c r="FH156" s="22"/>
      <c r="FI156" s="22"/>
      <c r="FJ156" s="22"/>
      <c r="FK156" s="22"/>
      <c r="FL156" s="23" t="s">
        <v>436</v>
      </c>
      <c r="FM156" s="23" t="s">
        <v>341</v>
      </c>
      <c r="FN156" s="22"/>
      <c r="FO156" s="22"/>
      <c r="FP156" s="22"/>
      <c r="FQ156" s="22"/>
      <c r="FR156" s="22"/>
      <c r="FS156" s="22"/>
      <c r="FT156" s="22"/>
      <c r="FU156" s="22"/>
      <c r="FV156" s="22"/>
      <c r="FW156" s="22"/>
      <c r="FX156" s="22"/>
      <c r="FY156" s="22"/>
      <c r="FZ156" s="22"/>
      <c r="GA156" s="22"/>
      <c r="GB156" s="22"/>
      <c r="GC156" s="22"/>
      <c r="GD156" s="22"/>
      <c r="GE156" s="22"/>
      <c r="GF156" s="22"/>
      <c r="GG156" s="22"/>
      <c r="GH156" s="22"/>
      <c r="GI156" s="22"/>
      <c r="GJ156" s="22"/>
      <c r="GK156" s="22"/>
      <c r="GL156" s="22"/>
      <c r="GM156" s="22"/>
      <c r="GN156" s="22"/>
      <c r="GO156" s="22"/>
      <c r="GP156" s="22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</row>
    <row r="157" ht="23.25" customHeight="1">
      <c r="A157" s="29">
        <v>44659.43525898148</v>
      </c>
      <c r="B157" s="30" t="s">
        <v>6</v>
      </c>
      <c r="C157" s="30" t="s">
        <v>12</v>
      </c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0" t="s">
        <v>680</v>
      </c>
      <c r="AO157" s="30" t="s">
        <v>681</v>
      </c>
      <c r="AP157" s="30" t="s">
        <v>309</v>
      </c>
      <c r="AQ157" s="30" t="s">
        <v>510</v>
      </c>
      <c r="AR157" s="32">
        <v>44470.0</v>
      </c>
      <c r="AS157" s="32">
        <v>44561.0</v>
      </c>
      <c r="AT157" s="30" t="s">
        <v>257</v>
      </c>
      <c r="AU157" s="30" t="s">
        <v>257</v>
      </c>
      <c r="AV157" s="34" t="s">
        <v>682</v>
      </c>
      <c r="AW157" s="33" t="s">
        <v>683</v>
      </c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/>
      <c r="EG157" s="22"/>
      <c r="EH157" s="22"/>
      <c r="EI157" s="22"/>
      <c r="EJ157" s="22"/>
      <c r="EK157" s="22"/>
      <c r="EL157" s="22"/>
      <c r="EM157" s="22"/>
      <c r="EN157" s="22"/>
      <c r="EO157" s="22"/>
      <c r="EP157" s="22"/>
      <c r="EQ157" s="22"/>
      <c r="ER157" s="22"/>
      <c r="ES157" s="22"/>
      <c r="ET157" s="22"/>
      <c r="EU157" s="22"/>
      <c r="EV157" s="22"/>
      <c r="EW157" s="22"/>
      <c r="EX157" s="22"/>
      <c r="EY157" s="22"/>
      <c r="EZ157" s="22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3" t="s">
        <v>684</v>
      </c>
      <c r="FM157" s="23" t="s">
        <v>260</v>
      </c>
      <c r="FN157" s="22"/>
      <c r="FO157" s="22"/>
      <c r="FP157" s="22"/>
      <c r="FQ157" s="22"/>
      <c r="FR157" s="22"/>
      <c r="FS157" s="22"/>
      <c r="FT157" s="22"/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/>
      <c r="GO157" s="22"/>
      <c r="GP157" s="22"/>
      <c r="GQ157" s="22"/>
      <c r="GR157" s="22"/>
      <c r="GS157" s="22"/>
      <c r="GT157" s="22"/>
      <c r="GU157" s="22"/>
      <c r="GV157" s="22"/>
      <c r="GW157" s="22"/>
      <c r="GX157" s="22"/>
      <c r="GY157" s="22"/>
      <c r="GZ157" s="22"/>
      <c r="HA157" s="22"/>
    </row>
    <row r="158" ht="23.25" customHeight="1">
      <c r="A158" s="29">
        <v>44659.436442743056</v>
      </c>
      <c r="B158" s="30" t="s">
        <v>6</v>
      </c>
      <c r="C158" s="30" t="s">
        <v>13</v>
      </c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0" t="s">
        <v>430</v>
      </c>
      <c r="AY158" s="30" t="s">
        <v>431</v>
      </c>
      <c r="AZ158" s="30" t="s">
        <v>685</v>
      </c>
      <c r="BA158" s="30" t="s">
        <v>337</v>
      </c>
      <c r="BB158" s="30" t="s">
        <v>627</v>
      </c>
      <c r="BC158" s="32">
        <v>43912.0</v>
      </c>
      <c r="BD158" s="32">
        <v>43943.0</v>
      </c>
      <c r="BE158" s="32">
        <v>43943.0</v>
      </c>
      <c r="BF158" s="30">
        <v>90.0</v>
      </c>
      <c r="BG158" s="30" t="s">
        <v>339</v>
      </c>
      <c r="BH158" s="33" t="s">
        <v>686</v>
      </c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/>
      <c r="EG158" s="22"/>
      <c r="EH158" s="22"/>
      <c r="EI158" s="22"/>
      <c r="EJ158" s="22"/>
      <c r="EK158" s="22"/>
      <c r="EL158" s="22"/>
      <c r="EM158" s="22"/>
      <c r="EN158" s="22"/>
      <c r="EO158" s="22"/>
      <c r="EP158" s="22"/>
      <c r="EQ158" s="22"/>
      <c r="ER158" s="22"/>
      <c r="ES158" s="22"/>
      <c r="ET158" s="22"/>
      <c r="EU158" s="22"/>
      <c r="EV158" s="22"/>
      <c r="EW158" s="22"/>
      <c r="EX158" s="22"/>
      <c r="EY158" s="22"/>
      <c r="EZ158" s="22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3" t="s">
        <v>436</v>
      </c>
      <c r="FM158" s="23" t="s">
        <v>323</v>
      </c>
      <c r="FN158" s="22"/>
      <c r="FO158" s="22"/>
      <c r="FP158" s="22"/>
      <c r="FQ158" s="22"/>
      <c r="FR158" s="22"/>
      <c r="FS158" s="22"/>
      <c r="FT158" s="22"/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/>
      <c r="GP158" s="22"/>
      <c r="GQ158" s="22"/>
      <c r="GR158" s="22"/>
      <c r="GS158" s="22"/>
      <c r="GT158" s="22"/>
      <c r="GU158" s="22"/>
      <c r="GV158" s="22"/>
      <c r="GW158" s="22"/>
      <c r="GX158" s="22"/>
      <c r="GY158" s="22"/>
      <c r="GZ158" s="22"/>
      <c r="HA158" s="22"/>
    </row>
    <row r="159" ht="23.25" customHeight="1">
      <c r="A159" s="29">
        <v>44659.43765186342</v>
      </c>
      <c r="B159" s="30" t="s">
        <v>6</v>
      </c>
      <c r="C159" s="30" t="s">
        <v>13</v>
      </c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0" t="s">
        <v>430</v>
      </c>
      <c r="AY159" s="30" t="s">
        <v>431</v>
      </c>
      <c r="AZ159" s="30" t="s">
        <v>687</v>
      </c>
      <c r="BA159" s="30" t="s">
        <v>337</v>
      </c>
      <c r="BB159" s="30" t="s">
        <v>627</v>
      </c>
      <c r="BC159" s="32">
        <v>44341.0</v>
      </c>
      <c r="BD159" s="32">
        <v>44372.0</v>
      </c>
      <c r="BE159" s="32">
        <v>44372.0</v>
      </c>
      <c r="BF159" s="30">
        <v>100.0</v>
      </c>
      <c r="BG159" s="30" t="s">
        <v>339</v>
      </c>
      <c r="BH159" s="33" t="s">
        <v>688</v>
      </c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/>
      <c r="EG159" s="22"/>
      <c r="EH159" s="22"/>
      <c r="EI159" s="22"/>
      <c r="EJ159" s="22"/>
      <c r="EK159" s="22"/>
      <c r="EL159" s="22"/>
      <c r="EM159" s="22"/>
      <c r="EN159" s="22"/>
      <c r="EO159" s="22"/>
      <c r="EP159" s="22"/>
      <c r="EQ159" s="22"/>
      <c r="ER159" s="22"/>
      <c r="ES159" s="22"/>
      <c r="ET159" s="22"/>
      <c r="EU159" s="22"/>
      <c r="EV159" s="22"/>
      <c r="EW159" s="22"/>
      <c r="EX159" s="22"/>
      <c r="EY159" s="22"/>
      <c r="EZ159" s="22"/>
      <c r="FA159" s="22"/>
      <c r="FB159" s="22"/>
      <c r="FC159" s="22"/>
      <c r="FD159" s="22"/>
      <c r="FE159" s="22"/>
      <c r="FF159" s="22"/>
      <c r="FG159" s="22"/>
      <c r="FH159" s="22"/>
      <c r="FI159" s="22"/>
      <c r="FJ159" s="22"/>
      <c r="FK159" s="22"/>
      <c r="FL159" s="23" t="s">
        <v>436</v>
      </c>
      <c r="FM159" s="23" t="s">
        <v>283</v>
      </c>
      <c r="FN159" s="22"/>
      <c r="FO159" s="22"/>
      <c r="FP159" s="22"/>
      <c r="FQ159" s="22"/>
      <c r="FR159" s="22"/>
      <c r="FS159" s="22"/>
      <c r="FT159" s="22"/>
      <c r="FU159" s="22"/>
      <c r="FV159" s="22"/>
      <c r="FW159" s="22"/>
      <c r="FX159" s="22"/>
      <c r="FY159" s="22"/>
      <c r="FZ159" s="22"/>
      <c r="GA159" s="22"/>
      <c r="GB159" s="22"/>
      <c r="GC159" s="22"/>
      <c r="GD159" s="22"/>
      <c r="GE159" s="22"/>
      <c r="GF159" s="22"/>
      <c r="GG159" s="22"/>
      <c r="GH159" s="22"/>
      <c r="GI159" s="22"/>
      <c r="GJ159" s="22"/>
      <c r="GK159" s="22"/>
      <c r="GL159" s="22"/>
      <c r="GM159" s="22"/>
      <c r="GN159" s="22"/>
      <c r="GO159" s="22"/>
      <c r="GP159" s="22"/>
      <c r="GQ159" s="22"/>
      <c r="GR159" s="22"/>
      <c r="GS159" s="22"/>
      <c r="GT159" s="22"/>
      <c r="GU159" s="22"/>
      <c r="GV159" s="22"/>
      <c r="GW159" s="22"/>
      <c r="GX159" s="22"/>
      <c r="GY159" s="22"/>
      <c r="GZ159" s="22"/>
      <c r="HA159" s="22"/>
    </row>
    <row r="160" ht="23.25" customHeight="1">
      <c r="A160" s="29">
        <v>44659.43953775463</v>
      </c>
      <c r="B160" s="30" t="s">
        <v>6</v>
      </c>
      <c r="C160" s="30" t="s">
        <v>13</v>
      </c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0" t="s">
        <v>430</v>
      </c>
      <c r="AY160" s="30" t="s">
        <v>431</v>
      </c>
      <c r="AZ160" s="30" t="s">
        <v>356</v>
      </c>
      <c r="BA160" s="30" t="s">
        <v>337</v>
      </c>
      <c r="BB160" s="30" t="s">
        <v>627</v>
      </c>
      <c r="BC160" s="32">
        <v>44287.0</v>
      </c>
      <c r="BD160" s="32">
        <v>44317.0</v>
      </c>
      <c r="BE160" s="32">
        <v>44317.0</v>
      </c>
      <c r="BF160" s="30">
        <v>94.0</v>
      </c>
      <c r="BG160" s="30" t="s">
        <v>339</v>
      </c>
      <c r="BH160" s="33" t="s">
        <v>689</v>
      </c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3" t="s">
        <v>436</v>
      </c>
      <c r="FM160" s="23" t="s">
        <v>341</v>
      </c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  <c r="GE160" s="22"/>
      <c r="GF160" s="22"/>
      <c r="GG160" s="22"/>
      <c r="GH160" s="22"/>
      <c r="GI160" s="22"/>
      <c r="GJ160" s="22"/>
      <c r="GK160" s="22"/>
      <c r="GL160" s="22"/>
      <c r="GM160" s="22"/>
      <c r="GN160" s="22"/>
      <c r="GO160" s="22"/>
      <c r="GP160" s="22"/>
      <c r="GQ160" s="22"/>
      <c r="GR160" s="22"/>
      <c r="GS160" s="22"/>
      <c r="GT160" s="22"/>
      <c r="GU160" s="22"/>
      <c r="GV160" s="22"/>
      <c r="GW160" s="22"/>
      <c r="GX160" s="22"/>
      <c r="GY160" s="22"/>
      <c r="GZ160" s="22"/>
      <c r="HA160" s="22"/>
    </row>
    <row r="161" ht="23.25" customHeight="1">
      <c r="A161" s="29">
        <v>44659.44085753472</v>
      </c>
      <c r="B161" s="30" t="s">
        <v>6</v>
      </c>
      <c r="C161" s="30" t="s">
        <v>13</v>
      </c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0" t="s">
        <v>430</v>
      </c>
      <c r="AY161" s="30" t="s">
        <v>431</v>
      </c>
      <c r="AZ161" s="30" t="s">
        <v>690</v>
      </c>
      <c r="BA161" s="30" t="s">
        <v>337</v>
      </c>
      <c r="BB161" s="30" t="s">
        <v>627</v>
      </c>
      <c r="BC161" s="32">
        <v>44352.0</v>
      </c>
      <c r="BD161" s="32">
        <v>44382.0</v>
      </c>
      <c r="BE161" s="32">
        <v>44382.0</v>
      </c>
      <c r="BF161" s="30">
        <v>95.0</v>
      </c>
      <c r="BG161" s="30" t="s">
        <v>675</v>
      </c>
      <c r="BH161" s="33" t="s">
        <v>691</v>
      </c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/>
      <c r="EG161" s="22"/>
      <c r="EH161" s="22"/>
      <c r="EI161" s="22"/>
      <c r="EJ161" s="22"/>
      <c r="EK161" s="22"/>
      <c r="EL161" s="22"/>
      <c r="EM161" s="22"/>
      <c r="EN161" s="22"/>
      <c r="EO161" s="22"/>
      <c r="EP161" s="22"/>
      <c r="EQ161" s="22"/>
      <c r="ER161" s="22"/>
      <c r="ES161" s="22"/>
      <c r="ET161" s="22"/>
      <c r="EU161" s="22"/>
      <c r="EV161" s="22"/>
      <c r="EW161" s="22"/>
      <c r="EX161" s="22"/>
      <c r="EY161" s="22"/>
      <c r="EZ161" s="22"/>
      <c r="FA161" s="22"/>
      <c r="FB161" s="22"/>
      <c r="FC161" s="22"/>
      <c r="FD161" s="22"/>
      <c r="FE161" s="22"/>
      <c r="FF161" s="22"/>
      <c r="FG161" s="22"/>
      <c r="FH161" s="22"/>
      <c r="FI161" s="22"/>
      <c r="FJ161" s="22"/>
      <c r="FK161" s="22"/>
      <c r="FL161" s="23" t="s">
        <v>436</v>
      </c>
      <c r="FM161" s="23" t="s">
        <v>283</v>
      </c>
      <c r="FN161" s="22"/>
      <c r="FO161" s="22"/>
      <c r="FP161" s="22"/>
      <c r="FQ161" s="22"/>
      <c r="FR161" s="22"/>
      <c r="FS161" s="22"/>
      <c r="FT161" s="22"/>
      <c r="FU161" s="22"/>
      <c r="FV161" s="22"/>
      <c r="FW161" s="22"/>
      <c r="FX161" s="22"/>
      <c r="FY161" s="22"/>
      <c r="FZ161" s="22"/>
      <c r="GA161" s="22"/>
      <c r="GB161" s="22"/>
      <c r="GC161" s="22"/>
      <c r="GD161" s="22"/>
      <c r="GE161" s="22"/>
      <c r="GF161" s="22"/>
      <c r="GG161" s="22"/>
      <c r="GH161" s="22"/>
      <c r="GI161" s="22"/>
      <c r="GJ161" s="22"/>
      <c r="GK161" s="22"/>
      <c r="GL161" s="22"/>
      <c r="GM161" s="22"/>
      <c r="GN161" s="22"/>
      <c r="GO161" s="22"/>
      <c r="GP161" s="22"/>
      <c r="GQ161" s="22"/>
      <c r="GR161" s="22"/>
      <c r="GS161" s="22"/>
      <c r="GT161" s="22"/>
      <c r="GU161" s="22"/>
      <c r="GV161" s="22"/>
      <c r="GW161" s="22"/>
      <c r="GX161" s="22"/>
      <c r="GY161" s="22"/>
      <c r="GZ161" s="22"/>
      <c r="HA161" s="22"/>
    </row>
    <row r="162" ht="23.25" customHeight="1">
      <c r="A162" s="29">
        <v>44659.44545356481</v>
      </c>
      <c r="B162" s="30" t="s">
        <v>6</v>
      </c>
      <c r="C162" s="30" t="s">
        <v>12</v>
      </c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0" t="s">
        <v>692</v>
      </c>
      <c r="AO162" s="30" t="s">
        <v>693</v>
      </c>
      <c r="AP162" s="30" t="s">
        <v>694</v>
      </c>
      <c r="AQ162" s="30" t="s">
        <v>417</v>
      </c>
      <c r="AR162" s="32">
        <v>44477.0</v>
      </c>
      <c r="AS162" s="32">
        <v>44561.0</v>
      </c>
      <c r="AT162" s="30" t="s">
        <v>257</v>
      </c>
      <c r="AU162" s="30" t="s">
        <v>257</v>
      </c>
      <c r="AV162" s="30">
        <v>0.0</v>
      </c>
      <c r="AW162" s="33" t="s">
        <v>695</v>
      </c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/>
      <c r="EG162" s="22"/>
      <c r="EH162" s="22"/>
      <c r="EI162" s="22"/>
      <c r="EJ162" s="22"/>
      <c r="EK162" s="22"/>
      <c r="EL162" s="22"/>
      <c r="EM162" s="22"/>
      <c r="EN162" s="22"/>
      <c r="EO162" s="22"/>
      <c r="EP162" s="22"/>
      <c r="EQ162" s="22"/>
      <c r="ER162" s="22"/>
      <c r="ES162" s="22"/>
      <c r="ET162" s="22"/>
      <c r="EU162" s="22"/>
      <c r="EV162" s="22"/>
      <c r="EW162" s="22"/>
      <c r="EX162" s="22"/>
      <c r="EY162" s="22"/>
      <c r="EZ162" s="22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3" t="s">
        <v>696</v>
      </c>
      <c r="FM162" s="23" t="s">
        <v>278</v>
      </c>
      <c r="FN162" s="22"/>
      <c r="FO162" s="22"/>
      <c r="FP162" s="22"/>
      <c r="FQ162" s="22"/>
      <c r="FR162" s="22"/>
      <c r="FS162" s="22"/>
      <c r="FT162" s="22"/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/>
      <c r="GO162" s="22"/>
      <c r="GP162" s="22"/>
      <c r="GQ162" s="22"/>
      <c r="GR162" s="22"/>
      <c r="GS162" s="22"/>
      <c r="GT162" s="22"/>
      <c r="GU162" s="22"/>
      <c r="GV162" s="22"/>
      <c r="GW162" s="22"/>
      <c r="GX162" s="22"/>
      <c r="GY162" s="22"/>
      <c r="GZ162" s="22"/>
      <c r="HA162" s="22"/>
    </row>
    <row r="163" ht="23.25" customHeight="1">
      <c r="A163" s="29">
        <v>44659.45147645833</v>
      </c>
      <c r="B163" s="30" t="s">
        <v>6</v>
      </c>
      <c r="C163" s="30" t="s">
        <v>14</v>
      </c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0" t="s">
        <v>692</v>
      </c>
      <c r="BJ163" s="30" t="s">
        <v>693</v>
      </c>
      <c r="BK163" s="30" t="s">
        <v>313</v>
      </c>
      <c r="BL163" s="30" t="s">
        <v>172</v>
      </c>
      <c r="BM163" s="30" t="s">
        <v>697</v>
      </c>
      <c r="BN163" s="30">
        <v>1.0</v>
      </c>
      <c r="BO163" s="32">
        <v>44572.0</v>
      </c>
      <c r="BP163" s="32">
        <v>44572.0</v>
      </c>
      <c r="BQ163" s="30" t="s">
        <v>698</v>
      </c>
      <c r="BR163" s="30" t="s">
        <v>699</v>
      </c>
      <c r="BS163" s="30" t="s">
        <v>176</v>
      </c>
      <c r="BT163" s="30" t="s">
        <v>156</v>
      </c>
      <c r="BU163" s="31"/>
      <c r="BV163" s="33" t="s">
        <v>700</v>
      </c>
      <c r="BW163" s="31"/>
      <c r="BX163" s="31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/>
      <c r="EG163" s="22"/>
      <c r="EH163" s="22"/>
      <c r="EI163" s="22"/>
      <c r="EJ163" s="22"/>
      <c r="EK163" s="22"/>
      <c r="EL163" s="22"/>
      <c r="EM163" s="22"/>
      <c r="EN163" s="22"/>
      <c r="EO163" s="22"/>
      <c r="EP163" s="22"/>
      <c r="EQ163" s="22"/>
      <c r="ER163" s="22"/>
      <c r="ES163" s="22"/>
      <c r="ET163" s="22"/>
      <c r="EU163" s="22"/>
      <c r="EV163" s="22"/>
      <c r="EW163" s="22"/>
      <c r="EX163" s="22"/>
      <c r="EY163" s="22"/>
      <c r="EZ163" s="22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3" t="s">
        <v>696</v>
      </c>
      <c r="FM163" s="23" t="s">
        <v>278</v>
      </c>
      <c r="FN163" s="22"/>
      <c r="FO163" s="22"/>
      <c r="FP163" s="22"/>
      <c r="FQ163" s="22"/>
      <c r="FR163" s="22"/>
      <c r="FS163" s="22"/>
      <c r="FT163" s="22"/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/>
      <c r="GO163" s="22"/>
      <c r="GP163" s="22"/>
      <c r="GQ163" s="22"/>
      <c r="GR163" s="22"/>
      <c r="GS163" s="22"/>
      <c r="GT163" s="22"/>
      <c r="GU163" s="22"/>
      <c r="GV163" s="22"/>
      <c r="GW163" s="22"/>
      <c r="GX163" s="22"/>
      <c r="GY163" s="22"/>
      <c r="GZ163" s="22"/>
      <c r="HA163" s="22"/>
    </row>
    <row r="164" ht="23.25" customHeight="1">
      <c r="A164" s="29">
        <v>44659.46461660879</v>
      </c>
      <c r="B164" s="30" t="s">
        <v>6</v>
      </c>
      <c r="C164" s="30" t="s">
        <v>13</v>
      </c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0" t="s">
        <v>487</v>
      </c>
      <c r="AY164" s="30" t="s">
        <v>488</v>
      </c>
      <c r="AZ164" s="30" t="s">
        <v>603</v>
      </c>
      <c r="BA164" s="30" t="s">
        <v>309</v>
      </c>
      <c r="BB164" s="30" t="s">
        <v>701</v>
      </c>
      <c r="BC164" s="32">
        <v>44652.0</v>
      </c>
      <c r="BD164" s="32">
        <v>44681.0</v>
      </c>
      <c r="BE164" s="32">
        <v>44681.0</v>
      </c>
      <c r="BF164" s="30">
        <v>100.0</v>
      </c>
      <c r="BG164" s="30" t="s">
        <v>339</v>
      </c>
      <c r="BH164" s="33" t="s">
        <v>702</v>
      </c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/>
      <c r="EG164" s="22"/>
      <c r="EH164" s="22"/>
      <c r="EI164" s="22"/>
      <c r="EJ164" s="22"/>
      <c r="EK164" s="22"/>
      <c r="EL164" s="22"/>
      <c r="EM164" s="22"/>
      <c r="EN164" s="22"/>
      <c r="EO164" s="22"/>
      <c r="EP164" s="22"/>
      <c r="EQ164" s="22"/>
      <c r="ER164" s="22"/>
      <c r="ES164" s="22"/>
      <c r="ET164" s="22"/>
      <c r="EU164" s="22"/>
      <c r="EV164" s="22"/>
      <c r="EW164" s="22"/>
      <c r="EX164" s="22"/>
      <c r="EY164" s="22"/>
      <c r="EZ164" s="22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3" t="s">
        <v>490</v>
      </c>
      <c r="FM164" s="23" t="s">
        <v>260</v>
      </c>
      <c r="FN164" s="22"/>
      <c r="FO164" s="22"/>
      <c r="FP164" s="22"/>
      <c r="FQ164" s="22"/>
      <c r="FR164" s="22"/>
      <c r="FS164" s="22"/>
      <c r="FT164" s="22"/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/>
      <c r="GO164" s="22"/>
      <c r="GP164" s="22"/>
      <c r="GQ164" s="22"/>
      <c r="GR164" s="22"/>
      <c r="GS164" s="22"/>
      <c r="GT164" s="22"/>
      <c r="GU164" s="22"/>
      <c r="GV164" s="22"/>
      <c r="GW164" s="22"/>
      <c r="GX164" s="22"/>
      <c r="GY164" s="22"/>
      <c r="GZ164" s="22"/>
      <c r="HA164" s="22"/>
    </row>
    <row r="165" ht="23.25" customHeight="1">
      <c r="A165" s="29">
        <v>44659.46825659722</v>
      </c>
      <c r="B165" s="30" t="s">
        <v>6</v>
      </c>
      <c r="C165" s="30" t="s">
        <v>13</v>
      </c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0" t="s">
        <v>487</v>
      </c>
      <c r="AY165" s="30" t="s">
        <v>488</v>
      </c>
      <c r="AZ165" s="30" t="s">
        <v>356</v>
      </c>
      <c r="BA165" s="30" t="s">
        <v>337</v>
      </c>
      <c r="BB165" s="30" t="s">
        <v>510</v>
      </c>
      <c r="BC165" s="32">
        <v>44287.0</v>
      </c>
      <c r="BD165" s="32">
        <v>44331.0</v>
      </c>
      <c r="BE165" s="32">
        <v>44330.0</v>
      </c>
      <c r="BF165" s="30">
        <v>100.0</v>
      </c>
      <c r="BG165" s="30" t="s">
        <v>559</v>
      </c>
      <c r="BH165" s="33" t="s">
        <v>703</v>
      </c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/>
      <c r="EG165" s="22"/>
      <c r="EH165" s="22"/>
      <c r="EI165" s="22"/>
      <c r="EJ165" s="22"/>
      <c r="EK165" s="22"/>
      <c r="EL165" s="22"/>
      <c r="EM165" s="22"/>
      <c r="EN165" s="22"/>
      <c r="EO165" s="22"/>
      <c r="EP165" s="22"/>
      <c r="EQ165" s="22"/>
      <c r="ER165" s="22"/>
      <c r="ES165" s="22"/>
      <c r="ET165" s="22"/>
      <c r="EU165" s="22"/>
      <c r="EV165" s="22"/>
      <c r="EW165" s="22"/>
      <c r="EX165" s="22"/>
      <c r="EY165" s="22"/>
      <c r="EZ165" s="22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3" t="s">
        <v>490</v>
      </c>
      <c r="FM165" s="23" t="s">
        <v>341</v>
      </c>
      <c r="FN165" s="22"/>
      <c r="FO165" s="22"/>
      <c r="FP165" s="22"/>
      <c r="FQ165" s="22"/>
      <c r="FR165" s="22"/>
      <c r="FS165" s="22"/>
      <c r="FT165" s="22"/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/>
      <c r="GP165" s="22"/>
      <c r="GQ165" s="22"/>
      <c r="GR165" s="22"/>
      <c r="GS165" s="22"/>
      <c r="GT165" s="22"/>
      <c r="GU165" s="22"/>
      <c r="GV165" s="22"/>
      <c r="GW165" s="22"/>
      <c r="GX165" s="22"/>
      <c r="GY165" s="22"/>
      <c r="GZ165" s="22"/>
      <c r="HA165" s="22"/>
    </row>
    <row r="166" ht="23.25" customHeight="1">
      <c r="A166" s="29">
        <v>44659.47065320602</v>
      </c>
      <c r="B166" s="30" t="s">
        <v>6</v>
      </c>
      <c r="C166" s="30" t="s">
        <v>13</v>
      </c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0" t="s">
        <v>487</v>
      </c>
      <c r="AY166" s="30" t="s">
        <v>488</v>
      </c>
      <c r="AZ166" s="30" t="s">
        <v>667</v>
      </c>
      <c r="BA166" s="30" t="s">
        <v>337</v>
      </c>
      <c r="BB166" s="30" t="s">
        <v>510</v>
      </c>
      <c r="BC166" s="32">
        <v>44394.0</v>
      </c>
      <c r="BD166" s="32">
        <v>44391.0</v>
      </c>
      <c r="BE166" s="32">
        <v>44390.0</v>
      </c>
      <c r="BF166" s="30">
        <v>100.0</v>
      </c>
      <c r="BG166" s="30" t="s">
        <v>559</v>
      </c>
      <c r="BH166" s="33" t="s">
        <v>704</v>
      </c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/>
      <c r="EG166" s="22"/>
      <c r="EH166" s="22"/>
      <c r="EI166" s="22"/>
      <c r="EJ166" s="22"/>
      <c r="EK166" s="22"/>
      <c r="EL166" s="22"/>
      <c r="EM166" s="22"/>
      <c r="EN166" s="22"/>
      <c r="EO166" s="22"/>
      <c r="EP166" s="22"/>
      <c r="EQ166" s="22"/>
      <c r="ER166" s="22"/>
      <c r="ES166" s="22"/>
      <c r="ET166" s="22"/>
      <c r="EU166" s="22"/>
      <c r="EV166" s="22"/>
      <c r="EW166" s="22"/>
      <c r="EX166" s="22"/>
      <c r="EY166" s="22"/>
      <c r="EZ166" s="22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3" t="s">
        <v>490</v>
      </c>
      <c r="FM166" s="23" t="s">
        <v>341</v>
      </c>
      <c r="FN166" s="22"/>
      <c r="FO166" s="22"/>
      <c r="FP166" s="22"/>
      <c r="FQ166" s="22"/>
      <c r="FR166" s="22"/>
      <c r="FS166" s="22"/>
      <c r="FT166" s="22"/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/>
      <c r="GP166" s="22"/>
      <c r="GQ166" s="22"/>
      <c r="GR166" s="22"/>
      <c r="GS166" s="22"/>
      <c r="GT166" s="22"/>
      <c r="GU166" s="22"/>
      <c r="GV166" s="22"/>
      <c r="GW166" s="22"/>
      <c r="GX166" s="22"/>
      <c r="GY166" s="22"/>
      <c r="GZ166" s="22"/>
      <c r="HA166" s="22"/>
    </row>
    <row r="167" ht="23.25" customHeight="1">
      <c r="A167" s="29">
        <v>44659.474803125</v>
      </c>
      <c r="B167" s="30" t="s">
        <v>6</v>
      </c>
      <c r="C167" s="30" t="s">
        <v>13</v>
      </c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0" t="s">
        <v>487</v>
      </c>
      <c r="AY167" s="30" t="s">
        <v>488</v>
      </c>
      <c r="AZ167" s="30" t="s">
        <v>687</v>
      </c>
      <c r="BA167" s="30" t="s">
        <v>337</v>
      </c>
      <c r="BB167" s="30" t="s">
        <v>701</v>
      </c>
      <c r="BC167" s="32">
        <v>44341.0</v>
      </c>
      <c r="BD167" s="32">
        <v>44351.0</v>
      </c>
      <c r="BE167" s="32">
        <v>44350.0</v>
      </c>
      <c r="BF167" s="30">
        <v>100.0</v>
      </c>
      <c r="BG167" s="30" t="s">
        <v>559</v>
      </c>
      <c r="BH167" s="33" t="s">
        <v>705</v>
      </c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/>
      <c r="EG167" s="22"/>
      <c r="EH167" s="22"/>
      <c r="EI167" s="22"/>
      <c r="EJ167" s="22"/>
      <c r="EK167" s="22"/>
      <c r="EL167" s="22"/>
      <c r="EM167" s="22"/>
      <c r="EN167" s="22"/>
      <c r="EO167" s="22"/>
      <c r="EP167" s="22"/>
      <c r="EQ167" s="22"/>
      <c r="ER167" s="22"/>
      <c r="ES167" s="22"/>
      <c r="ET167" s="22"/>
      <c r="EU167" s="22"/>
      <c r="EV167" s="22"/>
      <c r="EW167" s="22"/>
      <c r="EX167" s="22"/>
      <c r="EY167" s="22"/>
      <c r="EZ167" s="22"/>
      <c r="FA167" s="22"/>
      <c r="FB167" s="22"/>
      <c r="FC167" s="22"/>
      <c r="FD167" s="22"/>
      <c r="FE167" s="22"/>
      <c r="FF167" s="22"/>
      <c r="FG167" s="22"/>
      <c r="FH167" s="22"/>
      <c r="FI167" s="22"/>
      <c r="FJ167" s="22"/>
      <c r="FK167" s="22"/>
      <c r="FL167" s="23" t="s">
        <v>490</v>
      </c>
      <c r="FM167" s="23" t="s">
        <v>341</v>
      </c>
      <c r="FN167" s="22"/>
      <c r="FO167" s="22"/>
      <c r="FP167" s="22"/>
      <c r="FQ167" s="22"/>
      <c r="FR167" s="22"/>
      <c r="FS167" s="22"/>
      <c r="FT167" s="22"/>
      <c r="FU167" s="22"/>
      <c r="FV167" s="22"/>
      <c r="FW167" s="22"/>
      <c r="FX167" s="22"/>
      <c r="FY167" s="22"/>
      <c r="FZ167" s="22"/>
      <c r="GA167" s="22"/>
      <c r="GB167" s="22"/>
      <c r="GC167" s="22"/>
      <c r="GD167" s="22"/>
      <c r="GE167" s="22"/>
      <c r="GF167" s="22"/>
      <c r="GG167" s="22"/>
      <c r="GH167" s="22"/>
      <c r="GI167" s="22"/>
      <c r="GJ167" s="22"/>
      <c r="GK167" s="22"/>
      <c r="GL167" s="22"/>
      <c r="GM167" s="22"/>
      <c r="GN167" s="22"/>
      <c r="GO167" s="22"/>
      <c r="GP167" s="22"/>
      <c r="GQ167" s="22"/>
      <c r="GR167" s="22"/>
      <c r="GS167" s="22"/>
      <c r="GT167" s="22"/>
      <c r="GU167" s="22"/>
      <c r="GV167" s="22"/>
      <c r="GW167" s="22"/>
      <c r="GX167" s="22"/>
      <c r="GY167" s="22"/>
      <c r="GZ167" s="22"/>
      <c r="HA167" s="22"/>
    </row>
    <row r="168" ht="23.25" customHeight="1">
      <c r="A168" s="29">
        <v>44659.477468564815</v>
      </c>
      <c r="B168" s="30" t="s">
        <v>6</v>
      </c>
      <c r="C168" s="30" t="s">
        <v>13</v>
      </c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0" t="s">
        <v>487</v>
      </c>
      <c r="AY168" s="30" t="s">
        <v>488</v>
      </c>
      <c r="AZ168" s="30" t="s">
        <v>685</v>
      </c>
      <c r="BA168" s="30" t="s">
        <v>337</v>
      </c>
      <c r="BB168" s="30" t="s">
        <v>701</v>
      </c>
      <c r="BC168" s="32">
        <v>43912.0</v>
      </c>
      <c r="BD168" s="32">
        <v>43955.0</v>
      </c>
      <c r="BE168" s="32">
        <v>43954.0</v>
      </c>
      <c r="BF168" s="30">
        <v>100.0</v>
      </c>
      <c r="BG168" s="30" t="s">
        <v>559</v>
      </c>
      <c r="BH168" s="33" t="s">
        <v>706</v>
      </c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/>
      <c r="EG168" s="22"/>
      <c r="EH168" s="22"/>
      <c r="EI168" s="22"/>
      <c r="EJ168" s="22"/>
      <c r="EK168" s="22"/>
      <c r="EL168" s="22"/>
      <c r="EM168" s="22"/>
      <c r="EN168" s="22"/>
      <c r="EO168" s="22"/>
      <c r="EP168" s="22"/>
      <c r="EQ168" s="22"/>
      <c r="ER168" s="22"/>
      <c r="ES168" s="22"/>
      <c r="ET168" s="22"/>
      <c r="EU168" s="22"/>
      <c r="EV168" s="22"/>
      <c r="EW168" s="22"/>
      <c r="EX168" s="22"/>
      <c r="EY168" s="22"/>
      <c r="EZ168" s="22"/>
      <c r="FA168" s="22"/>
      <c r="FB168" s="22"/>
      <c r="FC168" s="22"/>
      <c r="FD168" s="22"/>
      <c r="FE168" s="22"/>
      <c r="FF168" s="22"/>
      <c r="FG168" s="22"/>
      <c r="FH168" s="22"/>
      <c r="FI168" s="22"/>
      <c r="FJ168" s="22"/>
      <c r="FK168" s="22"/>
      <c r="FL168" s="23" t="s">
        <v>490</v>
      </c>
      <c r="FM168" s="23" t="s">
        <v>323</v>
      </c>
      <c r="FN168" s="22"/>
      <c r="FO168" s="22"/>
      <c r="FP168" s="22"/>
      <c r="FQ168" s="22"/>
      <c r="FR168" s="22"/>
      <c r="FS168" s="22"/>
      <c r="FT168" s="22"/>
      <c r="FU168" s="22"/>
      <c r="FV168" s="22"/>
      <c r="FW168" s="22"/>
      <c r="FX168" s="22"/>
      <c r="FY168" s="22"/>
      <c r="FZ168" s="22"/>
      <c r="GA168" s="22"/>
      <c r="GB168" s="22"/>
      <c r="GC168" s="22"/>
      <c r="GD168" s="22"/>
      <c r="GE168" s="22"/>
      <c r="GF168" s="22"/>
      <c r="GG168" s="22"/>
      <c r="GH168" s="22"/>
      <c r="GI168" s="22"/>
      <c r="GJ168" s="22"/>
      <c r="GK168" s="22"/>
      <c r="GL168" s="22"/>
      <c r="GM168" s="22"/>
      <c r="GN168" s="22"/>
      <c r="GO168" s="22"/>
      <c r="GP168" s="22"/>
      <c r="GQ168" s="22"/>
      <c r="GR168" s="22"/>
      <c r="GS168" s="22"/>
      <c r="GT168" s="22"/>
      <c r="GU168" s="22"/>
      <c r="GV168" s="22"/>
      <c r="GW168" s="22"/>
      <c r="GX168" s="22"/>
      <c r="GY168" s="22"/>
      <c r="GZ168" s="22"/>
      <c r="HA168" s="22"/>
    </row>
    <row r="169" ht="23.25" customHeight="1">
      <c r="A169" s="29">
        <v>44659.48056681713</v>
      </c>
      <c r="B169" s="30" t="s">
        <v>6</v>
      </c>
      <c r="C169" s="30" t="s">
        <v>13</v>
      </c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0" t="s">
        <v>487</v>
      </c>
      <c r="AY169" s="30" t="s">
        <v>488</v>
      </c>
      <c r="AZ169" s="30" t="s">
        <v>642</v>
      </c>
      <c r="BA169" s="30" t="s">
        <v>643</v>
      </c>
      <c r="BB169" s="30" t="s">
        <v>701</v>
      </c>
      <c r="BC169" s="32">
        <v>44371.0</v>
      </c>
      <c r="BD169" s="32">
        <v>44401.0</v>
      </c>
      <c r="BE169" s="32">
        <v>44400.0</v>
      </c>
      <c r="BF169" s="30">
        <v>100.0</v>
      </c>
      <c r="BG169" s="30" t="s">
        <v>559</v>
      </c>
      <c r="BH169" s="33" t="s">
        <v>707</v>
      </c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/>
      <c r="EG169" s="22"/>
      <c r="EH169" s="22"/>
      <c r="EI169" s="22"/>
      <c r="EJ169" s="22"/>
      <c r="EK169" s="22"/>
      <c r="EL169" s="22"/>
      <c r="EM169" s="22"/>
      <c r="EN169" s="22"/>
      <c r="EO169" s="22"/>
      <c r="EP169" s="22"/>
      <c r="EQ169" s="22"/>
      <c r="ER169" s="22"/>
      <c r="ES169" s="22"/>
      <c r="ET169" s="22"/>
      <c r="EU169" s="22"/>
      <c r="EV169" s="22"/>
      <c r="EW169" s="22"/>
      <c r="EX169" s="22"/>
      <c r="EY169" s="22"/>
      <c r="EZ169" s="22"/>
      <c r="FA169" s="22"/>
      <c r="FB169" s="22"/>
      <c r="FC169" s="22"/>
      <c r="FD169" s="22"/>
      <c r="FE169" s="22"/>
      <c r="FF169" s="22"/>
      <c r="FG169" s="22"/>
      <c r="FH169" s="22"/>
      <c r="FI169" s="22"/>
      <c r="FJ169" s="22"/>
      <c r="FK169" s="22"/>
      <c r="FL169" s="23" t="s">
        <v>490</v>
      </c>
      <c r="FM169" s="23" t="s">
        <v>283</v>
      </c>
      <c r="FN169" s="22"/>
      <c r="FO169" s="22"/>
      <c r="FP169" s="22"/>
      <c r="FQ169" s="22"/>
      <c r="FR169" s="22"/>
      <c r="FS169" s="22"/>
      <c r="FT169" s="22"/>
      <c r="FU169" s="22"/>
      <c r="FV169" s="22"/>
      <c r="FW169" s="22"/>
      <c r="FX169" s="22"/>
      <c r="FY169" s="22"/>
      <c r="FZ169" s="22"/>
      <c r="GA169" s="22"/>
      <c r="GB169" s="22"/>
      <c r="GC169" s="22"/>
      <c r="GD169" s="22"/>
      <c r="GE169" s="22"/>
      <c r="GF169" s="22"/>
      <c r="GG169" s="22"/>
      <c r="GH169" s="22"/>
      <c r="GI169" s="22"/>
      <c r="GJ169" s="22"/>
      <c r="GK169" s="22"/>
      <c r="GL169" s="22"/>
      <c r="GM169" s="22"/>
      <c r="GN169" s="22"/>
      <c r="GO169" s="22"/>
      <c r="GP169" s="22"/>
      <c r="GQ169" s="22"/>
      <c r="GR169" s="22"/>
      <c r="GS169" s="22"/>
      <c r="GT169" s="22"/>
      <c r="GU169" s="22"/>
      <c r="GV169" s="22"/>
      <c r="GW169" s="22"/>
      <c r="GX169" s="22"/>
      <c r="GY169" s="22"/>
      <c r="GZ169" s="22"/>
      <c r="HA169" s="22"/>
    </row>
    <row r="170" ht="23.25" customHeight="1">
      <c r="A170" s="29">
        <v>44659.499246481486</v>
      </c>
      <c r="B170" s="30" t="s">
        <v>6</v>
      </c>
      <c r="C170" s="30" t="s">
        <v>14</v>
      </c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0" t="s">
        <v>692</v>
      </c>
      <c r="BJ170" s="30" t="s">
        <v>693</v>
      </c>
      <c r="BK170" s="30" t="s">
        <v>171</v>
      </c>
      <c r="BL170" s="30" t="s">
        <v>172</v>
      </c>
      <c r="BM170" s="30" t="s">
        <v>708</v>
      </c>
      <c r="BN170" s="30">
        <v>1.0</v>
      </c>
      <c r="BO170" s="32">
        <v>44375.0</v>
      </c>
      <c r="BP170" s="32">
        <v>44405.0</v>
      </c>
      <c r="BQ170" s="30" t="s">
        <v>709</v>
      </c>
      <c r="BR170" s="30" t="s">
        <v>710</v>
      </c>
      <c r="BS170" s="30" t="s">
        <v>276</v>
      </c>
      <c r="BT170" s="30" t="s">
        <v>156</v>
      </c>
      <c r="BU170" s="31"/>
      <c r="BV170" s="33" t="s">
        <v>711</v>
      </c>
      <c r="BW170" s="31"/>
      <c r="BX170" s="31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/>
      <c r="EG170" s="22"/>
      <c r="EH170" s="22"/>
      <c r="EI170" s="22"/>
      <c r="EJ170" s="22"/>
      <c r="EK170" s="22"/>
      <c r="EL170" s="22"/>
      <c r="EM170" s="22"/>
      <c r="EN170" s="22"/>
      <c r="EO170" s="22"/>
      <c r="EP170" s="22"/>
      <c r="EQ170" s="22"/>
      <c r="ER170" s="22"/>
      <c r="ES170" s="22"/>
      <c r="ET170" s="22"/>
      <c r="EU170" s="22"/>
      <c r="EV170" s="22"/>
      <c r="EW170" s="22"/>
      <c r="EX170" s="22"/>
      <c r="EY170" s="22"/>
      <c r="EZ170" s="22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3" t="s">
        <v>696</v>
      </c>
      <c r="FM170" s="23" t="s">
        <v>283</v>
      </c>
      <c r="FN170" s="22"/>
      <c r="FO170" s="22"/>
      <c r="FP170" s="22"/>
      <c r="FQ170" s="22"/>
      <c r="FR170" s="22"/>
      <c r="FS170" s="22"/>
      <c r="FT170" s="22"/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/>
      <c r="GJ170" s="22"/>
      <c r="GK170" s="22"/>
      <c r="GL170" s="22"/>
      <c r="GM170" s="22"/>
      <c r="GN170" s="22"/>
      <c r="GO170" s="22"/>
      <c r="GP170" s="22"/>
      <c r="GQ170" s="22"/>
      <c r="GR170" s="22"/>
      <c r="GS170" s="22"/>
      <c r="GT170" s="22"/>
      <c r="GU170" s="22"/>
      <c r="GV170" s="22"/>
      <c r="GW170" s="22"/>
      <c r="GX170" s="22"/>
      <c r="GY170" s="22"/>
      <c r="GZ170" s="22"/>
      <c r="HA170" s="22"/>
    </row>
    <row r="171" ht="23.25" customHeight="1">
      <c r="A171" s="29">
        <v>44659.50166388889</v>
      </c>
      <c r="B171" s="30" t="s">
        <v>6</v>
      </c>
      <c r="C171" s="30" t="s">
        <v>13</v>
      </c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0" t="s">
        <v>692</v>
      </c>
      <c r="AY171" s="30" t="s">
        <v>693</v>
      </c>
      <c r="AZ171" s="30" t="s">
        <v>712</v>
      </c>
      <c r="BA171" s="30" t="s">
        <v>713</v>
      </c>
      <c r="BB171" s="30" t="s">
        <v>714</v>
      </c>
      <c r="BC171" s="32">
        <v>44573.0</v>
      </c>
      <c r="BD171" s="32">
        <v>44573.0</v>
      </c>
      <c r="BE171" s="32">
        <v>44573.0</v>
      </c>
      <c r="BF171" s="30">
        <v>100.0</v>
      </c>
      <c r="BG171" s="30" t="s">
        <v>715</v>
      </c>
      <c r="BH171" s="33" t="s">
        <v>716</v>
      </c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/>
      <c r="EG171" s="22"/>
      <c r="EH171" s="22"/>
      <c r="EI171" s="22"/>
      <c r="EJ171" s="22"/>
      <c r="EK171" s="22"/>
      <c r="EL171" s="22"/>
      <c r="EM171" s="22"/>
      <c r="EN171" s="22"/>
      <c r="EO171" s="22"/>
      <c r="EP171" s="22"/>
      <c r="EQ171" s="22"/>
      <c r="ER171" s="22"/>
      <c r="ES171" s="22"/>
      <c r="ET171" s="22"/>
      <c r="EU171" s="22"/>
      <c r="EV171" s="22"/>
      <c r="EW171" s="22"/>
      <c r="EX171" s="22"/>
      <c r="EY171" s="22"/>
      <c r="EZ171" s="22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3" t="s">
        <v>696</v>
      </c>
      <c r="FM171" s="23" t="s">
        <v>278</v>
      </c>
      <c r="FN171" s="22"/>
      <c r="FO171" s="22"/>
      <c r="FP171" s="22"/>
      <c r="FQ171" s="22"/>
      <c r="FR171" s="22"/>
      <c r="FS171" s="22"/>
      <c r="FT171" s="22"/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/>
      <c r="GO171" s="22"/>
      <c r="GP171" s="22"/>
      <c r="GQ171" s="22"/>
      <c r="GR171" s="22"/>
      <c r="GS171" s="22"/>
      <c r="GT171" s="22"/>
      <c r="GU171" s="22"/>
      <c r="GV171" s="22"/>
      <c r="GW171" s="22"/>
      <c r="GX171" s="22"/>
      <c r="GY171" s="22"/>
      <c r="GZ171" s="22"/>
      <c r="HA171" s="22"/>
    </row>
    <row r="172" ht="23.25" customHeight="1">
      <c r="A172" s="29">
        <v>44659.52190356482</v>
      </c>
      <c r="B172" s="30" t="s">
        <v>6</v>
      </c>
      <c r="C172" s="30" t="s">
        <v>13</v>
      </c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0" t="s">
        <v>717</v>
      </c>
      <c r="AY172" s="30" t="s">
        <v>718</v>
      </c>
      <c r="AZ172" s="30" t="s">
        <v>719</v>
      </c>
      <c r="BA172" s="30" t="s">
        <v>409</v>
      </c>
      <c r="BB172" s="30" t="s">
        <v>310</v>
      </c>
      <c r="BC172" s="32">
        <v>43563.0</v>
      </c>
      <c r="BD172" s="32">
        <v>43564.0</v>
      </c>
      <c r="BE172" s="32">
        <v>43618.0</v>
      </c>
      <c r="BF172" s="30">
        <v>90.0</v>
      </c>
      <c r="BG172" s="30" t="s">
        <v>411</v>
      </c>
      <c r="BH172" s="33" t="s">
        <v>720</v>
      </c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/>
      <c r="EG172" s="22"/>
      <c r="EH172" s="22"/>
      <c r="EI172" s="22"/>
      <c r="EJ172" s="22"/>
      <c r="EK172" s="22"/>
      <c r="EL172" s="22"/>
      <c r="EM172" s="22"/>
      <c r="EN172" s="22"/>
      <c r="EO172" s="22"/>
      <c r="EP172" s="22"/>
      <c r="EQ172" s="22"/>
      <c r="ER172" s="22"/>
      <c r="ES172" s="22"/>
      <c r="ET172" s="22"/>
      <c r="EU172" s="22"/>
      <c r="EV172" s="22"/>
      <c r="EW172" s="22"/>
      <c r="EX172" s="22"/>
      <c r="EY172" s="22"/>
      <c r="EZ172" s="22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3" t="s">
        <v>721</v>
      </c>
      <c r="FM172" s="23" t="s">
        <v>260</v>
      </c>
      <c r="FN172" s="22"/>
      <c r="FO172" s="22"/>
      <c r="FP172" s="22"/>
      <c r="FQ172" s="22"/>
      <c r="FR172" s="22"/>
      <c r="FS172" s="22"/>
      <c r="FT172" s="22"/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/>
      <c r="GO172" s="22"/>
      <c r="GP172" s="22"/>
      <c r="GQ172" s="22"/>
      <c r="GR172" s="22"/>
      <c r="GS172" s="22"/>
      <c r="GT172" s="22"/>
      <c r="GU172" s="22"/>
      <c r="GV172" s="22"/>
      <c r="GW172" s="22"/>
      <c r="GX172" s="22"/>
      <c r="GY172" s="22"/>
      <c r="GZ172" s="22"/>
      <c r="HA172" s="22"/>
    </row>
    <row r="173" ht="23.25" customHeight="1">
      <c r="A173" s="29">
        <v>44659.52416813657</v>
      </c>
      <c r="B173" s="30" t="s">
        <v>6</v>
      </c>
      <c r="C173" s="30" t="s">
        <v>13</v>
      </c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0" t="s">
        <v>717</v>
      </c>
      <c r="AY173" s="30" t="s">
        <v>718</v>
      </c>
      <c r="AZ173" s="30" t="s">
        <v>351</v>
      </c>
      <c r="BA173" s="30" t="s">
        <v>409</v>
      </c>
      <c r="BB173" s="30" t="s">
        <v>310</v>
      </c>
      <c r="BC173" s="32">
        <v>43615.0</v>
      </c>
      <c r="BD173" s="32">
        <v>43676.0</v>
      </c>
      <c r="BE173" s="32">
        <v>43676.0</v>
      </c>
      <c r="BF173" s="30">
        <v>90.0</v>
      </c>
      <c r="BG173" s="30" t="s">
        <v>722</v>
      </c>
      <c r="BH173" s="33" t="s">
        <v>723</v>
      </c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3" t="s">
        <v>721</v>
      </c>
      <c r="FM173" s="23" t="s">
        <v>260</v>
      </c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</row>
    <row r="174" ht="23.25" customHeight="1">
      <c r="A174" s="29">
        <v>44659.526006643515</v>
      </c>
      <c r="B174" s="30" t="s">
        <v>6</v>
      </c>
      <c r="C174" s="30" t="s">
        <v>13</v>
      </c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0" t="s">
        <v>717</v>
      </c>
      <c r="AY174" s="30" t="s">
        <v>718</v>
      </c>
      <c r="AZ174" s="30" t="s">
        <v>571</v>
      </c>
      <c r="BA174" s="30" t="s">
        <v>409</v>
      </c>
      <c r="BB174" s="30" t="s">
        <v>310</v>
      </c>
      <c r="BC174" s="32">
        <v>43920.0</v>
      </c>
      <c r="BD174" s="32">
        <v>43964.0</v>
      </c>
      <c r="BE174" s="32">
        <v>43981.0</v>
      </c>
      <c r="BF174" s="30">
        <v>90.0</v>
      </c>
      <c r="BG174" s="30" t="s">
        <v>722</v>
      </c>
      <c r="BH174" s="33" t="s">
        <v>724</v>
      </c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/>
      <c r="EG174" s="22"/>
      <c r="EH174" s="22"/>
      <c r="EI174" s="22"/>
      <c r="EJ174" s="22"/>
      <c r="EK174" s="22"/>
      <c r="EL174" s="22"/>
      <c r="EM174" s="22"/>
      <c r="EN174" s="22"/>
      <c r="EO174" s="22"/>
      <c r="EP174" s="22"/>
      <c r="EQ174" s="22"/>
      <c r="ER174" s="22"/>
      <c r="ES174" s="22"/>
      <c r="ET174" s="22"/>
      <c r="EU174" s="22"/>
      <c r="EV174" s="22"/>
      <c r="EW174" s="22"/>
      <c r="EX174" s="22"/>
      <c r="EY174" s="22"/>
      <c r="EZ174" s="22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3" t="s">
        <v>721</v>
      </c>
      <c r="FM174" s="23" t="s">
        <v>260</v>
      </c>
      <c r="FN174" s="22"/>
      <c r="FO174" s="22"/>
      <c r="FP174" s="22"/>
      <c r="FQ174" s="22"/>
      <c r="FR174" s="22"/>
      <c r="FS174" s="22"/>
      <c r="FT174" s="22"/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/>
      <c r="GP174" s="22"/>
      <c r="GQ174" s="22"/>
      <c r="GR174" s="22"/>
      <c r="GS174" s="22"/>
      <c r="GT174" s="22"/>
      <c r="GU174" s="22"/>
      <c r="GV174" s="22"/>
      <c r="GW174" s="22"/>
      <c r="GX174" s="22"/>
      <c r="GY174" s="22"/>
      <c r="GZ174" s="22"/>
      <c r="HA174" s="22"/>
    </row>
    <row r="175" ht="23.25" customHeight="1">
      <c r="A175" s="29">
        <v>44659.52822627315</v>
      </c>
      <c r="B175" s="30" t="s">
        <v>6</v>
      </c>
      <c r="C175" s="30" t="s">
        <v>13</v>
      </c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0" t="s">
        <v>717</v>
      </c>
      <c r="AY175" s="30" t="s">
        <v>718</v>
      </c>
      <c r="AZ175" s="30" t="s">
        <v>667</v>
      </c>
      <c r="BA175" s="30" t="s">
        <v>409</v>
      </c>
      <c r="BB175" s="30" t="s">
        <v>310</v>
      </c>
      <c r="BC175" s="32">
        <v>43930.0</v>
      </c>
      <c r="BD175" s="32">
        <v>43991.0</v>
      </c>
      <c r="BE175" s="32">
        <v>43991.0</v>
      </c>
      <c r="BF175" s="30">
        <v>90.0</v>
      </c>
      <c r="BG175" s="30" t="s">
        <v>725</v>
      </c>
      <c r="BH175" s="33" t="s">
        <v>726</v>
      </c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/>
      <c r="EG175" s="22"/>
      <c r="EH175" s="22"/>
      <c r="EI175" s="22"/>
      <c r="EJ175" s="22"/>
      <c r="EK175" s="22"/>
      <c r="EL175" s="22"/>
      <c r="EM175" s="22"/>
      <c r="EN175" s="22"/>
      <c r="EO175" s="22"/>
      <c r="EP175" s="22"/>
      <c r="EQ175" s="22"/>
      <c r="ER175" s="22"/>
      <c r="ES175" s="22"/>
      <c r="ET175" s="22"/>
      <c r="EU175" s="22"/>
      <c r="EV175" s="22"/>
      <c r="EW175" s="22"/>
      <c r="EX175" s="22"/>
      <c r="EY175" s="22"/>
      <c r="EZ175" s="22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3" t="s">
        <v>721</v>
      </c>
      <c r="FM175" s="23" t="s">
        <v>260</v>
      </c>
      <c r="FN175" s="22"/>
      <c r="FO175" s="22"/>
      <c r="FP175" s="22"/>
      <c r="FQ175" s="22"/>
      <c r="FR175" s="22"/>
      <c r="FS175" s="22"/>
      <c r="FT175" s="22"/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/>
      <c r="GP175" s="22"/>
      <c r="GQ175" s="22"/>
      <c r="GR175" s="22"/>
      <c r="GS175" s="22"/>
      <c r="GT175" s="22"/>
      <c r="GU175" s="22"/>
      <c r="GV175" s="22"/>
      <c r="GW175" s="22"/>
      <c r="GX175" s="22"/>
      <c r="GY175" s="22"/>
      <c r="GZ175" s="22"/>
      <c r="HA175" s="22"/>
    </row>
    <row r="176" ht="23.25" customHeight="1">
      <c r="A176" s="29">
        <v>44659.52980952546</v>
      </c>
      <c r="B176" s="30" t="s">
        <v>6</v>
      </c>
      <c r="C176" s="30" t="s">
        <v>13</v>
      </c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0" t="s">
        <v>717</v>
      </c>
      <c r="AY176" s="30" t="s">
        <v>718</v>
      </c>
      <c r="AZ176" s="30" t="s">
        <v>727</v>
      </c>
      <c r="BA176" s="30" t="s">
        <v>409</v>
      </c>
      <c r="BB176" s="30" t="s">
        <v>310</v>
      </c>
      <c r="BC176" s="32">
        <v>43981.0</v>
      </c>
      <c r="BD176" s="32">
        <v>44042.0</v>
      </c>
      <c r="BE176" s="32">
        <v>44042.0</v>
      </c>
      <c r="BF176" s="30">
        <v>82.0</v>
      </c>
      <c r="BG176" s="30" t="s">
        <v>725</v>
      </c>
      <c r="BH176" s="33" t="s">
        <v>728</v>
      </c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/>
      <c r="EG176" s="22"/>
      <c r="EH176" s="22"/>
      <c r="EI176" s="22"/>
      <c r="EJ176" s="22"/>
      <c r="EK176" s="22"/>
      <c r="EL176" s="22"/>
      <c r="EM176" s="22"/>
      <c r="EN176" s="22"/>
      <c r="EO176" s="22"/>
      <c r="EP176" s="22"/>
      <c r="EQ176" s="22"/>
      <c r="ER176" s="22"/>
      <c r="ES176" s="22"/>
      <c r="ET176" s="22"/>
      <c r="EU176" s="22"/>
      <c r="EV176" s="22"/>
      <c r="EW176" s="22"/>
      <c r="EX176" s="22"/>
      <c r="EY176" s="22"/>
      <c r="EZ176" s="22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3" t="s">
        <v>721</v>
      </c>
      <c r="FM176" s="23" t="s">
        <v>260</v>
      </c>
      <c r="FN176" s="22"/>
      <c r="FO176" s="22"/>
      <c r="FP176" s="22"/>
      <c r="FQ176" s="22"/>
      <c r="FR176" s="22"/>
      <c r="FS176" s="22"/>
      <c r="FT176" s="22"/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/>
      <c r="GP176" s="22"/>
      <c r="GQ176" s="22"/>
      <c r="GR176" s="22"/>
      <c r="GS176" s="22"/>
      <c r="GT176" s="22"/>
      <c r="GU176" s="22"/>
      <c r="GV176" s="22"/>
      <c r="GW176" s="22"/>
      <c r="GX176" s="22"/>
      <c r="GY176" s="22"/>
      <c r="GZ176" s="22"/>
      <c r="HA176" s="22"/>
    </row>
    <row r="177" ht="23.25" customHeight="1">
      <c r="A177" s="29">
        <v>44659.53235912037</v>
      </c>
      <c r="B177" s="30" t="s">
        <v>6</v>
      </c>
      <c r="C177" s="30" t="s">
        <v>13</v>
      </c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0" t="s">
        <v>717</v>
      </c>
      <c r="AY177" s="30" t="s">
        <v>718</v>
      </c>
      <c r="AZ177" s="30" t="s">
        <v>687</v>
      </c>
      <c r="BA177" s="30" t="s">
        <v>409</v>
      </c>
      <c r="BB177" s="30" t="s">
        <v>310</v>
      </c>
      <c r="BC177" s="32">
        <v>44012.0</v>
      </c>
      <c r="BD177" s="32">
        <v>44047.0</v>
      </c>
      <c r="BE177" s="32">
        <v>44047.0</v>
      </c>
      <c r="BF177" s="30">
        <v>84.0</v>
      </c>
      <c r="BG177" s="30" t="s">
        <v>725</v>
      </c>
      <c r="BH177" s="33" t="s">
        <v>729</v>
      </c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/>
      <c r="EG177" s="22"/>
      <c r="EH177" s="22"/>
      <c r="EI177" s="22"/>
      <c r="EJ177" s="22"/>
      <c r="EK177" s="22"/>
      <c r="EL177" s="22"/>
      <c r="EM177" s="22"/>
      <c r="EN177" s="22"/>
      <c r="EO177" s="22"/>
      <c r="EP177" s="22"/>
      <c r="EQ177" s="22"/>
      <c r="ER177" s="22"/>
      <c r="ES177" s="22"/>
      <c r="ET177" s="22"/>
      <c r="EU177" s="22"/>
      <c r="EV177" s="22"/>
      <c r="EW177" s="22"/>
      <c r="EX177" s="22"/>
      <c r="EY177" s="22"/>
      <c r="EZ177" s="22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3" t="s">
        <v>721</v>
      </c>
      <c r="FM177" s="23" t="s">
        <v>260</v>
      </c>
      <c r="FN177" s="22"/>
      <c r="FO177" s="22"/>
      <c r="FP177" s="22"/>
      <c r="FQ177" s="22"/>
      <c r="FR177" s="22"/>
      <c r="FS177" s="22"/>
      <c r="FT177" s="22"/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/>
      <c r="GO177" s="22"/>
      <c r="GP177" s="22"/>
      <c r="GQ177" s="22"/>
      <c r="GR177" s="22"/>
      <c r="GS177" s="22"/>
      <c r="GT177" s="22"/>
      <c r="GU177" s="22"/>
      <c r="GV177" s="22"/>
      <c r="GW177" s="22"/>
      <c r="GX177" s="22"/>
      <c r="GY177" s="22"/>
      <c r="GZ177" s="22"/>
      <c r="HA177" s="22"/>
    </row>
    <row r="178" ht="23.25" customHeight="1">
      <c r="A178" s="29">
        <v>44659.53455820602</v>
      </c>
      <c r="B178" s="30" t="s">
        <v>6</v>
      </c>
      <c r="C178" s="30" t="s">
        <v>13</v>
      </c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0" t="s">
        <v>717</v>
      </c>
      <c r="AY178" s="30" t="s">
        <v>718</v>
      </c>
      <c r="AZ178" s="30" t="s">
        <v>422</v>
      </c>
      <c r="BA178" s="30" t="s">
        <v>730</v>
      </c>
      <c r="BB178" s="30" t="s">
        <v>495</v>
      </c>
      <c r="BC178" s="32">
        <v>44512.0</v>
      </c>
      <c r="BD178" s="32">
        <v>44542.0</v>
      </c>
      <c r="BE178" s="32">
        <v>44542.0</v>
      </c>
      <c r="BF178" s="30">
        <v>90.0</v>
      </c>
      <c r="BG178" s="30" t="s">
        <v>725</v>
      </c>
      <c r="BH178" s="33" t="s">
        <v>731</v>
      </c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/>
      <c r="EG178" s="22"/>
      <c r="EH178" s="22"/>
      <c r="EI178" s="22"/>
      <c r="EJ178" s="22"/>
      <c r="EK178" s="22"/>
      <c r="EL178" s="22"/>
      <c r="EM178" s="22"/>
      <c r="EN178" s="22"/>
      <c r="EO178" s="22"/>
      <c r="EP178" s="22"/>
      <c r="EQ178" s="22"/>
      <c r="ER178" s="22"/>
      <c r="ES178" s="22"/>
      <c r="ET178" s="22"/>
      <c r="EU178" s="22"/>
      <c r="EV178" s="22"/>
      <c r="EW178" s="22"/>
      <c r="EX178" s="22"/>
      <c r="EY178" s="22"/>
      <c r="EZ178" s="22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3" t="s">
        <v>721</v>
      </c>
      <c r="FM178" s="23" t="s">
        <v>260</v>
      </c>
      <c r="FN178" s="22"/>
      <c r="FO178" s="22"/>
      <c r="FP178" s="22"/>
      <c r="FQ178" s="22"/>
      <c r="FR178" s="22"/>
      <c r="FS178" s="22"/>
      <c r="FT178" s="22"/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/>
      <c r="GO178" s="22"/>
      <c r="GP178" s="22"/>
      <c r="GQ178" s="22"/>
      <c r="GR178" s="22"/>
      <c r="GS178" s="22"/>
      <c r="GT178" s="22"/>
      <c r="GU178" s="22"/>
      <c r="GV178" s="22"/>
      <c r="GW178" s="22"/>
      <c r="GX178" s="22"/>
      <c r="GY178" s="22"/>
      <c r="GZ178" s="22"/>
      <c r="HA178" s="22"/>
    </row>
    <row r="179" ht="23.25" customHeight="1">
      <c r="A179" s="29">
        <v>44659.53695173611</v>
      </c>
      <c r="B179" s="30" t="s">
        <v>6</v>
      </c>
      <c r="C179" s="30" t="s">
        <v>12</v>
      </c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0" t="s">
        <v>717</v>
      </c>
      <c r="AO179" s="30" t="s">
        <v>718</v>
      </c>
      <c r="AP179" s="30" t="s">
        <v>732</v>
      </c>
      <c r="AQ179" s="30" t="s">
        <v>310</v>
      </c>
      <c r="AR179" s="32">
        <v>44490.0</v>
      </c>
      <c r="AS179" s="32">
        <v>44551.0</v>
      </c>
      <c r="AT179" s="30" t="s">
        <v>257</v>
      </c>
      <c r="AU179" s="30" t="s">
        <v>257</v>
      </c>
      <c r="AV179" s="30">
        <v>0.0</v>
      </c>
      <c r="AW179" s="33" t="s">
        <v>733</v>
      </c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/>
      <c r="EG179" s="22"/>
      <c r="EH179" s="22"/>
      <c r="EI179" s="22"/>
      <c r="EJ179" s="22"/>
      <c r="EK179" s="22"/>
      <c r="EL179" s="22"/>
      <c r="EM179" s="22"/>
      <c r="EN179" s="22"/>
      <c r="EO179" s="22"/>
      <c r="EP179" s="22"/>
      <c r="EQ179" s="22"/>
      <c r="ER179" s="22"/>
      <c r="ES179" s="22"/>
      <c r="ET179" s="22"/>
      <c r="EU179" s="22"/>
      <c r="EV179" s="22"/>
      <c r="EW179" s="22"/>
      <c r="EX179" s="22"/>
      <c r="EY179" s="22"/>
      <c r="EZ179" s="22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3" t="s">
        <v>721</v>
      </c>
      <c r="FM179" s="23" t="s">
        <v>260</v>
      </c>
      <c r="FN179" s="22"/>
      <c r="FO179" s="22"/>
      <c r="FP179" s="22"/>
      <c r="FQ179" s="22"/>
      <c r="FR179" s="22"/>
      <c r="FS179" s="22"/>
      <c r="FT179" s="22"/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/>
      <c r="GO179" s="22"/>
      <c r="GP179" s="22"/>
      <c r="GQ179" s="22"/>
      <c r="GR179" s="22"/>
      <c r="GS179" s="22"/>
      <c r="GT179" s="22"/>
      <c r="GU179" s="22"/>
      <c r="GV179" s="22"/>
      <c r="GW179" s="22"/>
      <c r="GX179" s="22"/>
      <c r="GY179" s="22"/>
      <c r="GZ179" s="22"/>
      <c r="HA179" s="22"/>
    </row>
    <row r="180" ht="23.25" customHeight="1">
      <c r="A180" s="29">
        <v>44659.54606707176</v>
      </c>
      <c r="B180" s="30" t="s">
        <v>6</v>
      </c>
      <c r="C180" s="30" t="s">
        <v>14</v>
      </c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0" t="s">
        <v>734</v>
      </c>
      <c r="BJ180" s="30" t="s">
        <v>718</v>
      </c>
      <c r="BK180" s="30" t="s">
        <v>159</v>
      </c>
      <c r="BL180" s="30" t="s">
        <v>735</v>
      </c>
      <c r="BM180" s="30" t="s">
        <v>736</v>
      </c>
      <c r="BN180" s="30">
        <v>2.0</v>
      </c>
      <c r="BO180" s="32">
        <v>43518.0</v>
      </c>
      <c r="BP180" s="32">
        <v>43520.0</v>
      </c>
      <c r="BQ180" s="30" t="s">
        <v>737</v>
      </c>
      <c r="BR180" s="30" t="s">
        <v>738</v>
      </c>
      <c r="BS180" s="30" t="s">
        <v>176</v>
      </c>
      <c r="BT180" s="30" t="s">
        <v>632</v>
      </c>
      <c r="BU180" s="30">
        <v>0.0</v>
      </c>
      <c r="BV180" s="33" t="s">
        <v>739</v>
      </c>
      <c r="BW180" s="31"/>
      <c r="BX180" s="31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/>
      <c r="EG180" s="22"/>
      <c r="EH180" s="22"/>
      <c r="EI180" s="22"/>
      <c r="EJ180" s="22"/>
      <c r="EK180" s="22"/>
      <c r="EL180" s="22"/>
      <c r="EM180" s="22"/>
      <c r="EN180" s="22"/>
      <c r="EO180" s="22"/>
      <c r="EP180" s="22"/>
      <c r="EQ180" s="22"/>
      <c r="ER180" s="22"/>
      <c r="ES180" s="22"/>
      <c r="ET180" s="22"/>
      <c r="EU180" s="22"/>
      <c r="EV180" s="22"/>
      <c r="EW180" s="22"/>
      <c r="EX180" s="22"/>
      <c r="EY180" s="22"/>
      <c r="EZ180" s="22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3" t="s">
        <v>721</v>
      </c>
      <c r="FM180" s="23" t="s">
        <v>260</v>
      </c>
      <c r="FN180" s="22"/>
      <c r="FO180" s="22"/>
      <c r="FP180" s="22"/>
      <c r="FQ180" s="22"/>
      <c r="FR180" s="22"/>
      <c r="FS180" s="22"/>
      <c r="FT180" s="22"/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/>
      <c r="GO180" s="22"/>
      <c r="GP180" s="22"/>
      <c r="GQ180" s="22"/>
      <c r="GR180" s="22"/>
      <c r="GS180" s="22"/>
      <c r="GT180" s="22"/>
      <c r="GU180" s="22"/>
      <c r="GV180" s="22"/>
      <c r="GW180" s="22"/>
      <c r="GX180" s="22"/>
      <c r="GY180" s="22"/>
      <c r="GZ180" s="22"/>
      <c r="HA180" s="22"/>
    </row>
    <row r="181" ht="23.25" customHeight="1">
      <c r="A181" s="29">
        <v>44659.61338912037</v>
      </c>
      <c r="B181" s="30" t="s">
        <v>6</v>
      </c>
      <c r="C181" s="30" t="s">
        <v>12</v>
      </c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0" t="s">
        <v>740</v>
      </c>
      <c r="AO181" s="30" t="s">
        <v>741</v>
      </c>
      <c r="AP181" s="30" t="s">
        <v>742</v>
      </c>
      <c r="AQ181" s="30" t="s">
        <v>507</v>
      </c>
      <c r="AR181" s="32">
        <v>44484.0</v>
      </c>
      <c r="AS181" s="32">
        <v>44554.0</v>
      </c>
      <c r="AT181" s="30" t="s">
        <v>257</v>
      </c>
      <c r="AU181" s="30" t="s">
        <v>257</v>
      </c>
      <c r="AV181" s="30">
        <v>0.0</v>
      </c>
      <c r="AW181" s="33" t="s">
        <v>743</v>
      </c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3" t="s">
        <v>744</v>
      </c>
      <c r="FM181" s="23" t="s">
        <v>260</v>
      </c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  <c r="GW181" s="22"/>
      <c r="GX181" s="22"/>
      <c r="GY181" s="22"/>
      <c r="GZ181" s="22"/>
      <c r="HA181" s="22"/>
    </row>
    <row r="182" ht="23.25" customHeight="1">
      <c r="A182" s="29">
        <v>44659.618449236106</v>
      </c>
      <c r="B182" s="30" t="s">
        <v>6</v>
      </c>
      <c r="C182" s="30" t="s">
        <v>23</v>
      </c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/>
      <c r="EG182" s="22"/>
      <c r="EH182" s="22"/>
      <c r="EI182" s="22"/>
      <c r="EJ182" s="22"/>
      <c r="EK182" s="22"/>
      <c r="EL182" s="22"/>
      <c r="EM182" s="22"/>
      <c r="EN182" s="22"/>
      <c r="EO182" s="22"/>
      <c r="EP182" s="22"/>
      <c r="EQ182" s="22"/>
      <c r="ER182" s="22"/>
      <c r="ES182" s="22"/>
      <c r="ET182" s="22"/>
      <c r="EU182" s="22"/>
      <c r="EV182" s="22"/>
      <c r="EW182" s="22"/>
      <c r="EX182" s="22"/>
      <c r="EY182" s="22"/>
      <c r="EZ182" s="22"/>
      <c r="FA182" s="22"/>
      <c r="FB182" s="22"/>
      <c r="FC182" s="22"/>
      <c r="FD182" s="22"/>
      <c r="FE182" s="22"/>
      <c r="FF182" s="22"/>
      <c r="FG182" s="23" t="s">
        <v>740</v>
      </c>
      <c r="FH182" s="23" t="s">
        <v>741</v>
      </c>
      <c r="FI182" s="23" t="s">
        <v>745</v>
      </c>
      <c r="FJ182" s="24">
        <v>44506.0</v>
      </c>
      <c r="FK182" s="25" t="s">
        <v>746</v>
      </c>
      <c r="FL182" s="23" t="s">
        <v>744</v>
      </c>
      <c r="FM182" s="23" t="s">
        <v>260</v>
      </c>
      <c r="FN182" s="22"/>
      <c r="FO182" s="22"/>
      <c r="FP182" s="22"/>
      <c r="FQ182" s="22"/>
      <c r="FR182" s="22"/>
      <c r="FS182" s="22"/>
      <c r="FT182" s="22"/>
      <c r="FU182" s="22"/>
      <c r="FV182" s="22"/>
      <c r="FW182" s="22"/>
      <c r="FX182" s="22"/>
      <c r="FY182" s="22"/>
      <c r="FZ182" s="22"/>
      <c r="GA182" s="22"/>
      <c r="GB182" s="22"/>
      <c r="GC182" s="22"/>
      <c r="GD182" s="22"/>
      <c r="GE182" s="22"/>
      <c r="GF182" s="22"/>
      <c r="GG182" s="22"/>
      <c r="GH182" s="22"/>
      <c r="GI182" s="22"/>
      <c r="GJ182" s="22"/>
      <c r="GK182" s="22"/>
      <c r="GL182" s="22"/>
      <c r="GM182" s="22"/>
      <c r="GN182" s="22"/>
      <c r="GO182" s="22"/>
      <c r="GP182" s="22"/>
      <c r="GQ182" s="22"/>
      <c r="GR182" s="22"/>
      <c r="GS182" s="22"/>
      <c r="GT182" s="22"/>
      <c r="GU182" s="22"/>
      <c r="GV182" s="22"/>
      <c r="GW182" s="22"/>
      <c r="GX182" s="22"/>
      <c r="GY182" s="22"/>
      <c r="GZ182" s="22"/>
      <c r="HA182" s="22"/>
    </row>
    <row r="183" ht="23.25" customHeight="1">
      <c r="A183" s="29">
        <v>44659.620837650466</v>
      </c>
      <c r="B183" s="30" t="s">
        <v>6</v>
      </c>
      <c r="C183" s="30" t="s">
        <v>12</v>
      </c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0" t="s">
        <v>747</v>
      </c>
      <c r="AO183" s="30" t="s">
        <v>748</v>
      </c>
      <c r="AP183" s="30" t="s">
        <v>500</v>
      </c>
      <c r="AQ183" s="30" t="s">
        <v>749</v>
      </c>
      <c r="AR183" s="32">
        <v>44481.0</v>
      </c>
      <c r="AS183" s="32">
        <v>44542.0</v>
      </c>
      <c r="AT183" s="30" t="s">
        <v>257</v>
      </c>
      <c r="AU183" s="30" t="s">
        <v>257</v>
      </c>
      <c r="AV183" s="30">
        <v>0.0</v>
      </c>
      <c r="AW183" s="33" t="s">
        <v>750</v>
      </c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3" t="s">
        <v>751</v>
      </c>
      <c r="FM183" s="23" t="s">
        <v>260</v>
      </c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/>
      <c r="GO183" s="22"/>
      <c r="GP183" s="22"/>
      <c r="GQ183" s="22"/>
      <c r="GR183" s="22"/>
      <c r="GS183" s="22"/>
      <c r="GT183" s="22"/>
      <c r="GU183" s="22"/>
      <c r="GV183" s="22"/>
      <c r="GW183" s="22"/>
      <c r="GX183" s="22"/>
      <c r="GY183" s="22"/>
      <c r="GZ183" s="22"/>
      <c r="HA183" s="22"/>
    </row>
    <row r="184" ht="23.25" customHeight="1">
      <c r="A184" s="29">
        <v>44659.62207107639</v>
      </c>
      <c r="B184" s="30" t="s">
        <v>6</v>
      </c>
      <c r="C184" s="30" t="s">
        <v>12</v>
      </c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0" t="s">
        <v>752</v>
      </c>
      <c r="AO184" s="30" t="s">
        <v>753</v>
      </c>
      <c r="AP184" s="30" t="s">
        <v>754</v>
      </c>
      <c r="AQ184" s="30" t="s">
        <v>310</v>
      </c>
      <c r="AR184" s="32">
        <v>44477.0</v>
      </c>
      <c r="AS184" s="32">
        <v>44544.0</v>
      </c>
      <c r="AT184" s="30" t="s">
        <v>257</v>
      </c>
      <c r="AU184" s="30" t="s">
        <v>257</v>
      </c>
      <c r="AV184" s="30">
        <v>0.0</v>
      </c>
      <c r="AW184" s="33" t="s">
        <v>755</v>
      </c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/>
      <c r="EG184" s="22"/>
      <c r="EH184" s="22"/>
      <c r="EI184" s="22"/>
      <c r="EJ184" s="22"/>
      <c r="EK184" s="22"/>
      <c r="EL184" s="22"/>
      <c r="EM184" s="22"/>
      <c r="EN184" s="22"/>
      <c r="EO184" s="22"/>
      <c r="EP184" s="22"/>
      <c r="EQ184" s="22"/>
      <c r="ER184" s="22"/>
      <c r="ES184" s="22"/>
      <c r="ET184" s="22"/>
      <c r="EU184" s="22"/>
      <c r="EV184" s="22"/>
      <c r="EW184" s="22"/>
      <c r="EX184" s="22"/>
      <c r="EY184" s="22"/>
      <c r="EZ184" s="22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3" t="s">
        <v>756</v>
      </c>
      <c r="FM184" s="23" t="s">
        <v>260</v>
      </c>
      <c r="FN184" s="22"/>
      <c r="FO184" s="22"/>
      <c r="FP184" s="22"/>
      <c r="FQ184" s="22"/>
      <c r="FR184" s="22"/>
      <c r="FS184" s="22"/>
      <c r="FT184" s="22"/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/>
      <c r="GP184" s="22"/>
      <c r="GQ184" s="22"/>
      <c r="GR184" s="22"/>
      <c r="GS184" s="22"/>
      <c r="GT184" s="22"/>
      <c r="GU184" s="22"/>
      <c r="GV184" s="22"/>
      <c r="GW184" s="22"/>
      <c r="GX184" s="22"/>
      <c r="GY184" s="22"/>
      <c r="GZ184" s="22"/>
      <c r="HA184" s="22"/>
    </row>
    <row r="185" ht="23.25" customHeight="1">
      <c r="A185" s="29">
        <v>44659.63526298611</v>
      </c>
      <c r="B185" s="30" t="s">
        <v>6</v>
      </c>
      <c r="C185" s="30" t="s">
        <v>14</v>
      </c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0" t="s">
        <v>757</v>
      </c>
      <c r="BJ185" s="30" t="s">
        <v>748</v>
      </c>
      <c r="BK185" s="30" t="s">
        <v>150</v>
      </c>
      <c r="BL185" s="30" t="s">
        <v>735</v>
      </c>
      <c r="BM185" s="30" t="s">
        <v>758</v>
      </c>
      <c r="BN185" s="30">
        <v>2.0</v>
      </c>
      <c r="BO185" s="32">
        <v>43694.0</v>
      </c>
      <c r="BP185" s="32">
        <v>43695.0</v>
      </c>
      <c r="BQ185" s="30" t="s">
        <v>759</v>
      </c>
      <c r="BR185" s="30" t="s">
        <v>760</v>
      </c>
      <c r="BS185" s="30" t="s">
        <v>176</v>
      </c>
      <c r="BT185" s="30" t="s">
        <v>632</v>
      </c>
      <c r="BU185" s="30">
        <v>0.0</v>
      </c>
      <c r="BV185" s="33" t="s">
        <v>761</v>
      </c>
      <c r="BW185" s="31"/>
      <c r="BX185" s="31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/>
      <c r="EG185" s="22"/>
      <c r="EH185" s="22"/>
      <c r="EI185" s="22"/>
      <c r="EJ185" s="22"/>
      <c r="EK185" s="22"/>
      <c r="EL185" s="22"/>
      <c r="EM185" s="22"/>
      <c r="EN185" s="22"/>
      <c r="EO185" s="22"/>
      <c r="EP185" s="22"/>
      <c r="EQ185" s="22"/>
      <c r="ER185" s="22"/>
      <c r="ES185" s="22"/>
      <c r="ET185" s="22"/>
      <c r="EU185" s="22"/>
      <c r="EV185" s="22"/>
      <c r="EW185" s="22"/>
      <c r="EX185" s="22"/>
      <c r="EY185" s="22"/>
      <c r="EZ185" s="22"/>
      <c r="FA185" s="22"/>
      <c r="FB185" s="22"/>
      <c r="FC185" s="22"/>
      <c r="FD185" s="22"/>
      <c r="FE185" s="22"/>
      <c r="FF185" s="22"/>
      <c r="FG185" s="22"/>
      <c r="FH185" s="22"/>
      <c r="FI185" s="22"/>
      <c r="FJ185" s="22"/>
      <c r="FK185" s="22"/>
      <c r="FL185" s="23" t="s">
        <v>751</v>
      </c>
      <c r="FM185" s="23" t="s">
        <v>260</v>
      </c>
      <c r="FN185" s="22"/>
      <c r="FO185" s="22"/>
      <c r="FP185" s="22"/>
      <c r="FQ185" s="22"/>
      <c r="FR185" s="22"/>
      <c r="FS185" s="22"/>
      <c r="FT185" s="22"/>
      <c r="FU185" s="22"/>
      <c r="FV185" s="22"/>
      <c r="FW185" s="22"/>
      <c r="FX185" s="22"/>
      <c r="FY185" s="22"/>
      <c r="FZ185" s="22"/>
      <c r="GA185" s="22"/>
      <c r="GB185" s="22"/>
      <c r="GC185" s="22"/>
      <c r="GD185" s="22"/>
      <c r="GE185" s="22"/>
      <c r="GF185" s="22"/>
      <c r="GG185" s="22"/>
      <c r="GH185" s="22"/>
      <c r="GI185" s="22"/>
      <c r="GJ185" s="22"/>
      <c r="GK185" s="22"/>
      <c r="GL185" s="22"/>
      <c r="GM185" s="22"/>
      <c r="GN185" s="22"/>
      <c r="GO185" s="22"/>
      <c r="GP185" s="22"/>
      <c r="GQ185" s="22"/>
      <c r="GR185" s="22"/>
      <c r="GS185" s="22"/>
      <c r="GT185" s="22"/>
      <c r="GU185" s="22"/>
      <c r="GV185" s="22"/>
      <c r="GW185" s="22"/>
      <c r="GX185" s="22"/>
      <c r="GY185" s="22"/>
      <c r="GZ185" s="22"/>
      <c r="HA185" s="22"/>
    </row>
    <row r="186" ht="23.25" customHeight="1">
      <c r="A186" s="29">
        <v>44659.63824266204</v>
      </c>
      <c r="B186" s="30" t="s">
        <v>6</v>
      </c>
      <c r="C186" s="30" t="s">
        <v>14</v>
      </c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0" t="s">
        <v>747</v>
      </c>
      <c r="BJ186" s="30" t="s">
        <v>748</v>
      </c>
      <c r="BK186" s="30" t="s">
        <v>159</v>
      </c>
      <c r="BL186" s="30" t="s">
        <v>735</v>
      </c>
      <c r="BM186" s="30" t="s">
        <v>762</v>
      </c>
      <c r="BN186" s="30">
        <v>2.0</v>
      </c>
      <c r="BO186" s="32">
        <v>43505.0</v>
      </c>
      <c r="BP186" s="32">
        <v>43506.0</v>
      </c>
      <c r="BQ186" s="30" t="s">
        <v>630</v>
      </c>
      <c r="BR186" s="30" t="s">
        <v>763</v>
      </c>
      <c r="BS186" s="30" t="s">
        <v>276</v>
      </c>
      <c r="BT186" s="30" t="s">
        <v>156</v>
      </c>
      <c r="BU186" s="31"/>
      <c r="BV186" s="33" t="s">
        <v>764</v>
      </c>
      <c r="BW186" s="31"/>
      <c r="BX186" s="31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/>
      <c r="EG186" s="22"/>
      <c r="EH186" s="22"/>
      <c r="EI186" s="22"/>
      <c r="EJ186" s="22"/>
      <c r="EK186" s="22"/>
      <c r="EL186" s="22"/>
      <c r="EM186" s="22"/>
      <c r="EN186" s="22"/>
      <c r="EO186" s="22"/>
      <c r="EP186" s="22"/>
      <c r="EQ186" s="22"/>
      <c r="ER186" s="22"/>
      <c r="ES186" s="22"/>
      <c r="ET186" s="22"/>
      <c r="EU186" s="22"/>
      <c r="EV186" s="22"/>
      <c r="EW186" s="22"/>
      <c r="EX186" s="22"/>
      <c r="EY186" s="22"/>
      <c r="EZ186" s="22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3" t="s">
        <v>751</v>
      </c>
      <c r="FM186" s="23" t="s">
        <v>382</v>
      </c>
      <c r="FN186" s="22"/>
      <c r="FO186" s="22"/>
      <c r="FP186" s="22"/>
      <c r="FQ186" s="22"/>
      <c r="FR186" s="22"/>
      <c r="FS186" s="22"/>
      <c r="FT186" s="22"/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/>
      <c r="GO186" s="22"/>
      <c r="GP186" s="22"/>
      <c r="GQ186" s="22"/>
      <c r="GR186" s="22"/>
      <c r="GS186" s="22"/>
      <c r="GT186" s="22"/>
      <c r="GU186" s="22"/>
      <c r="GV186" s="22"/>
      <c r="GW186" s="22"/>
      <c r="GX186" s="22"/>
      <c r="GY186" s="22"/>
      <c r="GZ186" s="22"/>
      <c r="HA186" s="22"/>
    </row>
    <row r="187" ht="23.25" customHeight="1">
      <c r="A187" s="29">
        <v>44659.64126224537</v>
      </c>
      <c r="B187" s="30" t="s">
        <v>6</v>
      </c>
      <c r="C187" s="30" t="s">
        <v>13</v>
      </c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0" t="s">
        <v>765</v>
      </c>
      <c r="AY187" s="30" t="s">
        <v>766</v>
      </c>
      <c r="AZ187" s="30" t="s">
        <v>767</v>
      </c>
      <c r="BA187" s="30" t="s">
        <v>377</v>
      </c>
      <c r="BB187" s="30" t="s">
        <v>472</v>
      </c>
      <c r="BC187" s="32">
        <v>43818.0</v>
      </c>
      <c r="BD187" s="32">
        <v>43837.0</v>
      </c>
      <c r="BE187" s="32">
        <v>43837.0</v>
      </c>
      <c r="BF187" s="30">
        <v>85.0</v>
      </c>
      <c r="BG187" s="30" t="s">
        <v>768</v>
      </c>
      <c r="BH187" s="33" t="s">
        <v>769</v>
      </c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/>
      <c r="EG187" s="22"/>
      <c r="EH187" s="22"/>
      <c r="EI187" s="22"/>
      <c r="EJ187" s="22"/>
      <c r="EK187" s="22"/>
      <c r="EL187" s="22"/>
      <c r="EM187" s="22"/>
      <c r="EN187" s="22"/>
      <c r="EO187" s="22"/>
      <c r="EP187" s="22"/>
      <c r="EQ187" s="22"/>
      <c r="ER187" s="22"/>
      <c r="ES187" s="22"/>
      <c r="ET187" s="22"/>
      <c r="EU187" s="22"/>
      <c r="EV187" s="22"/>
      <c r="EW187" s="22"/>
      <c r="EX187" s="22"/>
      <c r="EY187" s="22"/>
      <c r="EZ187" s="22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3" t="s">
        <v>770</v>
      </c>
      <c r="FM187" s="23" t="s">
        <v>260</v>
      </c>
      <c r="FN187" s="22"/>
      <c r="FO187" s="22"/>
      <c r="FP187" s="22"/>
      <c r="FQ187" s="22"/>
      <c r="FR187" s="22"/>
      <c r="FS187" s="22"/>
      <c r="FT187" s="22"/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/>
      <c r="GJ187" s="22"/>
      <c r="GK187" s="22"/>
      <c r="GL187" s="22"/>
      <c r="GM187" s="22"/>
      <c r="GN187" s="22"/>
      <c r="GO187" s="22"/>
      <c r="GP187" s="22"/>
      <c r="GQ187" s="22"/>
      <c r="GR187" s="22"/>
      <c r="GS187" s="22"/>
      <c r="GT187" s="22"/>
      <c r="GU187" s="22"/>
      <c r="GV187" s="22"/>
      <c r="GW187" s="22"/>
      <c r="GX187" s="22"/>
      <c r="GY187" s="22"/>
      <c r="GZ187" s="22"/>
      <c r="HA187" s="22"/>
    </row>
    <row r="188" ht="23.25" customHeight="1">
      <c r="A188" s="29">
        <v>44659.64171084491</v>
      </c>
      <c r="B188" s="30" t="s">
        <v>6</v>
      </c>
      <c r="C188" s="30" t="s">
        <v>20</v>
      </c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3" t="s">
        <v>747</v>
      </c>
      <c r="DY188" s="23" t="s">
        <v>748</v>
      </c>
      <c r="DZ188" s="23" t="s">
        <v>150</v>
      </c>
      <c r="EA188" s="23" t="s">
        <v>771</v>
      </c>
      <c r="EB188" s="24">
        <v>43358.0</v>
      </c>
      <c r="EC188" s="23" t="s">
        <v>772</v>
      </c>
      <c r="ED188" s="25" t="s">
        <v>773</v>
      </c>
      <c r="EE188" s="22"/>
      <c r="EF188" s="22"/>
      <c r="EG188" s="22"/>
      <c r="EH188" s="22"/>
      <c r="EI188" s="22"/>
      <c r="EJ188" s="22"/>
      <c r="EK188" s="22"/>
      <c r="EL188" s="22"/>
      <c r="EM188" s="22"/>
      <c r="EN188" s="22"/>
      <c r="EO188" s="22"/>
      <c r="EP188" s="22"/>
      <c r="EQ188" s="22"/>
      <c r="ER188" s="22"/>
      <c r="ES188" s="22"/>
      <c r="ET188" s="22"/>
      <c r="EU188" s="22"/>
      <c r="EV188" s="22"/>
      <c r="EW188" s="22"/>
      <c r="EX188" s="22"/>
      <c r="EY188" s="22"/>
      <c r="EZ188" s="22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3" t="s">
        <v>751</v>
      </c>
      <c r="FM188" s="23" t="s">
        <v>260</v>
      </c>
      <c r="FN188" s="22"/>
      <c r="FO188" s="22"/>
      <c r="FP188" s="22"/>
      <c r="FQ188" s="22"/>
      <c r="FR188" s="22"/>
      <c r="FS188" s="22"/>
      <c r="FT188" s="22"/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/>
      <c r="GO188" s="22"/>
      <c r="GP188" s="22"/>
      <c r="GQ188" s="22"/>
      <c r="GR188" s="22"/>
      <c r="GS188" s="22"/>
      <c r="GT188" s="22"/>
      <c r="GU188" s="22"/>
      <c r="GV188" s="22"/>
      <c r="GW188" s="22"/>
      <c r="GX188" s="22"/>
      <c r="GY188" s="22"/>
      <c r="GZ188" s="22"/>
      <c r="HA188" s="22"/>
    </row>
    <row r="189" ht="23.25" customHeight="1">
      <c r="A189" s="29">
        <v>44659.64290548611</v>
      </c>
      <c r="B189" s="30" t="s">
        <v>6</v>
      </c>
      <c r="C189" s="30" t="s">
        <v>13</v>
      </c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0" t="s">
        <v>774</v>
      </c>
      <c r="AY189" s="30" t="s">
        <v>766</v>
      </c>
      <c r="AZ189" s="30" t="s">
        <v>775</v>
      </c>
      <c r="BA189" s="30" t="s">
        <v>377</v>
      </c>
      <c r="BB189" s="30" t="s">
        <v>472</v>
      </c>
      <c r="BC189" s="32">
        <v>43818.0</v>
      </c>
      <c r="BD189" s="32">
        <v>44013.0</v>
      </c>
      <c r="BE189" s="32">
        <v>44013.0</v>
      </c>
      <c r="BF189" s="30">
        <v>85.0</v>
      </c>
      <c r="BG189" s="30" t="s">
        <v>768</v>
      </c>
      <c r="BH189" s="33" t="s">
        <v>776</v>
      </c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3" t="s">
        <v>770</v>
      </c>
      <c r="FM189" s="23" t="s">
        <v>260</v>
      </c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</row>
    <row r="190" ht="23.25" customHeight="1">
      <c r="A190" s="29">
        <v>44659.64529381944</v>
      </c>
      <c r="B190" s="30" t="s">
        <v>6</v>
      </c>
      <c r="C190" s="30" t="s">
        <v>12</v>
      </c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0" t="s">
        <v>430</v>
      </c>
      <c r="AO190" s="30" t="s">
        <v>431</v>
      </c>
      <c r="AP190" s="30" t="s">
        <v>754</v>
      </c>
      <c r="AQ190" s="30" t="s">
        <v>320</v>
      </c>
      <c r="AR190" s="32">
        <v>44477.0</v>
      </c>
      <c r="AS190" s="32">
        <v>44544.0</v>
      </c>
      <c r="AT190" s="30" t="s">
        <v>257</v>
      </c>
      <c r="AU190" s="30" t="s">
        <v>257</v>
      </c>
      <c r="AV190" s="30">
        <v>0.0</v>
      </c>
      <c r="AW190" s="33" t="s">
        <v>777</v>
      </c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/>
      <c r="EG190" s="22"/>
      <c r="EH190" s="22"/>
      <c r="EI190" s="22"/>
      <c r="EJ190" s="22"/>
      <c r="EK190" s="22"/>
      <c r="EL190" s="22"/>
      <c r="EM190" s="22"/>
      <c r="EN190" s="22"/>
      <c r="EO190" s="22"/>
      <c r="EP190" s="22"/>
      <c r="EQ190" s="22"/>
      <c r="ER190" s="22"/>
      <c r="ES190" s="22"/>
      <c r="ET190" s="22"/>
      <c r="EU190" s="22"/>
      <c r="EV190" s="22"/>
      <c r="EW190" s="22"/>
      <c r="EX190" s="22"/>
      <c r="EY190" s="22"/>
      <c r="EZ190" s="22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3" t="s">
        <v>436</v>
      </c>
      <c r="FM190" s="23" t="s">
        <v>278</v>
      </c>
      <c r="FN190" s="22"/>
      <c r="FO190" s="22"/>
      <c r="FP190" s="22"/>
      <c r="FQ190" s="22"/>
      <c r="FR190" s="22"/>
      <c r="FS190" s="22"/>
      <c r="FT190" s="22"/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/>
      <c r="GJ190" s="22"/>
      <c r="GK190" s="22"/>
      <c r="GL190" s="22"/>
      <c r="GM190" s="22"/>
      <c r="GN190" s="22"/>
      <c r="GO190" s="22"/>
      <c r="GP190" s="22"/>
      <c r="GQ190" s="22"/>
      <c r="GR190" s="22"/>
      <c r="GS190" s="22"/>
      <c r="GT190" s="22"/>
      <c r="GU190" s="22"/>
      <c r="GV190" s="22"/>
      <c r="GW190" s="22"/>
      <c r="GX190" s="22"/>
      <c r="GY190" s="22"/>
      <c r="GZ190" s="22"/>
      <c r="HA190" s="22"/>
    </row>
    <row r="191" ht="23.25" customHeight="1">
      <c r="A191" s="29">
        <v>44659.64582295139</v>
      </c>
      <c r="B191" s="30" t="s">
        <v>6</v>
      </c>
      <c r="C191" s="30" t="s">
        <v>13</v>
      </c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0" t="s">
        <v>765</v>
      </c>
      <c r="AY191" s="30" t="s">
        <v>766</v>
      </c>
      <c r="AZ191" s="30" t="s">
        <v>778</v>
      </c>
      <c r="BA191" s="30" t="s">
        <v>377</v>
      </c>
      <c r="BB191" s="30" t="s">
        <v>472</v>
      </c>
      <c r="BC191" s="32">
        <v>43818.0</v>
      </c>
      <c r="BD191" s="32">
        <v>44013.0</v>
      </c>
      <c r="BE191" s="32">
        <v>44013.0</v>
      </c>
      <c r="BF191" s="30">
        <v>85.0</v>
      </c>
      <c r="BG191" s="30" t="s">
        <v>768</v>
      </c>
      <c r="BH191" s="33" t="s">
        <v>779</v>
      </c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3" t="s">
        <v>770</v>
      </c>
      <c r="FM191" s="23" t="s">
        <v>260</v>
      </c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</row>
    <row r="192" ht="23.25" customHeight="1">
      <c r="A192" s="29">
        <v>44659.64663295139</v>
      </c>
      <c r="B192" s="30" t="s">
        <v>6</v>
      </c>
      <c r="C192" s="30" t="s">
        <v>12</v>
      </c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0" t="s">
        <v>780</v>
      </c>
      <c r="AO192" s="30" t="s">
        <v>748</v>
      </c>
      <c r="AP192" s="30" t="s">
        <v>781</v>
      </c>
      <c r="AQ192" s="30" t="s">
        <v>782</v>
      </c>
      <c r="AR192" s="32">
        <v>44112.0</v>
      </c>
      <c r="AS192" s="32">
        <v>44170.0</v>
      </c>
      <c r="AT192" s="30" t="s">
        <v>257</v>
      </c>
      <c r="AU192" s="30" t="s">
        <v>257</v>
      </c>
      <c r="AV192" s="30">
        <v>0.0</v>
      </c>
      <c r="AW192" s="33" t="s">
        <v>783</v>
      </c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/>
      <c r="EG192" s="22"/>
      <c r="EH192" s="22"/>
      <c r="EI192" s="22"/>
      <c r="EJ192" s="22"/>
      <c r="EK192" s="22"/>
      <c r="EL192" s="22"/>
      <c r="EM192" s="22"/>
      <c r="EN192" s="22"/>
      <c r="EO192" s="22"/>
      <c r="EP192" s="22"/>
      <c r="EQ192" s="22"/>
      <c r="ER192" s="22"/>
      <c r="ES192" s="22"/>
      <c r="ET192" s="22"/>
      <c r="EU192" s="22"/>
      <c r="EV192" s="22"/>
      <c r="EW192" s="22"/>
      <c r="EX192" s="22"/>
      <c r="EY192" s="22"/>
      <c r="EZ192" s="22"/>
      <c r="FA192" s="22"/>
      <c r="FB192" s="22"/>
      <c r="FC192" s="22"/>
      <c r="FD192" s="22"/>
      <c r="FE192" s="22"/>
      <c r="FF192" s="22"/>
      <c r="FG192" s="22"/>
      <c r="FH192" s="22"/>
      <c r="FI192" s="22"/>
      <c r="FJ192" s="22"/>
      <c r="FK192" s="22"/>
      <c r="FL192" s="23" t="s">
        <v>751</v>
      </c>
      <c r="FM192" s="23" t="s">
        <v>260</v>
      </c>
      <c r="FN192" s="22"/>
      <c r="FO192" s="22"/>
      <c r="FP192" s="22"/>
      <c r="FQ192" s="22"/>
      <c r="FR192" s="22"/>
      <c r="FS192" s="22"/>
      <c r="FT192" s="22"/>
      <c r="FU192" s="22"/>
      <c r="FV192" s="22"/>
      <c r="FW192" s="22"/>
      <c r="FX192" s="22"/>
      <c r="FY192" s="22"/>
      <c r="FZ192" s="22"/>
      <c r="GA192" s="22"/>
      <c r="GB192" s="22"/>
      <c r="GC192" s="22"/>
      <c r="GD192" s="22"/>
      <c r="GE192" s="22"/>
      <c r="GF192" s="22"/>
      <c r="GG192" s="22"/>
      <c r="GH192" s="22"/>
      <c r="GI192" s="22"/>
      <c r="GJ192" s="22"/>
      <c r="GK192" s="22"/>
      <c r="GL192" s="22"/>
      <c r="GM192" s="22"/>
      <c r="GN192" s="22"/>
      <c r="GO192" s="22"/>
      <c r="GP192" s="22"/>
      <c r="GQ192" s="22"/>
      <c r="GR192" s="22"/>
      <c r="GS192" s="22"/>
      <c r="GT192" s="22"/>
      <c r="GU192" s="22"/>
      <c r="GV192" s="22"/>
      <c r="GW192" s="22"/>
      <c r="GX192" s="22"/>
      <c r="GY192" s="22"/>
      <c r="GZ192" s="22"/>
      <c r="HA192" s="22"/>
    </row>
    <row r="193" ht="23.25" customHeight="1">
      <c r="A193" s="29">
        <v>44659.647095567125</v>
      </c>
      <c r="B193" s="30" t="s">
        <v>6</v>
      </c>
      <c r="C193" s="30" t="s">
        <v>13</v>
      </c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0" t="s">
        <v>765</v>
      </c>
      <c r="AY193" s="30" t="s">
        <v>766</v>
      </c>
      <c r="AZ193" s="30" t="s">
        <v>784</v>
      </c>
      <c r="BA193" s="30" t="s">
        <v>377</v>
      </c>
      <c r="BB193" s="30" t="s">
        <v>472</v>
      </c>
      <c r="BC193" s="32">
        <v>43818.0</v>
      </c>
      <c r="BD193" s="32">
        <v>44013.0</v>
      </c>
      <c r="BE193" s="32">
        <v>44013.0</v>
      </c>
      <c r="BF193" s="30">
        <v>85.0</v>
      </c>
      <c r="BG193" s="30" t="s">
        <v>768</v>
      </c>
      <c r="BH193" s="33" t="s">
        <v>785</v>
      </c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/>
      <c r="EG193" s="22"/>
      <c r="EH193" s="22"/>
      <c r="EI193" s="22"/>
      <c r="EJ193" s="22"/>
      <c r="EK193" s="22"/>
      <c r="EL193" s="22"/>
      <c r="EM193" s="22"/>
      <c r="EN193" s="22"/>
      <c r="EO193" s="22"/>
      <c r="EP193" s="22"/>
      <c r="EQ193" s="22"/>
      <c r="ER193" s="22"/>
      <c r="ES193" s="22"/>
      <c r="ET193" s="22"/>
      <c r="EU193" s="22"/>
      <c r="EV193" s="22"/>
      <c r="EW193" s="22"/>
      <c r="EX193" s="22"/>
      <c r="EY193" s="22"/>
      <c r="EZ193" s="22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3" t="s">
        <v>770</v>
      </c>
      <c r="FM193" s="23" t="s">
        <v>260</v>
      </c>
      <c r="FN193" s="22"/>
      <c r="FO193" s="22"/>
      <c r="FP193" s="22"/>
      <c r="FQ193" s="22"/>
      <c r="FR193" s="22"/>
      <c r="FS193" s="22"/>
      <c r="FT193" s="22"/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/>
      <c r="GJ193" s="22"/>
      <c r="GK193" s="22"/>
      <c r="GL193" s="22"/>
      <c r="GM193" s="22"/>
      <c r="GN193" s="22"/>
      <c r="GO193" s="22"/>
      <c r="GP193" s="22"/>
      <c r="GQ193" s="22"/>
      <c r="GR193" s="22"/>
      <c r="GS193" s="22"/>
      <c r="GT193" s="22"/>
      <c r="GU193" s="22"/>
      <c r="GV193" s="22"/>
      <c r="GW193" s="22"/>
      <c r="GX193" s="22"/>
      <c r="GY193" s="22"/>
      <c r="GZ193" s="22"/>
      <c r="HA193" s="22"/>
    </row>
    <row r="194" ht="23.25" customHeight="1">
      <c r="A194" s="29">
        <v>44659.64799194444</v>
      </c>
      <c r="B194" s="30" t="s">
        <v>6</v>
      </c>
      <c r="C194" s="30" t="s">
        <v>13</v>
      </c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0" t="s">
        <v>765</v>
      </c>
      <c r="AY194" s="30" t="s">
        <v>766</v>
      </c>
      <c r="AZ194" s="30" t="s">
        <v>786</v>
      </c>
      <c r="BA194" s="30" t="s">
        <v>377</v>
      </c>
      <c r="BB194" s="30" t="s">
        <v>472</v>
      </c>
      <c r="BC194" s="32">
        <v>43818.0</v>
      </c>
      <c r="BD194" s="32">
        <v>44013.0</v>
      </c>
      <c r="BE194" s="32">
        <v>44013.0</v>
      </c>
      <c r="BF194" s="30">
        <v>85.0</v>
      </c>
      <c r="BG194" s="30" t="s">
        <v>768</v>
      </c>
      <c r="BH194" s="33" t="s">
        <v>787</v>
      </c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/>
      <c r="EG194" s="22"/>
      <c r="EH194" s="22"/>
      <c r="EI194" s="22"/>
      <c r="EJ194" s="22"/>
      <c r="EK194" s="22"/>
      <c r="EL194" s="22"/>
      <c r="EM194" s="22"/>
      <c r="EN194" s="22"/>
      <c r="EO194" s="22"/>
      <c r="EP194" s="22"/>
      <c r="EQ194" s="22"/>
      <c r="ER194" s="22"/>
      <c r="ES194" s="22"/>
      <c r="ET194" s="22"/>
      <c r="EU194" s="22"/>
      <c r="EV194" s="22"/>
      <c r="EW194" s="22"/>
      <c r="EX194" s="22"/>
      <c r="EY194" s="22"/>
      <c r="EZ194" s="22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3" t="s">
        <v>770</v>
      </c>
      <c r="FM194" s="23" t="s">
        <v>260</v>
      </c>
      <c r="FN194" s="22"/>
      <c r="FO194" s="22"/>
      <c r="FP194" s="22"/>
      <c r="FQ194" s="22"/>
      <c r="FR194" s="22"/>
      <c r="FS194" s="22"/>
      <c r="FT194" s="22"/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/>
      <c r="GO194" s="22"/>
      <c r="GP194" s="22"/>
      <c r="GQ194" s="22"/>
      <c r="GR194" s="22"/>
      <c r="GS194" s="22"/>
      <c r="GT194" s="22"/>
      <c r="GU194" s="22"/>
      <c r="GV194" s="22"/>
      <c r="GW194" s="22"/>
      <c r="GX194" s="22"/>
      <c r="GY194" s="22"/>
      <c r="GZ194" s="22"/>
      <c r="HA194" s="22"/>
    </row>
    <row r="195" ht="23.25" customHeight="1">
      <c r="A195" s="29">
        <v>44659.64997991898</v>
      </c>
      <c r="B195" s="30" t="s">
        <v>6</v>
      </c>
      <c r="C195" s="30" t="s">
        <v>13</v>
      </c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0" t="s">
        <v>765</v>
      </c>
      <c r="AY195" s="30" t="s">
        <v>766</v>
      </c>
      <c r="AZ195" s="30" t="s">
        <v>788</v>
      </c>
      <c r="BA195" s="30" t="s">
        <v>377</v>
      </c>
      <c r="BB195" s="30" t="s">
        <v>472</v>
      </c>
      <c r="BC195" s="32">
        <v>43475.0</v>
      </c>
      <c r="BD195" s="32">
        <v>43617.0</v>
      </c>
      <c r="BE195" s="32">
        <v>43617.0</v>
      </c>
      <c r="BF195" s="30">
        <v>85.0</v>
      </c>
      <c r="BG195" s="30" t="s">
        <v>768</v>
      </c>
      <c r="BH195" s="33" t="s">
        <v>789</v>
      </c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/>
      <c r="EG195" s="22"/>
      <c r="EH195" s="22"/>
      <c r="EI195" s="22"/>
      <c r="EJ195" s="22"/>
      <c r="EK195" s="22"/>
      <c r="EL195" s="22"/>
      <c r="EM195" s="22"/>
      <c r="EN195" s="22"/>
      <c r="EO195" s="22"/>
      <c r="EP195" s="22"/>
      <c r="EQ195" s="22"/>
      <c r="ER195" s="22"/>
      <c r="ES195" s="22"/>
      <c r="ET195" s="22"/>
      <c r="EU195" s="22"/>
      <c r="EV195" s="22"/>
      <c r="EW195" s="22"/>
      <c r="EX195" s="22"/>
      <c r="EY195" s="22"/>
      <c r="EZ195" s="22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3" t="s">
        <v>770</v>
      </c>
      <c r="FM195" s="23" t="s">
        <v>260</v>
      </c>
      <c r="FN195" s="22"/>
      <c r="FO195" s="22"/>
      <c r="FP195" s="22"/>
      <c r="FQ195" s="22"/>
      <c r="FR195" s="22"/>
      <c r="FS195" s="22"/>
      <c r="FT195" s="22"/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/>
      <c r="GO195" s="22"/>
      <c r="GP195" s="22"/>
      <c r="GQ195" s="22"/>
      <c r="GR195" s="22"/>
      <c r="GS195" s="22"/>
      <c r="GT195" s="22"/>
      <c r="GU195" s="22"/>
      <c r="GV195" s="22"/>
      <c r="GW195" s="22"/>
      <c r="GX195" s="22"/>
      <c r="GY195" s="22"/>
      <c r="GZ195" s="22"/>
      <c r="HA195" s="22"/>
    </row>
    <row r="196" ht="23.25" customHeight="1">
      <c r="A196" s="29">
        <v>44659.65112699074</v>
      </c>
      <c r="B196" s="30" t="s">
        <v>6</v>
      </c>
      <c r="C196" s="30" t="s">
        <v>13</v>
      </c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0" t="s">
        <v>765</v>
      </c>
      <c r="AY196" s="30" t="s">
        <v>766</v>
      </c>
      <c r="AZ196" s="30" t="s">
        <v>790</v>
      </c>
      <c r="BA196" s="30" t="s">
        <v>377</v>
      </c>
      <c r="BB196" s="30" t="s">
        <v>472</v>
      </c>
      <c r="BC196" s="32">
        <v>43475.0</v>
      </c>
      <c r="BD196" s="32">
        <v>43617.0</v>
      </c>
      <c r="BE196" s="32">
        <v>43617.0</v>
      </c>
      <c r="BF196" s="30">
        <v>85.0</v>
      </c>
      <c r="BG196" s="30" t="s">
        <v>768</v>
      </c>
      <c r="BH196" s="33" t="s">
        <v>791</v>
      </c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/>
      <c r="EG196" s="22"/>
      <c r="EH196" s="22"/>
      <c r="EI196" s="22"/>
      <c r="EJ196" s="22"/>
      <c r="EK196" s="22"/>
      <c r="EL196" s="22"/>
      <c r="EM196" s="22"/>
      <c r="EN196" s="22"/>
      <c r="EO196" s="22"/>
      <c r="EP196" s="22"/>
      <c r="EQ196" s="22"/>
      <c r="ER196" s="22"/>
      <c r="ES196" s="22"/>
      <c r="ET196" s="22"/>
      <c r="EU196" s="22"/>
      <c r="EV196" s="22"/>
      <c r="EW196" s="22"/>
      <c r="EX196" s="22"/>
      <c r="EY196" s="22"/>
      <c r="EZ196" s="22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3" t="s">
        <v>770</v>
      </c>
      <c r="FM196" s="23" t="s">
        <v>260</v>
      </c>
      <c r="FN196" s="22"/>
      <c r="FO196" s="22"/>
      <c r="FP196" s="22"/>
      <c r="FQ196" s="22"/>
      <c r="FR196" s="22"/>
      <c r="FS196" s="22"/>
      <c r="FT196" s="22"/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/>
      <c r="GO196" s="22"/>
      <c r="GP196" s="22"/>
      <c r="GQ196" s="22"/>
      <c r="GR196" s="22"/>
      <c r="GS196" s="22"/>
      <c r="GT196" s="22"/>
      <c r="GU196" s="22"/>
      <c r="GV196" s="22"/>
      <c r="GW196" s="22"/>
      <c r="GX196" s="22"/>
      <c r="GY196" s="22"/>
      <c r="GZ196" s="22"/>
      <c r="HA196" s="22"/>
    </row>
    <row r="197" ht="23.25" customHeight="1">
      <c r="A197" s="29">
        <v>44659.65228285879</v>
      </c>
      <c r="B197" s="30" t="s">
        <v>6</v>
      </c>
      <c r="C197" s="30" t="s">
        <v>13</v>
      </c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0" t="s">
        <v>765</v>
      </c>
      <c r="AY197" s="30" t="s">
        <v>766</v>
      </c>
      <c r="AZ197" s="30" t="s">
        <v>792</v>
      </c>
      <c r="BA197" s="30" t="s">
        <v>377</v>
      </c>
      <c r="BB197" s="30" t="s">
        <v>472</v>
      </c>
      <c r="BC197" s="32">
        <v>43818.0</v>
      </c>
      <c r="BD197" s="32">
        <v>43983.0</v>
      </c>
      <c r="BE197" s="32">
        <v>43983.0</v>
      </c>
      <c r="BF197" s="30">
        <v>85.0</v>
      </c>
      <c r="BG197" s="30" t="s">
        <v>768</v>
      </c>
      <c r="BH197" s="33" t="s">
        <v>793</v>
      </c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/>
      <c r="EG197" s="22"/>
      <c r="EH197" s="22"/>
      <c r="EI197" s="22"/>
      <c r="EJ197" s="22"/>
      <c r="EK197" s="22"/>
      <c r="EL197" s="22"/>
      <c r="EM197" s="22"/>
      <c r="EN197" s="22"/>
      <c r="EO197" s="22"/>
      <c r="EP197" s="22"/>
      <c r="EQ197" s="22"/>
      <c r="ER197" s="22"/>
      <c r="ES197" s="22"/>
      <c r="ET197" s="22"/>
      <c r="EU197" s="22"/>
      <c r="EV197" s="22"/>
      <c r="EW197" s="22"/>
      <c r="EX197" s="22"/>
      <c r="EY197" s="22"/>
      <c r="EZ197" s="22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3" t="s">
        <v>770</v>
      </c>
      <c r="FM197" s="23" t="s">
        <v>260</v>
      </c>
      <c r="FN197" s="22"/>
      <c r="FO197" s="22"/>
      <c r="FP197" s="22"/>
      <c r="FQ197" s="22"/>
      <c r="FR197" s="22"/>
      <c r="FS197" s="22"/>
      <c r="FT197" s="22"/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/>
      <c r="GP197" s="22"/>
      <c r="GQ197" s="22"/>
      <c r="GR197" s="22"/>
      <c r="GS197" s="22"/>
      <c r="GT197" s="22"/>
      <c r="GU197" s="22"/>
      <c r="GV197" s="22"/>
      <c r="GW197" s="22"/>
      <c r="GX197" s="22"/>
      <c r="GY197" s="22"/>
      <c r="GZ197" s="22"/>
      <c r="HA197" s="22"/>
    </row>
    <row r="198" ht="23.25" customHeight="1">
      <c r="A198" s="29">
        <v>44659.65239686343</v>
      </c>
      <c r="B198" s="30" t="s">
        <v>6</v>
      </c>
      <c r="C198" s="30" t="s">
        <v>20</v>
      </c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3" t="s">
        <v>747</v>
      </c>
      <c r="DY198" s="23" t="s">
        <v>748</v>
      </c>
      <c r="DZ198" s="23" t="s">
        <v>159</v>
      </c>
      <c r="EA198" s="23" t="s">
        <v>794</v>
      </c>
      <c r="EB198" s="24">
        <v>44194.0</v>
      </c>
      <c r="EC198" s="23" t="s">
        <v>795</v>
      </c>
      <c r="ED198" s="25" t="s">
        <v>796</v>
      </c>
      <c r="EE198" s="22"/>
      <c r="EF198" s="22"/>
      <c r="EG198" s="22"/>
      <c r="EH198" s="22"/>
      <c r="EI198" s="22"/>
      <c r="EJ198" s="22"/>
      <c r="EK198" s="22"/>
      <c r="EL198" s="22"/>
      <c r="EM198" s="22"/>
      <c r="EN198" s="22"/>
      <c r="EO198" s="22"/>
      <c r="EP198" s="22"/>
      <c r="EQ198" s="22"/>
      <c r="ER198" s="22"/>
      <c r="ES198" s="22"/>
      <c r="ET198" s="22"/>
      <c r="EU198" s="22"/>
      <c r="EV198" s="22"/>
      <c r="EW198" s="22"/>
      <c r="EX198" s="22"/>
      <c r="EY198" s="22"/>
      <c r="EZ198" s="22"/>
      <c r="FA198" s="22"/>
      <c r="FB198" s="22"/>
      <c r="FC198" s="22"/>
      <c r="FD198" s="22"/>
      <c r="FE198" s="22"/>
      <c r="FF198" s="22"/>
      <c r="FG198" s="22"/>
      <c r="FH198" s="22"/>
      <c r="FI198" s="22"/>
      <c r="FJ198" s="22"/>
      <c r="FK198" s="22"/>
      <c r="FL198" s="23" t="s">
        <v>751</v>
      </c>
      <c r="FM198" s="23" t="s">
        <v>260</v>
      </c>
      <c r="FN198" s="22"/>
      <c r="FO198" s="22"/>
      <c r="FP198" s="22"/>
      <c r="FQ198" s="22"/>
      <c r="FR198" s="22"/>
      <c r="FS198" s="22"/>
      <c r="FT198" s="22"/>
      <c r="FU198" s="22"/>
      <c r="FV198" s="22"/>
      <c r="FW198" s="22"/>
      <c r="FX198" s="22"/>
      <c r="FY198" s="22"/>
      <c r="FZ198" s="22"/>
      <c r="GA198" s="22"/>
      <c r="GB198" s="22"/>
      <c r="GC198" s="22"/>
      <c r="GD198" s="22"/>
      <c r="GE198" s="22"/>
      <c r="GF198" s="22"/>
      <c r="GG198" s="22"/>
      <c r="GH198" s="22"/>
      <c r="GI198" s="22"/>
      <c r="GJ198" s="22"/>
      <c r="GK198" s="22"/>
      <c r="GL198" s="22"/>
      <c r="GM198" s="22"/>
      <c r="GN198" s="22"/>
      <c r="GO198" s="22"/>
      <c r="GP198" s="22"/>
      <c r="GQ198" s="22"/>
      <c r="GR198" s="22"/>
      <c r="GS198" s="22"/>
      <c r="GT198" s="22"/>
      <c r="GU198" s="22"/>
      <c r="GV198" s="22"/>
      <c r="GW198" s="22"/>
      <c r="GX198" s="22"/>
      <c r="GY198" s="22"/>
      <c r="GZ198" s="22"/>
      <c r="HA198" s="22"/>
    </row>
    <row r="199" ht="23.25" customHeight="1">
      <c r="A199" s="29">
        <v>44659.65344375</v>
      </c>
      <c r="B199" s="30" t="s">
        <v>6</v>
      </c>
      <c r="C199" s="30" t="s">
        <v>12</v>
      </c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0" t="s">
        <v>487</v>
      </c>
      <c r="AO199" s="30" t="s">
        <v>488</v>
      </c>
      <c r="AP199" s="30" t="s">
        <v>597</v>
      </c>
      <c r="AQ199" s="30" t="s">
        <v>797</v>
      </c>
      <c r="AR199" s="32">
        <v>44470.0</v>
      </c>
      <c r="AS199" s="32">
        <v>44560.0</v>
      </c>
      <c r="AT199" s="30" t="s">
        <v>257</v>
      </c>
      <c r="AU199" s="30" t="s">
        <v>257</v>
      </c>
      <c r="AV199" s="30">
        <v>0.0</v>
      </c>
      <c r="AW199" s="33" t="s">
        <v>798</v>
      </c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/>
      <c r="EG199" s="22"/>
      <c r="EH199" s="22"/>
      <c r="EI199" s="22"/>
      <c r="EJ199" s="22"/>
      <c r="EK199" s="22"/>
      <c r="EL199" s="22"/>
      <c r="EM199" s="22"/>
      <c r="EN199" s="22"/>
      <c r="EO199" s="22"/>
      <c r="EP199" s="22"/>
      <c r="EQ199" s="22"/>
      <c r="ER199" s="22"/>
      <c r="ES199" s="22"/>
      <c r="ET199" s="22"/>
      <c r="EU199" s="22"/>
      <c r="EV199" s="22"/>
      <c r="EW199" s="22"/>
      <c r="EX199" s="22"/>
      <c r="EY199" s="22"/>
      <c r="EZ199" s="22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3" t="s">
        <v>799</v>
      </c>
      <c r="FM199" s="23" t="s">
        <v>278</v>
      </c>
      <c r="FN199" s="22"/>
      <c r="FO199" s="22"/>
      <c r="FP199" s="22"/>
      <c r="FQ199" s="22"/>
      <c r="FR199" s="22"/>
      <c r="FS199" s="22"/>
      <c r="FT199" s="22"/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/>
      <c r="GO199" s="22"/>
      <c r="GP199" s="22"/>
      <c r="GQ199" s="22"/>
      <c r="GR199" s="22"/>
      <c r="GS199" s="22"/>
      <c r="GT199" s="22"/>
      <c r="GU199" s="22"/>
      <c r="GV199" s="22"/>
      <c r="GW199" s="22"/>
      <c r="GX199" s="22"/>
      <c r="GY199" s="22"/>
      <c r="GZ199" s="22"/>
      <c r="HA199" s="22"/>
    </row>
    <row r="200" ht="23.25" customHeight="1">
      <c r="A200" s="29">
        <v>44659.65358100695</v>
      </c>
      <c r="B200" s="30" t="s">
        <v>6</v>
      </c>
      <c r="C200" s="30" t="s">
        <v>13</v>
      </c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0" t="s">
        <v>800</v>
      </c>
      <c r="AY200" s="30" t="s">
        <v>766</v>
      </c>
      <c r="AZ200" s="30" t="s">
        <v>801</v>
      </c>
      <c r="BA200" s="30" t="s">
        <v>377</v>
      </c>
      <c r="BB200" s="30" t="s">
        <v>472</v>
      </c>
      <c r="BC200" s="32">
        <v>43818.0</v>
      </c>
      <c r="BD200" s="32">
        <v>43983.0</v>
      </c>
      <c r="BE200" s="32">
        <v>43983.0</v>
      </c>
      <c r="BF200" s="30">
        <v>85.0</v>
      </c>
      <c r="BG200" s="30" t="s">
        <v>768</v>
      </c>
      <c r="BH200" s="33" t="s">
        <v>802</v>
      </c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/>
      <c r="EG200" s="22"/>
      <c r="EH200" s="22"/>
      <c r="EI200" s="22"/>
      <c r="EJ200" s="22"/>
      <c r="EK200" s="22"/>
      <c r="EL200" s="22"/>
      <c r="EM200" s="22"/>
      <c r="EN200" s="22"/>
      <c r="EO200" s="22"/>
      <c r="EP200" s="22"/>
      <c r="EQ200" s="22"/>
      <c r="ER200" s="22"/>
      <c r="ES200" s="22"/>
      <c r="ET200" s="22"/>
      <c r="EU200" s="22"/>
      <c r="EV200" s="22"/>
      <c r="EW200" s="22"/>
      <c r="EX200" s="22"/>
      <c r="EY200" s="22"/>
      <c r="EZ200" s="22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3" t="s">
        <v>770</v>
      </c>
      <c r="FM200" s="23" t="s">
        <v>260</v>
      </c>
      <c r="FN200" s="22"/>
      <c r="FO200" s="22"/>
      <c r="FP200" s="22"/>
      <c r="FQ200" s="22"/>
      <c r="FR200" s="22"/>
      <c r="FS200" s="22"/>
      <c r="FT200" s="22"/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/>
      <c r="GP200" s="22"/>
      <c r="GQ200" s="22"/>
      <c r="GR200" s="22"/>
      <c r="GS200" s="22"/>
      <c r="GT200" s="22"/>
      <c r="GU200" s="22"/>
      <c r="GV200" s="22"/>
      <c r="GW200" s="22"/>
      <c r="GX200" s="22"/>
      <c r="GY200" s="22"/>
      <c r="GZ200" s="22"/>
      <c r="HA200" s="22"/>
    </row>
    <row r="201" ht="23.25" customHeight="1">
      <c r="A201" s="29">
        <v>44659.654571747684</v>
      </c>
      <c r="B201" s="30" t="s">
        <v>6</v>
      </c>
      <c r="C201" s="30" t="s">
        <v>13</v>
      </c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0" t="s">
        <v>765</v>
      </c>
      <c r="AY201" s="30" t="s">
        <v>766</v>
      </c>
      <c r="AZ201" s="30" t="s">
        <v>803</v>
      </c>
      <c r="BA201" s="30" t="s">
        <v>377</v>
      </c>
      <c r="BB201" s="30" t="s">
        <v>472</v>
      </c>
      <c r="BC201" s="32">
        <v>43818.0</v>
      </c>
      <c r="BD201" s="32">
        <v>43983.0</v>
      </c>
      <c r="BE201" s="32">
        <v>43983.0</v>
      </c>
      <c r="BF201" s="30">
        <v>85.0</v>
      </c>
      <c r="BG201" s="30" t="s">
        <v>768</v>
      </c>
      <c r="BH201" s="33" t="s">
        <v>804</v>
      </c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/>
      <c r="EG201" s="22"/>
      <c r="EH201" s="22"/>
      <c r="EI201" s="22"/>
      <c r="EJ201" s="22"/>
      <c r="EK201" s="22"/>
      <c r="EL201" s="22"/>
      <c r="EM201" s="22"/>
      <c r="EN201" s="22"/>
      <c r="EO201" s="22"/>
      <c r="EP201" s="22"/>
      <c r="EQ201" s="22"/>
      <c r="ER201" s="22"/>
      <c r="ES201" s="22"/>
      <c r="ET201" s="22"/>
      <c r="EU201" s="22"/>
      <c r="EV201" s="22"/>
      <c r="EW201" s="22"/>
      <c r="EX201" s="22"/>
      <c r="EY201" s="22"/>
      <c r="EZ201" s="22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3" t="s">
        <v>770</v>
      </c>
      <c r="FM201" s="23" t="s">
        <v>260</v>
      </c>
      <c r="FN201" s="22"/>
      <c r="FO201" s="22"/>
      <c r="FP201" s="22"/>
      <c r="FQ201" s="22"/>
      <c r="FR201" s="22"/>
      <c r="FS201" s="22"/>
      <c r="FT201" s="22"/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/>
      <c r="GP201" s="22"/>
      <c r="GQ201" s="22"/>
      <c r="GR201" s="22"/>
      <c r="GS201" s="22"/>
      <c r="GT201" s="22"/>
      <c r="GU201" s="22"/>
      <c r="GV201" s="22"/>
      <c r="GW201" s="22"/>
      <c r="GX201" s="22"/>
      <c r="GY201" s="22"/>
      <c r="GZ201" s="22"/>
      <c r="HA201" s="22"/>
    </row>
    <row r="202" ht="23.25" customHeight="1">
      <c r="A202" s="29">
        <v>44659.65841609954</v>
      </c>
      <c r="B202" s="30" t="s">
        <v>6</v>
      </c>
      <c r="C202" s="30" t="s">
        <v>26</v>
      </c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/>
      <c r="EG202" s="22"/>
      <c r="EH202" s="22"/>
      <c r="EI202" s="22"/>
      <c r="EJ202" s="22"/>
      <c r="EK202" s="22"/>
      <c r="EL202" s="22"/>
      <c r="EM202" s="22"/>
      <c r="EN202" s="22"/>
      <c r="EO202" s="22"/>
      <c r="EP202" s="22"/>
      <c r="EQ202" s="22"/>
      <c r="ER202" s="22"/>
      <c r="ES202" s="22"/>
      <c r="ET202" s="22"/>
      <c r="EU202" s="22"/>
      <c r="EV202" s="22"/>
      <c r="EW202" s="22"/>
      <c r="EX202" s="22"/>
      <c r="EY202" s="22"/>
      <c r="EZ202" s="22"/>
      <c r="FA202" s="22"/>
      <c r="FB202" s="22"/>
      <c r="FC202" s="22"/>
      <c r="FD202" s="22"/>
      <c r="FE202" s="22"/>
      <c r="FF202" s="22"/>
      <c r="FG202" s="22"/>
      <c r="FH202" s="22"/>
      <c r="FI202" s="22"/>
      <c r="FJ202" s="22"/>
      <c r="FK202" s="22"/>
      <c r="FL202" s="23" t="s">
        <v>770</v>
      </c>
      <c r="FM202" s="23" t="s">
        <v>260</v>
      </c>
      <c r="FN202" s="22"/>
      <c r="FO202" s="22"/>
      <c r="FP202" s="22"/>
      <c r="FQ202" s="22"/>
      <c r="FR202" s="22"/>
      <c r="FS202" s="22"/>
      <c r="FT202" s="22"/>
      <c r="FU202" s="22"/>
      <c r="FV202" s="22"/>
      <c r="FW202" s="22"/>
      <c r="FX202" s="22"/>
      <c r="FY202" s="22"/>
      <c r="FZ202" s="23" t="s">
        <v>765</v>
      </c>
      <c r="GA202" s="23" t="s">
        <v>766</v>
      </c>
      <c r="GB202" s="23" t="s">
        <v>805</v>
      </c>
      <c r="GC202" s="24">
        <v>43881.0</v>
      </c>
      <c r="GD202" s="25" t="s">
        <v>806</v>
      </c>
      <c r="GE202" s="24">
        <v>43883.0</v>
      </c>
      <c r="GF202" s="22"/>
      <c r="GG202" s="22"/>
      <c r="GH202" s="22"/>
      <c r="GI202" s="22"/>
      <c r="GJ202" s="22"/>
      <c r="GK202" s="22"/>
      <c r="GL202" s="22"/>
      <c r="GM202" s="22"/>
      <c r="GN202" s="22"/>
      <c r="GO202" s="22"/>
      <c r="GP202" s="22"/>
      <c r="GQ202" s="22"/>
      <c r="GR202" s="22"/>
      <c r="GS202" s="22"/>
      <c r="GT202" s="22"/>
      <c r="GU202" s="22"/>
      <c r="GV202" s="22"/>
      <c r="GW202" s="22"/>
      <c r="GX202" s="22"/>
      <c r="GY202" s="22"/>
      <c r="GZ202" s="22"/>
      <c r="HA202" s="22"/>
    </row>
    <row r="203" ht="23.25" customHeight="1">
      <c r="A203" s="29">
        <v>44659.65913726852</v>
      </c>
      <c r="B203" s="30" t="s">
        <v>6</v>
      </c>
      <c r="C203" s="30" t="s">
        <v>12</v>
      </c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0" t="s">
        <v>807</v>
      </c>
      <c r="AO203" s="30" t="s">
        <v>808</v>
      </c>
      <c r="AP203" s="30" t="s">
        <v>809</v>
      </c>
      <c r="AQ203" s="30" t="s">
        <v>810</v>
      </c>
      <c r="AR203" s="32">
        <v>44470.0</v>
      </c>
      <c r="AS203" s="32">
        <v>44531.0</v>
      </c>
      <c r="AT203" s="30" t="s">
        <v>257</v>
      </c>
      <c r="AU203" s="30" t="s">
        <v>257</v>
      </c>
      <c r="AV203" s="30">
        <v>0.0</v>
      </c>
      <c r="AW203" s="33" t="s">
        <v>811</v>
      </c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/>
      <c r="EG203" s="22"/>
      <c r="EH203" s="22"/>
      <c r="EI203" s="22"/>
      <c r="EJ203" s="22"/>
      <c r="EK203" s="22"/>
      <c r="EL203" s="22"/>
      <c r="EM203" s="22"/>
      <c r="EN203" s="22"/>
      <c r="EO203" s="22"/>
      <c r="EP203" s="22"/>
      <c r="EQ203" s="22"/>
      <c r="ER203" s="22"/>
      <c r="ES203" s="22"/>
      <c r="ET203" s="22"/>
      <c r="EU203" s="22"/>
      <c r="EV203" s="22"/>
      <c r="EW203" s="22"/>
      <c r="EX203" s="22"/>
      <c r="EY203" s="22"/>
      <c r="EZ203" s="22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3" t="s">
        <v>812</v>
      </c>
      <c r="FM203" s="23" t="s">
        <v>260</v>
      </c>
      <c r="FN203" s="22"/>
      <c r="FO203" s="22"/>
      <c r="FP203" s="22"/>
      <c r="FQ203" s="22"/>
      <c r="FR203" s="22"/>
      <c r="FS203" s="22"/>
      <c r="FT203" s="22"/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/>
      <c r="GO203" s="22"/>
      <c r="GP203" s="22"/>
      <c r="GQ203" s="22"/>
      <c r="GR203" s="22"/>
      <c r="GS203" s="22"/>
      <c r="GT203" s="22"/>
      <c r="GU203" s="22"/>
      <c r="GV203" s="22"/>
      <c r="GW203" s="22"/>
      <c r="GX203" s="22"/>
      <c r="GY203" s="22"/>
      <c r="GZ203" s="22"/>
      <c r="HA203" s="22"/>
    </row>
    <row r="204" ht="23.25" customHeight="1">
      <c r="A204" s="29">
        <v>44659.66167315972</v>
      </c>
      <c r="B204" s="30" t="s">
        <v>6</v>
      </c>
      <c r="C204" s="30" t="s">
        <v>14</v>
      </c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0" t="s">
        <v>765</v>
      </c>
      <c r="BJ204" s="30" t="s">
        <v>766</v>
      </c>
      <c r="BK204" s="30" t="s">
        <v>150</v>
      </c>
      <c r="BL204" s="30" t="s">
        <v>151</v>
      </c>
      <c r="BM204" s="30" t="s">
        <v>813</v>
      </c>
      <c r="BN204" s="30">
        <v>2.0</v>
      </c>
      <c r="BO204" s="32">
        <v>43505.0</v>
      </c>
      <c r="BP204" s="32">
        <v>43506.0</v>
      </c>
      <c r="BQ204" s="30" t="s">
        <v>814</v>
      </c>
      <c r="BR204" s="30" t="s">
        <v>815</v>
      </c>
      <c r="BS204" s="30" t="s">
        <v>276</v>
      </c>
      <c r="BT204" s="30" t="s">
        <v>632</v>
      </c>
      <c r="BU204" s="31"/>
      <c r="BV204" s="33" t="s">
        <v>816</v>
      </c>
      <c r="BW204" s="31"/>
      <c r="BX204" s="31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3" t="s">
        <v>770</v>
      </c>
      <c r="FM204" s="23" t="s">
        <v>260</v>
      </c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</row>
    <row r="205" ht="23.25" customHeight="1">
      <c r="A205" s="29">
        <v>44659.66205885417</v>
      </c>
      <c r="B205" s="30" t="s">
        <v>6</v>
      </c>
      <c r="C205" s="30" t="s">
        <v>14</v>
      </c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0" t="s">
        <v>817</v>
      </c>
      <c r="BJ205" s="30" t="s">
        <v>818</v>
      </c>
      <c r="BK205" s="30" t="s">
        <v>313</v>
      </c>
      <c r="BL205" s="30" t="s">
        <v>735</v>
      </c>
      <c r="BM205" s="30" t="s">
        <v>201</v>
      </c>
      <c r="BN205" s="30">
        <v>1.0</v>
      </c>
      <c r="BO205" s="32">
        <v>44567.0</v>
      </c>
      <c r="BP205" s="32">
        <v>44567.0</v>
      </c>
      <c r="BQ205" s="30" t="s">
        <v>819</v>
      </c>
      <c r="BR205" s="30" t="s">
        <v>281</v>
      </c>
      <c r="BS205" s="30" t="s">
        <v>176</v>
      </c>
      <c r="BT205" s="30" t="s">
        <v>156</v>
      </c>
      <c r="BU205" s="31"/>
      <c r="BV205" s="33" t="s">
        <v>820</v>
      </c>
      <c r="BW205" s="31"/>
      <c r="BX205" s="31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/>
      <c r="EG205" s="22"/>
      <c r="EH205" s="22"/>
      <c r="EI205" s="22"/>
      <c r="EJ205" s="22"/>
      <c r="EK205" s="22"/>
      <c r="EL205" s="22"/>
      <c r="EM205" s="22"/>
      <c r="EN205" s="22"/>
      <c r="EO205" s="22"/>
      <c r="EP205" s="22"/>
      <c r="EQ205" s="22"/>
      <c r="ER205" s="22"/>
      <c r="ES205" s="22"/>
      <c r="ET205" s="22"/>
      <c r="EU205" s="22"/>
      <c r="EV205" s="22"/>
      <c r="EW205" s="22"/>
      <c r="EX205" s="22"/>
      <c r="EY205" s="22"/>
      <c r="EZ205" s="22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3" t="s">
        <v>821</v>
      </c>
      <c r="FM205" s="23" t="s">
        <v>278</v>
      </c>
      <c r="FN205" s="22"/>
      <c r="FO205" s="22"/>
      <c r="FP205" s="22"/>
      <c r="FQ205" s="22"/>
      <c r="FR205" s="22"/>
      <c r="FS205" s="22"/>
      <c r="FT205" s="22"/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/>
      <c r="GP205" s="22"/>
      <c r="GQ205" s="22"/>
      <c r="GR205" s="22"/>
      <c r="GS205" s="22"/>
      <c r="GT205" s="22"/>
      <c r="GU205" s="22"/>
      <c r="GV205" s="22"/>
      <c r="GW205" s="22"/>
      <c r="GX205" s="22"/>
      <c r="GY205" s="22"/>
      <c r="GZ205" s="22"/>
      <c r="HA205" s="22"/>
    </row>
    <row r="206" ht="23.25" customHeight="1">
      <c r="A206" s="29">
        <v>44659.663770115745</v>
      </c>
      <c r="B206" s="30" t="s">
        <v>6</v>
      </c>
      <c r="C206" s="30" t="s">
        <v>14</v>
      </c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0" t="s">
        <v>765</v>
      </c>
      <c r="BJ206" s="30" t="s">
        <v>766</v>
      </c>
      <c r="BK206" s="30" t="s">
        <v>150</v>
      </c>
      <c r="BL206" s="30" t="s">
        <v>151</v>
      </c>
      <c r="BM206" s="30" t="s">
        <v>822</v>
      </c>
      <c r="BN206" s="30">
        <v>15.0</v>
      </c>
      <c r="BO206" s="32">
        <v>43598.0</v>
      </c>
      <c r="BP206" s="32">
        <v>43612.0</v>
      </c>
      <c r="BQ206" s="30" t="s">
        <v>823</v>
      </c>
      <c r="BR206" s="30" t="s">
        <v>824</v>
      </c>
      <c r="BS206" s="30" t="s">
        <v>276</v>
      </c>
      <c r="BT206" s="30" t="s">
        <v>632</v>
      </c>
      <c r="BU206" s="31"/>
      <c r="BV206" s="33" t="s">
        <v>825</v>
      </c>
      <c r="BW206" s="31"/>
      <c r="BX206" s="31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3" t="s">
        <v>770</v>
      </c>
      <c r="FM206" s="23" t="s">
        <v>260</v>
      </c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22"/>
      <c r="GZ206" s="22"/>
      <c r="HA206" s="22"/>
    </row>
    <row r="207" ht="23.25" customHeight="1">
      <c r="A207" s="29">
        <v>44659.667424363426</v>
      </c>
      <c r="B207" s="30" t="s">
        <v>6</v>
      </c>
      <c r="C207" s="30" t="s">
        <v>14</v>
      </c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0" t="s">
        <v>765</v>
      </c>
      <c r="BJ207" s="30" t="s">
        <v>826</v>
      </c>
      <c r="BK207" s="30" t="s">
        <v>159</v>
      </c>
      <c r="BL207" s="30" t="s">
        <v>735</v>
      </c>
      <c r="BM207" s="30" t="s">
        <v>827</v>
      </c>
      <c r="BN207" s="30">
        <v>2.0</v>
      </c>
      <c r="BO207" s="32">
        <v>43817.0</v>
      </c>
      <c r="BP207" s="32">
        <v>43819.0</v>
      </c>
      <c r="BQ207" s="30" t="s">
        <v>828</v>
      </c>
      <c r="BR207" s="30" t="s">
        <v>829</v>
      </c>
      <c r="BS207" s="30" t="s">
        <v>276</v>
      </c>
      <c r="BT207" s="30" t="s">
        <v>156</v>
      </c>
      <c r="BU207" s="31"/>
      <c r="BV207" s="33" t="s">
        <v>830</v>
      </c>
      <c r="BW207" s="31"/>
      <c r="BX207" s="31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/>
      <c r="EG207" s="22"/>
      <c r="EH207" s="22"/>
      <c r="EI207" s="22"/>
      <c r="EJ207" s="22"/>
      <c r="EK207" s="22"/>
      <c r="EL207" s="22"/>
      <c r="EM207" s="22"/>
      <c r="EN207" s="22"/>
      <c r="EO207" s="22"/>
      <c r="EP207" s="22"/>
      <c r="EQ207" s="22"/>
      <c r="ER207" s="22"/>
      <c r="ES207" s="22"/>
      <c r="ET207" s="22"/>
      <c r="EU207" s="22"/>
      <c r="EV207" s="22"/>
      <c r="EW207" s="22"/>
      <c r="EX207" s="22"/>
      <c r="EY207" s="22"/>
      <c r="EZ207" s="22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3" t="s">
        <v>770</v>
      </c>
      <c r="FM207" s="23" t="s">
        <v>260</v>
      </c>
      <c r="FN207" s="22"/>
      <c r="FO207" s="22"/>
      <c r="FP207" s="22"/>
      <c r="FQ207" s="22"/>
      <c r="FR207" s="22"/>
      <c r="FS207" s="22"/>
      <c r="FT207" s="22"/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/>
      <c r="GO207" s="22"/>
      <c r="GP207" s="22"/>
      <c r="GQ207" s="22"/>
      <c r="GR207" s="22"/>
      <c r="GS207" s="22"/>
      <c r="GT207" s="22"/>
      <c r="GU207" s="22"/>
      <c r="GV207" s="22"/>
      <c r="GW207" s="22"/>
      <c r="GX207" s="22"/>
      <c r="GY207" s="22"/>
      <c r="GZ207" s="22"/>
      <c r="HA207" s="22"/>
    </row>
    <row r="208" ht="23.25" customHeight="1">
      <c r="A208" s="29">
        <v>44659.669027372685</v>
      </c>
      <c r="B208" s="30" t="s">
        <v>6</v>
      </c>
      <c r="C208" s="30" t="s">
        <v>13</v>
      </c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0" t="s">
        <v>817</v>
      </c>
      <c r="AY208" s="30" t="s">
        <v>818</v>
      </c>
      <c r="AZ208" s="30" t="s">
        <v>831</v>
      </c>
      <c r="BA208" s="30" t="s">
        <v>345</v>
      </c>
      <c r="BB208" s="30" t="s">
        <v>310</v>
      </c>
      <c r="BC208" s="32">
        <v>43908.0</v>
      </c>
      <c r="BD208" s="32">
        <v>43969.0</v>
      </c>
      <c r="BE208" s="32">
        <v>43969.0</v>
      </c>
      <c r="BF208" s="30">
        <v>100.0</v>
      </c>
      <c r="BG208" s="30" t="s">
        <v>397</v>
      </c>
      <c r="BH208" s="33" t="s">
        <v>832</v>
      </c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/>
      <c r="EG208" s="22"/>
      <c r="EH208" s="22"/>
      <c r="EI208" s="22"/>
      <c r="EJ208" s="22"/>
      <c r="EK208" s="22"/>
      <c r="EL208" s="22"/>
      <c r="EM208" s="22"/>
      <c r="EN208" s="22"/>
      <c r="EO208" s="22"/>
      <c r="EP208" s="22"/>
      <c r="EQ208" s="22"/>
      <c r="ER208" s="22"/>
      <c r="ES208" s="22"/>
      <c r="ET208" s="22"/>
      <c r="EU208" s="22"/>
      <c r="EV208" s="22"/>
      <c r="EW208" s="22"/>
      <c r="EX208" s="22"/>
      <c r="EY208" s="22"/>
      <c r="EZ208" s="22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3" t="s">
        <v>821</v>
      </c>
      <c r="FM208" s="23" t="s">
        <v>323</v>
      </c>
      <c r="FN208" s="22"/>
      <c r="FO208" s="22"/>
      <c r="FP208" s="22"/>
      <c r="FQ208" s="22"/>
      <c r="FR208" s="22"/>
      <c r="FS208" s="22"/>
      <c r="FT208" s="22"/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/>
      <c r="GP208" s="22"/>
      <c r="GQ208" s="22"/>
      <c r="GR208" s="22"/>
      <c r="GS208" s="22"/>
      <c r="GT208" s="22"/>
      <c r="GU208" s="22"/>
      <c r="GV208" s="22"/>
      <c r="GW208" s="22"/>
      <c r="GX208" s="22"/>
      <c r="GY208" s="22"/>
      <c r="GZ208" s="22"/>
      <c r="HA208" s="22"/>
    </row>
    <row r="209" ht="23.25" customHeight="1">
      <c r="A209" s="29">
        <v>44659.66988424768</v>
      </c>
      <c r="B209" s="30" t="s">
        <v>6</v>
      </c>
      <c r="C209" s="30" t="s">
        <v>12</v>
      </c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0" t="s">
        <v>833</v>
      </c>
      <c r="AO209" s="30" t="s">
        <v>834</v>
      </c>
      <c r="AP209" s="30" t="s">
        <v>835</v>
      </c>
      <c r="AQ209" s="30" t="s">
        <v>310</v>
      </c>
      <c r="AR209" s="32">
        <v>44470.0</v>
      </c>
      <c r="AS209" s="32">
        <v>44561.0</v>
      </c>
      <c r="AT209" s="30" t="s">
        <v>257</v>
      </c>
      <c r="AU209" s="30" t="s">
        <v>257</v>
      </c>
      <c r="AV209" s="30">
        <v>0.0</v>
      </c>
      <c r="AW209" s="33" t="s">
        <v>836</v>
      </c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/>
      <c r="EG209" s="22"/>
      <c r="EH209" s="22"/>
      <c r="EI209" s="22"/>
      <c r="EJ209" s="22"/>
      <c r="EK209" s="22"/>
      <c r="EL209" s="22"/>
      <c r="EM209" s="22"/>
      <c r="EN209" s="22"/>
      <c r="EO209" s="22"/>
      <c r="EP209" s="22"/>
      <c r="EQ209" s="22"/>
      <c r="ER209" s="22"/>
      <c r="ES209" s="22"/>
      <c r="ET209" s="22"/>
      <c r="EU209" s="22"/>
      <c r="EV209" s="22"/>
      <c r="EW209" s="22"/>
      <c r="EX209" s="22"/>
      <c r="EY209" s="22"/>
      <c r="EZ209" s="22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3" t="s">
        <v>837</v>
      </c>
      <c r="FM209" s="23" t="s">
        <v>260</v>
      </c>
      <c r="FN209" s="22"/>
      <c r="FO209" s="22"/>
      <c r="FP209" s="22"/>
      <c r="FQ209" s="22"/>
      <c r="FR209" s="22"/>
      <c r="FS209" s="22"/>
      <c r="FT209" s="22"/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/>
      <c r="GP209" s="22"/>
      <c r="GQ209" s="22"/>
      <c r="GR209" s="22"/>
      <c r="GS209" s="22"/>
      <c r="GT209" s="22"/>
      <c r="GU209" s="22"/>
      <c r="GV209" s="22"/>
      <c r="GW209" s="22"/>
      <c r="GX209" s="22"/>
      <c r="GY209" s="22"/>
      <c r="GZ209" s="22"/>
      <c r="HA209" s="22"/>
    </row>
    <row r="210" ht="23.25" customHeight="1">
      <c r="A210" s="29">
        <v>44659.67245997685</v>
      </c>
      <c r="B210" s="30" t="s">
        <v>6</v>
      </c>
      <c r="C210" s="30" t="s">
        <v>13</v>
      </c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0" t="s">
        <v>817</v>
      </c>
      <c r="AY210" s="30" t="s">
        <v>818</v>
      </c>
      <c r="AZ210" s="30" t="s">
        <v>838</v>
      </c>
      <c r="BA210" s="30" t="s">
        <v>345</v>
      </c>
      <c r="BB210" s="30" t="s">
        <v>310</v>
      </c>
      <c r="BC210" s="32">
        <v>43881.0</v>
      </c>
      <c r="BD210" s="32">
        <v>43941.0</v>
      </c>
      <c r="BE210" s="32">
        <v>43941.0</v>
      </c>
      <c r="BF210" s="30">
        <v>100.0</v>
      </c>
      <c r="BG210" s="30" t="s">
        <v>839</v>
      </c>
      <c r="BH210" s="33" t="s">
        <v>840</v>
      </c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/>
      <c r="EG210" s="22"/>
      <c r="EH210" s="22"/>
      <c r="EI210" s="22"/>
      <c r="EJ210" s="22"/>
      <c r="EK210" s="22"/>
      <c r="EL210" s="22"/>
      <c r="EM210" s="22"/>
      <c r="EN210" s="22"/>
      <c r="EO210" s="22"/>
      <c r="EP210" s="22"/>
      <c r="EQ210" s="22"/>
      <c r="ER210" s="22"/>
      <c r="ES210" s="22"/>
      <c r="ET210" s="22"/>
      <c r="EU210" s="22"/>
      <c r="EV210" s="22"/>
      <c r="EW210" s="22"/>
      <c r="EX210" s="22"/>
      <c r="EY210" s="22"/>
      <c r="EZ210" s="22"/>
      <c r="FA210" s="22"/>
      <c r="FB210" s="22"/>
      <c r="FC210" s="22"/>
      <c r="FD210" s="22"/>
      <c r="FE210" s="22"/>
      <c r="FF210" s="22"/>
      <c r="FG210" s="22"/>
      <c r="FH210" s="22"/>
      <c r="FI210" s="22"/>
      <c r="FJ210" s="22"/>
      <c r="FK210" s="22"/>
      <c r="FL210" s="23" t="s">
        <v>821</v>
      </c>
      <c r="FM210" s="23" t="s">
        <v>323</v>
      </c>
      <c r="FN210" s="22"/>
      <c r="FO210" s="22"/>
      <c r="FP210" s="22"/>
      <c r="FQ210" s="22"/>
      <c r="FR210" s="22"/>
      <c r="FS210" s="22"/>
      <c r="FT210" s="22"/>
      <c r="FU210" s="22"/>
      <c r="FV210" s="22"/>
      <c r="FW210" s="22"/>
      <c r="FX210" s="22"/>
      <c r="FY210" s="22"/>
      <c r="FZ210" s="22"/>
      <c r="GA210" s="22"/>
      <c r="GB210" s="22"/>
      <c r="GC210" s="22"/>
      <c r="GD210" s="22"/>
      <c r="GE210" s="22"/>
      <c r="GF210" s="22"/>
      <c r="GG210" s="22"/>
      <c r="GH210" s="22"/>
      <c r="GI210" s="22"/>
      <c r="GJ210" s="22"/>
      <c r="GK210" s="22"/>
      <c r="GL210" s="22"/>
      <c r="GM210" s="22"/>
      <c r="GN210" s="22"/>
      <c r="GO210" s="22"/>
      <c r="GP210" s="22"/>
      <c r="GQ210" s="22"/>
      <c r="GR210" s="22"/>
      <c r="GS210" s="22"/>
      <c r="GT210" s="22"/>
      <c r="GU210" s="22"/>
      <c r="GV210" s="22"/>
      <c r="GW210" s="22"/>
      <c r="GX210" s="22"/>
      <c r="GY210" s="22"/>
      <c r="GZ210" s="22"/>
      <c r="HA210" s="22"/>
    </row>
    <row r="211" ht="23.25" customHeight="1">
      <c r="A211" s="29">
        <v>44659.67449576389</v>
      </c>
      <c r="B211" s="30" t="s">
        <v>6</v>
      </c>
      <c r="C211" s="30" t="s">
        <v>13</v>
      </c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0" t="s">
        <v>833</v>
      </c>
      <c r="AY211" s="30" t="s">
        <v>834</v>
      </c>
      <c r="AZ211" s="30" t="s">
        <v>841</v>
      </c>
      <c r="BA211" s="30" t="s">
        <v>377</v>
      </c>
      <c r="BB211" s="30" t="s">
        <v>310</v>
      </c>
      <c r="BC211" s="32">
        <v>43586.0</v>
      </c>
      <c r="BD211" s="32">
        <v>43646.0</v>
      </c>
      <c r="BE211" s="32">
        <v>43652.0</v>
      </c>
      <c r="BF211" s="30">
        <v>100.0</v>
      </c>
      <c r="BG211" s="30" t="s">
        <v>842</v>
      </c>
      <c r="BH211" s="33" t="s">
        <v>843</v>
      </c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/>
      <c r="EG211" s="22"/>
      <c r="EH211" s="22"/>
      <c r="EI211" s="22"/>
      <c r="EJ211" s="22"/>
      <c r="EK211" s="22"/>
      <c r="EL211" s="22"/>
      <c r="EM211" s="22"/>
      <c r="EN211" s="22"/>
      <c r="EO211" s="22"/>
      <c r="EP211" s="22"/>
      <c r="EQ211" s="22"/>
      <c r="ER211" s="22"/>
      <c r="ES211" s="22"/>
      <c r="ET211" s="22"/>
      <c r="EU211" s="22"/>
      <c r="EV211" s="22"/>
      <c r="EW211" s="22"/>
      <c r="EX211" s="22"/>
      <c r="EY211" s="22"/>
      <c r="EZ211" s="22"/>
      <c r="FA211" s="22"/>
      <c r="FB211" s="22"/>
      <c r="FC211" s="22"/>
      <c r="FD211" s="22"/>
      <c r="FE211" s="22"/>
      <c r="FF211" s="22"/>
      <c r="FG211" s="22"/>
      <c r="FH211" s="22"/>
      <c r="FI211" s="22"/>
      <c r="FJ211" s="22"/>
      <c r="FK211" s="22"/>
      <c r="FL211" s="23" t="s">
        <v>837</v>
      </c>
      <c r="FM211" s="23" t="s">
        <v>260</v>
      </c>
      <c r="FN211" s="22"/>
      <c r="FO211" s="22"/>
      <c r="FP211" s="22"/>
      <c r="FQ211" s="22"/>
      <c r="FR211" s="22"/>
      <c r="FS211" s="22"/>
      <c r="FT211" s="22"/>
      <c r="FU211" s="22"/>
      <c r="FV211" s="22"/>
      <c r="FW211" s="22"/>
      <c r="FX211" s="22"/>
      <c r="FY211" s="22"/>
      <c r="FZ211" s="22"/>
      <c r="GA211" s="22"/>
      <c r="GB211" s="22"/>
      <c r="GC211" s="22"/>
      <c r="GD211" s="22"/>
      <c r="GE211" s="22"/>
      <c r="GF211" s="22"/>
      <c r="GG211" s="22"/>
      <c r="GH211" s="22"/>
      <c r="GI211" s="22"/>
      <c r="GJ211" s="22"/>
      <c r="GK211" s="22"/>
      <c r="GL211" s="22"/>
      <c r="GM211" s="22"/>
      <c r="GN211" s="22"/>
      <c r="GO211" s="22"/>
      <c r="GP211" s="22"/>
      <c r="GQ211" s="22"/>
      <c r="GR211" s="22"/>
      <c r="GS211" s="22"/>
      <c r="GT211" s="22"/>
      <c r="GU211" s="22"/>
      <c r="GV211" s="22"/>
      <c r="GW211" s="22"/>
      <c r="GX211" s="22"/>
      <c r="GY211" s="22"/>
      <c r="GZ211" s="22"/>
      <c r="HA211" s="22"/>
    </row>
    <row r="212" ht="23.25" customHeight="1">
      <c r="A212" s="29">
        <v>44659.677607199075</v>
      </c>
      <c r="B212" s="30" t="s">
        <v>6</v>
      </c>
      <c r="C212" s="30" t="s">
        <v>13</v>
      </c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0" t="s">
        <v>833</v>
      </c>
      <c r="AY212" s="30" t="s">
        <v>834</v>
      </c>
      <c r="AZ212" s="30" t="s">
        <v>351</v>
      </c>
      <c r="BA212" s="30" t="s">
        <v>377</v>
      </c>
      <c r="BB212" s="30" t="s">
        <v>310</v>
      </c>
      <c r="BC212" s="32">
        <v>43586.0</v>
      </c>
      <c r="BD212" s="32">
        <v>43646.0</v>
      </c>
      <c r="BE212" s="32">
        <v>43672.0</v>
      </c>
      <c r="BF212" s="30">
        <v>100.0</v>
      </c>
      <c r="BG212" s="30" t="s">
        <v>339</v>
      </c>
      <c r="BH212" s="33" t="s">
        <v>844</v>
      </c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/>
      <c r="EG212" s="22"/>
      <c r="EH212" s="22"/>
      <c r="EI212" s="22"/>
      <c r="EJ212" s="22"/>
      <c r="EK212" s="22"/>
      <c r="EL212" s="22"/>
      <c r="EM212" s="22"/>
      <c r="EN212" s="22"/>
      <c r="EO212" s="22"/>
      <c r="EP212" s="22"/>
      <c r="EQ212" s="22"/>
      <c r="ER212" s="22"/>
      <c r="ES212" s="22"/>
      <c r="ET212" s="22"/>
      <c r="EU212" s="22"/>
      <c r="EV212" s="22"/>
      <c r="EW212" s="22"/>
      <c r="EX212" s="22"/>
      <c r="EY212" s="22"/>
      <c r="EZ212" s="22"/>
      <c r="FA212" s="22"/>
      <c r="FB212" s="22"/>
      <c r="FC212" s="22"/>
      <c r="FD212" s="22"/>
      <c r="FE212" s="22"/>
      <c r="FF212" s="22"/>
      <c r="FG212" s="22"/>
      <c r="FH212" s="22"/>
      <c r="FI212" s="22"/>
      <c r="FJ212" s="22"/>
      <c r="FK212" s="22"/>
      <c r="FL212" s="23" t="s">
        <v>837</v>
      </c>
      <c r="FM212" s="23" t="s">
        <v>260</v>
      </c>
      <c r="FN212" s="22"/>
      <c r="FO212" s="22"/>
      <c r="FP212" s="22"/>
      <c r="FQ212" s="22"/>
      <c r="FR212" s="22"/>
      <c r="FS212" s="22"/>
      <c r="FT212" s="22"/>
      <c r="FU212" s="22"/>
      <c r="FV212" s="22"/>
      <c r="FW212" s="22"/>
      <c r="FX212" s="22"/>
      <c r="FY212" s="22"/>
      <c r="FZ212" s="22"/>
      <c r="GA212" s="22"/>
      <c r="GB212" s="22"/>
      <c r="GC212" s="22"/>
      <c r="GD212" s="22"/>
      <c r="GE212" s="22"/>
      <c r="GF212" s="22"/>
      <c r="GG212" s="22"/>
      <c r="GH212" s="22"/>
      <c r="GI212" s="22"/>
      <c r="GJ212" s="22"/>
      <c r="GK212" s="22"/>
      <c r="GL212" s="22"/>
      <c r="GM212" s="22"/>
      <c r="GN212" s="22"/>
      <c r="GO212" s="22"/>
      <c r="GP212" s="22"/>
      <c r="GQ212" s="22"/>
      <c r="GR212" s="22"/>
      <c r="GS212" s="22"/>
      <c r="GT212" s="22"/>
      <c r="GU212" s="22"/>
      <c r="GV212" s="22"/>
      <c r="GW212" s="22"/>
      <c r="GX212" s="22"/>
      <c r="GY212" s="22"/>
      <c r="GZ212" s="22"/>
      <c r="HA212" s="22"/>
    </row>
    <row r="213" ht="23.25" customHeight="1">
      <c r="A213" s="29">
        <v>44659.67876469907</v>
      </c>
      <c r="B213" s="30" t="s">
        <v>7</v>
      </c>
      <c r="C213" s="30" t="s">
        <v>12</v>
      </c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0" t="s">
        <v>845</v>
      </c>
      <c r="AO213" s="30" t="s">
        <v>846</v>
      </c>
      <c r="AP213" s="30" t="s">
        <v>309</v>
      </c>
      <c r="AQ213" s="30" t="s">
        <v>507</v>
      </c>
      <c r="AR213" s="32">
        <v>44479.0</v>
      </c>
      <c r="AS213" s="32">
        <v>44540.0</v>
      </c>
      <c r="AT213" s="30" t="s">
        <v>257</v>
      </c>
      <c r="AU213" s="30" t="s">
        <v>257</v>
      </c>
      <c r="AV213" s="30">
        <v>0.0</v>
      </c>
      <c r="AW213" s="33" t="s">
        <v>847</v>
      </c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/>
      <c r="EG213" s="22"/>
      <c r="EH213" s="22"/>
      <c r="EI213" s="22"/>
      <c r="EJ213" s="22"/>
      <c r="EK213" s="22"/>
      <c r="EL213" s="22"/>
      <c r="EM213" s="22"/>
      <c r="EN213" s="22"/>
      <c r="EO213" s="22"/>
      <c r="EP213" s="22"/>
      <c r="EQ213" s="22"/>
      <c r="ER213" s="22"/>
      <c r="ES213" s="22"/>
      <c r="ET213" s="22"/>
      <c r="EU213" s="22"/>
      <c r="EV213" s="22"/>
      <c r="EW213" s="22"/>
      <c r="EX213" s="22"/>
      <c r="EY213" s="22"/>
      <c r="EZ213" s="22"/>
      <c r="FA213" s="22"/>
      <c r="FB213" s="22"/>
      <c r="FC213" s="22"/>
      <c r="FD213" s="22"/>
      <c r="FE213" s="22"/>
      <c r="FF213" s="22"/>
      <c r="FG213" s="22"/>
      <c r="FH213" s="22"/>
      <c r="FI213" s="22"/>
      <c r="FJ213" s="22"/>
      <c r="FK213" s="22"/>
      <c r="FL213" s="23" t="s">
        <v>848</v>
      </c>
      <c r="FM213" s="23" t="s">
        <v>283</v>
      </c>
      <c r="FN213" s="22"/>
      <c r="FO213" s="22"/>
      <c r="FP213" s="22"/>
      <c r="FQ213" s="22"/>
      <c r="FR213" s="22"/>
      <c r="FS213" s="22"/>
      <c r="FT213" s="22"/>
      <c r="FU213" s="22"/>
      <c r="FV213" s="22"/>
      <c r="FW213" s="22"/>
      <c r="FX213" s="22"/>
      <c r="FY213" s="22"/>
      <c r="FZ213" s="22"/>
      <c r="GA213" s="22"/>
      <c r="GB213" s="22"/>
      <c r="GC213" s="22"/>
      <c r="GD213" s="22"/>
      <c r="GE213" s="22"/>
      <c r="GF213" s="22"/>
      <c r="GG213" s="22"/>
      <c r="GH213" s="22"/>
      <c r="GI213" s="22"/>
      <c r="GJ213" s="22"/>
      <c r="GK213" s="22"/>
      <c r="GL213" s="22"/>
      <c r="GM213" s="22"/>
      <c r="GN213" s="22"/>
      <c r="GO213" s="22"/>
      <c r="GP213" s="22"/>
      <c r="GQ213" s="22"/>
      <c r="GR213" s="22"/>
      <c r="GS213" s="22"/>
      <c r="GT213" s="22"/>
      <c r="GU213" s="22"/>
      <c r="GV213" s="22"/>
      <c r="GW213" s="22"/>
      <c r="GX213" s="22"/>
      <c r="GY213" s="22"/>
      <c r="GZ213" s="22"/>
      <c r="HA213" s="22"/>
    </row>
    <row r="214" ht="23.25" customHeight="1">
      <c r="A214" s="29">
        <v>44659.67952579861</v>
      </c>
      <c r="B214" s="30" t="s">
        <v>6</v>
      </c>
      <c r="C214" s="30" t="s">
        <v>13</v>
      </c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0" t="s">
        <v>833</v>
      </c>
      <c r="AY214" s="30" t="s">
        <v>834</v>
      </c>
      <c r="AZ214" s="30" t="s">
        <v>502</v>
      </c>
      <c r="BA214" s="30" t="s">
        <v>377</v>
      </c>
      <c r="BB214" s="30" t="s">
        <v>310</v>
      </c>
      <c r="BC214" s="32">
        <v>44287.0</v>
      </c>
      <c r="BD214" s="32">
        <v>44346.0</v>
      </c>
      <c r="BE214" s="32">
        <v>44374.0</v>
      </c>
      <c r="BF214" s="30">
        <v>100.0</v>
      </c>
      <c r="BG214" s="30" t="s">
        <v>339</v>
      </c>
      <c r="BH214" s="33" t="s">
        <v>849</v>
      </c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/>
      <c r="EG214" s="22"/>
      <c r="EH214" s="22"/>
      <c r="EI214" s="22"/>
      <c r="EJ214" s="22"/>
      <c r="EK214" s="22"/>
      <c r="EL214" s="22"/>
      <c r="EM214" s="22"/>
      <c r="EN214" s="22"/>
      <c r="EO214" s="22"/>
      <c r="EP214" s="22"/>
      <c r="EQ214" s="22"/>
      <c r="ER214" s="22"/>
      <c r="ES214" s="22"/>
      <c r="ET214" s="22"/>
      <c r="EU214" s="22"/>
      <c r="EV214" s="22"/>
      <c r="EW214" s="22"/>
      <c r="EX214" s="22"/>
      <c r="EY214" s="22"/>
      <c r="EZ214" s="22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3" t="s">
        <v>837</v>
      </c>
      <c r="FM214" s="23" t="s">
        <v>260</v>
      </c>
      <c r="FN214" s="22"/>
      <c r="FO214" s="22"/>
      <c r="FP214" s="22"/>
      <c r="FQ214" s="22"/>
      <c r="FR214" s="22"/>
      <c r="FS214" s="22"/>
      <c r="FT214" s="22"/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/>
      <c r="GJ214" s="22"/>
      <c r="GK214" s="22"/>
      <c r="GL214" s="22"/>
      <c r="GM214" s="22"/>
      <c r="GN214" s="22"/>
      <c r="GO214" s="22"/>
      <c r="GP214" s="22"/>
      <c r="GQ214" s="22"/>
      <c r="GR214" s="22"/>
      <c r="GS214" s="22"/>
      <c r="GT214" s="22"/>
      <c r="GU214" s="22"/>
      <c r="GV214" s="22"/>
      <c r="GW214" s="22"/>
      <c r="GX214" s="22"/>
      <c r="GY214" s="22"/>
      <c r="GZ214" s="22"/>
      <c r="HA214" s="22"/>
    </row>
    <row r="215" ht="23.25" customHeight="1">
      <c r="A215" s="29">
        <v>44659.68048935186</v>
      </c>
      <c r="B215" s="30" t="s">
        <v>6</v>
      </c>
      <c r="C215" s="30" t="s">
        <v>13</v>
      </c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0" t="s">
        <v>817</v>
      </c>
      <c r="AY215" s="30" t="s">
        <v>818</v>
      </c>
      <c r="AZ215" s="30" t="s">
        <v>850</v>
      </c>
      <c r="BA215" s="30" t="s">
        <v>851</v>
      </c>
      <c r="BB215" s="30" t="s">
        <v>310</v>
      </c>
      <c r="BC215" s="32">
        <v>43881.0</v>
      </c>
      <c r="BD215" s="32">
        <v>43941.0</v>
      </c>
      <c r="BE215" s="32">
        <v>43941.0</v>
      </c>
      <c r="BF215" s="30">
        <v>100.0</v>
      </c>
      <c r="BG215" s="30" t="s">
        <v>839</v>
      </c>
      <c r="BH215" s="33" t="s">
        <v>852</v>
      </c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/>
      <c r="EG215" s="22"/>
      <c r="EH215" s="22"/>
      <c r="EI215" s="22"/>
      <c r="EJ215" s="22"/>
      <c r="EK215" s="22"/>
      <c r="EL215" s="22"/>
      <c r="EM215" s="22"/>
      <c r="EN215" s="22"/>
      <c r="EO215" s="22"/>
      <c r="EP215" s="22"/>
      <c r="EQ215" s="22"/>
      <c r="ER215" s="22"/>
      <c r="ES215" s="22"/>
      <c r="ET215" s="22"/>
      <c r="EU215" s="22"/>
      <c r="EV215" s="22"/>
      <c r="EW215" s="22"/>
      <c r="EX215" s="22"/>
      <c r="EY215" s="22"/>
      <c r="EZ215" s="22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3" t="s">
        <v>821</v>
      </c>
      <c r="FM215" s="23" t="s">
        <v>323</v>
      </c>
      <c r="FN215" s="22"/>
      <c r="FO215" s="22"/>
      <c r="FP215" s="22"/>
      <c r="FQ215" s="22"/>
      <c r="FR215" s="22"/>
      <c r="FS215" s="22"/>
      <c r="FT215" s="22"/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/>
      <c r="GJ215" s="22"/>
      <c r="GK215" s="22"/>
      <c r="GL215" s="22"/>
      <c r="GM215" s="22"/>
      <c r="GN215" s="22"/>
      <c r="GO215" s="22"/>
      <c r="GP215" s="22"/>
      <c r="GQ215" s="22"/>
      <c r="GR215" s="22"/>
      <c r="GS215" s="22"/>
      <c r="GT215" s="22"/>
      <c r="GU215" s="22"/>
      <c r="GV215" s="22"/>
      <c r="GW215" s="22"/>
      <c r="GX215" s="22"/>
      <c r="GY215" s="22"/>
      <c r="GZ215" s="22"/>
      <c r="HA215" s="22"/>
    </row>
    <row r="216" ht="23.25" customHeight="1">
      <c r="A216" s="29">
        <v>44659.68102319444</v>
      </c>
      <c r="B216" s="30" t="s">
        <v>6</v>
      </c>
      <c r="C216" s="30" t="s">
        <v>13</v>
      </c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0" t="s">
        <v>833</v>
      </c>
      <c r="AY216" s="30" t="s">
        <v>834</v>
      </c>
      <c r="AZ216" s="30" t="s">
        <v>356</v>
      </c>
      <c r="BA216" s="30" t="s">
        <v>377</v>
      </c>
      <c r="BB216" s="30" t="s">
        <v>310</v>
      </c>
      <c r="BC216" s="32">
        <v>44317.0</v>
      </c>
      <c r="BD216" s="32">
        <v>44377.0</v>
      </c>
      <c r="BE216" s="32">
        <v>44384.0</v>
      </c>
      <c r="BF216" s="30">
        <v>100.0</v>
      </c>
      <c r="BG216" s="30" t="s">
        <v>559</v>
      </c>
      <c r="BH216" s="33" t="s">
        <v>853</v>
      </c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/>
      <c r="EG216" s="22"/>
      <c r="EH216" s="22"/>
      <c r="EI216" s="22"/>
      <c r="EJ216" s="22"/>
      <c r="EK216" s="22"/>
      <c r="EL216" s="22"/>
      <c r="EM216" s="22"/>
      <c r="EN216" s="22"/>
      <c r="EO216" s="22"/>
      <c r="EP216" s="22"/>
      <c r="EQ216" s="22"/>
      <c r="ER216" s="22"/>
      <c r="ES216" s="22"/>
      <c r="ET216" s="22"/>
      <c r="EU216" s="22"/>
      <c r="EV216" s="22"/>
      <c r="EW216" s="22"/>
      <c r="EX216" s="22"/>
      <c r="EY216" s="22"/>
      <c r="EZ216" s="22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3" t="s">
        <v>837</v>
      </c>
      <c r="FM216" s="23" t="s">
        <v>260</v>
      </c>
      <c r="FN216" s="22"/>
      <c r="FO216" s="22"/>
      <c r="FP216" s="22"/>
      <c r="FQ216" s="22"/>
      <c r="FR216" s="22"/>
      <c r="FS216" s="22"/>
      <c r="FT216" s="22"/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/>
      <c r="GO216" s="22"/>
      <c r="GP216" s="22"/>
      <c r="GQ216" s="22"/>
      <c r="GR216" s="22"/>
      <c r="GS216" s="22"/>
      <c r="GT216" s="22"/>
      <c r="GU216" s="22"/>
      <c r="GV216" s="22"/>
      <c r="GW216" s="22"/>
      <c r="GX216" s="22"/>
      <c r="GY216" s="22"/>
      <c r="GZ216" s="22"/>
      <c r="HA216" s="22"/>
    </row>
    <row r="217" ht="23.25" customHeight="1">
      <c r="A217" s="29">
        <v>44659.681261238424</v>
      </c>
      <c r="B217" s="30" t="s">
        <v>6</v>
      </c>
      <c r="C217" s="20" t="s">
        <v>15</v>
      </c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0" t="s">
        <v>765</v>
      </c>
      <c r="BX217" s="30" t="s">
        <v>766</v>
      </c>
      <c r="BY217" s="22"/>
      <c r="BZ217" s="23" t="s">
        <v>159</v>
      </c>
      <c r="CA217" s="23" t="s">
        <v>854</v>
      </c>
      <c r="CB217" s="23" t="s">
        <v>456</v>
      </c>
      <c r="CC217" s="23" t="s">
        <v>475</v>
      </c>
      <c r="CD217" s="24">
        <v>44075.0</v>
      </c>
      <c r="CE217" s="24">
        <v>44196.0</v>
      </c>
      <c r="CF217" s="23">
        <v>89.0</v>
      </c>
      <c r="CG217" s="25" t="s">
        <v>855</v>
      </c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/>
      <c r="EG217" s="22"/>
      <c r="EH217" s="22"/>
      <c r="EI217" s="22"/>
      <c r="EJ217" s="22"/>
      <c r="EK217" s="22"/>
      <c r="EL217" s="22"/>
      <c r="EM217" s="22"/>
      <c r="EN217" s="22"/>
      <c r="EO217" s="22"/>
      <c r="EP217" s="22"/>
      <c r="EQ217" s="22"/>
      <c r="ER217" s="22"/>
      <c r="ES217" s="22"/>
      <c r="ET217" s="22"/>
      <c r="EU217" s="22"/>
      <c r="EV217" s="22"/>
      <c r="EW217" s="22"/>
      <c r="EX217" s="22"/>
      <c r="EY217" s="22"/>
      <c r="EZ217" s="22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3" t="s">
        <v>770</v>
      </c>
      <c r="FM217" s="23" t="s">
        <v>260</v>
      </c>
      <c r="FN217" s="22"/>
      <c r="FO217" s="22"/>
      <c r="FP217" s="22"/>
      <c r="FQ217" s="22"/>
      <c r="FR217" s="22"/>
      <c r="FS217" s="22"/>
      <c r="FT217" s="22"/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/>
      <c r="GJ217" s="22"/>
      <c r="GK217" s="22"/>
      <c r="GL217" s="22"/>
      <c r="GM217" s="22"/>
      <c r="GN217" s="22"/>
      <c r="GO217" s="22"/>
      <c r="GP217" s="22"/>
      <c r="GQ217" s="22"/>
      <c r="GR217" s="22"/>
      <c r="GS217" s="22"/>
      <c r="GT217" s="22"/>
      <c r="GU217" s="22"/>
      <c r="GV217" s="22"/>
      <c r="GW217" s="22"/>
      <c r="GX217" s="22"/>
      <c r="GY217" s="22"/>
      <c r="GZ217" s="22"/>
      <c r="HA217" s="22"/>
    </row>
    <row r="218" ht="23.25" customHeight="1">
      <c r="A218" s="29">
        <v>44659.682545972224</v>
      </c>
      <c r="B218" s="30" t="s">
        <v>6</v>
      </c>
      <c r="C218" s="30" t="s">
        <v>13</v>
      </c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0" t="s">
        <v>833</v>
      </c>
      <c r="AY218" s="30" t="s">
        <v>834</v>
      </c>
      <c r="AZ218" s="30" t="s">
        <v>856</v>
      </c>
      <c r="BA218" s="30" t="s">
        <v>377</v>
      </c>
      <c r="BB218" s="30" t="s">
        <v>310</v>
      </c>
      <c r="BC218" s="32">
        <v>43678.0</v>
      </c>
      <c r="BD218" s="32">
        <v>43738.0</v>
      </c>
      <c r="BE218" s="32">
        <v>43761.0</v>
      </c>
      <c r="BF218" s="30">
        <v>100.0</v>
      </c>
      <c r="BG218" s="30" t="s">
        <v>857</v>
      </c>
      <c r="BH218" s="33" t="s">
        <v>858</v>
      </c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/>
      <c r="EG218" s="22"/>
      <c r="EH218" s="22"/>
      <c r="EI218" s="22"/>
      <c r="EJ218" s="22"/>
      <c r="EK218" s="22"/>
      <c r="EL218" s="22"/>
      <c r="EM218" s="22"/>
      <c r="EN218" s="22"/>
      <c r="EO218" s="22"/>
      <c r="EP218" s="22"/>
      <c r="EQ218" s="22"/>
      <c r="ER218" s="22"/>
      <c r="ES218" s="22"/>
      <c r="ET218" s="22"/>
      <c r="EU218" s="22"/>
      <c r="EV218" s="22"/>
      <c r="EW218" s="22"/>
      <c r="EX218" s="22"/>
      <c r="EY218" s="22"/>
      <c r="EZ218" s="22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3" t="s">
        <v>837</v>
      </c>
      <c r="FM218" s="23" t="s">
        <v>260</v>
      </c>
      <c r="FN218" s="22"/>
      <c r="FO218" s="22"/>
      <c r="FP218" s="22"/>
      <c r="FQ218" s="22"/>
      <c r="FR218" s="22"/>
      <c r="FS218" s="22"/>
      <c r="FT218" s="22"/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/>
      <c r="GP218" s="22"/>
      <c r="GQ218" s="22"/>
      <c r="GR218" s="22"/>
      <c r="GS218" s="22"/>
      <c r="GT218" s="22"/>
      <c r="GU218" s="22"/>
      <c r="GV218" s="22"/>
      <c r="GW218" s="22"/>
      <c r="GX218" s="22"/>
      <c r="GY218" s="22"/>
      <c r="GZ218" s="22"/>
      <c r="HA218" s="22"/>
    </row>
    <row r="219" ht="23.25" customHeight="1">
      <c r="A219" s="29">
        <v>44659.68319576389</v>
      </c>
      <c r="B219" s="30" t="s">
        <v>6</v>
      </c>
      <c r="C219" s="30" t="s">
        <v>13</v>
      </c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0" t="s">
        <v>859</v>
      </c>
      <c r="AY219" s="30" t="s">
        <v>860</v>
      </c>
      <c r="AZ219" s="30" t="s">
        <v>861</v>
      </c>
      <c r="BA219" s="30" t="s">
        <v>862</v>
      </c>
      <c r="BB219" s="30" t="s">
        <v>510</v>
      </c>
      <c r="BC219" s="32">
        <v>44190.0</v>
      </c>
      <c r="BD219" s="32">
        <v>44231.0</v>
      </c>
      <c r="BE219" s="32">
        <v>44231.0</v>
      </c>
      <c r="BF219" s="30">
        <v>100.0</v>
      </c>
      <c r="BG219" s="30" t="s">
        <v>863</v>
      </c>
      <c r="BH219" s="33" t="s">
        <v>864</v>
      </c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/>
      <c r="EG219" s="22"/>
      <c r="EH219" s="22"/>
      <c r="EI219" s="22"/>
      <c r="EJ219" s="22"/>
      <c r="EK219" s="22"/>
      <c r="EL219" s="22"/>
      <c r="EM219" s="22"/>
      <c r="EN219" s="22"/>
      <c r="EO219" s="22"/>
      <c r="EP219" s="22"/>
      <c r="EQ219" s="22"/>
      <c r="ER219" s="22"/>
      <c r="ES219" s="22"/>
      <c r="ET219" s="22"/>
      <c r="EU219" s="22"/>
      <c r="EV219" s="22"/>
      <c r="EW219" s="22"/>
      <c r="EX219" s="22"/>
      <c r="EY219" s="22"/>
      <c r="EZ219" s="22"/>
      <c r="FA219" s="22"/>
      <c r="FB219" s="22"/>
      <c r="FC219" s="22"/>
      <c r="FD219" s="22"/>
      <c r="FE219" s="22"/>
      <c r="FF219" s="22"/>
      <c r="FG219" s="22"/>
      <c r="FH219" s="22"/>
      <c r="FI219" s="22"/>
      <c r="FJ219" s="22"/>
      <c r="FK219" s="22"/>
      <c r="FL219" s="23" t="s">
        <v>865</v>
      </c>
      <c r="FM219" s="23" t="s">
        <v>414</v>
      </c>
      <c r="FN219" s="22"/>
      <c r="FO219" s="22"/>
      <c r="FP219" s="22"/>
      <c r="FQ219" s="22"/>
      <c r="FR219" s="22"/>
      <c r="FS219" s="22"/>
      <c r="FT219" s="22"/>
      <c r="FU219" s="22"/>
      <c r="FV219" s="22"/>
      <c r="FW219" s="22"/>
      <c r="FX219" s="22"/>
      <c r="FY219" s="22"/>
      <c r="FZ219" s="22"/>
      <c r="GA219" s="22"/>
      <c r="GB219" s="22"/>
      <c r="GC219" s="22"/>
      <c r="GD219" s="22"/>
      <c r="GE219" s="22"/>
      <c r="GF219" s="22"/>
      <c r="GG219" s="22"/>
      <c r="GH219" s="22"/>
      <c r="GI219" s="22"/>
      <c r="GJ219" s="22"/>
      <c r="GK219" s="22"/>
      <c r="GL219" s="22"/>
      <c r="GM219" s="22"/>
      <c r="GN219" s="22"/>
      <c r="GO219" s="22"/>
      <c r="GP219" s="22"/>
      <c r="GQ219" s="22"/>
      <c r="GR219" s="22"/>
      <c r="GS219" s="22"/>
      <c r="GT219" s="22"/>
      <c r="GU219" s="22"/>
      <c r="GV219" s="22"/>
      <c r="GW219" s="22"/>
      <c r="GX219" s="22"/>
      <c r="GY219" s="22"/>
      <c r="GZ219" s="22"/>
      <c r="HA219" s="22"/>
    </row>
    <row r="220" ht="23.25" customHeight="1">
      <c r="A220" s="29">
        <v>44659.684401701394</v>
      </c>
      <c r="B220" s="30" t="s">
        <v>6</v>
      </c>
      <c r="C220" s="30" t="s">
        <v>13</v>
      </c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0" t="s">
        <v>833</v>
      </c>
      <c r="AY220" s="30" t="s">
        <v>834</v>
      </c>
      <c r="AZ220" s="30" t="s">
        <v>687</v>
      </c>
      <c r="BA220" s="30" t="s">
        <v>377</v>
      </c>
      <c r="BB220" s="30" t="s">
        <v>310</v>
      </c>
      <c r="BC220" s="32">
        <v>43862.0</v>
      </c>
      <c r="BD220" s="32">
        <v>43921.0</v>
      </c>
      <c r="BE220" s="32">
        <v>43923.0</v>
      </c>
      <c r="BF220" s="30">
        <v>100.0</v>
      </c>
      <c r="BG220" s="30" t="s">
        <v>559</v>
      </c>
      <c r="BH220" s="33" t="s">
        <v>866</v>
      </c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/>
      <c r="EG220" s="22"/>
      <c r="EH220" s="22"/>
      <c r="EI220" s="22"/>
      <c r="EJ220" s="22"/>
      <c r="EK220" s="22"/>
      <c r="EL220" s="22"/>
      <c r="EM220" s="22"/>
      <c r="EN220" s="22"/>
      <c r="EO220" s="22"/>
      <c r="EP220" s="22"/>
      <c r="EQ220" s="22"/>
      <c r="ER220" s="22"/>
      <c r="ES220" s="22"/>
      <c r="ET220" s="22"/>
      <c r="EU220" s="22"/>
      <c r="EV220" s="22"/>
      <c r="EW220" s="22"/>
      <c r="EX220" s="22"/>
      <c r="EY220" s="22"/>
      <c r="EZ220" s="22"/>
      <c r="FA220" s="22"/>
      <c r="FB220" s="22"/>
      <c r="FC220" s="22"/>
      <c r="FD220" s="22"/>
      <c r="FE220" s="22"/>
      <c r="FF220" s="22"/>
      <c r="FG220" s="22"/>
      <c r="FH220" s="22"/>
      <c r="FI220" s="22"/>
      <c r="FJ220" s="22"/>
      <c r="FK220" s="22"/>
      <c r="FL220" s="23" t="s">
        <v>837</v>
      </c>
      <c r="FM220" s="23" t="s">
        <v>260</v>
      </c>
      <c r="FN220" s="22"/>
      <c r="FO220" s="22"/>
      <c r="FP220" s="22"/>
      <c r="FQ220" s="22"/>
      <c r="FR220" s="22"/>
      <c r="FS220" s="22"/>
      <c r="FT220" s="22"/>
      <c r="FU220" s="22"/>
      <c r="FV220" s="22"/>
      <c r="FW220" s="22"/>
      <c r="FX220" s="22"/>
      <c r="FY220" s="22"/>
      <c r="FZ220" s="22"/>
      <c r="GA220" s="22"/>
      <c r="GB220" s="22"/>
      <c r="GC220" s="22"/>
      <c r="GD220" s="22"/>
      <c r="GE220" s="22"/>
      <c r="GF220" s="22"/>
      <c r="GG220" s="22"/>
      <c r="GH220" s="22"/>
      <c r="GI220" s="22"/>
      <c r="GJ220" s="22"/>
      <c r="GK220" s="22"/>
      <c r="GL220" s="22"/>
      <c r="GM220" s="22"/>
      <c r="GN220" s="22"/>
      <c r="GO220" s="22"/>
      <c r="GP220" s="22"/>
      <c r="GQ220" s="22"/>
      <c r="GR220" s="22"/>
      <c r="GS220" s="22"/>
      <c r="GT220" s="22"/>
      <c r="GU220" s="22"/>
      <c r="GV220" s="22"/>
      <c r="GW220" s="22"/>
      <c r="GX220" s="22"/>
      <c r="GY220" s="22"/>
      <c r="GZ220" s="22"/>
      <c r="HA220" s="22"/>
    </row>
    <row r="221" ht="23.25" customHeight="1">
      <c r="A221" s="29">
        <v>44659.68469597222</v>
      </c>
      <c r="B221" s="30" t="s">
        <v>6</v>
      </c>
      <c r="C221" s="30" t="s">
        <v>13</v>
      </c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0" t="s">
        <v>817</v>
      </c>
      <c r="AY221" s="30" t="s">
        <v>818</v>
      </c>
      <c r="AZ221" s="30" t="s">
        <v>571</v>
      </c>
      <c r="BA221" s="30" t="s">
        <v>377</v>
      </c>
      <c r="BB221" s="30" t="s">
        <v>310</v>
      </c>
      <c r="BC221" s="32">
        <v>44383.0</v>
      </c>
      <c r="BD221" s="32">
        <v>44445.0</v>
      </c>
      <c r="BE221" s="32">
        <v>44445.0</v>
      </c>
      <c r="BF221" s="30">
        <v>100.0</v>
      </c>
      <c r="BG221" s="30" t="s">
        <v>559</v>
      </c>
      <c r="BH221" s="33" t="s">
        <v>867</v>
      </c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/>
      <c r="EG221" s="22"/>
      <c r="EH221" s="22"/>
      <c r="EI221" s="22"/>
      <c r="EJ221" s="22"/>
      <c r="EK221" s="22"/>
      <c r="EL221" s="22"/>
      <c r="EM221" s="22"/>
      <c r="EN221" s="22"/>
      <c r="EO221" s="22"/>
      <c r="EP221" s="22"/>
      <c r="EQ221" s="22"/>
      <c r="ER221" s="22"/>
      <c r="ES221" s="22"/>
      <c r="ET221" s="22"/>
      <c r="EU221" s="22"/>
      <c r="EV221" s="22"/>
      <c r="EW221" s="22"/>
      <c r="EX221" s="22"/>
      <c r="EY221" s="22"/>
      <c r="EZ221" s="22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3" t="s">
        <v>821</v>
      </c>
      <c r="FM221" s="23" t="s">
        <v>283</v>
      </c>
      <c r="FN221" s="22"/>
      <c r="FO221" s="22"/>
      <c r="FP221" s="22"/>
      <c r="FQ221" s="22"/>
      <c r="FR221" s="22"/>
      <c r="FS221" s="22"/>
      <c r="FT221" s="22"/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/>
      <c r="GO221" s="22"/>
      <c r="GP221" s="22"/>
      <c r="GQ221" s="22"/>
      <c r="GR221" s="22"/>
      <c r="GS221" s="22"/>
      <c r="GT221" s="22"/>
      <c r="GU221" s="22"/>
      <c r="GV221" s="22"/>
      <c r="GW221" s="22"/>
      <c r="GX221" s="22"/>
      <c r="GY221" s="22"/>
      <c r="GZ221" s="22"/>
      <c r="HA221" s="22"/>
    </row>
    <row r="222" ht="23.25" customHeight="1">
      <c r="A222" s="29">
        <v>44659.686571377315</v>
      </c>
      <c r="B222" s="30" t="s">
        <v>6</v>
      </c>
      <c r="C222" s="30" t="s">
        <v>12</v>
      </c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0" t="s">
        <v>765</v>
      </c>
      <c r="AO222" s="30" t="s">
        <v>766</v>
      </c>
      <c r="AP222" s="30" t="s">
        <v>868</v>
      </c>
      <c r="AQ222" s="30" t="s">
        <v>450</v>
      </c>
      <c r="AR222" s="32">
        <v>44470.0</v>
      </c>
      <c r="AS222" s="32">
        <v>44561.0</v>
      </c>
      <c r="AT222" s="30" t="s">
        <v>257</v>
      </c>
      <c r="AU222" s="30" t="s">
        <v>257</v>
      </c>
      <c r="AV222" s="30">
        <v>0.0</v>
      </c>
      <c r="AW222" s="33" t="s">
        <v>869</v>
      </c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/>
      <c r="EG222" s="22"/>
      <c r="EH222" s="22"/>
      <c r="EI222" s="22"/>
      <c r="EJ222" s="22"/>
      <c r="EK222" s="22"/>
      <c r="EL222" s="22"/>
      <c r="EM222" s="22"/>
      <c r="EN222" s="22"/>
      <c r="EO222" s="22"/>
      <c r="EP222" s="22"/>
      <c r="EQ222" s="22"/>
      <c r="ER222" s="22"/>
      <c r="ES222" s="22"/>
      <c r="ET222" s="22"/>
      <c r="EU222" s="22"/>
      <c r="EV222" s="22"/>
      <c r="EW222" s="22"/>
      <c r="EX222" s="22"/>
      <c r="EY222" s="22"/>
      <c r="EZ222" s="22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3" t="s">
        <v>770</v>
      </c>
      <c r="FM222" s="23" t="s">
        <v>260</v>
      </c>
      <c r="FN222" s="22"/>
      <c r="FO222" s="22"/>
      <c r="FP222" s="22"/>
      <c r="FQ222" s="22"/>
      <c r="FR222" s="22"/>
      <c r="FS222" s="22"/>
      <c r="FT222" s="22"/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/>
      <c r="GP222" s="22"/>
      <c r="GQ222" s="22"/>
      <c r="GR222" s="22"/>
      <c r="GS222" s="22"/>
      <c r="GT222" s="22"/>
      <c r="GU222" s="22"/>
      <c r="GV222" s="22"/>
      <c r="GW222" s="22"/>
      <c r="GX222" s="22"/>
      <c r="GY222" s="22"/>
      <c r="GZ222" s="22"/>
      <c r="HA222" s="22"/>
    </row>
    <row r="223" ht="23.25" customHeight="1">
      <c r="A223" s="29">
        <v>44659.68690181713</v>
      </c>
      <c r="B223" s="30" t="s">
        <v>6</v>
      </c>
      <c r="C223" s="30" t="s">
        <v>13</v>
      </c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0" t="s">
        <v>833</v>
      </c>
      <c r="AY223" s="30" t="s">
        <v>834</v>
      </c>
      <c r="AZ223" s="30" t="s">
        <v>870</v>
      </c>
      <c r="BA223" s="30" t="s">
        <v>500</v>
      </c>
      <c r="BB223" s="30" t="s">
        <v>495</v>
      </c>
      <c r="BC223" s="32">
        <v>44470.0</v>
      </c>
      <c r="BD223" s="32">
        <v>44500.0</v>
      </c>
      <c r="BE223" s="32">
        <v>44512.0</v>
      </c>
      <c r="BF223" s="30">
        <v>100.0</v>
      </c>
      <c r="BG223" s="30" t="s">
        <v>559</v>
      </c>
      <c r="BH223" s="33" t="s">
        <v>871</v>
      </c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/>
      <c r="EG223" s="22"/>
      <c r="EH223" s="22"/>
      <c r="EI223" s="22"/>
      <c r="EJ223" s="22"/>
      <c r="EK223" s="22"/>
      <c r="EL223" s="22"/>
      <c r="EM223" s="22"/>
      <c r="EN223" s="22"/>
      <c r="EO223" s="22"/>
      <c r="EP223" s="22"/>
      <c r="EQ223" s="22"/>
      <c r="ER223" s="22"/>
      <c r="ES223" s="22"/>
      <c r="ET223" s="22"/>
      <c r="EU223" s="22"/>
      <c r="EV223" s="22"/>
      <c r="EW223" s="22"/>
      <c r="EX223" s="22"/>
      <c r="EY223" s="22"/>
      <c r="EZ223" s="22"/>
      <c r="FA223" s="22"/>
      <c r="FB223" s="22"/>
      <c r="FC223" s="22"/>
      <c r="FD223" s="22"/>
      <c r="FE223" s="22"/>
      <c r="FF223" s="22"/>
      <c r="FG223" s="22"/>
      <c r="FH223" s="22"/>
      <c r="FI223" s="22"/>
      <c r="FJ223" s="22"/>
      <c r="FK223" s="22"/>
      <c r="FL223" s="23" t="s">
        <v>837</v>
      </c>
      <c r="FM223" s="23" t="s">
        <v>260</v>
      </c>
      <c r="FN223" s="22"/>
      <c r="FO223" s="22"/>
      <c r="FP223" s="22"/>
      <c r="FQ223" s="22"/>
      <c r="FR223" s="22"/>
      <c r="FS223" s="22"/>
      <c r="FT223" s="22"/>
      <c r="FU223" s="22"/>
      <c r="FV223" s="22"/>
      <c r="FW223" s="22"/>
      <c r="FX223" s="22"/>
      <c r="FY223" s="22"/>
      <c r="FZ223" s="22"/>
      <c r="GA223" s="22"/>
      <c r="GB223" s="22"/>
      <c r="GC223" s="22"/>
      <c r="GD223" s="22"/>
      <c r="GE223" s="22"/>
      <c r="GF223" s="22"/>
      <c r="GG223" s="22"/>
      <c r="GH223" s="22"/>
      <c r="GI223" s="22"/>
      <c r="GJ223" s="22"/>
      <c r="GK223" s="22"/>
      <c r="GL223" s="22"/>
      <c r="GM223" s="22"/>
      <c r="GN223" s="22"/>
      <c r="GO223" s="22"/>
      <c r="GP223" s="22"/>
      <c r="GQ223" s="22"/>
      <c r="GR223" s="22"/>
      <c r="GS223" s="22"/>
      <c r="GT223" s="22"/>
      <c r="GU223" s="22"/>
      <c r="GV223" s="22"/>
      <c r="GW223" s="22"/>
      <c r="GX223" s="22"/>
      <c r="GY223" s="22"/>
      <c r="GZ223" s="22"/>
      <c r="HA223" s="22"/>
    </row>
    <row r="224" ht="23.25" customHeight="1">
      <c r="A224" s="29">
        <v>44659.688326006944</v>
      </c>
      <c r="B224" s="30" t="s">
        <v>6</v>
      </c>
      <c r="C224" s="30" t="s">
        <v>13</v>
      </c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0" t="s">
        <v>859</v>
      </c>
      <c r="AY224" s="30" t="s">
        <v>860</v>
      </c>
      <c r="AZ224" s="30" t="s">
        <v>872</v>
      </c>
      <c r="BA224" s="30" t="s">
        <v>873</v>
      </c>
      <c r="BB224" s="30" t="s">
        <v>874</v>
      </c>
      <c r="BC224" s="32">
        <v>44033.0</v>
      </c>
      <c r="BD224" s="32">
        <v>44033.0</v>
      </c>
      <c r="BE224" s="32">
        <v>44033.0</v>
      </c>
      <c r="BF224" s="30">
        <v>100.0</v>
      </c>
      <c r="BG224" s="30" t="s">
        <v>863</v>
      </c>
      <c r="BH224" s="33" t="s">
        <v>875</v>
      </c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/>
      <c r="EG224" s="22"/>
      <c r="EH224" s="22"/>
      <c r="EI224" s="22"/>
      <c r="EJ224" s="22"/>
      <c r="EK224" s="22"/>
      <c r="EL224" s="22"/>
      <c r="EM224" s="22"/>
      <c r="EN224" s="22"/>
      <c r="EO224" s="22"/>
      <c r="EP224" s="22"/>
      <c r="EQ224" s="22"/>
      <c r="ER224" s="22"/>
      <c r="ES224" s="22"/>
      <c r="ET224" s="22"/>
      <c r="EU224" s="22"/>
      <c r="EV224" s="22"/>
      <c r="EW224" s="22"/>
      <c r="EX224" s="22"/>
      <c r="EY224" s="22"/>
      <c r="EZ224" s="22"/>
      <c r="FA224" s="22"/>
      <c r="FB224" s="22"/>
      <c r="FC224" s="22"/>
      <c r="FD224" s="22"/>
      <c r="FE224" s="22"/>
      <c r="FF224" s="22"/>
      <c r="FG224" s="22"/>
      <c r="FH224" s="22"/>
      <c r="FI224" s="22"/>
      <c r="FJ224" s="22"/>
      <c r="FK224" s="22"/>
      <c r="FL224" s="23" t="s">
        <v>865</v>
      </c>
      <c r="FM224" s="23" t="s">
        <v>260</v>
      </c>
      <c r="FN224" s="22"/>
      <c r="FO224" s="22"/>
      <c r="FP224" s="22"/>
      <c r="FQ224" s="22"/>
      <c r="FR224" s="22"/>
      <c r="FS224" s="22"/>
      <c r="FT224" s="22"/>
      <c r="FU224" s="22"/>
      <c r="FV224" s="22"/>
      <c r="FW224" s="22"/>
      <c r="FX224" s="22"/>
      <c r="FY224" s="22"/>
      <c r="FZ224" s="22"/>
      <c r="GA224" s="22"/>
      <c r="GB224" s="22"/>
      <c r="GC224" s="22"/>
      <c r="GD224" s="22"/>
      <c r="GE224" s="22"/>
      <c r="GF224" s="22"/>
      <c r="GG224" s="22"/>
      <c r="GH224" s="22"/>
      <c r="GI224" s="22"/>
      <c r="GJ224" s="22"/>
      <c r="GK224" s="22"/>
      <c r="GL224" s="22"/>
      <c r="GM224" s="22"/>
      <c r="GN224" s="22"/>
      <c r="GO224" s="22"/>
      <c r="GP224" s="22"/>
      <c r="GQ224" s="22"/>
      <c r="GR224" s="22"/>
      <c r="GS224" s="22"/>
      <c r="GT224" s="22"/>
      <c r="GU224" s="22"/>
      <c r="GV224" s="22"/>
      <c r="GW224" s="22"/>
      <c r="GX224" s="22"/>
      <c r="GY224" s="22"/>
      <c r="GZ224" s="22"/>
      <c r="HA224" s="22"/>
    </row>
    <row r="225" ht="23.25" customHeight="1">
      <c r="A225" s="29">
        <v>44659.6889872801</v>
      </c>
      <c r="B225" s="30" t="s">
        <v>6</v>
      </c>
      <c r="C225" s="30" t="s">
        <v>13</v>
      </c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0" t="s">
        <v>817</v>
      </c>
      <c r="AY225" s="30" t="s">
        <v>818</v>
      </c>
      <c r="AZ225" s="30" t="s">
        <v>571</v>
      </c>
      <c r="BA225" s="30" t="s">
        <v>377</v>
      </c>
      <c r="BB225" s="30" t="s">
        <v>310</v>
      </c>
      <c r="BC225" s="32">
        <v>44322.0</v>
      </c>
      <c r="BD225" s="32">
        <v>44383.0</v>
      </c>
      <c r="BE225" s="32">
        <v>44383.0</v>
      </c>
      <c r="BF225" s="30">
        <v>100.0</v>
      </c>
      <c r="BG225" s="30" t="s">
        <v>559</v>
      </c>
      <c r="BH225" s="33" t="s">
        <v>876</v>
      </c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/>
      <c r="EG225" s="22"/>
      <c r="EH225" s="22"/>
      <c r="EI225" s="22"/>
      <c r="EJ225" s="22"/>
      <c r="EK225" s="22"/>
      <c r="EL225" s="22"/>
      <c r="EM225" s="22"/>
      <c r="EN225" s="22"/>
      <c r="EO225" s="22"/>
      <c r="EP225" s="22"/>
      <c r="EQ225" s="22"/>
      <c r="ER225" s="22"/>
      <c r="ES225" s="22"/>
      <c r="ET225" s="22"/>
      <c r="EU225" s="22"/>
      <c r="EV225" s="22"/>
      <c r="EW225" s="22"/>
      <c r="EX225" s="22"/>
      <c r="EY225" s="22"/>
      <c r="EZ225" s="22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3" t="s">
        <v>821</v>
      </c>
      <c r="FM225" s="23" t="s">
        <v>283</v>
      </c>
      <c r="FN225" s="22"/>
      <c r="FO225" s="22"/>
      <c r="FP225" s="22"/>
      <c r="FQ225" s="22"/>
      <c r="FR225" s="22"/>
      <c r="FS225" s="22"/>
      <c r="FT225" s="22"/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/>
      <c r="GO225" s="22"/>
      <c r="GP225" s="22"/>
      <c r="GQ225" s="22"/>
      <c r="GR225" s="22"/>
      <c r="GS225" s="22"/>
      <c r="GT225" s="22"/>
      <c r="GU225" s="22"/>
      <c r="GV225" s="22"/>
      <c r="GW225" s="22"/>
      <c r="GX225" s="22"/>
      <c r="GY225" s="22"/>
      <c r="GZ225" s="22"/>
      <c r="HA225" s="22"/>
    </row>
    <row r="226" ht="23.25" customHeight="1">
      <c r="A226" s="29">
        <v>44659.68956990741</v>
      </c>
      <c r="B226" s="30" t="s">
        <v>6</v>
      </c>
      <c r="C226" s="30" t="s">
        <v>13</v>
      </c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0" t="s">
        <v>833</v>
      </c>
      <c r="AY226" s="30" t="s">
        <v>834</v>
      </c>
      <c r="AZ226" s="30" t="s">
        <v>877</v>
      </c>
      <c r="BA226" s="30" t="s">
        <v>878</v>
      </c>
      <c r="BB226" s="30" t="s">
        <v>495</v>
      </c>
      <c r="BC226" s="32">
        <v>44621.0</v>
      </c>
      <c r="BD226" s="32">
        <v>44651.0</v>
      </c>
      <c r="BE226" s="32">
        <v>44658.0</v>
      </c>
      <c r="BF226" s="30">
        <v>100.0</v>
      </c>
      <c r="BG226" s="30" t="s">
        <v>339</v>
      </c>
      <c r="BH226" s="33" t="s">
        <v>879</v>
      </c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/>
      <c r="EG226" s="22"/>
      <c r="EH226" s="22"/>
      <c r="EI226" s="22"/>
      <c r="EJ226" s="22"/>
      <c r="EK226" s="22"/>
      <c r="EL226" s="22"/>
      <c r="EM226" s="22"/>
      <c r="EN226" s="22"/>
      <c r="EO226" s="22"/>
      <c r="EP226" s="22"/>
      <c r="EQ226" s="22"/>
      <c r="ER226" s="22"/>
      <c r="ES226" s="22"/>
      <c r="ET226" s="22"/>
      <c r="EU226" s="22"/>
      <c r="EV226" s="22"/>
      <c r="EW226" s="22"/>
      <c r="EX226" s="22"/>
      <c r="EY226" s="22"/>
      <c r="EZ226" s="22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3" t="s">
        <v>837</v>
      </c>
      <c r="FM226" s="23" t="s">
        <v>260</v>
      </c>
      <c r="FN226" s="22"/>
      <c r="FO226" s="22"/>
      <c r="FP226" s="22"/>
      <c r="FQ226" s="22"/>
      <c r="FR226" s="22"/>
      <c r="FS226" s="22"/>
      <c r="FT226" s="22"/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/>
      <c r="GP226" s="22"/>
      <c r="GQ226" s="22"/>
      <c r="GR226" s="22"/>
      <c r="GS226" s="22"/>
      <c r="GT226" s="22"/>
      <c r="GU226" s="22"/>
      <c r="GV226" s="22"/>
      <c r="GW226" s="22"/>
      <c r="GX226" s="22"/>
      <c r="GY226" s="22"/>
      <c r="GZ226" s="22"/>
      <c r="HA226" s="22"/>
    </row>
    <row r="227" ht="23.25" customHeight="1">
      <c r="A227" s="29">
        <v>44659.69195777777</v>
      </c>
      <c r="B227" s="30" t="s">
        <v>6</v>
      </c>
      <c r="C227" s="30" t="s">
        <v>13</v>
      </c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0" t="s">
        <v>817</v>
      </c>
      <c r="AY227" s="30" t="s">
        <v>818</v>
      </c>
      <c r="AZ227" s="30" t="s">
        <v>502</v>
      </c>
      <c r="BA227" s="30" t="s">
        <v>377</v>
      </c>
      <c r="BB227" s="30" t="s">
        <v>310</v>
      </c>
      <c r="BC227" s="32">
        <v>44275.0</v>
      </c>
      <c r="BD227" s="32">
        <v>44336.0</v>
      </c>
      <c r="BE227" s="32">
        <v>44336.0</v>
      </c>
      <c r="BF227" s="30">
        <v>100.0</v>
      </c>
      <c r="BG227" s="30" t="s">
        <v>559</v>
      </c>
      <c r="BH227" s="33" t="s">
        <v>880</v>
      </c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/>
      <c r="EG227" s="22"/>
      <c r="EH227" s="22"/>
      <c r="EI227" s="22"/>
      <c r="EJ227" s="22"/>
      <c r="EK227" s="22"/>
      <c r="EL227" s="22"/>
      <c r="EM227" s="22"/>
      <c r="EN227" s="22"/>
      <c r="EO227" s="22"/>
      <c r="EP227" s="22"/>
      <c r="EQ227" s="22"/>
      <c r="ER227" s="22"/>
      <c r="ES227" s="22"/>
      <c r="ET227" s="22"/>
      <c r="EU227" s="22"/>
      <c r="EV227" s="22"/>
      <c r="EW227" s="22"/>
      <c r="EX227" s="22"/>
      <c r="EY227" s="22"/>
      <c r="EZ227" s="22"/>
      <c r="FA227" s="22"/>
      <c r="FB227" s="22"/>
      <c r="FC227" s="22"/>
      <c r="FD227" s="22"/>
      <c r="FE227" s="22"/>
      <c r="FF227" s="22"/>
      <c r="FG227" s="22"/>
      <c r="FH227" s="22"/>
      <c r="FI227" s="22"/>
      <c r="FJ227" s="22"/>
      <c r="FK227" s="22"/>
      <c r="FL227" s="23" t="s">
        <v>821</v>
      </c>
      <c r="FM227" s="23" t="s">
        <v>283</v>
      </c>
      <c r="FN227" s="22"/>
      <c r="FO227" s="22"/>
      <c r="FP227" s="22"/>
      <c r="FQ227" s="22"/>
      <c r="FR227" s="22"/>
      <c r="FS227" s="22"/>
      <c r="FT227" s="22"/>
      <c r="FU227" s="22"/>
      <c r="FV227" s="22"/>
      <c r="FW227" s="22"/>
      <c r="FX227" s="22"/>
      <c r="FY227" s="22"/>
      <c r="FZ227" s="22"/>
      <c r="GA227" s="22"/>
      <c r="GB227" s="22"/>
      <c r="GC227" s="22"/>
      <c r="GD227" s="22"/>
      <c r="GE227" s="22"/>
      <c r="GF227" s="22"/>
      <c r="GG227" s="22"/>
      <c r="GH227" s="22"/>
      <c r="GI227" s="22"/>
      <c r="GJ227" s="22"/>
      <c r="GK227" s="22"/>
      <c r="GL227" s="22"/>
      <c r="GM227" s="22"/>
      <c r="GN227" s="22"/>
      <c r="GO227" s="22"/>
      <c r="GP227" s="22"/>
      <c r="GQ227" s="22"/>
      <c r="GR227" s="22"/>
      <c r="GS227" s="22"/>
      <c r="GT227" s="22"/>
      <c r="GU227" s="22"/>
      <c r="GV227" s="22"/>
      <c r="GW227" s="22"/>
      <c r="GX227" s="22"/>
      <c r="GY227" s="22"/>
      <c r="GZ227" s="22"/>
      <c r="HA227" s="22"/>
    </row>
    <row r="228" ht="23.25" customHeight="1">
      <c r="A228" s="29">
        <v>44659.69269679398</v>
      </c>
      <c r="B228" s="30" t="s">
        <v>6</v>
      </c>
      <c r="C228" s="20" t="s">
        <v>15</v>
      </c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0" t="s">
        <v>765</v>
      </c>
      <c r="BX228" s="30" t="s">
        <v>766</v>
      </c>
      <c r="BY228" s="22"/>
      <c r="BZ228" s="23" t="s">
        <v>159</v>
      </c>
      <c r="CA228" s="23" t="s">
        <v>881</v>
      </c>
      <c r="CB228" s="23" t="s">
        <v>456</v>
      </c>
      <c r="CC228" s="23" t="s">
        <v>882</v>
      </c>
      <c r="CD228" s="24">
        <v>43647.0</v>
      </c>
      <c r="CE228" s="24">
        <v>43678.0</v>
      </c>
      <c r="CF228" s="23">
        <v>79.0</v>
      </c>
      <c r="CG228" s="25" t="s">
        <v>883</v>
      </c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/>
      <c r="EG228" s="22"/>
      <c r="EH228" s="22"/>
      <c r="EI228" s="22"/>
      <c r="EJ228" s="22"/>
      <c r="EK228" s="22"/>
      <c r="EL228" s="22"/>
      <c r="EM228" s="22"/>
      <c r="EN228" s="22"/>
      <c r="EO228" s="22"/>
      <c r="EP228" s="22"/>
      <c r="EQ228" s="22"/>
      <c r="ER228" s="22"/>
      <c r="ES228" s="22"/>
      <c r="ET228" s="22"/>
      <c r="EU228" s="22"/>
      <c r="EV228" s="22"/>
      <c r="EW228" s="22"/>
      <c r="EX228" s="22"/>
      <c r="EY228" s="22"/>
      <c r="EZ228" s="22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3" t="s">
        <v>770</v>
      </c>
      <c r="FM228" s="23" t="s">
        <v>260</v>
      </c>
      <c r="FN228" s="22"/>
      <c r="FO228" s="22"/>
      <c r="FP228" s="22"/>
      <c r="FQ228" s="22"/>
      <c r="FR228" s="22"/>
      <c r="FS228" s="22"/>
      <c r="FT228" s="22"/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/>
      <c r="GO228" s="22"/>
      <c r="GP228" s="22"/>
      <c r="GQ228" s="22"/>
      <c r="GR228" s="22"/>
      <c r="GS228" s="22"/>
      <c r="GT228" s="22"/>
      <c r="GU228" s="22"/>
      <c r="GV228" s="22"/>
      <c r="GW228" s="22"/>
      <c r="GX228" s="22"/>
      <c r="GY228" s="22"/>
      <c r="GZ228" s="22"/>
      <c r="HA228" s="22"/>
    </row>
    <row r="229" ht="23.25" customHeight="1">
      <c r="A229" s="29">
        <v>44659.69363033565</v>
      </c>
      <c r="B229" s="30" t="s">
        <v>6</v>
      </c>
      <c r="C229" s="30" t="s">
        <v>12</v>
      </c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0" t="s">
        <v>859</v>
      </c>
      <c r="AO229" s="30" t="s">
        <v>860</v>
      </c>
      <c r="AP229" s="30" t="s">
        <v>884</v>
      </c>
      <c r="AQ229" s="30" t="s">
        <v>495</v>
      </c>
      <c r="AR229" s="32">
        <v>44561.0</v>
      </c>
      <c r="AS229" s="32">
        <v>44592.0</v>
      </c>
      <c r="AT229" s="30" t="s">
        <v>256</v>
      </c>
      <c r="AU229" s="30" t="s">
        <v>257</v>
      </c>
      <c r="AV229" s="30">
        <v>250.0</v>
      </c>
      <c r="AW229" s="33" t="s">
        <v>885</v>
      </c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/>
      <c r="EG229" s="22"/>
      <c r="EH229" s="22"/>
      <c r="EI229" s="22"/>
      <c r="EJ229" s="22"/>
      <c r="EK229" s="22"/>
      <c r="EL229" s="22"/>
      <c r="EM229" s="22"/>
      <c r="EN229" s="22"/>
      <c r="EO229" s="22"/>
      <c r="EP229" s="22"/>
      <c r="EQ229" s="22"/>
      <c r="ER229" s="22"/>
      <c r="ES229" s="22"/>
      <c r="ET229" s="22"/>
      <c r="EU229" s="22"/>
      <c r="EV229" s="22"/>
      <c r="EW229" s="22"/>
      <c r="EX229" s="22"/>
      <c r="EY229" s="22"/>
      <c r="EZ229" s="22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3" t="s">
        <v>865</v>
      </c>
      <c r="FM229" s="23" t="s">
        <v>260</v>
      </c>
      <c r="FN229" s="22"/>
      <c r="FO229" s="22"/>
      <c r="FP229" s="22"/>
      <c r="FQ229" s="22"/>
      <c r="FR229" s="22"/>
      <c r="FS229" s="22"/>
      <c r="FT229" s="22"/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/>
      <c r="GP229" s="22"/>
      <c r="GQ229" s="22"/>
      <c r="GR229" s="22"/>
      <c r="GS229" s="22"/>
      <c r="GT229" s="22"/>
      <c r="GU229" s="22"/>
      <c r="GV229" s="22"/>
      <c r="GW229" s="22"/>
      <c r="GX229" s="22"/>
      <c r="GY229" s="22"/>
      <c r="GZ229" s="22"/>
      <c r="HA229" s="22"/>
    </row>
    <row r="230" ht="23.25" customHeight="1">
      <c r="A230" s="29">
        <v>44659.69392952546</v>
      </c>
      <c r="B230" s="30" t="s">
        <v>6</v>
      </c>
      <c r="C230" s="20" t="s">
        <v>15</v>
      </c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0" t="s">
        <v>833</v>
      </c>
      <c r="BX230" s="30" t="s">
        <v>834</v>
      </c>
      <c r="BY230" s="22"/>
      <c r="BZ230" s="23" t="s">
        <v>159</v>
      </c>
      <c r="CA230" s="23" t="s">
        <v>886</v>
      </c>
      <c r="CB230" s="23" t="s">
        <v>456</v>
      </c>
      <c r="CC230" s="23" t="s">
        <v>310</v>
      </c>
      <c r="CD230" s="24">
        <v>43678.0</v>
      </c>
      <c r="CE230" s="24">
        <v>43739.0</v>
      </c>
      <c r="CF230" s="23">
        <v>90.0</v>
      </c>
      <c r="CG230" s="25" t="s">
        <v>887</v>
      </c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/>
      <c r="EG230" s="22"/>
      <c r="EH230" s="22"/>
      <c r="EI230" s="22"/>
      <c r="EJ230" s="22"/>
      <c r="EK230" s="22"/>
      <c r="EL230" s="22"/>
      <c r="EM230" s="22"/>
      <c r="EN230" s="22"/>
      <c r="EO230" s="22"/>
      <c r="EP230" s="22"/>
      <c r="EQ230" s="22"/>
      <c r="ER230" s="22"/>
      <c r="ES230" s="22"/>
      <c r="ET230" s="22"/>
      <c r="EU230" s="22"/>
      <c r="EV230" s="22"/>
      <c r="EW230" s="22"/>
      <c r="EX230" s="22"/>
      <c r="EY230" s="22"/>
      <c r="EZ230" s="22"/>
      <c r="FA230" s="22"/>
      <c r="FB230" s="22"/>
      <c r="FC230" s="22"/>
      <c r="FD230" s="22"/>
      <c r="FE230" s="22"/>
      <c r="FF230" s="22"/>
      <c r="FG230" s="22"/>
      <c r="FH230" s="22"/>
      <c r="FI230" s="22"/>
      <c r="FJ230" s="22"/>
      <c r="FK230" s="22"/>
      <c r="FL230" s="23" t="s">
        <v>837</v>
      </c>
      <c r="FM230" s="23" t="s">
        <v>260</v>
      </c>
      <c r="FN230" s="22"/>
      <c r="FO230" s="22"/>
      <c r="FP230" s="22"/>
      <c r="FQ230" s="22"/>
      <c r="FR230" s="22"/>
      <c r="FS230" s="22"/>
      <c r="FT230" s="22"/>
      <c r="FU230" s="22"/>
      <c r="FV230" s="22"/>
      <c r="FW230" s="22"/>
      <c r="FX230" s="22"/>
      <c r="FY230" s="22"/>
      <c r="FZ230" s="22"/>
      <c r="GA230" s="22"/>
      <c r="GB230" s="22"/>
      <c r="GC230" s="22"/>
      <c r="GD230" s="22"/>
      <c r="GE230" s="22"/>
      <c r="GF230" s="22"/>
      <c r="GG230" s="22"/>
      <c r="GH230" s="22"/>
      <c r="GI230" s="22"/>
      <c r="GJ230" s="22"/>
      <c r="GK230" s="22"/>
      <c r="GL230" s="22"/>
      <c r="GM230" s="22"/>
      <c r="GN230" s="22"/>
      <c r="GO230" s="22"/>
      <c r="GP230" s="22"/>
      <c r="GQ230" s="22"/>
      <c r="GR230" s="22"/>
      <c r="GS230" s="22"/>
      <c r="GT230" s="22"/>
      <c r="GU230" s="22"/>
      <c r="GV230" s="22"/>
      <c r="GW230" s="22"/>
      <c r="GX230" s="22"/>
      <c r="GY230" s="22"/>
      <c r="GZ230" s="22"/>
      <c r="HA230" s="22"/>
    </row>
    <row r="231" ht="23.25" customHeight="1">
      <c r="A231" s="29">
        <v>44659.69612438657</v>
      </c>
      <c r="B231" s="30" t="s">
        <v>6</v>
      </c>
      <c r="C231" s="30" t="s">
        <v>12</v>
      </c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0" t="s">
        <v>817</v>
      </c>
      <c r="AO231" s="30" t="s">
        <v>818</v>
      </c>
      <c r="AP231" s="30" t="s">
        <v>878</v>
      </c>
      <c r="AQ231" s="30" t="s">
        <v>495</v>
      </c>
      <c r="AR231" s="32">
        <v>44645.0</v>
      </c>
      <c r="AS231" s="32">
        <v>44676.0</v>
      </c>
      <c r="AT231" s="30" t="s">
        <v>257</v>
      </c>
      <c r="AU231" s="30" t="s">
        <v>257</v>
      </c>
      <c r="AV231" s="30">
        <v>0.0</v>
      </c>
      <c r="AW231" s="33" t="s">
        <v>888</v>
      </c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/>
      <c r="EG231" s="22"/>
      <c r="EH231" s="22"/>
      <c r="EI231" s="22"/>
      <c r="EJ231" s="22"/>
      <c r="EK231" s="22"/>
      <c r="EL231" s="22"/>
      <c r="EM231" s="22"/>
      <c r="EN231" s="22"/>
      <c r="EO231" s="22"/>
      <c r="EP231" s="22"/>
      <c r="EQ231" s="22"/>
      <c r="ER231" s="22"/>
      <c r="ES231" s="22"/>
      <c r="ET231" s="22"/>
      <c r="EU231" s="22"/>
      <c r="EV231" s="22"/>
      <c r="EW231" s="22"/>
      <c r="EX231" s="22"/>
      <c r="EY231" s="22"/>
      <c r="EZ231" s="22"/>
      <c r="FA231" s="22"/>
      <c r="FB231" s="22"/>
      <c r="FC231" s="22"/>
      <c r="FD231" s="22"/>
      <c r="FE231" s="22"/>
      <c r="FF231" s="22"/>
      <c r="FG231" s="22"/>
      <c r="FH231" s="22"/>
      <c r="FI231" s="22"/>
      <c r="FJ231" s="22"/>
      <c r="FK231" s="22"/>
      <c r="FL231" s="23" t="s">
        <v>821</v>
      </c>
      <c r="FM231" s="23" t="s">
        <v>260</v>
      </c>
      <c r="FN231" s="22"/>
      <c r="FO231" s="22"/>
      <c r="FP231" s="22"/>
      <c r="FQ231" s="22"/>
      <c r="FR231" s="22"/>
      <c r="FS231" s="22"/>
      <c r="FT231" s="22"/>
      <c r="FU231" s="22"/>
      <c r="FV231" s="22"/>
      <c r="FW231" s="22"/>
      <c r="FX231" s="22"/>
      <c r="FY231" s="22"/>
      <c r="FZ231" s="22"/>
      <c r="GA231" s="22"/>
      <c r="GB231" s="22"/>
      <c r="GC231" s="22"/>
      <c r="GD231" s="22"/>
      <c r="GE231" s="22"/>
      <c r="GF231" s="22"/>
      <c r="GG231" s="22"/>
      <c r="GH231" s="22"/>
      <c r="GI231" s="22"/>
      <c r="GJ231" s="22"/>
      <c r="GK231" s="22"/>
      <c r="GL231" s="22"/>
      <c r="GM231" s="22"/>
      <c r="GN231" s="22"/>
      <c r="GO231" s="22"/>
      <c r="GP231" s="22"/>
      <c r="GQ231" s="22"/>
      <c r="GR231" s="22"/>
      <c r="GS231" s="22"/>
      <c r="GT231" s="22"/>
      <c r="GU231" s="22"/>
      <c r="GV231" s="22"/>
      <c r="GW231" s="22"/>
      <c r="GX231" s="22"/>
      <c r="GY231" s="22"/>
      <c r="GZ231" s="22"/>
      <c r="HA231" s="22"/>
    </row>
    <row r="232" ht="23.25" customHeight="1">
      <c r="A232" s="29">
        <v>44659.69624060185</v>
      </c>
      <c r="B232" s="30" t="s">
        <v>6</v>
      </c>
      <c r="C232" s="30" t="s">
        <v>12</v>
      </c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0" t="s">
        <v>859</v>
      </c>
      <c r="AO232" s="30" t="s">
        <v>860</v>
      </c>
      <c r="AP232" s="30" t="s">
        <v>309</v>
      </c>
      <c r="AQ232" s="30" t="s">
        <v>510</v>
      </c>
      <c r="AR232" s="32">
        <v>44489.0</v>
      </c>
      <c r="AS232" s="32">
        <v>44561.0</v>
      </c>
      <c r="AT232" s="30" t="s">
        <v>257</v>
      </c>
      <c r="AU232" s="30" t="s">
        <v>257</v>
      </c>
      <c r="AV232" s="30">
        <v>0.0</v>
      </c>
      <c r="AW232" s="33" t="s">
        <v>889</v>
      </c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/>
      <c r="EG232" s="22"/>
      <c r="EH232" s="22"/>
      <c r="EI232" s="22"/>
      <c r="EJ232" s="22"/>
      <c r="EK232" s="22"/>
      <c r="EL232" s="22"/>
      <c r="EM232" s="22"/>
      <c r="EN232" s="22"/>
      <c r="EO232" s="22"/>
      <c r="EP232" s="22"/>
      <c r="EQ232" s="22"/>
      <c r="ER232" s="22"/>
      <c r="ES232" s="22"/>
      <c r="ET232" s="22"/>
      <c r="EU232" s="22"/>
      <c r="EV232" s="22"/>
      <c r="EW232" s="22"/>
      <c r="EX232" s="22"/>
      <c r="EY232" s="22"/>
      <c r="EZ232" s="22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3" t="s">
        <v>865</v>
      </c>
      <c r="FM232" s="23" t="s">
        <v>260</v>
      </c>
      <c r="FN232" s="22"/>
      <c r="FO232" s="22"/>
      <c r="FP232" s="22"/>
      <c r="FQ232" s="22"/>
      <c r="FR232" s="22"/>
      <c r="FS232" s="22"/>
      <c r="FT232" s="22"/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/>
      <c r="GO232" s="22"/>
      <c r="GP232" s="22"/>
      <c r="GQ232" s="22"/>
      <c r="GR232" s="22"/>
      <c r="GS232" s="22"/>
      <c r="GT232" s="22"/>
      <c r="GU232" s="22"/>
      <c r="GV232" s="22"/>
      <c r="GW232" s="22"/>
      <c r="GX232" s="22"/>
      <c r="GY232" s="22"/>
      <c r="GZ232" s="22"/>
      <c r="HA232" s="22"/>
    </row>
    <row r="233" ht="23.25" customHeight="1">
      <c r="A233" s="29">
        <v>44659.698829166664</v>
      </c>
      <c r="B233" s="30" t="s">
        <v>6</v>
      </c>
      <c r="C233" s="30" t="s">
        <v>12</v>
      </c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0" t="s">
        <v>859</v>
      </c>
      <c r="AO233" s="30" t="s">
        <v>860</v>
      </c>
      <c r="AP233" s="30" t="s">
        <v>890</v>
      </c>
      <c r="AQ233" s="30" t="s">
        <v>627</v>
      </c>
      <c r="AR233" s="32">
        <v>44532.0</v>
      </c>
      <c r="AS233" s="32">
        <v>44563.0</v>
      </c>
      <c r="AT233" s="30" t="s">
        <v>257</v>
      </c>
      <c r="AU233" s="30" t="s">
        <v>257</v>
      </c>
      <c r="AV233" s="30">
        <v>0.0</v>
      </c>
      <c r="AW233" s="33" t="s">
        <v>891</v>
      </c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/>
      <c r="EG233" s="22"/>
      <c r="EH233" s="22"/>
      <c r="EI233" s="22"/>
      <c r="EJ233" s="22"/>
      <c r="EK233" s="22"/>
      <c r="EL233" s="22"/>
      <c r="EM233" s="22"/>
      <c r="EN233" s="22"/>
      <c r="EO233" s="22"/>
      <c r="EP233" s="22"/>
      <c r="EQ233" s="22"/>
      <c r="ER233" s="22"/>
      <c r="ES233" s="22"/>
      <c r="ET233" s="22"/>
      <c r="EU233" s="22"/>
      <c r="EV233" s="22"/>
      <c r="EW233" s="22"/>
      <c r="EX233" s="22"/>
      <c r="EY233" s="22"/>
      <c r="EZ233" s="22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3" t="s">
        <v>865</v>
      </c>
      <c r="FM233" s="23" t="s">
        <v>260</v>
      </c>
      <c r="FN233" s="22"/>
      <c r="FO233" s="22"/>
      <c r="FP233" s="22"/>
      <c r="FQ233" s="22"/>
      <c r="FR233" s="22"/>
      <c r="FS233" s="22"/>
      <c r="FT233" s="22"/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/>
      <c r="GP233" s="22"/>
      <c r="GQ233" s="22"/>
      <c r="GR233" s="22"/>
      <c r="GS233" s="22"/>
      <c r="GT233" s="22"/>
      <c r="GU233" s="22"/>
      <c r="GV233" s="22"/>
      <c r="GW233" s="22"/>
      <c r="GX233" s="22"/>
      <c r="GY233" s="22"/>
      <c r="GZ233" s="22"/>
      <c r="HA233" s="22"/>
    </row>
    <row r="234" ht="23.25" customHeight="1">
      <c r="A234" s="29">
        <v>44659.69952515046</v>
      </c>
      <c r="B234" s="30" t="s">
        <v>6</v>
      </c>
      <c r="C234" s="30" t="s">
        <v>13</v>
      </c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0" t="s">
        <v>817</v>
      </c>
      <c r="AY234" s="30" t="s">
        <v>818</v>
      </c>
      <c r="AZ234" s="30" t="s">
        <v>422</v>
      </c>
      <c r="BA234" s="30" t="s">
        <v>500</v>
      </c>
      <c r="BB234" s="30" t="s">
        <v>320</v>
      </c>
      <c r="BC234" s="32">
        <v>44479.0</v>
      </c>
      <c r="BD234" s="32">
        <v>44561.0</v>
      </c>
      <c r="BE234" s="32">
        <v>44561.0</v>
      </c>
      <c r="BF234" s="30">
        <v>100.0</v>
      </c>
      <c r="BG234" s="30" t="s">
        <v>583</v>
      </c>
      <c r="BH234" s="33" t="s">
        <v>892</v>
      </c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/>
      <c r="EG234" s="22"/>
      <c r="EH234" s="22"/>
      <c r="EI234" s="22"/>
      <c r="EJ234" s="22"/>
      <c r="EK234" s="22"/>
      <c r="EL234" s="22"/>
      <c r="EM234" s="22"/>
      <c r="EN234" s="22"/>
      <c r="EO234" s="22"/>
      <c r="EP234" s="22"/>
      <c r="EQ234" s="22"/>
      <c r="ER234" s="22"/>
      <c r="ES234" s="22"/>
      <c r="ET234" s="22"/>
      <c r="EU234" s="22"/>
      <c r="EV234" s="22"/>
      <c r="EW234" s="22"/>
      <c r="EX234" s="22"/>
      <c r="EY234" s="22"/>
      <c r="EZ234" s="22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3" t="s">
        <v>821</v>
      </c>
      <c r="FM234" s="23" t="s">
        <v>278</v>
      </c>
      <c r="FN234" s="22"/>
      <c r="FO234" s="22"/>
      <c r="FP234" s="22"/>
      <c r="FQ234" s="22"/>
      <c r="FR234" s="22"/>
      <c r="FS234" s="22"/>
      <c r="FT234" s="22"/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/>
      <c r="GP234" s="22"/>
      <c r="GQ234" s="22"/>
      <c r="GR234" s="22"/>
      <c r="GS234" s="22"/>
      <c r="GT234" s="22"/>
      <c r="GU234" s="22"/>
      <c r="GV234" s="22"/>
      <c r="GW234" s="22"/>
      <c r="GX234" s="22"/>
      <c r="GY234" s="22"/>
      <c r="GZ234" s="22"/>
      <c r="HA234" s="22"/>
    </row>
    <row r="235" ht="23.25" customHeight="1">
      <c r="A235" s="29">
        <v>44659.7020175463</v>
      </c>
      <c r="B235" s="30" t="s">
        <v>6</v>
      </c>
      <c r="C235" s="30" t="s">
        <v>12</v>
      </c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0" t="s">
        <v>859</v>
      </c>
      <c r="AO235" s="30" t="s">
        <v>860</v>
      </c>
      <c r="AP235" s="30" t="s">
        <v>893</v>
      </c>
      <c r="AQ235" s="30" t="s">
        <v>320</v>
      </c>
      <c r="AR235" s="32">
        <v>44620.0</v>
      </c>
      <c r="AS235" s="32">
        <v>44681.0</v>
      </c>
      <c r="AT235" s="30" t="s">
        <v>256</v>
      </c>
      <c r="AU235" s="30" t="s">
        <v>257</v>
      </c>
      <c r="AV235" s="30">
        <v>0.0</v>
      </c>
      <c r="AW235" s="33" t="s">
        <v>894</v>
      </c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/>
      <c r="EG235" s="22"/>
      <c r="EH235" s="22"/>
      <c r="EI235" s="22"/>
      <c r="EJ235" s="22"/>
      <c r="EK235" s="22"/>
      <c r="EL235" s="22"/>
      <c r="EM235" s="22"/>
      <c r="EN235" s="22"/>
      <c r="EO235" s="22"/>
      <c r="EP235" s="22"/>
      <c r="EQ235" s="22"/>
      <c r="ER235" s="22"/>
      <c r="ES235" s="22"/>
      <c r="ET235" s="22"/>
      <c r="EU235" s="22"/>
      <c r="EV235" s="22"/>
      <c r="EW235" s="22"/>
      <c r="EX235" s="22"/>
      <c r="EY235" s="22"/>
      <c r="EZ235" s="22"/>
      <c r="FA235" s="22"/>
      <c r="FB235" s="22"/>
      <c r="FC235" s="22"/>
      <c r="FD235" s="22"/>
      <c r="FE235" s="22"/>
      <c r="FF235" s="22"/>
      <c r="FG235" s="22"/>
      <c r="FH235" s="22"/>
      <c r="FI235" s="22"/>
      <c r="FJ235" s="22"/>
      <c r="FK235" s="22"/>
      <c r="FL235" s="23" t="s">
        <v>865</v>
      </c>
      <c r="FM235" s="23" t="s">
        <v>260</v>
      </c>
      <c r="FN235" s="22"/>
      <c r="FO235" s="22"/>
      <c r="FP235" s="22"/>
      <c r="FQ235" s="22"/>
      <c r="FR235" s="22"/>
      <c r="FS235" s="22"/>
      <c r="FT235" s="22"/>
      <c r="FU235" s="22"/>
      <c r="FV235" s="22"/>
      <c r="FW235" s="22"/>
      <c r="FX235" s="22"/>
      <c r="FY235" s="22"/>
      <c r="FZ235" s="22"/>
      <c r="GA235" s="22"/>
      <c r="GB235" s="22"/>
      <c r="GC235" s="22"/>
      <c r="GD235" s="22"/>
      <c r="GE235" s="22"/>
      <c r="GF235" s="22"/>
      <c r="GG235" s="22"/>
      <c r="GH235" s="22"/>
      <c r="GI235" s="22"/>
      <c r="GJ235" s="22"/>
      <c r="GK235" s="22"/>
      <c r="GL235" s="22"/>
      <c r="GM235" s="22"/>
      <c r="GN235" s="22"/>
      <c r="GO235" s="22"/>
      <c r="GP235" s="22"/>
      <c r="GQ235" s="22"/>
      <c r="GR235" s="22"/>
      <c r="GS235" s="22"/>
      <c r="GT235" s="22"/>
      <c r="GU235" s="22"/>
      <c r="GV235" s="22"/>
      <c r="GW235" s="22"/>
      <c r="GX235" s="22"/>
      <c r="GY235" s="22"/>
      <c r="GZ235" s="22"/>
      <c r="HA235" s="22"/>
    </row>
    <row r="236" ht="23.25" customHeight="1">
      <c r="A236" s="29">
        <v>44659.70221854167</v>
      </c>
      <c r="B236" s="30" t="s">
        <v>6</v>
      </c>
      <c r="C236" s="30" t="s">
        <v>12</v>
      </c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0" t="s">
        <v>817</v>
      </c>
      <c r="AO236" s="30" t="s">
        <v>818</v>
      </c>
      <c r="AP236" s="30" t="s">
        <v>309</v>
      </c>
      <c r="AQ236" s="30" t="s">
        <v>320</v>
      </c>
      <c r="AR236" s="32">
        <v>44479.0</v>
      </c>
      <c r="AS236" s="32">
        <v>44560.0</v>
      </c>
      <c r="AT236" s="30" t="s">
        <v>257</v>
      </c>
      <c r="AU236" s="30" t="s">
        <v>257</v>
      </c>
      <c r="AV236" s="30">
        <v>0.0</v>
      </c>
      <c r="AW236" s="33" t="s">
        <v>895</v>
      </c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/>
      <c r="EG236" s="22"/>
      <c r="EH236" s="22"/>
      <c r="EI236" s="22"/>
      <c r="EJ236" s="22"/>
      <c r="EK236" s="22"/>
      <c r="EL236" s="22"/>
      <c r="EM236" s="22"/>
      <c r="EN236" s="22"/>
      <c r="EO236" s="22"/>
      <c r="EP236" s="22"/>
      <c r="EQ236" s="22"/>
      <c r="ER236" s="22"/>
      <c r="ES236" s="22"/>
      <c r="ET236" s="22"/>
      <c r="EU236" s="22"/>
      <c r="EV236" s="22"/>
      <c r="EW236" s="22"/>
      <c r="EX236" s="22"/>
      <c r="EY236" s="22"/>
      <c r="EZ236" s="22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3" t="s">
        <v>821</v>
      </c>
      <c r="FM236" s="23" t="s">
        <v>278</v>
      </c>
      <c r="FN236" s="22"/>
      <c r="FO236" s="22"/>
      <c r="FP236" s="22"/>
      <c r="FQ236" s="22"/>
      <c r="FR236" s="22"/>
      <c r="FS236" s="22"/>
      <c r="FT236" s="22"/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/>
      <c r="GO236" s="22"/>
      <c r="GP236" s="22"/>
      <c r="GQ236" s="22"/>
      <c r="GR236" s="22"/>
      <c r="GS236" s="22"/>
      <c r="GT236" s="22"/>
      <c r="GU236" s="22"/>
      <c r="GV236" s="22"/>
      <c r="GW236" s="22"/>
      <c r="GX236" s="22"/>
      <c r="GY236" s="22"/>
      <c r="GZ236" s="22"/>
      <c r="HA236" s="22"/>
    </row>
    <row r="237" ht="23.25" customHeight="1">
      <c r="A237" s="29">
        <v>44659.70912783565</v>
      </c>
      <c r="B237" s="30" t="s">
        <v>6</v>
      </c>
      <c r="C237" s="30" t="s">
        <v>13</v>
      </c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0" t="s">
        <v>817</v>
      </c>
      <c r="AY237" s="30" t="s">
        <v>818</v>
      </c>
      <c r="AZ237" s="30" t="s">
        <v>896</v>
      </c>
      <c r="BA237" s="30" t="s">
        <v>897</v>
      </c>
      <c r="BB237" s="30" t="s">
        <v>495</v>
      </c>
      <c r="BC237" s="32">
        <v>44371.0</v>
      </c>
      <c r="BD237" s="32">
        <v>44401.0</v>
      </c>
      <c r="BE237" s="32">
        <v>44401.0</v>
      </c>
      <c r="BF237" s="30">
        <v>100.0</v>
      </c>
      <c r="BG237" s="30" t="s">
        <v>559</v>
      </c>
      <c r="BH237" s="33" t="s">
        <v>898</v>
      </c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/>
      <c r="EG237" s="22"/>
      <c r="EH237" s="22"/>
      <c r="EI237" s="22"/>
      <c r="EJ237" s="22"/>
      <c r="EK237" s="22"/>
      <c r="EL237" s="22"/>
      <c r="EM237" s="22"/>
      <c r="EN237" s="22"/>
      <c r="EO237" s="22"/>
      <c r="EP237" s="22"/>
      <c r="EQ237" s="22"/>
      <c r="ER237" s="22"/>
      <c r="ES237" s="22"/>
      <c r="ET237" s="22"/>
      <c r="EU237" s="22"/>
      <c r="EV237" s="22"/>
      <c r="EW237" s="22"/>
      <c r="EX237" s="22"/>
      <c r="EY237" s="22"/>
      <c r="EZ237" s="22"/>
      <c r="FA237" s="22"/>
      <c r="FB237" s="22"/>
      <c r="FC237" s="22"/>
      <c r="FD237" s="22"/>
      <c r="FE237" s="22"/>
      <c r="FF237" s="22"/>
      <c r="FG237" s="22"/>
      <c r="FH237" s="22"/>
      <c r="FI237" s="22"/>
      <c r="FJ237" s="22"/>
      <c r="FK237" s="22"/>
      <c r="FL237" s="23" t="s">
        <v>821</v>
      </c>
      <c r="FM237" s="23" t="s">
        <v>283</v>
      </c>
      <c r="FN237" s="22"/>
      <c r="FO237" s="22"/>
      <c r="FP237" s="22"/>
      <c r="FQ237" s="22"/>
      <c r="FR237" s="22"/>
      <c r="FS237" s="22"/>
      <c r="FT237" s="22"/>
      <c r="FU237" s="22"/>
      <c r="FV237" s="22"/>
      <c r="FW237" s="22"/>
      <c r="FX237" s="22"/>
      <c r="FY237" s="22"/>
      <c r="FZ237" s="22"/>
      <c r="GA237" s="22"/>
      <c r="GB237" s="22"/>
      <c r="GC237" s="22"/>
      <c r="GD237" s="22"/>
      <c r="GE237" s="22"/>
      <c r="GF237" s="22"/>
      <c r="GG237" s="22"/>
      <c r="GH237" s="22"/>
      <c r="GI237" s="22"/>
      <c r="GJ237" s="22"/>
      <c r="GK237" s="22"/>
      <c r="GL237" s="22"/>
      <c r="GM237" s="22"/>
      <c r="GN237" s="22"/>
      <c r="GO237" s="22"/>
      <c r="GP237" s="22"/>
      <c r="GQ237" s="22"/>
      <c r="GR237" s="22"/>
      <c r="GS237" s="22"/>
      <c r="GT237" s="22"/>
      <c r="GU237" s="22"/>
      <c r="GV237" s="22"/>
      <c r="GW237" s="22"/>
      <c r="GX237" s="22"/>
      <c r="GY237" s="22"/>
      <c r="GZ237" s="22"/>
      <c r="HA237" s="22"/>
    </row>
    <row r="238" ht="23.25" customHeight="1">
      <c r="A238" s="29">
        <v>44659.709379259264</v>
      </c>
      <c r="B238" s="30" t="s">
        <v>6</v>
      </c>
      <c r="C238" s="30" t="s">
        <v>14</v>
      </c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0" t="s">
        <v>833</v>
      </c>
      <c r="BJ238" s="30" t="s">
        <v>834</v>
      </c>
      <c r="BK238" s="30" t="s">
        <v>313</v>
      </c>
      <c r="BL238" s="30" t="s">
        <v>172</v>
      </c>
      <c r="BM238" s="30" t="s">
        <v>899</v>
      </c>
      <c r="BN238" s="30">
        <v>1.0</v>
      </c>
      <c r="BO238" s="32">
        <v>44469.0</v>
      </c>
      <c r="BP238" s="32">
        <v>44469.0</v>
      </c>
      <c r="BQ238" s="30" t="s">
        <v>900</v>
      </c>
      <c r="BR238" s="30" t="s">
        <v>901</v>
      </c>
      <c r="BS238" s="30" t="s">
        <v>155</v>
      </c>
      <c r="BT238" s="30" t="s">
        <v>156</v>
      </c>
      <c r="BU238" s="31"/>
      <c r="BV238" s="33" t="s">
        <v>902</v>
      </c>
      <c r="BW238" s="31"/>
      <c r="BX238" s="31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/>
      <c r="EG238" s="22"/>
      <c r="EH238" s="22"/>
      <c r="EI238" s="22"/>
      <c r="EJ238" s="22"/>
      <c r="EK238" s="22"/>
      <c r="EL238" s="22"/>
      <c r="EM238" s="22"/>
      <c r="EN238" s="22"/>
      <c r="EO238" s="22"/>
      <c r="EP238" s="22"/>
      <c r="EQ238" s="22"/>
      <c r="ER238" s="22"/>
      <c r="ES238" s="22"/>
      <c r="ET238" s="22"/>
      <c r="EU238" s="22"/>
      <c r="EV238" s="22"/>
      <c r="EW238" s="22"/>
      <c r="EX238" s="22"/>
      <c r="EY238" s="22"/>
      <c r="EZ238" s="22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3" t="s">
        <v>837</v>
      </c>
      <c r="FM238" s="23" t="s">
        <v>260</v>
      </c>
      <c r="FN238" s="22"/>
      <c r="FO238" s="22"/>
      <c r="FP238" s="22"/>
      <c r="FQ238" s="22"/>
      <c r="FR238" s="22"/>
      <c r="FS238" s="22"/>
      <c r="FT238" s="22"/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/>
      <c r="GO238" s="22"/>
      <c r="GP238" s="22"/>
      <c r="GQ238" s="22"/>
      <c r="GR238" s="22"/>
      <c r="GS238" s="22"/>
      <c r="GT238" s="22"/>
      <c r="GU238" s="22"/>
      <c r="GV238" s="22"/>
      <c r="GW238" s="22"/>
      <c r="GX238" s="22"/>
      <c r="GY238" s="22"/>
      <c r="GZ238" s="22"/>
      <c r="HA238" s="22"/>
    </row>
    <row r="239" ht="23.25" customHeight="1">
      <c r="A239" s="29">
        <v>44659.71197395833</v>
      </c>
      <c r="B239" s="30" t="s">
        <v>6</v>
      </c>
      <c r="C239" s="30" t="s">
        <v>14</v>
      </c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0" t="s">
        <v>817</v>
      </c>
      <c r="BJ239" s="30" t="s">
        <v>818</v>
      </c>
      <c r="BK239" s="30" t="s">
        <v>313</v>
      </c>
      <c r="BL239" s="30" t="s">
        <v>172</v>
      </c>
      <c r="BM239" s="30" t="s">
        <v>903</v>
      </c>
      <c r="BN239" s="30">
        <v>1.0</v>
      </c>
      <c r="BO239" s="32">
        <v>44568.0</v>
      </c>
      <c r="BP239" s="32">
        <v>44568.0</v>
      </c>
      <c r="BQ239" s="30" t="s">
        <v>904</v>
      </c>
      <c r="BR239" s="30" t="s">
        <v>905</v>
      </c>
      <c r="BS239" s="30" t="s">
        <v>176</v>
      </c>
      <c r="BT239" s="30" t="s">
        <v>156</v>
      </c>
      <c r="BU239" s="31"/>
      <c r="BV239" s="33" t="s">
        <v>906</v>
      </c>
      <c r="BW239" s="31"/>
      <c r="BX239" s="31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/>
      <c r="EG239" s="22"/>
      <c r="EH239" s="22"/>
      <c r="EI239" s="22"/>
      <c r="EJ239" s="22"/>
      <c r="EK239" s="22"/>
      <c r="EL239" s="22"/>
      <c r="EM239" s="22"/>
      <c r="EN239" s="22"/>
      <c r="EO239" s="22"/>
      <c r="EP239" s="22"/>
      <c r="EQ239" s="22"/>
      <c r="ER239" s="22"/>
      <c r="ES239" s="22"/>
      <c r="ET239" s="22"/>
      <c r="EU239" s="22"/>
      <c r="EV239" s="22"/>
      <c r="EW239" s="22"/>
      <c r="EX239" s="22"/>
      <c r="EY239" s="22"/>
      <c r="EZ239" s="22"/>
      <c r="FA239" s="22"/>
      <c r="FB239" s="22"/>
      <c r="FC239" s="22"/>
      <c r="FD239" s="22"/>
      <c r="FE239" s="22"/>
      <c r="FF239" s="22"/>
      <c r="FG239" s="22"/>
      <c r="FH239" s="22"/>
      <c r="FI239" s="22"/>
      <c r="FJ239" s="22"/>
      <c r="FK239" s="22"/>
      <c r="FL239" s="23" t="s">
        <v>821</v>
      </c>
      <c r="FM239" s="23" t="s">
        <v>278</v>
      </c>
      <c r="FN239" s="22"/>
      <c r="FO239" s="22"/>
      <c r="FP239" s="22"/>
      <c r="FQ239" s="22"/>
      <c r="FR239" s="22"/>
      <c r="FS239" s="22"/>
      <c r="FT239" s="22"/>
      <c r="FU239" s="22"/>
      <c r="FV239" s="22"/>
      <c r="FW239" s="22"/>
      <c r="FX239" s="22"/>
      <c r="FY239" s="22"/>
      <c r="FZ239" s="22"/>
      <c r="GA239" s="22"/>
      <c r="GB239" s="22"/>
      <c r="GC239" s="22"/>
      <c r="GD239" s="22"/>
      <c r="GE239" s="22"/>
      <c r="GF239" s="22"/>
      <c r="GG239" s="22"/>
      <c r="GH239" s="22"/>
      <c r="GI239" s="22"/>
      <c r="GJ239" s="22"/>
      <c r="GK239" s="22"/>
      <c r="GL239" s="22"/>
      <c r="GM239" s="22"/>
      <c r="GN239" s="22"/>
      <c r="GO239" s="22"/>
      <c r="GP239" s="22"/>
      <c r="GQ239" s="22"/>
      <c r="GR239" s="22"/>
      <c r="GS239" s="22"/>
      <c r="GT239" s="22"/>
      <c r="GU239" s="22"/>
      <c r="GV239" s="22"/>
      <c r="GW239" s="22"/>
      <c r="GX239" s="22"/>
      <c r="GY239" s="22"/>
      <c r="GZ239" s="22"/>
      <c r="HA239" s="22"/>
    </row>
    <row r="240" ht="23.25" customHeight="1">
      <c r="A240" s="29">
        <v>44659.71279762732</v>
      </c>
      <c r="B240" s="30" t="s">
        <v>6</v>
      </c>
      <c r="C240" s="30" t="s">
        <v>13</v>
      </c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0" t="s">
        <v>859</v>
      </c>
      <c r="AY240" s="30" t="s">
        <v>860</v>
      </c>
      <c r="AZ240" s="30" t="s">
        <v>767</v>
      </c>
      <c r="BA240" s="30" t="s">
        <v>337</v>
      </c>
      <c r="BB240" s="30" t="s">
        <v>450</v>
      </c>
      <c r="BC240" s="32">
        <v>43515.0</v>
      </c>
      <c r="BD240" s="32">
        <v>43964.0</v>
      </c>
      <c r="BE240" s="32">
        <v>43964.0</v>
      </c>
      <c r="BF240" s="30">
        <v>90.0</v>
      </c>
      <c r="BG240" s="30" t="s">
        <v>768</v>
      </c>
      <c r="BH240" s="33" t="s">
        <v>907</v>
      </c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/>
      <c r="EG240" s="22"/>
      <c r="EH240" s="22"/>
      <c r="EI240" s="22"/>
      <c r="EJ240" s="22"/>
      <c r="EK240" s="22"/>
      <c r="EL240" s="22"/>
      <c r="EM240" s="22"/>
      <c r="EN240" s="22"/>
      <c r="EO240" s="22"/>
      <c r="EP240" s="22"/>
      <c r="EQ240" s="22"/>
      <c r="ER240" s="22"/>
      <c r="ES240" s="22"/>
      <c r="ET240" s="22"/>
      <c r="EU240" s="22"/>
      <c r="EV240" s="22"/>
      <c r="EW240" s="22"/>
      <c r="EX240" s="22"/>
      <c r="EY240" s="22"/>
      <c r="EZ240" s="22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3" t="s">
        <v>865</v>
      </c>
      <c r="FM240" s="23" t="s">
        <v>260</v>
      </c>
      <c r="FN240" s="22"/>
      <c r="FO240" s="22"/>
      <c r="FP240" s="22"/>
      <c r="FQ240" s="22"/>
      <c r="FR240" s="22"/>
      <c r="FS240" s="22"/>
      <c r="FT240" s="22"/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/>
      <c r="GO240" s="22"/>
      <c r="GP240" s="22"/>
      <c r="GQ240" s="22"/>
      <c r="GR240" s="22"/>
      <c r="GS240" s="22"/>
      <c r="GT240" s="22"/>
      <c r="GU240" s="22"/>
      <c r="GV240" s="22"/>
      <c r="GW240" s="22"/>
      <c r="GX240" s="22"/>
      <c r="GY240" s="22"/>
      <c r="GZ240" s="22"/>
      <c r="HA240" s="22"/>
    </row>
    <row r="241" ht="23.25" customHeight="1">
      <c r="A241" s="29">
        <v>44659.714033344906</v>
      </c>
      <c r="B241" s="30" t="s">
        <v>6</v>
      </c>
      <c r="C241" s="30" t="s">
        <v>14</v>
      </c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0" t="s">
        <v>817</v>
      </c>
      <c r="BJ241" s="30" t="s">
        <v>818</v>
      </c>
      <c r="BK241" s="30" t="s">
        <v>313</v>
      </c>
      <c r="BL241" s="30" t="s">
        <v>172</v>
      </c>
      <c r="BM241" s="30" t="s">
        <v>908</v>
      </c>
      <c r="BN241" s="30">
        <v>1.0</v>
      </c>
      <c r="BO241" s="32">
        <v>44568.0</v>
      </c>
      <c r="BP241" s="32">
        <v>44568.0</v>
      </c>
      <c r="BQ241" s="30" t="s">
        <v>904</v>
      </c>
      <c r="BR241" s="30" t="s">
        <v>905</v>
      </c>
      <c r="BS241" s="30" t="s">
        <v>176</v>
      </c>
      <c r="BT241" s="30" t="s">
        <v>156</v>
      </c>
      <c r="BU241" s="31"/>
      <c r="BV241" s="33" t="s">
        <v>909</v>
      </c>
      <c r="BW241" s="31"/>
      <c r="BX241" s="31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/>
      <c r="EG241" s="22"/>
      <c r="EH241" s="22"/>
      <c r="EI241" s="22"/>
      <c r="EJ241" s="22"/>
      <c r="EK241" s="22"/>
      <c r="EL241" s="22"/>
      <c r="EM241" s="22"/>
      <c r="EN241" s="22"/>
      <c r="EO241" s="22"/>
      <c r="EP241" s="22"/>
      <c r="EQ241" s="22"/>
      <c r="ER241" s="22"/>
      <c r="ES241" s="22"/>
      <c r="ET241" s="22"/>
      <c r="EU241" s="22"/>
      <c r="EV241" s="22"/>
      <c r="EW241" s="22"/>
      <c r="EX241" s="22"/>
      <c r="EY241" s="22"/>
      <c r="EZ241" s="22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3" t="s">
        <v>821</v>
      </c>
      <c r="FM241" s="23" t="s">
        <v>278</v>
      </c>
      <c r="FN241" s="22"/>
      <c r="FO241" s="22"/>
      <c r="FP241" s="22"/>
      <c r="FQ241" s="22"/>
      <c r="FR241" s="22"/>
      <c r="FS241" s="22"/>
      <c r="FT241" s="22"/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/>
      <c r="GO241" s="22"/>
      <c r="GP241" s="22"/>
      <c r="GQ241" s="22"/>
      <c r="GR241" s="22"/>
      <c r="GS241" s="22"/>
      <c r="GT241" s="22"/>
      <c r="GU241" s="22"/>
      <c r="GV241" s="22"/>
      <c r="GW241" s="22"/>
      <c r="GX241" s="22"/>
      <c r="GY241" s="22"/>
      <c r="GZ241" s="22"/>
      <c r="HA241" s="22"/>
    </row>
    <row r="242" ht="23.25" customHeight="1">
      <c r="A242" s="29">
        <v>44659.715472199074</v>
      </c>
      <c r="B242" s="30" t="s">
        <v>6</v>
      </c>
      <c r="C242" s="30" t="s">
        <v>13</v>
      </c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0" t="s">
        <v>859</v>
      </c>
      <c r="AY242" s="30" t="s">
        <v>860</v>
      </c>
      <c r="AZ242" s="30" t="s">
        <v>775</v>
      </c>
      <c r="BA242" s="30" t="s">
        <v>337</v>
      </c>
      <c r="BB242" s="30" t="s">
        <v>510</v>
      </c>
      <c r="BC242" s="32">
        <v>43929.0</v>
      </c>
      <c r="BD242" s="32">
        <v>43991.0</v>
      </c>
      <c r="BE242" s="32">
        <v>43991.0</v>
      </c>
      <c r="BF242" s="30">
        <v>90.0</v>
      </c>
      <c r="BG242" s="30" t="s">
        <v>768</v>
      </c>
      <c r="BH242" s="33" t="s">
        <v>910</v>
      </c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3" t="s">
        <v>865</v>
      </c>
      <c r="FM242" s="23" t="s">
        <v>260</v>
      </c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</row>
    <row r="243" ht="23.25" customHeight="1">
      <c r="A243" s="29">
        <v>44659.71582916667</v>
      </c>
      <c r="B243" s="30" t="s">
        <v>6</v>
      </c>
      <c r="C243" s="30" t="s">
        <v>14</v>
      </c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0" t="s">
        <v>817</v>
      </c>
      <c r="BJ243" s="30" t="s">
        <v>818</v>
      </c>
      <c r="BK243" s="30" t="s">
        <v>313</v>
      </c>
      <c r="BL243" s="30" t="s">
        <v>172</v>
      </c>
      <c r="BM243" s="30" t="s">
        <v>911</v>
      </c>
      <c r="BN243" s="30">
        <v>1.0</v>
      </c>
      <c r="BO243" s="32">
        <v>44574.0</v>
      </c>
      <c r="BP243" s="32">
        <v>44574.0</v>
      </c>
      <c r="BQ243" s="30" t="s">
        <v>904</v>
      </c>
      <c r="BR243" s="30" t="s">
        <v>905</v>
      </c>
      <c r="BS243" s="30" t="s">
        <v>176</v>
      </c>
      <c r="BT243" s="30" t="s">
        <v>156</v>
      </c>
      <c r="BU243" s="31"/>
      <c r="BV243" s="33" t="s">
        <v>912</v>
      </c>
      <c r="BW243" s="31"/>
      <c r="BX243" s="31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/>
      <c r="EG243" s="22"/>
      <c r="EH243" s="22"/>
      <c r="EI243" s="22"/>
      <c r="EJ243" s="22"/>
      <c r="EK243" s="22"/>
      <c r="EL243" s="22"/>
      <c r="EM243" s="22"/>
      <c r="EN243" s="22"/>
      <c r="EO243" s="22"/>
      <c r="EP243" s="22"/>
      <c r="EQ243" s="22"/>
      <c r="ER243" s="22"/>
      <c r="ES243" s="22"/>
      <c r="ET243" s="22"/>
      <c r="EU243" s="22"/>
      <c r="EV243" s="22"/>
      <c r="EW243" s="22"/>
      <c r="EX243" s="22"/>
      <c r="EY243" s="22"/>
      <c r="EZ243" s="22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3" t="s">
        <v>821</v>
      </c>
      <c r="FM243" s="23" t="s">
        <v>278</v>
      </c>
      <c r="FN243" s="22"/>
      <c r="FO243" s="22"/>
      <c r="FP243" s="22"/>
      <c r="FQ243" s="22"/>
      <c r="FR243" s="22"/>
      <c r="FS243" s="22"/>
      <c r="FT243" s="22"/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/>
      <c r="GO243" s="22"/>
      <c r="GP243" s="22"/>
      <c r="GQ243" s="22"/>
      <c r="GR243" s="22"/>
      <c r="GS243" s="22"/>
      <c r="GT243" s="22"/>
      <c r="GU243" s="22"/>
      <c r="GV243" s="22"/>
      <c r="GW243" s="22"/>
      <c r="GX243" s="22"/>
      <c r="GY243" s="22"/>
      <c r="GZ243" s="22"/>
      <c r="HA243" s="22"/>
    </row>
    <row r="244" ht="23.25" customHeight="1">
      <c r="A244" s="29">
        <v>44659.717306307866</v>
      </c>
      <c r="B244" s="30" t="s">
        <v>6</v>
      </c>
      <c r="C244" s="30" t="s">
        <v>13</v>
      </c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0" t="s">
        <v>859</v>
      </c>
      <c r="AY244" s="30" t="s">
        <v>860</v>
      </c>
      <c r="AZ244" s="30" t="s">
        <v>778</v>
      </c>
      <c r="BA244" s="30" t="s">
        <v>377</v>
      </c>
      <c r="BB244" s="30" t="s">
        <v>627</v>
      </c>
      <c r="BC244" s="32">
        <v>43994.0</v>
      </c>
      <c r="BD244" s="32">
        <v>44024.0</v>
      </c>
      <c r="BE244" s="32">
        <v>44024.0</v>
      </c>
      <c r="BF244" s="30">
        <v>94.0</v>
      </c>
      <c r="BG244" s="30" t="s">
        <v>768</v>
      </c>
      <c r="BH244" s="33" t="s">
        <v>913</v>
      </c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/>
      <c r="EG244" s="22"/>
      <c r="EH244" s="22"/>
      <c r="EI244" s="22"/>
      <c r="EJ244" s="22"/>
      <c r="EK244" s="22"/>
      <c r="EL244" s="22"/>
      <c r="EM244" s="22"/>
      <c r="EN244" s="22"/>
      <c r="EO244" s="22"/>
      <c r="EP244" s="22"/>
      <c r="EQ244" s="22"/>
      <c r="ER244" s="22"/>
      <c r="ES244" s="22"/>
      <c r="ET244" s="22"/>
      <c r="EU244" s="22"/>
      <c r="EV244" s="22"/>
      <c r="EW244" s="22"/>
      <c r="EX244" s="22"/>
      <c r="EY244" s="22"/>
      <c r="EZ244" s="22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3" t="s">
        <v>865</v>
      </c>
      <c r="FM244" s="23" t="s">
        <v>260</v>
      </c>
      <c r="FN244" s="22"/>
      <c r="FO244" s="22"/>
      <c r="FP244" s="22"/>
      <c r="FQ244" s="22"/>
      <c r="FR244" s="22"/>
      <c r="FS244" s="22"/>
      <c r="FT244" s="22"/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/>
      <c r="GO244" s="22"/>
      <c r="GP244" s="22"/>
      <c r="GQ244" s="22"/>
      <c r="GR244" s="22"/>
      <c r="GS244" s="22"/>
      <c r="GT244" s="22"/>
      <c r="GU244" s="22"/>
      <c r="GV244" s="22"/>
      <c r="GW244" s="22"/>
      <c r="GX244" s="22"/>
      <c r="GY244" s="22"/>
      <c r="GZ244" s="22"/>
      <c r="HA244" s="22"/>
    </row>
    <row r="245" ht="23.25" customHeight="1">
      <c r="A245" s="29">
        <v>44659.71767003472</v>
      </c>
      <c r="B245" s="30" t="s">
        <v>6</v>
      </c>
      <c r="C245" s="30" t="s">
        <v>14</v>
      </c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0" t="s">
        <v>817</v>
      </c>
      <c r="BJ245" s="30" t="s">
        <v>818</v>
      </c>
      <c r="BK245" s="30" t="s">
        <v>313</v>
      </c>
      <c r="BL245" s="30" t="s">
        <v>172</v>
      </c>
      <c r="BM245" s="30" t="s">
        <v>914</v>
      </c>
      <c r="BN245" s="30">
        <v>1.0</v>
      </c>
      <c r="BO245" s="32">
        <v>44575.0</v>
      </c>
      <c r="BP245" s="32">
        <v>44575.0</v>
      </c>
      <c r="BQ245" s="30" t="s">
        <v>904</v>
      </c>
      <c r="BR245" s="30" t="s">
        <v>905</v>
      </c>
      <c r="BS245" s="30" t="s">
        <v>176</v>
      </c>
      <c r="BT245" s="30" t="s">
        <v>156</v>
      </c>
      <c r="BU245" s="31"/>
      <c r="BV245" s="33" t="s">
        <v>915</v>
      </c>
      <c r="BW245" s="31"/>
      <c r="BX245" s="31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3" t="s">
        <v>821</v>
      </c>
      <c r="FM245" s="23" t="s">
        <v>278</v>
      </c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22"/>
    </row>
    <row r="246" ht="23.25" customHeight="1">
      <c r="A246" s="29">
        <v>44659.71950704861</v>
      </c>
      <c r="B246" s="30" t="s">
        <v>6</v>
      </c>
      <c r="C246" s="30" t="s">
        <v>20</v>
      </c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3" t="s">
        <v>692</v>
      </c>
      <c r="DY246" s="23" t="s">
        <v>693</v>
      </c>
      <c r="DZ246" s="23" t="s">
        <v>313</v>
      </c>
      <c r="EA246" s="23" t="s">
        <v>916</v>
      </c>
      <c r="EB246" s="24">
        <v>44549.0</v>
      </c>
      <c r="EC246" s="23" t="s">
        <v>917</v>
      </c>
      <c r="ED246" s="25" t="s">
        <v>918</v>
      </c>
      <c r="EE246" s="22"/>
      <c r="EF246" s="22"/>
      <c r="EG246" s="22"/>
      <c r="EH246" s="22"/>
      <c r="EI246" s="22"/>
      <c r="EJ246" s="22"/>
      <c r="EK246" s="22"/>
      <c r="EL246" s="22"/>
      <c r="EM246" s="22"/>
      <c r="EN246" s="22"/>
      <c r="EO246" s="22"/>
      <c r="EP246" s="22"/>
      <c r="EQ246" s="22"/>
      <c r="ER246" s="22"/>
      <c r="ES246" s="22"/>
      <c r="ET246" s="22"/>
      <c r="EU246" s="22"/>
      <c r="EV246" s="22"/>
      <c r="EW246" s="22"/>
      <c r="EX246" s="22"/>
      <c r="EY246" s="22"/>
      <c r="EZ246" s="22"/>
      <c r="FA246" s="22"/>
      <c r="FB246" s="22"/>
      <c r="FC246" s="22"/>
      <c r="FD246" s="22"/>
      <c r="FE246" s="22"/>
      <c r="FF246" s="22"/>
      <c r="FG246" s="22"/>
      <c r="FH246" s="22"/>
      <c r="FI246" s="22"/>
      <c r="FJ246" s="22"/>
      <c r="FK246" s="22"/>
      <c r="FL246" s="23" t="s">
        <v>413</v>
      </c>
      <c r="FM246" s="23" t="s">
        <v>278</v>
      </c>
      <c r="FN246" s="22"/>
      <c r="FO246" s="22"/>
      <c r="FP246" s="22"/>
      <c r="FQ246" s="22"/>
      <c r="FR246" s="22"/>
      <c r="FS246" s="22"/>
      <c r="FT246" s="22"/>
      <c r="FU246" s="22"/>
      <c r="FV246" s="22"/>
      <c r="FW246" s="22"/>
      <c r="FX246" s="22"/>
      <c r="FY246" s="22"/>
      <c r="FZ246" s="22"/>
      <c r="GA246" s="22"/>
      <c r="GB246" s="22"/>
      <c r="GC246" s="22"/>
      <c r="GD246" s="22"/>
      <c r="GE246" s="22"/>
      <c r="GF246" s="22"/>
      <c r="GG246" s="22"/>
      <c r="GH246" s="22"/>
      <c r="GI246" s="22"/>
      <c r="GJ246" s="22"/>
      <c r="GK246" s="22"/>
      <c r="GL246" s="22"/>
      <c r="GM246" s="22"/>
      <c r="GN246" s="22"/>
      <c r="GO246" s="22"/>
      <c r="GP246" s="22"/>
      <c r="GQ246" s="22"/>
      <c r="GR246" s="22"/>
      <c r="GS246" s="22"/>
      <c r="GT246" s="22"/>
      <c r="GU246" s="22"/>
      <c r="GV246" s="22"/>
      <c r="GW246" s="22"/>
      <c r="GX246" s="22"/>
      <c r="GY246" s="22"/>
      <c r="GZ246" s="22"/>
      <c r="HA246" s="22"/>
    </row>
    <row r="247" ht="23.25" customHeight="1">
      <c r="A247" s="29">
        <v>44659.71967342593</v>
      </c>
      <c r="B247" s="30" t="s">
        <v>6</v>
      </c>
      <c r="C247" s="30" t="s">
        <v>14</v>
      </c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0" t="s">
        <v>817</v>
      </c>
      <c r="BJ247" s="30" t="s">
        <v>818</v>
      </c>
      <c r="BK247" s="30" t="s">
        <v>313</v>
      </c>
      <c r="BL247" s="30" t="s">
        <v>172</v>
      </c>
      <c r="BM247" s="30" t="s">
        <v>919</v>
      </c>
      <c r="BN247" s="30">
        <v>1.0</v>
      </c>
      <c r="BO247" s="32">
        <v>44569.0</v>
      </c>
      <c r="BP247" s="32">
        <v>44569.0</v>
      </c>
      <c r="BQ247" s="30" t="s">
        <v>904</v>
      </c>
      <c r="BR247" s="30" t="s">
        <v>905</v>
      </c>
      <c r="BS247" s="30" t="s">
        <v>176</v>
      </c>
      <c r="BT247" s="30" t="s">
        <v>156</v>
      </c>
      <c r="BU247" s="31"/>
      <c r="BV247" s="33" t="s">
        <v>920</v>
      </c>
      <c r="BW247" s="31"/>
      <c r="BX247" s="31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/>
      <c r="EG247" s="22"/>
      <c r="EH247" s="22"/>
      <c r="EI247" s="22"/>
      <c r="EJ247" s="22"/>
      <c r="EK247" s="22"/>
      <c r="EL247" s="22"/>
      <c r="EM247" s="22"/>
      <c r="EN247" s="22"/>
      <c r="EO247" s="22"/>
      <c r="EP247" s="22"/>
      <c r="EQ247" s="22"/>
      <c r="ER247" s="22"/>
      <c r="ES247" s="22"/>
      <c r="ET247" s="22"/>
      <c r="EU247" s="22"/>
      <c r="EV247" s="22"/>
      <c r="EW247" s="22"/>
      <c r="EX247" s="22"/>
      <c r="EY247" s="22"/>
      <c r="EZ247" s="22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3" t="s">
        <v>821</v>
      </c>
      <c r="FM247" s="23" t="s">
        <v>278</v>
      </c>
      <c r="FN247" s="22"/>
      <c r="FO247" s="22"/>
      <c r="FP247" s="22"/>
      <c r="FQ247" s="22"/>
      <c r="FR247" s="22"/>
      <c r="FS247" s="22"/>
      <c r="FT247" s="22"/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/>
      <c r="GO247" s="22"/>
      <c r="GP247" s="22"/>
      <c r="GQ247" s="22"/>
      <c r="GR247" s="22"/>
      <c r="GS247" s="22"/>
      <c r="GT247" s="22"/>
      <c r="GU247" s="22"/>
      <c r="GV247" s="22"/>
      <c r="GW247" s="22"/>
      <c r="GX247" s="22"/>
      <c r="GY247" s="22"/>
      <c r="GZ247" s="22"/>
      <c r="HA247" s="22"/>
    </row>
    <row r="248" ht="23.25" customHeight="1">
      <c r="A248" s="29">
        <v>44659.72131607639</v>
      </c>
      <c r="B248" s="30" t="s">
        <v>6</v>
      </c>
      <c r="C248" s="30" t="s">
        <v>14</v>
      </c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0" t="s">
        <v>817</v>
      </c>
      <c r="BJ248" s="30" t="s">
        <v>818</v>
      </c>
      <c r="BK248" s="30" t="s">
        <v>313</v>
      </c>
      <c r="BL248" s="30" t="s">
        <v>172</v>
      </c>
      <c r="BM248" s="30" t="s">
        <v>921</v>
      </c>
      <c r="BN248" s="30">
        <v>1.0</v>
      </c>
      <c r="BO248" s="32">
        <v>44576.0</v>
      </c>
      <c r="BP248" s="32">
        <v>44576.0</v>
      </c>
      <c r="BQ248" s="30" t="s">
        <v>904</v>
      </c>
      <c r="BR248" s="30" t="s">
        <v>905</v>
      </c>
      <c r="BS248" s="30" t="s">
        <v>176</v>
      </c>
      <c r="BT248" s="30" t="s">
        <v>156</v>
      </c>
      <c r="BU248" s="31"/>
      <c r="BV248" s="33" t="s">
        <v>922</v>
      </c>
      <c r="BW248" s="31"/>
      <c r="BX248" s="31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/>
      <c r="EG248" s="22"/>
      <c r="EH248" s="22"/>
      <c r="EI248" s="22"/>
      <c r="EJ248" s="22"/>
      <c r="EK248" s="22"/>
      <c r="EL248" s="22"/>
      <c r="EM248" s="22"/>
      <c r="EN248" s="22"/>
      <c r="EO248" s="22"/>
      <c r="EP248" s="22"/>
      <c r="EQ248" s="22"/>
      <c r="ER248" s="22"/>
      <c r="ES248" s="22"/>
      <c r="ET248" s="22"/>
      <c r="EU248" s="22"/>
      <c r="EV248" s="22"/>
      <c r="EW248" s="22"/>
      <c r="EX248" s="22"/>
      <c r="EY248" s="22"/>
      <c r="EZ248" s="22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3" t="s">
        <v>821</v>
      </c>
      <c r="FM248" s="23" t="s">
        <v>278</v>
      </c>
      <c r="FN248" s="22"/>
      <c r="FO248" s="22"/>
      <c r="FP248" s="22"/>
      <c r="FQ248" s="22"/>
      <c r="FR248" s="22"/>
      <c r="FS248" s="22"/>
      <c r="FT248" s="22"/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/>
      <c r="GO248" s="22"/>
      <c r="GP248" s="22"/>
      <c r="GQ248" s="22"/>
      <c r="GR248" s="22"/>
      <c r="GS248" s="22"/>
      <c r="GT248" s="22"/>
      <c r="GU248" s="22"/>
      <c r="GV248" s="22"/>
      <c r="GW248" s="22"/>
      <c r="GX248" s="22"/>
      <c r="GY248" s="22"/>
      <c r="GZ248" s="22"/>
      <c r="HA248" s="22"/>
    </row>
    <row r="249" ht="23.25" customHeight="1">
      <c r="A249" s="29">
        <v>44659.72156771991</v>
      </c>
      <c r="B249" s="30" t="s">
        <v>6</v>
      </c>
      <c r="C249" s="30" t="s">
        <v>13</v>
      </c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0" t="s">
        <v>859</v>
      </c>
      <c r="AY249" s="30" t="s">
        <v>860</v>
      </c>
      <c r="AZ249" s="30" t="s">
        <v>923</v>
      </c>
      <c r="BA249" s="30" t="s">
        <v>337</v>
      </c>
      <c r="BB249" s="30" t="s">
        <v>701</v>
      </c>
      <c r="BC249" s="32">
        <v>43622.0</v>
      </c>
      <c r="BD249" s="32">
        <v>43652.0</v>
      </c>
      <c r="BE249" s="32">
        <v>43652.0</v>
      </c>
      <c r="BF249" s="30">
        <v>89.0</v>
      </c>
      <c r="BG249" s="30" t="s">
        <v>924</v>
      </c>
      <c r="BH249" s="33" t="s">
        <v>925</v>
      </c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/>
      <c r="EG249" s="22"/>
      <c r="EH249" s="22"/>
      <c r="EI249" s="22"/>
      <c r="EJ249" s="22"/>
      <c r="EK249" s="22"/>
      <c r="EL249" s="22"/>
      <c r="EM249" s="22"/>
      <c r="EN249" s="22"/>
      <c r="EO249" s="22"/>
      <c r="EP249" s="22"/>
      <c r="EQ249" s="22"/>
      <c r="ER249" s="22"/>
      <c r="ES249" s="22"/>
      <c r="ET249" s="22"/>
      <c r="EU249" s="22"/>
      <c r="EV249" s="22"/>
      <c r="EW249" s="22"/>
      <c r="EX249" s="22"/>
      <c r="EY249" s="22"/>
      <c r="EZ249" s="22"/>
      <c r="FA249" s="22"/>
      <c r="FB249" s="22"/>
      <c r="FC249" s="22"/>
      <c r="FD249" s="22"/>
      <c r="FE249" s="22"/>
      <c r="FF249" s="22"/>
      <c r="FG249" s="22"/>
      <c r="FH249" s="22"/>
      <c r="FI249" s="22"/>
      <c r="FJ249" s="22"/>
      <c r="FK249" s="22"/>
      <c r="FL249" s="23" t="s">
        <v>865</v>
      </c>
      <c r="FM249" s="23" t="s">
        <v>260</v>
      </c>
      <c r="FN249" s="22"/>
      <c r="FO249" s="22"/>
      <c r="FP249" s="22"/>
      <c r="FQ249" s="22"/>
      <c r="FR249" s="22"/>
      <c r="FS249" s="22"/>
      <c r="FT249" s="22"/>
      <c r="FU249" s="22"/>
      <c r="FV249" s="22"/>
      <c r="FW249" s="22"/>
      <c r="FX249" s="22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</row>
    <row r="250" ht="23.25" customHeight="1">
      <c r="A250" s="29">
        <v>44659.72445412037</v>
      </c>
      <c r="B250" s="30" t="s">
        <v>6</v>
      </c>
      <c r="C250" s="30" t="s">
        <v>13</v>
      </c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0" t="s">
        <v>859</v>
      </c>
      <c r="AY250" s="30" t="s">
        <v>860</v>
      </c>
      <c r="AZ250" s="30" t="s">
        <v>926</v>
      </c>
      <c r="BA250" s="30" t="s">
        <v>337</v>
      </c>
      <c r="BB250" s="30" t="s">
        <v>701</v>
      </c>
      <c r="BC250" s="32">
        <v>43910.0</v>
      </c>
      <c r="BD250" s="32">
        <v>43941.0</v>
      </c>
      <c r="BE250" s="32">
        <v>43941.0</v>
      </c>
      <c r="BF250" s="30">
        <v>96.0</v>
      </c>
      <c r="BG250" s="30" t="s">
        <v>768</v>
      </c>
      <c r="BH250" s="33" t="s">
        <v>927</v>
      </c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/>
      <c r="EG250" s="22"/>
      <c r="EH250" s="22"/>
      <c r="EI250" s="22"/>
      <c r="EJ250" s="22"/>
      <c r="EK250" s="22"/>
      <c r="EL250" s="22"/>
      <c r="EM250" s="22"/>
      <c r="EN250" s="22"/>
      <c r="EO250" s="22"/>
      <c r="EP250" s="22"/>
      <c r="EQ250" s="22"/>
      <c r="ER250" s="22"/>
      <c r="ES250" s="22"/>
      <c r="ET250" s="22"/>
      <c r="EU250" s="22"/>
      <c r="EV250" s="22"/>
      <c r="EW250" s="22"/>
      <c r="EX250" s="22"/>
      <c r="EY250" s="22"/>
      <c r="EZ250" s="22"/>
      <c r="FA250" s="22"/>
      <c r="FB250" s="22"/>
      <c r="FC250" s="22"/>
      <c r="FD250" s="22"/>
      <c r="FE250" s="22"/>
      <c r="FF250" s="22"/>
      <c r="FG250" s="22"/>
      <c r="FH250" s="22"/>
      <c r="FI250" s="22"/>
      <c r="FJ250" s="22"/>
      <c r="FK250" s="22"/>
      <c r="FL250" s="23" t="s">
        <v>865</v>
      </c>
      <c r="FM250" s="23" t="s">
        <v>260</v>
      </c>
      <c r="FN250" s="22"/>
      <c r="FO250" s="22"/>
      <c r="FP250" s="22"/>
      <c r="FQ250" s="22"/>
      <c r="FR250" s="22"/>
      <c r="FS250" s="22"/>
      <c r="FT250" s="22"/>
      <c r="FU250" s="22"/>
      <c r="FV250" s="22"/>
      <c r="FW250" s="22"/>
      <c r="FX250" s="22"/>
      <c r="FY250" s="22"/>
      <c r="FZ250" s="22"/>
      <c r="GA250" s="22"/>
      <c r="GB250" s="22"/>
      <c r="GC250" s="22"/>
      <c r="GD250" s="22"/>
      <c r="GE250" s="22"/>
      <c r="GF250" s="22"/>
      <c r="GG250" s="22"/>
      <c r="GH250" s="22"/>
      <c r="GI250" s="22"/>
      <c r="GJ250" s="22"/>
      <c r="GK250" s="22"/>
      <c r="GL250" s="22"/>
      <c r="GM250" s="22"/>
      <c r="GN250" s="22"/>
      <c r="GO250" s="22"/>
      <c r="GP250" s="22"/>
      <c r="GQ250" s="22"/>
      <c r="GR250" s="22"/>
      <c r="GS250" s="22"/>
      <c r="GT250" s="22"/>
      <c r="GU250" s="22"/>
      <c r="GV250" s="22"/>
      <c r="GW250" s="22"/>
      <c r="GX250" s="22"/>
      <c r="GY250" s="22"/>
      <c r="GZ250" s="22"/>
      <c r="HA250" s="22"/>
    </row>
    <row r="251" ht="23.25" customHeight="1">
      <c r="A251" s="29">
        <v>44659.72678891204</v>
      </c>
      <c r="B251" s="30" t="s">
        <v>6</v>
      </c>
      <c r="C251" s="30" t="s">
        <v>13</v>
      </c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0" t="s">
        <v>859</v>
      </c>
      <c r="AY251" s="30" t="s">
        <v>860</v>
      </c>
      <c r="AZ251" s="30" t="s">
        <v>928</v>
      </c>
      <c r="BA251" s="30" t="s">
        <v>443</v>
      </c>
      <c r="BB251" s="30" t="s">
        <v>320</v>
      </c>
      <c r="BC251" s="32">
        <v>44353.0</v>
      </c>
      <c r="BD251" s="32">
        <v>44406.0</v>
      </c>
      <c r="BE251" s="32">
        <v>44406.0</v>
      </c>
      <c r="BF251" s="30">
        <v>95.0</v>
      </c>
      <c r="BG251" s="30" t="s">
        <v>768</v>
      </c>
      <c r="BH251" s="33" t="s">
        <v>929</v>
      </c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/>
      <c r="EG251" s="22"/>
      <c r="EH251" s="22"/>
      <c r="EI251" s="22"/>
      <c r="EJ251" s="22"/>
      <c r="EK251" s="22"/>
      <c r="EL251" s="22"/>
      <c r="EM251" s="22"/>
      <c r="EN251" s="22"/>
      <c r="EO251" s="22"/>
      <c r="EP251" s="22"/>
      <c r="EQ251" s="22"/>
      <c r="ER251" s="22"/>
      <c r="ES251" s="22"/>
      <c r="ET251" s="22"/>
      <c r="EU251" s="22"/>
      <c r="EV251" s="22"/>
      <c r="EW251" s="22"/>
      <c r="EX251" s="22"/>
      <c r="EY251" s="22"/>
      <c r="EZ251" s="22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3" t="s">
        <v>865</v>
      </c>
      <c r="FM251" s="23" t="s">
        <v>260</v>
      </c>
      <c r="FN251" s="22"/>
      <c r="FO251" s="22"/>
      <c r="FP251" s="22"/>
      <c r="FQ251" s="22"/>
      <c r="FR251" s="22"/>
      <c r="FS251" s="22"/>
      <c r="FT251" s="22"/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/>
      <c r="GO251" s="22"/>
      <c r="GP251" s="22"/>
      <c r="GQ251" s="22"/>
      <c r="GR251" s="22"/>
      <c r="GS251" s="22"/>
      <c r="GT251" s="22"/>
      <c r="GU251" s="22"/>
      <c r="GV251" s="22"/>
      <c r="GW251" s="22"/>
      <c r="GX251" s="22"/>
      <c r="GY251" s="22"/>
      <c r="GZ251" s="22"/>
      <c r="HA251" s="22"/>
    </row>
    <row r="252" ht="23.25" customHeight="1">
      <c r="A252" s="29">
        <v>44659.73199207176</v>
      </c>
      <c r="B252" s="30" t="s">
        <v>6</v>
      </c>
      <c r="C252" s="30" t="s">
        <v>13</v>
      </c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0" t="s">
        <v>930</v>
      </c>
      <c r="AY252" s="30" t="s">
        <v>931</v>
      </c>
      <c r="AZ252" s="30" t="s">
        <v>932</v>
      </c>
      <c r="BA252" s="30" t="s">
        <v>550</v>
      </c>
      <c r="BB252" s="30" t="s">
        <v>450</v>
      </c>
      <c r="BC252" s="32">
        <v>44477.0</v>
      </c>
      <c r="BD252" s="32">
        <v>44659.0</v>
      </c>
      <c r="BE252" s="32">
        <v>44596.0</v>
      </c>
      <c r="BF252" s="30">
        <v>100.0</v>
      </c>
      <c r="BG252" s="30" t="s">
        <v>933</v>
      </c>
      <c r="BH252" s="33" t="s">
        <v>934</v>
      </c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/>
      <c r="EG252" s="22"/>
      <c r="EH252" s="22"/>
      <c r="EI252" s="22"/>
      <c r="EJ252" s="22"/>
      <c r="EK252" s="22"/>
      <c r="EL252" s="22"/>
      <c r="EM252" s="22"/>
      <c r="EN252" s="22"/>
      <c r="EO252" s="22"/>
      <c r="EP252" s="22"/>
      <c r="EQ252" s="22"/>
      <c r="ER252" s="22"/>
      <c r="ES252" s="22"/>
      <c r="ET252" s="22"/>
      <c r="EU252" s="22"/>
      <c r="EV252" s="22"/>
      <c r="EW252" s="22"/>
      <c r="EX252" s="22"/>
      <c r="EY252" s="22"/>
      <c r="EZ252" s="22"/>
      <c r="FA252" s="22"/>
      <c r="FB252" s="22"/>
      <c r="FC252" s="22"/>
      <c r="FD252" s="22"/>
      <c r="FE252" s="22"/>
      <c r="FF252" s="22"/>
      <c r="FG252" s="22"/>
      <c r="FH252" s="22"/>
      <c r="FI252" s="22"/>
      <c r="FJ252" s="22"/>
      <c r="FK252" s="22"/>
      <c r="FL252" s="23" t="s">
        <v>935</v>
      </c>
      <c r="FM252" s="23" t="s">
        <v>278</v>
      </c>
      <c r="FN252" s="22"/>
      <c r="FO252" s="22"/>
      <c r="FP252" s="22"/>
      <c r="FQ252" s="22"/>
      <c r="FR252" s="22"/>
      <c r="FS252" s="22"/>
      <c r="FT252" s="22"/>
      <c r="FU252" s="22"/>
      <c r="FV252" s="22"/>
      <c r="FW252" s="22"/>
      <c r="FX252" s="22"/>
      <c r="FY252" s="22"/>
      <c r="FZ252" s="22"/>
      <c r="GA252" s="22"/>
      <c r="GB252" s="22"/>
      <c r="GC252" s="22"/>
      <c r="GD252" s="22"/>
      <c r="GE252" s="22"/>
      <c r="GF252" s="22"/>
      <c r="GG252" s="22"/>
      <c r="GH252" s="22"/>
      <c r="GI252" s="22"/>
      <c r="GJ252" s="22"/>
      <c r="GK252" s="22"/>
      <c r="GL252" s="22"/>
      <c r="GM252" s="22"/>
      <c r="GN252" s="22"/>
      <c r="GO252" s="22"/>
      <c r="GP252" s="22"/>
      <c r="GQ252" s="22"/>
      <c r="GR252" s="22"/>
      <c r="GS252" s="22"/>
      <c r="GT252" s="22"/>
      <c r="GU252" s="22"/>
      <c r="GV252" s="22"/>
      <c r="GW252" s="22"/>
      <c r="GX252" s="22"/>
      <c r="GY252" s="22"/>
      <c r="GZ252" s="22"/>
      <c r="HA252" s="22"/>
    </row>
    <row r="253" ht="23.25" customHeight="1">
      <c r="A253" s="29">
        <v>44659.73663755787</v>
      </c>
      <c r="B253" s="30" t="s">
        <v>6</v>
      </c>
      <c r="C253" s="30" t="s">
        <v>13</v>
      </c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0" t="s">
        <v>936</v>
      </c>
      <c r="AY253" s="30" t="s">
        <v>931</v>
      </c>
      <c r="AZ253" s="30" t="s">
        <v>937</v>
      </c>
      <c r="BA253" s="30" t="s">
        <v>938</v>
      </c>
      <c r="BB253" s="30" t="s">
        <v>410</v>
      </c>
      <c r="BC253" s="32">
        <v>44368.0</v>
      </c>
      <c r="BD253" s="32">
        <v>44398.0</v>
      </c>
      <c r="BE253" s="32">
        <v>44402.0</v>
      </c>
      <c r="BF253" s="30">
        <v>100.0</v>
      </c>
      <c r="BG253" s="30" t="s">
        <v>939</v>
      </c>
      <c r="BH253" s="33" t="s">
        <v>940</v>
      </c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/>
      <c r="EG253" s="22"/>
      <c r="EH253" s="22"/>
      <c r="EI253" s="22"/>
      <c r="EJ253" s="22"/>
      <c r="EK253" s="22"/>
      <c r="EL253" s="22"/>
      <c r="EM253" s="22"/>
      <c r="EN253" s="22"/>
      <c r="EO253" s="22"/>
      <c r="EP253" s="22"/>
      <c r="EQ253" s="22"/>
      <c r="ER253" s="22"/>
      <c r="ES253" s="22"/>
      <c r="ET253" s="22"/>
      <c r="EU253" s="22"/>
      <c r="EV253" s="22"/>
      <c r="EW253" s="22"/>
      <c r="EX253" s="22"/>
      <c r="EY253" s="22"/>
      <c r="EZ253" s="22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3" t="s">
        <v>935</v>
      </c>
      <c r="FM253" s="23" t="s">
        <v>283</v>
      </c>
      <c r="FN253" s="22"/>
      <c r="FO253" s="22"/>
      <c r="FP253" s="22"/>
      <c r="FQ253" s="22"/>
      <c r="FR253" s="22"/>
      <c r="FS253" s="22"/>
      <c r="FT253" s="22"/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/>
      <c r="GP253" s="22"/>
      <c r="GQ253" s="22"/>
      <c r="GR253" s="22"/>
      <c r="GS253" s="22"/>
      <c r="GT253" s="22"/>
      <c r="GU253" s="22"/>
      <c r="GV253" s="22"/>
      <c r="GW253" s="22"/>
      <c r="GX253" s="22"/>
      <c r="GY253" s="22"/>
      <c r="GZ253" s="22"/>
      <c r="HA253" s="22"/>
    </row>
    <row r="254" ht="23.25" customHeight="1">
      <c r="A254" s="29">
        <v>44659.73920092593</v>
      </c>
      <c r="B254" s="30" t="s">
        <v>6</v>
      </c>
      <c r="C254" s="30" t="s">
        <v>20</v>
      </c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3" t="s">
        <v>936</v>
      </c>
      <c r="DY254" s="23" t="s">
        <v>931</v>
      </c>
      <c r="DZ254" s="23" t="s">
        <v>159</v>
      </c>
      <c r="EA254" s="23" t="s">
        <v>941</v>
      </c>
      <c r="EB254" s="24">
        <v>43979.0</v>
      </c>
      <c r="EC254" s="23" t="s">
        <v>942</v>
      </c>
      <c r="ED254" s="25" t="s">
        <v>943</v>
      </c>
      <c r="EE254" s="22"/>
      <c r="EF254" s="22"/>
      <c r="EG254" s="22"/>
      <c r="EH254" s="22"/>
      <c r="EI254" s="22"/>
      <c r="EJ254" s="22"/>
      <c r="EK254" s="22"/>
      <c r="EL254" s="22"/>
      <c r="EM254" s="22"/>
      <c r="EN254" s="22"/>
      <c r="EO254" s="22"/>
      <c r="EP254" s="22"/>
      <c r="EQ254" s="22"/>
      <c r="ER254" s="22"/>
      <c r="ES254" s="22"/>
      <c r="ET254" s="22"/>
      <c r="EU254" s="22"/>
      <c r="EV254" s="22"/>
      <c r="EW254" s="22"/>
      <c r="EX254" s="22"/>
      <c r="EY254" s="22"/>
      <c r="EZ254" s="22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3" t="s">
        <v>935</v>
      </c>
      <c r="FM254" s="23" t="s">
        <v>323</v>
      </c>
      <c r="FN254" s="22"/>
      <c r="FO254" s="22"/>
      <c r="FP254" s="22"/>
      <c r="FQ254" s="22"/>
      <c r="FR254" s="22"/>
      <c r="FS254" s="22"/>
      <c r="FT254" s="22"/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/>
      <c r="GO254" s="22"/>
      <c r="GP254" s="22"/>
      <c r="GQ254" s="22"/>
      <c r="GR254" s="22"/>
      <c r="GS254" s="22"/>
      <c r="GT254" s="22"/>
      <c r="GU254" s="22"/>
      <c r="GV254" s="22"/>
      <c r="GW254" s="22"/>
      <c r="GX254" s="22"/>
      <c r="GY254" s="22"/>
      <c r="GZ254" s="22"/>
      <c r="HA254" s="22"/>
    </row>
    <row r="255" ht="23.25" customHeight="1">
      <c r="A255" s="29">
        <v>44659.76886487268</v>
      </c>
      <c r="B255" s="30" t="s">
        <v>9</v>
      </c>
      <c r="C255" s="30" t="s">
        <v>14</v>
      </c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0" t="s">
        <v>944</v>
      </c>
      <c r="BJ255" s="30" t="s">
        <v>945</v>
      </c>
      <c r="BK255" s="30" t="s">
        <v>313</v>
      </c>
      <c r="BL255" s="30" t="s">
        <v>172</v>
      </c>
      <c r="BM255" s="30" t="s">
        <v>946</v>
      </c>
      <c r="BN255" s="30">
        <v>6.0</v>
      </c>
      <c r="BO255" s="32">
        <v>44627.0</v>
      </c>
      <c r="BP255" s="32">
        <v>44632.0</v>
      </c>
      <c r="BQ255" s="30" t="s">
        <v>947</v>
      </c>
      <c r="BR255" s="30" t="s">
        <v>948</v>
      </c>
      <c r="BS255" s="30" t="s">
        <v>176</v>
      </c>
      <c r="BT255" s="30" t="s">
        <v>632</v>
      </c>
      <c r="BU255" s="30">
        <v>0.0</v>
      </c>
      <c r="BV255" s="33" t="s">
        <v>949</v>
      </c>
      <c r="BW255" s="31"/>
      <c r="BX255" s="31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/>
      <c r="EG255" s="22"/>
      <c r="EH255" s="22"/>
      <c r="EI255" s="22"/>
      <c r="EJ255" s="22"/>
      <c r="EK255" s="22"/>
      <c r="EL255" s="22"/>
      <c r="EM255" s="22"/>
      <c r="EN255" s="22"/>
      <c r="EO255" s="22"/>
      <c r="EP255" s="22"/>
      <c r="EQ255" s="22"/>
      <c r="ER255" s="22"/>
      <c r="ES255" s="22"/>
      <c r="ET255" s="22"/>
      <c r="EU255" s="22"/>
      <c r="EV255" s="22"/>
      <c r="EW255" s="22"/>
      <c r="EX255" s="22"/>
      <c r="EY255" s="22"/>
      <c r="EZ255" s="22"/>
      <c r="FA255" s="22"/>
      <c r="FB255" s="22"/>
      <c r="FC255" s="22"/>
      <c r="FD255" s="22"/>
      <c r="FE255" s="22"/>
      <c r="FF255" s="22"/>
      <c r="FG255" s="22"/>
      <c r="FH255" s="22"/>
      <c r="FI255" s="22"/>
      <c r="FJ255" s="22"/>
      <c r="FK255" s="22"/>
      <c r="FL255" s="23" t="s">
        <v>950</v>
      </c>
      <c r="FM255" s="23" t="s">
        <v>414</v>
      </c>
      <c r="FN255" s="22"/>
      <c r="FO255" s="22"/>
      <c r="FP255" s="22"/>
      <c r="FQ255" s="22"/>
      <c r="FR255" s="22"/>
      <c r="FS255" s="22"/>
      <c r="FT255" s="22"/>
      <c r="FU255" s="22"/>
      <c r="FV255" s="22"/>
      <c r="FW255" s="22"/>
      <c r="FX255" s="22"/>
      <c r="FY255" s="22"/>
      <c r="FZ255" s="22"/>
      <c r="GA255" s="22"/>
      <c r="GB255" s="22"/>
      <c r="GC255" s="22"/>
      <c r="GD255" s="22"/>
      <c r="GE255" s="22"/>
      <c r="GF255" s="22"/>
      <c r="GG255" s="22"/>
      <c r="GH255" s="22"/>
      <c r="GI255" s="22"/>
      <c r="GJ255" s="22"/>
      <c r="GK255" s="22"/>
      <c r="GL255" s="22"/>
      <c r="GM255" s="22"/>
      <c r="GN255" s="22"/>
      <c r="GO255" s="22"/>
      <c r="GP255" s="22"/>
      <c r="GQ255" s="22"/>
      <c r="GR255" s="22"/>
      <c r="GS255" s="22"/>
      <c r="GT255" s="22"/>
      <c r="GU255" s="22"/>
      <c r="GV255" s="22"/>
      <c r="GW255" s="22"/>
      <c r="GX255" s="22"/>
      <c r="GY255" s="22"/>
      <c r="GZ255" s="22"/>
      <c r="HA255" s="22"/>
    </row>
    <row r="256" ht="23.25" customHeight="1">
      <c r="A256" s="29">
        <v>44659.77804802083</v>
      </c>
      <c r="B256" s="30" t="s">
        <v>9</v>
      </c>
      <c r="C256" s="30" t="s">
        <v>14</v>
      </c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0" t="s">
        <v>951</v>
      </c>
      <c r="BJ256" s="30" t="s">
        <v>952</v>
      </c>
      <c r="BK256" s="30" t="s">
        <v>313</v>
      </c>
      <c r="BL256" s="30" t="s">
        <v>172</v>
      </c>
      <c r="BM256" s="30" t="s">
        <v>946</v>
      </c>
      <c r="BN256" s="30">
        <v>6.0</v>
      </c>
      <c r="BO256" s="32">
        <v>44627.0</v>
      </c>
      <c r="BP256" s="32">
        <v>44632.0</v>
      </c>
      <c r="BQ256" s="30" t="s">
        <v>953</v>
      </c>
      <c r="BR256" s="30" t="s">
        <v>954</v>
      </c>
      <c r="BS256" s="30" t="s">
        <v>176</v>
      </c>
      <c r="BT256" s="30" t="s">
        <v>632</v>
      </c>
      <c r="BU256" s="30">
        <v>0.0</v>
      </c>
      <c r="BV256" s="33" t="s">
        <v>955</v>
      </c>
      <c r="BW256" s="31"/>
      <c r="BX256" s="31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/>
      <c r="EG256" s="22"/>
      <c r="EH256" s="22"/>
      <c r="EI256" s="22"/>
      <c r="EJ256" s="22"/>
      <c r="EK256" s="22"/>
      <c r="EL256" s="22"/>
      <c r="EM256" s="22"/>
      <c r="EN256" s="22"/>
      <c r="EO256" s="22"/>
      <c r="EP256" s="22"/>
      <c r="EQ256" s="22"/>
      <c r="ER256" s="22"/>
      <c r="ES256" s="22"/>
      <c r="ET256" s="22"/>
      <c r="EU256" s="22"/>
      <c r="EV256" s="22"/>
      <c r="EW256" s="22"/>
      <c r="EX256" s="22"/>
      <c r="EY256" s="22"/>
      <c r="EZ256" s="22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3" t="s">
        <v>956</v>
      </c>
      <c r="FM256" s="23" t="s">
        <v>414</v>
      </c>
      <c r="FN256" s="22"/>
      <c r="FO256" s="22"/>
      <c r="FP256" s="22"/>
      <c r="FQ256" s="22"/>
      <c r="FR256" s="22"/>
      <c r="FS256" s="22"/>
      <c r="FT256" s="22"/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/>
      <c r="GO256" s="22"/>
      <c r="GP256" s="22"/>
      <c r="GQ256" s="22"/>
      <c r="GR256" s="22"/>
      <c r="GS256" s="22"/>
      <c r="GT256" s="22"/>
      <c r="GU256" s="22"/>
      <c r="GV256" s="22"/>
      <c r="GW256" s="22"/>
      <c r="GX256" s="22"/>
      <c r="GY256" s="22"/>
      <c r="GZ256" s="22"/>
      <c r="HA256" s="22"/>
    </row>
    <row r="257" ht="23.25" customHeight="1">
      <c r="A257" s="29">
        <v>44659.798820972224</v>
      </c>
      <c r="B257" s="30" t="s">
        <v>6</v>
      </c>
      <c r="C257" s="30" t="s">
        <v>20</v>
      </c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3" t="s">
        <v>957</v>
      </c>
      <c r="DY257" s="23" t="s">
        <v>958</v>
      </c>
      <c r="DZ257" s="23" t="s">
        <v>159</v>
      </c>
      <c r="EA257" s="23" t="s">
        <v>959</v>
      </c>
      <c r="EB257" s="24">
        <v>43979.0</v>
      </c>
      <c r="EC257" s="23" t="s">
        <v>960</v>
      </c>
      <c r="ED257" s="25" t="s">
        <v>961</v>
      </c>
      <c r="EE257" s="22"/>
      <c r="EF257" s="22"/>
      <c r="EG257" s="22"/>
      <c r="EH257" s="22"/>
      <c r="EI257" s="22"/>
      <c r="EJ257" s="22"/>
      <c r="EK257" s="22"/>
      <c r="EL257" s="22"/>
      <c r="EM257" s="22"/>
      <c r="EN257" s="22"/>
      <c r="EO257" s="22"/>
      <c r="EP257" s="22"/>
      <c r="EQ257" s="22"/>
      <c r="ER257" s="22"/>
      <c r="ES257" s="22"/>
      <c r="ET257" s="22"/>
      <c r="EU257" s="22"/>
      <c r="EV257" s="22"/>
      <c r="EW257" s="22"/>
      <c r="EX257" s="22"/>
      <c r="EY257" s="22"/>
      <c r="EZ257" s="22"/>
      <c r="FA257" s="22"/>
      <c r="FB257" s="22"/>
      <c r="FC257" s="22"/>
      <c r="FD257" s="22"/>
      <c r="FE257" s="22"/>
      <c r="FF257" s="22"/>
      <c r="FG257" s="22"/>
      <c r="FH257" s="22"/>
      <c r="FI257" s="22"/>
      <c r="FJ257" s="22"/>
      <c r="FK257" s="22"/>
      <c r="FL257" s="23" t="s">
        <v>962</v>
      </c>
      <c r="FM257" s="23" t="s">
        <v>260</v>
      </c>
      <c r="FN257" s="22"/>
      <c r="FO257" s="22"/>
      <c r="FP257" s="22"/>
      <c r="FQ257" s="22"/>
      <c r="FR257" s="22"/>
      <c r="FS257" s="22"/>
      <c r="FT257" s="22"/>
      <c r="FU257" s="22"/>
      <c r="FV257" s="22"/>
      <c r="FW257" s="22"/>
      <c r="FX257" s="22"/>
      <c r="FY257" s="22"/>
      <c r="FZ257" s="22"/>
      <c r="GA257" s="22"/>
      <c r="GB257" s="22"/>
      <c r="GC257" s="22"/>
      <c r="GD257" s="22"/>
      <c r="GE257" s="22"/>
      <c r="GF257" s="22"/>
      <c r="GG257" s="22"/>
      <c r="GH257" s="22"/>
      <c r="GI257" s="22"/>
      <c r="GJ257" s="22"/>
      <c r="GK257" s="22"/>
      <c r="GL257" s="22"/>
      <c r="GM257" s="22"/>
      <c r="GN257" s="22"/>
      <c r="GO257" s="22"/>
      <c r="GP257" s="22"/>
      <c r="GQ257" s="22"/>
      <c r="GR257" s="22"/>
      <c r="GS257" s="22"/>
      <c r="GT257" s="22"/>
      <c r="GU257" s="22"/>
      <c r="GV257" s="22"/>
      <c r="GW257" s="22"/>
      <c r="GX257" s="22"/>
      <c r="GY257" s="22"/>
      <c r="GZ257" s="22"/>
      <c r="HA257" s="22"/>
    </row>
    <row r="258" ht="23.25" customHeight="1">
      <c r="A258" s="29">
        <v>44659.79902950232</v>
      </c>
      <c r="B258" s="30" t="s">
        <v>6</v>
      </c>
      <c r="C258" s="30" t="s">
        <v>13</v>
      </c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0" t="s">
        <v>963</v>
      </c>
      <c r="AY258" s="30" t="s">
        <v>964</v>
      </c>
      <c r="AZ258" s="30" t="s">
        <v>347</v>
      </c>
      <c r="BA258" s="30" t="s">
        <v>337</v>
      </c>
      <c r="BB258" s="30" t="s">
        <v>882</v>
      </c>
      <c r="BC258" s="32">
        <v>44362.0</v>
      </c>
      <c r="BD258" s="32">
        <v>44408.0</v>
      </c>
      <c r="BE258" s="32">
        <v>44386.0</v>
      </c>
      <c r="BF258" s="30">
        <v>80.0</v>
      </c>
      <c r="BG258" s="30" t="s">
        <v>559</v>
      </c>
      <c r="BH258" s="33" t="s">
        <v>965</v>
      </c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/>
      <c r="EG258" s="22"/>
      <c r="EH258" s="22"/>
      <c r="EI258" s="22"/>
      <c r="EJ258" s="22"/>
      <c r="EK258" s="22"/>
      <c r="EL258" s="22"/>
      <c r="EM258" s="22"/>
      <c r="EN258" s="22"/>
      <c r="EO258" s="22"/>
      <c r="EP258" s="22"/>
      <c r="EQ258" s="22"/>
      <c r="ER258" s="22"/>
      <c r="ES258" s="22"/>
      <c r="ET258" s="22"/>
      <c r="EU258" s="22"/>
      <c r="EV258" s="22"/>
      <c r="EW258" s="22"/>
      <c r="EX258" s="22"/>
      <c r="EY258" s="22"/>
      <c r="EZ258" s="22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3" t="s">
        <v>966</v>
      </c>
      <c r="FM258" s="23" t="s">
        <v>260</v>
      </c>
      <c r="FN258" s="22"/>
      <c r="FO258" s="22"/>
      <c r="FP258" s="22"/>
      <c r="FQ258" s="22"/>
      <c r="FR258" s="22"/>
      <c r="FS258" s="22"/>
      <c r="FT258" s="22"/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/>
      <c r="GO258" s="22"/>
      <c r="GP258" s="22"/>
      <c r="GQ258" s="22"/>
      <c r="GR258" s="22"/>
      <c r="GS258" s="22"/>
      <c r="GT258" s="22"/>
      <c r="GU258" s="22"/>
      <c r="GV258" s="22"/>
      <c r="GW258" s="22"/>
      <c r="GX258" s="22"/>
      <c r="GY258" s="22"/>
      <c r="GZ258" s="22"/>
      <c r="HA258" s="22"/>
    </row>
    <row r="259" ht="23.25" customHeight="1">
      <c r="A259" s="29">
        <v>44659.80105844907</v>
      </c>
      <c r="B259" s="30" t="s">
        <v>6</v>
      </c>
      <c r="C259" s="30" t="s">
        <v>13</v>
      </c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0" t="s">
        <v>963</v>
      </c>
      <c r="AY259" s="30" t="s">
        <v>964</v>
      </c>
      <c r="AZ259" s="30" t="s">
        <v>356</v>
      </c>
      <c r="BA259" s="30" t="s">
        <v>337</v>
      </c>
      <c r="BB259" s="30" t="s">
        <v>882</v>
      </c>
      <c r="BC259" s="32">
        <v>44362.0</v>
      </c>
      <c r="BD259" s="32">
        <v>44408.0</v>
      </c>
      <c r="BE259" s="32">
        <v>44385.0</v>
      </c>
      <c r="BF259" s="30">
        <v>80.0</v>
      </c>
      <c r="BG259" s="30" t="s">
        <v>559</v>
      </c>
      <c r="BH259" s="33" t="s">
        <v>967</v>
      </c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/>
      <c r="EG259" s="22"/>
      <c r="EH259" s="22"/>
      <c r="EI259" s="22"/>
      <c r="EJ259" s="22"/>
      <c r="EK259" s="22"/>
      <c r="EL259" s="22"/>
      <c r="EM259" s="22"/>
      <c r="EN259" s="22"/>
      <c r="EO259" s="22"/>
      <c r="EP259" s="22"/>
      <c r="EQ259" s="22"/>
      <c r="ER259" s="22"/>
      <c r="ES259" s="22"/>
      <c r="ET259" s="22"/>
      <c r="EU259" s="22"/>
      <c r="EV259" s="22"/>
      <c r="EW259" s="22"/>
      <c r="EX259" s="22"/>
      <c r="EY259" s="22"/>
      <c r="EZ259" s="22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3" t="s">
        <v>966</v>
      </c>
      <c r="FM259" s="23" t="s">
        <v>260</v>
      </c>
      <c r="FN259" s="22"/>
      <c r="FO259" s="22"/>
      <c r="FP259" s="22"/>
      <c r="FQ259" s="22"/>
      <c r="FR259" s="22"/>
      <c r="FS259" s="22"/>
      <c r="FT259" s="22"/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/>
      <c r="GO259" s="22"/>
      <c r="GP259" s="22"/>
      <c r="GQ259" s="22"/>
      <c r="GR259" s="22"/>
      <c r="GS259" s="22"/>
      <c r="GT259" s="22"/>
      <c r="GU259" s="22"/>
      <c r="GV259" s="22"/>
      <c r="GW259" s="22"/>
      <c r="GX259" s="22"/>
      <c r="GY259" s="22"/>
      <c r="GZ259" s="22"/>
      <c r="HA259" s="22"/>
    </row>
    <row r="260" ht="23.25" customHeight="1">
      <c r="A260" s="29">
        <v>44659.80269696759</v>
      </c>
      <c r="B260" s="30" t="s">
        <v>6</v>
      </c>
      <c r="C260" s="30" t="s">
        <v>13</v>
      </c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0" t="s">
        <v>963</v>
      </c>
      <c r="AY260" s="30" t="s">
        <v>964</v>
      </c>
      <c r="AZ260" s="30" t="s">
        <v>502</v>
      </c>
      <c r="BA260" s="30" t="s">
        <v>337</v>
      </c>
      <c r="BB260" s="30" t="s">
        <v>882</v>
      </c>
      <c r="BC260" s="32">
        <v>44311.0</v>
      </c>
      <c r="BD260" s="32">
        <v>44347.0</v>
      </c>
      <c r="BE260" s="32">
        <v>44336.0</v>
      </c>
      <c r="BF260" s="30">
        <v>80.0</v>
      </c>
      <c r="BG260" s="30" t="s">
        <v>559</v>
      </c>
      <c r="BH260" s="33" t="s">
        <v>968</v>
      </c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/>
      <c r="EG260" s="22"/>
      <c r="EH260" s="22"/>
      <c r="EI260" s="22"/>
      <c r="EJ260" s="22"/>
      <c r="EK260" s="22"/>
      <c r="EL260" s="22"/>
      <c r="EM260" s="22"/>
      <c r="EN260" s="22"/>
      <c r="EO260" s="22"/>
      <c r="EP260" s="22"/>
      <c r="EQ260" s="22"/>
      <c r="ER260" s="22"/>
      <c r="ES260" s="22"/>
      <c r="ET260" s="22"/>
      <c r="EU260" s="22"/>
      <c r="EV260" s="22"/>
      <c r="EW260" s="22"/>
      <c r="EX260" s="22"/>
      <c r="EY260" s="22"/>
      <c r="EZ260" s="22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3" t="s">
        <v>966</v>
      </c>
      <c r="FM260" s="23" t="s">
        <v>260</v>
      </c>
      <c r="FN260" s="22"/>
      <c r="FO260" s="22"/>
      <c r="FP260" s="22"/>
      <c r="FQ260" s="22"/>
      <c r="FR260" s="22"/>
      <c r="FS260" s="22"/>
      <c r="FT260" s="22"/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/>
      <c r="GO260" s="22"/>
      <c r="GP260" s="22"/>
      <c r="GQ260" s="22"/>
      <c r="GR260" s="22"/>
      <c r="GS260" s="22"/>
      <c r="GT260" s="22"/>
      <c r="GU260" s="22"/>
      <c r="GV260" s="22"/>
      <c r="GW260" s="22"/>
      <c r="GX260" s="22"/>
      <c r="GY260" s="22"/>
      <c r="GZ260" s="22"/>
      <c r="HA260" s="22"/>
    </row>
    <row r="261" ht="23.25" customHeight="1">
      <c r="A261" s="29">
        <v>44659.80443027778</v>
      </c>
      <c r="B261" s="30" t="s">
        <v>9</v>
      </c>
      <c r="C261" s="30" t="s">
        <v>14</v>
      </c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0" t="s">
        <v>969</v>
      </c>
      <c r="BJ261" s="30" t="s">
        <v>970</v>
      </c>
      <c r="BK261" s="30" t="s">
        <v>313</v>
      </c>
      <c r="BL261" s="30" t="s">
        <v>172</v>
      </c>
      <c r="BM261" s="30" t="s">
        <v>946</v>
      </c>
      <c r="BN261" s="30">
        <v>6.0</v>
      </c>
      <c r="BO261" s="32">
        <v>44627.0</v>
      </c>
      <c r="BP261" s="32">
        <v>44632.0</v>
      </c>
      <c r="BQ261" s="30" t="s">
        <v>947</v>
      </c>
      <c r="BR261" s="30" t="s">
        <v>948</v>
      </c>
      <c r="BS261" s="30" t="s">
        <v>176</v>
      </c>
      <c r="BT261" s="30" t="s">
        <v>632</v>
      </c>
      <c r="BU261" s="30">
        <v>0.0</v>
      </c>
      <c r="BV261" s="33" t="s">
        <v>971</v>
      </c>
      <c r="BW261" s="31"/>
      <c r="BX261" s="31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/>
      <c r="EG261" s="22"/>
      <c r="EH261" s="22"/>
      <c r="EI261" s="22"/>
      <c r="EJ261" s="22"/>
      <c r="EK261" s="22"/>
      <c r="EL261" s="22"/>
      <c r="EM261" s="22"/>
      <c r="EN261" s="22"/>
      <c r="EO261" s="22"/>
      <c r="EP261" s="22"/>
      <c r="EQ261" s="22"/>
      <c r="ER261" s="22"/>
      <c r="ES261" s="22"/>
      <c r="ET261" s="22"/>
      <c r="EU261" s="22"/>
      <c r="EV261" s="22"/>
      <c r="EW261" s="22"/>
      <c r="EX261" s="22"/>
      <c r="EY261" s="22"/>
      <c r="EZ261" s="22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3" t="s">
        <v>972</v>
      </c>
      <c r="FM261" s="23" t="s">
        <v>414</v>
      </c>
      <c r="FN261" s="22"/>
      <c r="FO261" s="22"/>
      <c r="FP261" s="22"/>
      <c r="FQ261" s="22"/>
      <c r="FR261" s="22"/>
      <c r="FS261" s="22"/>
      <c r="FT261" s="22"/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/>
      <c r="GO261" s="22"/>
      <c r="GP261" s="22"/>
      <c r="GQ261" s="22"/>
      <c r="GR261" s="22"/>
      <c r="GS261" s="22"/>
      <c r="GT261" s="22"/>
      <c r="GU261" s="22"/>
      <c r="GV261" s="22"/>
      <c r="GW261" s="22"/>
      <c r="GX261" s="22"/>
      <c r="GY261" s="22"/>
      <c r="GZ261" s="22"/>
      <c r="HA261" s="22"/>
    </row>
    <row r="262" ht="23.25" customHeight="1">
      <c r="A262" s="29">
        <v>44659.80481354167</v>
      </c>
      <c r="B262" s="30" t="s">
        <v>6</v>
      </c>
      <c r="C262" s="30" t="s">
        <v>13</v>
      </c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0" t="s">
        <v>963</v>
      </c>
      <c r="AY262" s="30" t="s">
        <v>964</v>
      </c>
      <c r="AZ262" s="30" t="s">
        <v>571</v>
      </c>
      <c r="BA262" s="30" t="s">
        <v>337</v>
      </c>
      <c r="BB262" s="30" t="s">
        <v>973</v>
      </c>
      <c r="BC262" s="32">
        <v>43936.0</v>
      </c>
      <c r="BD262" s="32">
        <v>43982.0</v>
      </c>
      <c r="BE262" s="32">
        <v>43965.0</v>
      </c>
      <c r="BF262" s="30">
        <v>80.0</v>
      </c>
      <c r="BG262" s="30" t="s">
        <v>559</v>
      </c>
      <c r="BH262" s="33" t="s">
        <v>974</v>
      </c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/>
      <c r="EG262" s="22"/>
      <c r="EH262" s="22"/>
      <c r="EI262" s="22"/>
      <c r="EJ262" s="22"/>
      <c r="EK262" s="22"/>
      <c r="EL262" s="22"/>
      <c r="EM262" s="22"/>
      <c r="EN262" s="22"/>
      <c r="EO262" s="22"/>
      <c r="EP262" s="22"/>
      <c r="EQ262" s="22"/>
      <c r="ER262" s="22"/>
      <c r="ES262" s="22"/>
      <c r="ET262" s="22"/>
      <c r="EU262" s="22"/>
      <c r="EV262" s="22"/>
      <c r="EW262" s="22"/>
      <c r="EX262" s="22"/>
      <c r="EY262" s="22"/>
      <c r="EZ262" s="22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3" t="s">
        <v>966</v>
      </c>
      <c r="FM262" s="23" t="s">
        <v>260</v>
      </c>
      <c r="FN262" s="22"/>
      <c r="FO262" s="22"/>
      <c r="FP262" s="22"/>
      <c r="FQ262" s="22"/>
      <c r="FR262" s="22"/>
      <c r="FS262" s="22"/>
      <c r="FT262" s="22"/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/>
      <c r="GO262" s="22"/>
      <c r="GP262" s="22"/>
      <c r="GQ262" s="22"/>
      <c r="GR262" s="22"/>
      <c r="GS262" s="22"/>
      <c r="GT262" s="22"/>
      <c r="GU262" s="22"/>
      <c r="GV262" s="22"/>
      <c r="GW262" s="22"/>
      <c r="GX262" s="22"/>
      <c r="GY262" s="22"/>
      <c r="GZ262" s="22"/>
      <c r="HA262" s="22"/>
    </row>
    <row r="263" ht="23.25" customHeight="1">
      <c r="A263" s="29">
        <v>44659.80694313657</v>
      </c>
      <c r="B263" s="30" t="s">
        <v>6</v>
      </c>
      <c r="C263" s="30" t="s">
        <v>13</v>
      </c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0" t="s">
        <v>963</v>
      </c>
      <c r="AY263" s="30" t="s">
        <v>964</v>
      </c>
      <c r="AZ263" s="30" t="s">
        <v>667</v>
      </c>
      <c r="BA263" s="30" t="s">
        <v>337</v>
      </c>
      <c r="BB263" s="30" t="s">
        <v>973</v>
      </c>
      <c r="BC263" s="32">
        <v>43966.0</v>
      </c>
      <c r="BD263" s="32">
        <v>44012.0</v>
      </c>
      <c r="BE263" s="32">
        <v>43991.0</v>
      </c>
      <c r="BF263" s="30">
        <v>80.0</v>
      </c>
      <c r="BG263" s="30" t="s">
        <v>559</v>
      </c>
      <c r="BH263" s="33" t="s">
        <v>975</v>
      </c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/>
      <c r="EG263" s="22"/>
      <c r="EH263" s="22"/>
      <c r="EI263" s="22"/>
      <c r="EJ263" s="22"/>
      <c r="EK263" s="22"/>
      <c r="EL263" s="22"/>
      <c r="EM263" s="22"/>
      <c r="EN263" s="22"/>
      <c r="EO263" s="22"/>
      <c r="EP263" s="22"/>
      <c r="EQ263" s="22"/>
      <c r="ER263" s="22"/>
      <c r="ES263" s="22"/>
      <c r="ET263" s="22"/>
      <c r="EU263" s="22"/>
      <c r="EV263" s="22"/>
      <c r="EW263" s="22"/>
      <c r="EX263" s="22"/>
      <c r="EY263" s="22"/>
      <c r="EZ263" s="22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3" t="s">
        <v>966</v>
      </c>
      <c r="FM263" s="23" t="s">
        <v>260</v>
      </c>
      <c r="FN263" s="22"/>
      <c r="FO263" s="22"/>
      <c r="FP263" s="22"/>
      <c r="FQ263" s="22"/>
      <c r="FR263" s="22"/>
      <c r="FS263" s="22"/>
      <c r="FT263" s="22"/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/>
      <c r="GO263" s="22"/>
      <c r="GP263" s="22"/>
      <c r="GQ263" s="22"/>
      <c r="GR263" s="22"/>
      <c r="GS263" s="22"/>
      <c r="GT263" s="22"/>
      <c r="GU263" s="22"/>
      <c r="GV263" s="22"/>
      <c r="GW263" s="22"/>
      <c r="GX263" s="22"/>
      <c r="GY263" s="22"/>
      <c r="GZ263" s="22"/>
      <c r="HA263" s="22"/>
    </row>
    <row r="264" ht="23.25" customHeight="1">
      <c r="A264" s="29">
        <v>44659.8089928125</v>
      </c>
      <c r="B264" s="30" t="s">
        <v>6</v>
      </c>
      <c r="C264" s="30" t="s">
        <v>13</v>
      </c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0" t="s">
        <v>963</v>
      </c>
      <c r="AY264" s="30" t="s">
        <v>964</v>
      </c>
      <c r="AZ264" s="30" t="s">
        <v>727</v>
      </c>
      <c r="BA264" s="30" t="s">
        <v>337</v>
      </c>
      <c r="BB264" s="30" t="s">
        <v>973</v>
      </c>
      <c r="BC264" s="32">
        <v>44012.0</v>
      </c>
      <c r="BD264" s="32">
        <v>44043.0</v>
      </c>
      <c r="BE264" s="32">
        <v>44025.0</v>
      </c>
      <c r="BF264" s="30">
        <v>80.0</v>
      </c>
      <c r="BG264" s="30" t="s">
        <v>559</v>
      </c>
      <c r="BH264" s="33" t="s">
        <v>976</v>
      </c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/>
      <c r="EG264" s="22"/>
      <c r="EH264" s="22"/>
      <c r="EI264" s="22"/>
      <c r="EJ264" s="22"/>
      <c r="EK264" s="22"/>
      <c r="EL264" s="22"/>
      <c r="EM264" s="22"/>
      <c r="EN264" s="22"/>
      <c r="EO264" s="22"/>
      <c r="EP264" s="22"/>
      <c r="EQ264" s="22"/>
      <c r="ER264" s="22"/>
      <c r="ES264" s="22"/>
      <c r="ET264" s="22"/>
      <c r="EU264" s="22"/>
      <c r="EV264" s="22"/>
      <c r="EW264" s="22"/>
      <c r="EX264" s="22"/>
      <c r="EY264" s="22"/>
      <c r="EZ264" s="22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3" t="s">
        <v>966</v>
      </c>
      <c r="FM264" s="23" t="s">
        <v>260</v>
      </c>
      <c r="FN264" s="22"/>
      <c r="FO264" s="22"/>
      <c r="FP264" s="22"/>
      <c r="FQ264" s="22"/>
      <c r="FR264" s="22"/>
      <c r="FS264" s="22"/>
      <c r="FT264" s="22"/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/>
      <c r="GP264" s="22"/>
      <c r="GQ264" s="22"/>
      <c r="GR264" s="22"/>
      <c r="GS264" s="22"/>
      <c r="GT264" s="22"/>
      <c r="GU264" s="22"/>
      <c r="GV264" s="22"/>
      <c r="GW264" s="22"/>
      <c r="GX264" s="22"/>
      <c r="GY264" s="22"/>
      <c r="GZ264" s="22"/>
      <c r="HA264" s="22"/>
    </row>
    <row r="265" ht="23.25" customHeight="1">
      <c r="A265" s="29">
        <v>44659.8108016551</v>
      </c>
      <c r="B265" s="30" t="s">
        <v>6</v>
      </c>
      <c r="C265" s="30" t="s">
        <v>13</v>
      </c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0" t="s">
        <v>963</v>
      </c>
      <c r="AY265" s="30" t="s">
        <v>964</v>
      </c>
      <c r="AZ265" s="30" t="s">
        <v>351</v>
      </c>
      <c r="BA265" s="30" t="s">
        <v>337</v>
      </c>
      <c r="BB265" s="30" t="s">
        <v>882</v>
      </c>
      <c r="BC265" s="32">
        <v>43641.0</v>
      </c>
      <c r="BD265" s="32">
        <v>43677.0</v>
      </c>
      <c r="BE265" s="32">
        <v>43676.0</v>
      </c>
      <c r="BF265" s="30">
        <v>80.0</v>
      </c>
      <c r="BG265" s="30" t="s">
        <v>559</v>
      </c>
      <c r="BH265" s="33" t="s">
        <v>977</v>
      </c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/>
      <c r="EG265" s="22"/>
      <c r="EH265" s="22"/>
      <c r="EI265" s="22"/>
      <c r="EJ265" s="22"/>
      <c r="EK265" s="22"/>
      <c r="EL265" s="22"/>
      <c r="EM265" s="22"/>
      <c r="EN265" s="22"/>
      <c r="EO265" s="22"/>
      <c r="EP265" s="22"/>
      <c r="EQ265" s="22"/>
      <c r="ER265" s="22"/>
      <c r="ES265" s="22"/>
      <c r="ET265" s="22"/>
      <c r="EU265" s="22"/>
      <c r="EV265" s="22"/>
      <c r="EW265" s="22"/>
      <c r="EX265" s="22"/>
      <c r="EY265" s="22"/>
      <c r="EZ265" s="22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3" t="s">
        <v>966</v>
      </c>
      <c r="FM265" s="23" t="s">
        <v>260</v>
      </c>
      <c r="FN265" s="22"/>
      <c r="FO265" s="22"/>
      <c r="FP265" s="22"/>
      <c r="FQ265" s="22"/>
      <c r="FR265" s="22"/>
      <c r="FS265" s="22"/>
      <c r="FT265" s="22"/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/>
      <c r="GP265" s="22"/>
      <c r="GQ265" s="22"/>
      <c r="GR265" s="22"/>
      <c r="GS265" s="22"/>
      <c r="GT265" s="22"/>
      <c r="GU265" s="22"/>
      <c r="GV265" s="22"/>
      <c r="GW265" s="22"/>
      <c r="GX265" s="22"/>
      <c r="GY265" s="22"/>
      <c r="GZ265" s="22"/>
      <c r="HA265" s="22"/>
    </row>
    <row r="266" ht="23.25" customHeight="1">
      <c r="A266" s="29">
        <v>44659.81283900463</v>
      </c>
      <c r="B266" s="30" t="s">
        <v>6</v>
      </c>
      <c r="C266" s="30" t="s">
        <v>13</v>
      </c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0" t="s">
        <v>978</v>
      </c>
      <c r="AY266" s="30" t="s">
        <v>390</v>
      </c>
      <c r="AZ266" s="30" t="s">
        <v>543</v>
      </c>
      <c r="BA266" s="30" t="s">
        <v>979</v>
      </c>
      <c r="BB266" s="30" t="s">
        <v>310</v>
      </c>
      <c r="BC266" s="32">
        <v>43908.0</v>
      </c>
      <c r="BD266" s="32">
        <v>43967.0</v>
      </c>
      <c r="BE266" s="32">
        <v>43967.0</v>
      </c>
      <c r="BF266" s="30">
        <v>82.0</v>
      </c>
      <c r="BG266" s="30" t="s">
        <v>397</v>
      </c>
      <c r="BH266" s="33" t="s">
        <v>980</v>
      </c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/>
      <c r="EG266" s="22"/>
      <c r="EH266" s="22"/>
      <c r="EI266" s="22"/>
      <c r="EJ266" s="22"/>
      <c r="EK266" s="22"/>
      <c r="EL266" s="22"/>
      <c r="EM266" s="22"/>
      <c r="EN266" s="22"/>
      <c r="EO266" s="22"/>
      <c r="EP266" s="22"/>
      <c r="EQ266" s="22"/>
      <c r="ER266" s="22"/>
      <c r="ES266" s="22"/>
      <c r="ET266" s="22"/>
      <c r="EU266" s="22"/>
      <c r="EV266" s="22"/>
      <c r="EW266" s="22"/>
      <c r="EX266" s="22"/>
      <c r="EY266" s="22"/>
      <c r="EZ266" s="22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3" t="s">
        <v>393</v>
      </c>
      <c r="FM266" s="23" t="s">
        <v>283</v>
      </c>
      <c r="FN266" s="22"/>
      <c r="FO266" s="22"/>
      <c r="FP266" s="22"/>
      <c r="FQ266" s="22"/>
      <c r="FR266" s="22"/>
      <c r="FS266" s="22"/>
      <c r="FT266" s="22"/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/>
      <c r="GO266" s="22"/>
      <c r="GP266" s="22"/>
      <c r="GQ266" s="22"/>
      <c r="GR266" s="22"/>
      <c r="GS266" s="22"/>
      <c r="GT266" s="22"/>
      <c r="GU266" s="22"/>
      <c r="GV266" s="22"/>
      <c r="GW266" s="22"/>
      <c r="GX266" s="22"/>
      <c r="GY266" s="22"/>
      <c r="GZ266" s="22"/>
      <c r="HA266" s="22"/>
    </row>
    <row r="267" ht="23.25" customHeight="1">
      <c r="A267" s="29">
        <v>44659.813107326394</v>
      </c>
      <c r="B267" s="30" t="s">
        <v>6</v>
      </c>
      <c r="C267" s="30" t="s">
        <v>13</v>
      </c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0" t="s">
        <v>963</v>
      </c>
      <c r="AY267" s="30" t="s">
        <v>964</v>
      </c>
      <c r="AZ267" s="30" t="s">
        <v>981</v>
      </c>
      <c r="BA267" s="30" t="s">
        <v>337</v>
      </c>
      <c r="BB267" s="30" t="s">
        <v>973</v>
      </c>
      <c r="BC267" s="32">
        <v>43549.0</v>
      </c>
      <c r="BD267" s="32">
        <v>43600.0</v>
      </c>
      <c r="BE267" s="32">
        <v>43585.0</v>
      </c>
      <c r="BF267" s="30">
        <v>80.0</v>
      </c>
      <c r="BG267" s="30" t="s">
        <v>559</v>
      </c>
      <c r="BH267" s="33" t="s">
        <v>982</v>
      </c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3" t="s">
        <v>966</v>
      </c>
      <c r="FM267" s="23" t="s">
        <v>260</v>
      </c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</row>
    <row r="268" ht="23.25" customHeight="1">
      <c r="A268" s="29">
        <v>44659.81548243055</v>
      </c>
      <c r="B268" s="30" t="s">
        <v>6</v>
      </c>
      <c r="C268" s="30" t="s">
        <v>12</v>
      </c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0" t="s">
        <v>963</v>
      </c>
      <c r="AO268" s="30" t="s">
        <v>964</v>
      </c>
      <c r="AP268" s="30" t="s">
        <v>983</v>
      </c>
      <c r="AQ268" s="30" t="s">
        <v>450</v>
      </c>
      <c r="AR268" s="32">
        <v>44547.0</v>
      </c>
      <c r="AS268" s="32">
        <v>44316.0</v>
      </c>
      <c r="AT268" s="30" t="s">
        <v>256</v>
      </c>
      <c r="AU268" s="30" t="s">
        <v>257</v>
      </c>
      <c r="AV268" s="30">
        <v>0.0</v>
      </c>
      <c r="AW268" s="33" t="s">
        <v>984</v>
      </c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/>
      <c r="EG268" s="22"/>
      <c r="EH268" s="22"/>
      <c r="EI268" s="22"/>
      <c r="EJ268" s="22"/>
      <c r="EK268" s="22"/>
      <c r="EL268" s="22"/>
      <c r="EM268" s="22"/>
      <c r="EN268" s="22"/>
      <c r="EO268" s="22"/>
      <c r="EP268" s="22"/>
      <c r="EQ268" s="22"/>
      <c r="ER268" s="22"/>
      <c r="ES268" s="22"/>
      <c r="ET268" s="22"/>
      <c r="EU268" s="22"/>
      <c r="EV268" s="22"/>
      <c r="EW268" s="22"/>
      <c r="EX268" s="22"/>
      <c r="EY268" s="22"/>
      <c r="EZ268" s="22"/>
      <c r="FA268" s="22"/>
      <c r="FB268" s="22"/>
      <c r="FC268" s="22"/>
      <c r="FD268" s="22"/>
      <c r="FE268" s="22"/>
      <c r="FF268" s="22"/>
      <c r="FG268" s="22"/>
      <c r="FH268" s="22"/>
      <c r="FI268" s="22"/>
      <c r="FJ268" s="22"/>
      <c r="FK268" s="22"/>
      <c r="FL268" s="23" t="s">
        <v>966</v>
      </c>
      <c r="FM268" s="23" t="s">
        <v>260</v>
      </c>
      <c r="FN268" s="22"/>
      <c r="FO268" s="22"/>
      <c r="FP268" s="22"/>
      <c r="FQ268" s="22"/>
      <c r="FR268" s="22"/>
      <c r="FS268" s="22"/>
      <c r="FT268" s="22"/>
      <c r="FU268" s="22"/>
      <c r="FV268" s="22"/>
      <c r="FW268" s="22"/>
      <c r="FX268" s="22"/>
      <c r="FY268" s="22"/>
      <c r="FZ268" s="22"/>
      <c r="GA268" s="22"/>
      <c r="GB268" s="22"/>
      <c r="GC268" s="22"/>
      <c r="GD268" s="22"/>
      <c r="GE268" s="22"/>
      <c r="GF268" s="22"/>
      <c r="GG268" s="22"/>
      <c r="GH268" s="22"/>
      <c r="GI268" s="22"/>
      <c r="GJ268" s="22"/>
      <c r="GK268" s="22"/>
      <c r="GL268" s="22"/>
      <c r="GM268" s="22"/>
      <c r="GN268" s="22"/>
      <c r="GO268" s="22"/>
      <c r="GP268" s="22"/>
      <c r="GQ268" s="22"/>
      <c r="GR268" s="22"/>
      <c r="GS268" s="22"/>
      <c r="GT268" s="22"/>
      <c r="GU268" s="22"/>
      <c r="GV268" s="22"/>
      <c r="GW268" s="22"/>
      <c r="GX268" s="22"/>
      <c r="GY268" s="22"/>
      <c r="GZ268" s="22"/>
      <c r="HA268" s="22"/>
    </row>
    <row r="269" ht="23.25" customHeight="1">
      <c r="A269" s="29">
        <v>44659.81824799768</v>
      </c>
      <c r="B269" s="30" t="s">
        <v>6</v>
      </c>
      <c r="C269" s="30" t="s">
        <v>27</v>
      </c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3" t="s">
        <v>966</v>
      </c>
      <c r="FM269" s="23" t="s">
        <v>260</v>
      </c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3" t="s">
        <v>963</v>
      </c>
      <c r="GG269" s="23" t="s">
        <v>964</v>
      </c>
      <c r="GH269" s="23" t="s">
        <v>985</v>
      </c>
      <c r="GI269" s="24">
        <v>44727.0</v>
      </c>
      <c r="GJ269" s="25" t="s">
        <v>986</v>
      </c>
      <c r="GK269" s="23" t="s">
        <v>987</v>
      </c>
      <c r="GL269" s="23" t="s">
        <v>988</v>
      </c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</row>
    <row r="270" ht="23.25" customHeight="1">
      <c r="A270" s="29">
        <v>44659.83312876157</v>
      </c>
      <c r="B270" s="30" t="s">
        <v>6</v>
      </c>
      <c r="C270" s="30" t="s">
        <v>13</v>
      </c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0" t="s">
        <v>989</v>
      </c>
      <c r="AY270" s="30" t="s">
        <v>990</v>
      </c>
      <c r="AZ270" s="30" t="s">
        <v>991</v>
      </c>
      <c r="BA270" s="30" t="s">
        <v>345</v>
      </c>
      <c r="BB270" s="30">
        <v>3.0</v>
      </c>
      <c r="BC270" s="32">
        <v>43983.0</v>
      </c>
      <c r="BD270" s="32">
        <v>44075.0</v>
      </c>
      <c r="BE270" s="32">
        <v>44084.0</v>
      </c>
      <c r="BF270" s="30">
        <v>80.0</v>
      </c>
      <c r="BG270" s="30" t="s">
        <v>992</v>
      </c>
      <c r="BH270" s="33" t="s">
        <v>993</v>
      </c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/>
      <c r="EG270" s="22"/>
      <c r="EH270" s="22"/>
      <c r="EI270" s="22"/>
      <c r="EJ270" s="22"/>
      <c r="EK270" s="22"/>
      <c r="EL270" s="22"/>
      <c r="EM270" s="22"/>
      <c r="EN270" s="22"/>
      <c r="EO270" s="22"/>
      <c r="EP270" s="22"/>
      <c r="EQ270" s="22"/>
      <c r="ER270" s="22"/>
      <c r="ES270" s="22"/>
      <c r="ET270" s="22"/>
      <c r="EU270" s="22"/>
      <c r="EV270" s="22"/>
      <c r="EW270" s="22"/>
      <c r="EX270" s="22"/>
      <c r="EY270" s="22"/>
      <c r="EZ270" s="22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3" t="s">
        <v>994</v>
      </c>
      <c r="FM270" s="23" t="s">
        <v>260</v>
      </c>
      <c r="FN270" s="22"/>
      <c r="FO270" s="22"/>
      <c r="FP270" s="22"/>
      <c r="FQ270" s="22"/>
      <c r="FR270" s="22"/>
      <c r="FS270" s="22"/>
      <c r="FT270" s="22"/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/>
      <c r="GJ270" s="22"/>
      <c r="GK270" s="22"/>
      <c r="GL270" s="22"/>
      <c r="GM270" s="22"/>
      <c r="GN270" s="22"/>
      <c r="GO270" s="22"/>
      <c r="GP270" s="22"/>
      <c r="GQ270" s="22"/>
      <c r="GR270" s="22"/>
      <c r="GS270" s="22"/>
      <c r="GT270" s="22"/>
      <c r="GU270" s="22"/>
      <c r="GV270" s="22"/>
      <c r="GW270" s="22"/>
      <c r="GX270" s="22"/>
      <c r="GY270" s="22"/>
      <c r="GZ270" s="22"/>
      <c r="HA270" s="22"/>
    </row>
    <row r="271" ht="23.25" customHeight="1">
      <c r="A271" s="29">
        <v>44659.83827443287</v>
      </c>
      <c r="B271" s="30" t="s">
        <v>9</v>
      </c>
      <c r="C271" s="30" t="s">
        <v>14</v>
      </c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0" t="s">
        <v>995</v>
      </c>
      <c r="BJ271" s="30" t="s">
        <v>996</v>
      </c>
      <c r="BK271" s="30" t="s">
        <v>313</v>
      </c>
      <c r="BL271" s="30" t="s">
        <v>172</v>
      </c>
      <c r="BM271" s="30" t="s">
        <v>946</v>
      </c>
      <c r="BN271" s="30">
        <v>6.0</v>
      </c>
      <c r="BO271" s="32">
        <v>44627.0</v>
      </c>
      <c r="BP271" s="32">
        <v>44632.0</v>
      </c>
      <c r="BQ271" s="30" t="s">
        <v>947</v>
      </c>
      <c r="BR271" s="30" t="s">
        <v>948</v>
      </c>
      <c r="BS271" s="30" t="s">
        <v>176</v>
      </c>
      <c r="BT271" s="30" t="s">
        <v>632</v>
      </c>
      <c r="BU271" s="30">
        <v>0.0</v>
      </c>
      <c r="BV271" s="33" t="s">
        <v>997</v>
      </c>
      <c r="BW271" s="31"/>
      <c r="BX271" s="31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3" t="s">
        <v>998</v>
      </c>
      <c r="FM271" s="23" t="s">
        <v>414</v>
      </c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</row>
    <row r="272" ht="23.25" customHeight="1">
      <c r="A272" s="29">
        <v>44659.85864464121</v>
      </c>
      <c r="B272" s="30" t="s">
        <v>6</v>
      </c>
      <c r="C272" s="30" t="s">
        <v>12</v>
      </c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0" t="s">
        <v>999</v>
      </c>
      <c r="AO272" s="30" t="s">
        <v>1000</v>
      </c>
      <c r="AP272" s="30" t="s">
        <v>309</v>
      </c>
      <c r="AQ272" s="30" t="s">
        <v>507</v>
      </c>
      <c r="AR272" s="32">
        <v>44484.0</v>
      </c>
      <c r="AS272" s="32">
        <v>44920.0</v>
      </c>
      <c r="AT272" s="30" t="s">
        <v>257</v>
      </c>
      <c r="AU272" s="30" t="s">
        <v>257</v>
      </c>
      <c r="AV272" s="30">
        <v>0.0</v>
      </c>
      <c r="AW272" s="33" t="s">
        <v>1001</v>
      </c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/>
      <c r="EG272" s="22"/>
      <c r="EH272" s="22"/>
      <c r="EI272" s="22"/>
      <c r="EJ272" s="22"/>
      <c r="EK272" s="22"/>
      <c r="EL272" s="22"/>
      <c r="EM272" s="22"/>
      <c r="EN272" s="22"/>
      <c r="EO272" s="22"/>
      <c r="EP272" s="22"/>
      <c r="EQ272" s="22"/>
      <c r="ER272" s="22"/>
      <c r="ES272" s="22"/>
      <c r="ET272" s="22"/>
      <c r="EU272" s="22"/>
      <c r="EV272" s="22"/>
      <c r="EW272" s="22"/>
      <c r="EX272" s="22"/>
      <c r="EY272" s="22"/>
      <c r="EZ272" s="22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3" t="s">
        <v>1002</v>
      </c>
      <c r="FM272" s="23" t="s">
        <v>260</v>
      </c>
      <c r="FN272" s="22"/>
      <c r="FO272" s="22"/>
      <c r="FP272" s="22"/>
      <c r="FQ272" s="22"/>
      <c r="FR272" s="22"/>
      <c r="FS272" s="22"/>
      <c r="FT272" s="22"/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/>
      <c r="GJ272" s="22"/>
      <c r="GK272" s="22"/>
      <c r="GL272" s="22"/>
      <c r="GM272" s="22"/>
      <c r="GN272" s="22"/>
      <c r="GO272" s="22"/>
      <c r="GP272" s="22"/>
      <c r="GQ272" s="22"/>
      <c r="GR272" s="22"/>
      <c r="GS272" s="22"/>
      <c r="GT272" s="22"/>
      <c r="GU272" s="22"/>
      <c r="GV272" s="22"/>
      <c r="GW272" s="22"/>
      <c r="GX272" s="22"/>
      <c r="GY272" s="22"/>
      <c r="GZ272" s="22"/>
      <c r="HA272" s="22"/>
    </row>
    <row r="273" ht="23.25" customHeight="1">
      <c r="A273" s="29">
        <v>44659.87061857639</v>
      </c>
      <c r="B273" s="30" t="s">
        <v>7</v>
      </c>
      <c r="C273" s="30" t="s">
        <v>13</v>
      </c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0" t="s">
        <v>1003</v>
      </c>
      <c r="AY273" s="30" t="s">
        <v>1004</v>
      </c>
      <c r="AZ273" s="30" t="s">
        <v>642</v>
      </c>
      <c r="BA273" s="30" t="s">
        <v>938</v>
      </c>
      <c r="BB273" s="30" t="s">
        <v>627</v>
      </c>
      <c r="BC273" s="32">
        <v>44371.0</v>
      </c>
      <c r="BD273" s="32">
        <v>44401.0</v>
      </c>
      <c r="BE273" s="32">
        <v>44401.0</v>
      </c>
      <c r="BF273" s="30">
        <v>100.0</v>
      </c>
      <c r="BG273" s="30" t="s">
        <v>559</v>
      </c>
      <c r="BH273" s="33" t="s">
        <v>1005</v>
      </c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3" t="s">
        <v>1006</v>
      </c>
      <c r="FM273" s="23" t="s">
        <v>283</v>
      </c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  <c r="GW273" s="22"/>
      <c r="GX273" s="22"/>
      <c r="GY273" s="22"/>
      <c r="GZ273" s="22"/>
      <c r="HA273" s="22"/>
    </row>
    <row r="274" ht="23.25" customHeight="1">
      <c r="A274" s="29">
        <v>44659.87514293981</v>
      </c>
      <c r="B274" s="30" t="s">
        <v>6</v>
      </c>
      <c r="C274" s="30" t="s">
        <v>12</v>
      </c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0" t="s">
        <v>1007</v>
      </c>
      <c r="AO274" s="30" t="s">
        <v>1008</v>
      </c>
      <c r="AP274" s="30" t="s">
        <v>1009</v>
      </c>
      <c r="AQ274" s="30">
        <v>2.0</v>
      </c>
      <c r="AR274" s="32">
        <v>44348.0</v>
      </c>
      <c r="AS274" s="32">
        <v>44409.0</v>
      </c>
      <c r="AT274" s="30" t="s">
        <v>257</v>
      </c>
      <c r="AU274" s="30" t="s">
        <v>257</v>
      </c>
      <c r="AV274" s="30">
        <v>0.0</v>
      </c>
      <c r="AW274" s="33" t="s">
        <v>1010</v>
      </c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22"/>
      <c r="EL274" s="22"/>
      <c r="EM274" s="22"/>
      <c r="EN274" s="22"/>
      <c r="EO274" s="22"/>
      <c r="EP274" s="22"/>
      <c r="EQ274" s="22"/>
      <c r="ER274" s="22"/>
      <c r="ES274" s="22"/>
      <c r="ET274" s="22"/>
      <c r="EU274" s="22"/>
      <c r="EV274" s="22"/>
      <c r="EW274" s="22"/>
      <c r="EX274" s="22"/>
      <c r="EY274" s="22"/>
      <c r="EZ274" s="22"/>
      <c r="FA274" s="22"/>
      <c r="FB274" s="22"/>
      <c r="FC274" s="22"/>
      <c r="FD274" s="22"/>
      <c r="FE274" s="22"/>
      <c r="FF274" s="22"/>
      <c r="FG274" s="22"/>
      <c r="FH274" s="22"/>
      <c r="FI274" s="22"/>
      <c r="FJ274" s="22"/>
      <c r="FK274" s="22"/>
      <c r="FL274" s="23" t="s">
        <v>1011</v>
      </c>
      <c r="FM274" s="23" t="s">
        <v>283</v>
      </c>
      <c r="FN274" s="22"/>
      <c r="FO274" s="22"/>
      <c r="FP274" s="22"/>
      <c r="FQ274" s="22"/>
      <c r="FR274" s="22"/>
      <c r="FS274" s="22"/>
      <c r="FT274" s="22"/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22"/>
      <c r="GG274" s="22"/>
      <c r="GH274" s="22"/>
      <c r="GI274" s="22"/>
      <c r="GJ274" s="22"/>
      <c r="GK274" s="22"/>
      <c r="GL274" s="22"/>
      <c r="GM274" s="22"/>
      <c r="GN274" s="22"/>
      <c r="GO274" s="22"/>
      <c r="GP274" s="22"/>
      <c r="GQ274" s="22"/>
      <c r="GR274" s="22"/>
      <c r="GS274" s="22"/>
      <c r="GT274" s="22"/>
      <c r="GU274" s="22"/>
      <c r="GV274" s="22"/>
      <c r="GW274" s="22"/>
      <c r="GX274" s="22"/>
      <c r="GY274" s="22"/>
      <c r="GZ274" s="22"/>
      <c r="HA274" s="22"/>
    </row>
    <row r="275" ht="23.25" customHeight="1">
      <c r="A275" s="29">
        <v>44659.87637951389</v>
      </c>
      <c r="B275" s="30" t="s">
        <v>6</v>
      </c>
      <c r="C275" s="30" t="s">
        <v>12</v>
      </c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0" t="s">
        <v>1012</v>
      </c>
      <c r="AO275" s="30" t="s">
        <v>1008</v>
      </c>
      <c r="AP275" s="30" t="s">
        <v>1013</v>
      </c>
      <c r="AQ275" s="30">
        <v>1.0</v>
      </c>
      <c r="AR275" s="32">
        <v>44348.0</v>
      </c>
      <c r="AS275" s="32">
        <v>44378.0</v>
      </c>
      <c r="AT275" s="30" t="s">
        <v>257</v>
      </c>
      <c r="AU275" s="30" t="s">
        <v>257</v>
      </c>
      <c r="AV275" s="30">
        <v>0.0</v>
      </c>
      <c r="AW275" s="33" t="s">
        <v>1014</v>
      </c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3" t="s">
        <v>1011</v>
      </c>
      <c r="FM275" s="23" t="s">
        <v>283</v>
      </c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  <c r="GW275" s="22"/>
      <c r="GX275" s="22"/>
      <c r="GY275" s="22"/>
      <c r="GZ275" s="22"/>
      <c r="HA275" s="22"/>
    </row>
    <row r="276" ht="23.25" customHeight="1">
      <c r="A276" s="29">
        <v>44659.87706885417</v>
      </c>
      <c r="B276" s="30" t="s">
        <v>6</v>
      </c>
      <c r="C276" s="30" t="s">
        <v>12</v>
      </c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0" t="s">
        <v>1003</v>
      </c>
      <c r="AO276" s="30" t="s">
        <v>1015</v>
      </c>
      <c r="AP276" s="30" t="s">
        <v>754</v>
      </c>
      <c r="AQ276" s="30" t="s">
        <v>320</v>
      </c>
      <c r="AR276" s="32">
        <v>44477.0</v>
      </c>
      <c r="AS276" s="32">
        <v>44544.0</v>
      </c>
      <c r="AT276" s="30" t="s">
        <v>257</v>
      </c>
      <c r="AU276" s="30" t="s">
        <v>257</v>
      </c>
      <c r="AV276" s="30">
        <v>0.0</v>
      </c>
      <c r="AW276" s="33" t="s">
        <v>1016</v>
      </c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/>
      <c r="EG276" s="22"/>
      <c r="EH276" s="22"/>
      <c r="EI276" s="22"/>
      <c r="EJ276" s="22"/>
      <c r="EK276" s="22"/>
      <c r="EL276" s="22"/>
      <c r="EM276" s="22"/>
      <c r="EN276" s="22"/>
      <c r="EO276" s="22"/>
      <c r="EP276" s="22"/>
      <c r="EQ276" s="22"/>
      <c r="ER276" s="22"/>
      <c r="ES276" s="22"/>
      <c r="ET276" s="22"/>
      <c r="EU276" s="22"/>
      <c r="EV276" s="22"/>
      <c r="EW276" s="22"/>
      <c r="EX276" s="22"/>
      <c r="EY276" s="22"/>
      <c r="EZ276" s="22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3" t="s">
        <v>1006</v>
      </c>
      <c r="FM276" s="23" t="s">
        <v>278</v>
      </c>
      <c r="FN276" s="22"/>
      <c r="FO276" s="22"/>
      <c r="FP276" s="22"/>
      <c r="FQ276" s="22"/>
      <c r="FR276" s="22"/>
      <c r="FS276" s="22"/>
      <c r="FT276" s="22"/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/>
      <c r="GJ276" s="22"/>
      <c r="GK276" s="22"/>
      <c r="GL276" s="22"/>
      <c r="GM276" s="22"/>
      <c r="GN276" s="22"/>
      <c r="GO276" s="22"/>
      <c r="GP276" s="22"/>
      <c r="GQ276" s="22"/>
      <c r="GR276" s="22"/>
      <c r="GS276" s="22"/>
      <c r="GT276" s="22"/>
      <c r="GU276" s="22"/>
      <c r="GV276" s="22"/>
      <c r="GW276" s="22"/>
      <c r="GX276" s="22"/>
      <c r="GY276" s="22"/>
      <c r="GZ276" s="22"/>
      <c r="HA276" s="22"/>
    </row>
    <row r="277" ht="23.25" customHeight="1">
      <c r="A277" s="29">
        <v>44659.880509560186</v>
      </c>
      <c r="B277" s="30" t="s">
        <v>6</v>
      </c>
      <c r="C277" s="30" t="s">
        <v>13</v>
      </c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0" t="s">
        <v>1017</v>
      </c>
      <c r="AY277" s="30" t="s">
        <v>1008</v>
      </c>
      <c r="AZ277" s="30" t="s">
        <v>1018</v>
      </c>
      <c r="BA277" s="30" t="s">
        <v>1019</v>
      </c>
      <c r="BB277" s="30">
        <v>2.0</v>
      </c>
      <c r="BC277" s="32">
        <v>44166.0</v>
      </c>
      <c r="BD277" s="32">
        <v>44239.0</v>
      </c>
      <c r="BE277" s="32">
        <v>44239.0</v>
      </c>
      <c r="BF277" s="30">
        <v>100.0</v>
      </c>
      <c r="BG277" s="30" t="s">
        <v>1020</v>
      </c>
      <c r="BH277" s="33" t="s">
        <v>1021</v>
      </c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/>
      <c r="EG277" s="22"/>
      <c r="EH277" s="22"/>
      <c r="EI277" s="22"/>
      <c r="EJ277" s="22"/>
      <c r="EK277" s="22"/>
      <c r="EL277" s="22"/>
      <c r="EM277" s="22"/>
      <c r="EN277" s="22"/>
      <c r="EO277" s="22"/>
      <c r="EP277" s="22"/>
      <c r="EQ277" s="22"/>
      <c r="ER277" s="22"/>
      <c r="ES277" s="22"/>
      <c r="ET277" s="22"/>
      <c r="EU277" s="22"/>
      <c r="EV277" s="22"/>
      <c r="EW277" s="22"/>
      <c r="EX277" s="22"/>
      <c r="EY277" s="22"/>
      <c r="EZ277" s="22"/>
      <c r="FA277" s="22"/>
      <c r="FB277" s="22"/>
      <c r="FC277" s="22"/>
      <c r="FD277" s="22"/>
      <c r="FE277" s="22"/>
      <c r="FF277" s="22"/>
      <c r="FG277" s="22"/>
      <c r="FH277" s="22"/>
      <c r="FI277" s="22"/>
      <c r="FJ277" s="22"/>
      <c r="FK277" s="22"/>
      <c r="FL277" s="23" t="s">
        <v>1011</v>
      </c>
      <c r="FM277" s="23" t="s">
        <v>260</v>
      </c>
      <c r="FN277" s="22"/>
      <c r="FO277" s="22"/>
      <c r="FP277" s="22"/>
      <c r="FQ277" s="22"/>
      <c r="FR277" s="22"/>
      <c r="FS277" s="22"/>
      <c r="FT277" s="22"/>
      <c r="FU277" s="22"/>
      <c r="FV277" s="22"/>
      <c r="FW277" s="22"/>
      <c r="FX277" s="22"/>
      <c r="FY277" s="22"/>
      <c r="FZ277" s="22"/>
      <c r="GA277" s="22"/>
      <c r="GB277" s="22"/>
      <c r="GC277" s="22"/>
      <c r="GD277" s="22"/>
      <c r="GE277" s="22"/>
      <c r="GF277" s="22"/>
      <c r="GG277" s="22"/>
      <c r="GH277" s="22"/>
      <c r="GI277" s="22"/>
      <c r="GJ277" s="22"/>
      <c r="GK277" s="22"/>
      <c r="GL277" s="22"/>
      <c r="GM277" s="22"/>
      <c r="GN277" s="22"/>
      <c r="GO277" s="22"/>
      <c r="GP277" s="22"/>
      <c r="GQ277" s="22"/>
      <c r="GR277" s="22"/>
      <c r="GS277" s="22"/>
      <c r="GT277" s="22"/>
      <c r="GU277" s="22"/>
      <c r="GV277" s="22"/>
      <c r="GW277" s="22"/>
      <c r="GX277" s="22"/>
      <c r="GY277" s="22"/>
      <c r="GZ277" s="22"/>
      <c r="HA277" s="22"/>
    </row>
    <row r="278" ht="23.25" customHeight="1">
      <c r="A278" s="29">
        <v>44659.88146417824</v>
      </c>
      <c r="B278" s="30" t="s">
        <v>6</v>
      </c>
      <c r="C278" s="30" t="s">
        <v>13</v>
      </c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0" t="s">
        <v>1022</v>
      </c>
      <c r="AY278" s="30" t="s">
        <v>1023</v>
      </c>
      <c r="AZ278" s="30" t="s">
        <v>1024</v>
      </c>
      <c r="BA278" s="30" t="s">
        <v>1025</v>
      </c>
      <c r="BB278" s="30" t="s">
        <v>450</v>
      </c>
      <c r="BC278" s="32">
        <v>43983.0</v>
      </c>
      <c r="BD278" s="32">
        <v>44075.0</v>
      </c>
      <c r="BE278" s="32">
        <v>44084.0</v>
      </c>
      <c r="BF278" s="30">
        <v>92.0</v>
      </c>
      <c r="BG278" s="30" t="s">
        <v>1026</v>
      </c>
      <c r="BH278" s="33" t="s">
        <v>1027</v>
      </c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22"/>
      <c r="EP278" s="22"/>
      <c r="EQ278" s="22"/>
      <c r="ER278" s="22"/>
      <c r="ES278" s="22"/>
      <c r="ET278" s="22"/>
      <c r="EU278" s="22"/>
      <c r="EV278" s="22"/>
      <c r="EW278" s="22"/>
      <c r="EX278" s="22"/>
      <c r="EY278" s="22"/>
      <c r="EZ278" s="22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3" t="s">
        <v>1028</v>
      </c>
      <c r="FM278" s="23" t="s">
        <v>260</v>
      </c>
      <c r="FN278" s="22"/>
      <c r="FO278" s="22"/>
      <c r="FP278" s="22"/>
      <c r="FQ278" s="22"/>
      <c r="FR278" s="22"/>
      <c r="FS278" s="22"/>
      <c r="FT278" s="22"/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/>
      <c r="GO278" s="22"/>
      <c r="GP278" s="22"/>
      <c r="GQ278" s="22"/>
      <c r="GR278" s="22"/>
      <c r="GS278" s="22"/>
      <c r="GT278" s="22"/>
      <c r="GU278" s="22"/>
      <c r="GV278" s="22"/>
      <c r="GW278" s="22"/>
      <c r="GX278" s="22"/>
      <c r="GY278" s="22"/>
      <c r="GZ278" s="22"/>
      <c r="HA278" s="22"/>
    </row>
    <row r="279" ht="23.25" customHeight="1">
      <c r="A279" s="29">
        <v>44659.892764641205</v>
      </c>
      <c r="B279" s="30" t="s">
        <v>6</v>
      </c>
      <c r="C279" s="30" t="s">
        <v>13</v>
      </c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0" t="s">
        <v>1017</v>
      </c>
      <c r="AY279" s="30" t="s">
        <v>1008</v>
      </c>
      <c r="AZ279" s="30" t="s">
        <v>1029</v>
      </c>
      <c r="BA279" s="30" t="s">
        <v>1030</v>
      </c>
      <c r="BB279" s="30">
        <v>0.0</v>
      </c>
      <c r="BC279" s="32">
        <v>43991.0</v>
      </c>
      <c r="BD279" s="32">
        <v>43991.0</v>
      </c>
      <c r="BE279" s="32">
        <v>43991.0</v>
      </c>
      <c r="BF279" s="30">
        <v>100.0</v>
      </c>
      <c r="BG279" s="30" t="s">
        <v>1031</v>
      </c>
      <c r="BH279" s="33" t="s">
        <v>1032</v>
      </c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/>
      <c r="EG279" s="22"/>
      <c r="EH279" s="22"/>
      <c r="EI279" s="22"/>
      <c r="EJ279" s="22"/>
      <c r="EK279" s="22"/>
      <c r="EL279" s="22"/>
      <c r="EM279" s="22"/>
      <c r="EN279" s="22"/>
      <c r="EO279" s="22"/>
      <c r="EP279" s="22"/>
      <c r="EQ279" s="22"/>
      <c r="ER279" s="22"/>
      <c r="ES279" s="22"/>
      <c r="ET279" s="22"/>
      <c r="EU279" s="22"/>
      <c r="EV279" s="22"/>
      <c r="EW279" s="22"/>
      <c r="EX279" s="22"/>
      <c r="EY279" s="22"/>
      <c r="EZ279" s="22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3" t="s">
        <v>1011</v>
      </c>
      <c r="FM279" s="23" t="s">
        <v>260</v>
      </c>
      <c r="FN279" s="22"/>
      <c r="FO279" s="22"/>
      <c r="FP279" s="22"/>
      <c r="FQ279" s="22"/>
      <c r="FR279" s="22"/>
      <c r="FS279" s="22"/>
      <c r="FT279" s="22"/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/>
      <c r="GO279" s="22"/>
      <c r="GP279" s="22"/>
      <c r="GQ279" s="22"/>
      <c r="GR279" s="22"/>
      <c r="GS279" s="22"/>
      <c r="GT279" s="22"/>
      <c r="GU279" s="22"/>
      <c r="GV279" s="22"/>
      <c r="GW279" s="22"/>
      <c r="GX279" s="22"/>
      <c r="GY279" s="22"/>
      <c r="GZ279" s="22"/>
      <c r="HA279" s="22"/>
    </row>
    <row r="280" ht="23.25" customHeight="1">
      <c r="A280" s="29">
        <v>44659.898655509256</v>
      </c>
      <c r="B280" s="30" t="s">
        <v>6</v>
      </c>
      <c r="C280" s="30" t="s">
        <v>13</v>
      </c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0" t="s">
        <v>999</v>
      </c>
      <c r="AY280" s="30" t="s">
        <v>1000</v>
      </c>
      <c r="AZ280" s="30" t="s">
        <v>351</v>
      </c>
      <c r="BA280" s="30" t="s">
        <v>409</v>
      </c>
      <c r="BB280" s="30" t="s">
        <v>553</v>
      </c>
      <c r="BC280" s="32">
        <v>43615.0</v>
      </c>
      <c r="BD280" s="32">
        <v>44660.0</v>
      </c>
      <c r="BE280" s="32">
        <v>43677.0</v>
      </c>
      <c r="BF280" s="30">
        <v>100.0</v>
      </c>
      <c r="BG280" s="30" t="s">
        <v>1033</v>
      </c>
      <c r="BH280" s="33" t="s">
        <v>1034</v>
      </c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/>
      <c r="EG280" s="22"/>
      <c r="EH280" s="22"/>
      <c r="EI280" s="22"/>
      <c r="EJ280" s="22"/>
      <c r="EK280" s="22"/>
      <c r="EL280" s="22"/>
      <c r="EM280" s="22"/>
      <c r="EN280" s="22"/>
      <c r="EO280" s="22"/>
      <c r="EP280" s="22"/>
      <c r="EQ280" s="22"/>
      <c r="ER280" s="22"/>
      <c r="ES280" s="22"/>
      <c r="ET280" s="22"/>
      <c r="EU280" s="22"/>
      <c r="EV280" s="22"/>
      <c r="EW280" s="22"/>
      <c r="EX280" s="22"/>
      <c r="EY280" s="22"/>
      <c r="EZ280" s="22"/>
      <c r="FA280" s="22"/>
      <c r="FB280" s="22"/>
      <c r="FC280" s="22"/>
      <c r="FD280" s="22"/>
      <c r="FE280" s="22"/>
      <c r="FF280" s="22"/>
      <c r="FG280" s="22"/>
      <c r="FH280" s="22"/>
      <c r="FI280" s="22"/>
      <c r="FJ280" s="22"/>
      <c r="FK280" s="22"/>
      <c r="FL280" s="23" t="s">
        <v>1002</v>
      </c>
      <c r="FM280" s="23" t="s">
        <v>260</v>
      </c>
      <c r="FN280" s="22"/>
      <c r="FO280" s="22"/>
      <c r="FP280" s="22"/>
      <c r="FQ280" s="22"/>
      <c r="FR280" s="22"/>
      <c r="FS280" s="22"/>
      <c r="FT280" s="22"/>
      <c r="FU280" s="22"/>
      <c r="FV280" s="22"/>
      <c r="FW280" s="22"/>
      <c r="FX280" s="22"/>
      <c r="FY280" s="22"/>
      <c r="FZ280" s="22"/>
      <c r="GA280" s="22"/>
      <c r="GB280" s="22"/>
      <c r="GC280" s="22"/>
      <c r="GD280" s="22"/>
      <c r="GE280" s="22"/>
      <c r="GF280" s="22"/>
      <c r="GG280" s="22"/>
      <c r="GH280" s="22"/>
      <c r="GI280" s="22"/>
      <c r="GJ280" s="22"/>
      <c r="GK280" s="22"/>
      <c r="GL280" s="22"/>
      <c r="GM280" s="22"/>
      <c r="GN280" s="22"/>
      <c r="GO280" s="22"/>
      <c r="GP280" s="22"/>
      <c r="GQ280" s="22"/>
      <c r="GR280" s="22"/>
      <c r="GS280" s="22"/>
      <c r="GT280" s="22"/>
      <c r="GU280" s="22"/>
      <c r="GV280" s="22"/>
      <c r="GW280" s="22"/>
      <c r="GX280" s="22"/>
      <c r="GY280" s="22"/>
      <c r="GZ280" s="22"/>
      <c r="HA280" s="22"/>
    </row>
    <row r="281" ht="23.25" customHeight="1">
      <c r="A281" s="29">
        <v>44659.90184369213</v>
      </c>
      <c r="B281" s="30" t="s">
        <v>6</v>
      </c>
      <c r="C281" s="30" t="s">
        <v>13</v>
      </c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0" t="s">
        <v>1003</v>
      </c>
      <c r="AY281" s="30" t="s">
        <v>1015</v>
      </c>
      <c r="AZ281" s="30" t="s">
        <v>603</v>
      </c>
      <c r="BA281" s="30" t="s">
        <v>309</v>
      </c>
      <c r="BB281" s="30" t="s">
        <v>1035</v>
      </c>
      <c r="BC281" s="32">
        <v>44652.0</v>
      </c>
      <c r="BD281" s="32">
        <v>44681.0</v>
      </c>
      <c r="BE281" s="32">
        <v>44624.0</v>
      </c>
      <c r="BF281" s="30">
        <v>100.0</v>
      </c>
      <c r="BG281" s="30" t="s">
        <v>339</v>
      </c>
      <c r="BH281" s="33" t="s">
        <v>1036</v>
      </c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/>
      <c r="EG281" s="22"/>
      <c r="EH281" s="22"/>
      <c r="EI281" s="22"/>
      <c r="EJ281" s="22"/>
      <c r="EK281" s="22"/>
      <c r="EL281" s="22"/>
      <c r="EM281" s="22"/>
      <c r="EN281" s="22"/>
      <c r="EO281" s="22"/>
      <c r="EP281" s="22"/>
      <c r="EQ281" s="22"/>
      <c r="ER281" s="22"/>
      <c r="ES281" s="22"/>
      <c r="ET281" s="22"/>
      <c r="EU281" s="22"/>
      <c r="EV281" s="22"/>
      <c r="EW281" s="22"/>
      <c r="EX281" s="22"/>
      <c r="EY281" s="22"/>
      <c r="EZ281" s="22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3" t="s">
        <v>1006</v>
      </c>
      <c r="FM281" s="23" t="s">
        <v>260</v>
      </c>
      <c r="FN281" s="22"/>
      <c r="FO281" s="22"/>
      <c r="FP281" s="22"/>
      <c r="FQ281" s="22"/>
      <c r="FR281" s="22"/>
      <c r="FS281" s="22"/>
      <c r="FT281" s="22"/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/>
      <c r="GP281" s="22"/>
      <c r="GQ281" s="22"/>
      <c r="GR281" s="22"/>
      <c r="GS281" s="22"/>
      <c r="GT281" s="22"/>
      <c r="GU281" s="22"/>
      <c r="GV281" s="22"/>
      <c r="GW281" s="22"/>
      <c r="GX281" s="22"/>
      <c r="GY281" s="22"/>
      <c r="GZ281" s="22"/>
      <c r="HA281" s="22"/>
    </row>
    <row r="282" ht="23.25" customHeight="1">
      <c r="A282" s="29">
        <v>44659.90406631945</v>
      </c>
      <c r="B282" s="30" t="s">
        <v>6</v>
      </c>
      <c r="C282" s="30" t="s">
        <v>13</v>
      </c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0" t="s">
        <v>1037</v>
      </c>
      <c r="AY282" s="30" t="s">
        <v>1038</v>
      </c>
      <c r="AZ282" s="30" t="s">
        <v>1039</v>
      </c>
      <c r="BA282" s="30" t="s">
        <v>1040</v>
      </c>
      <c r="BB282" s="30" t="s">
        <v>310</v>
      </c>
      <c r="BC282" s="32">
        <v>44322.0</v>
      </c>
      <c r="BD282" s="32">
        <v>44353.0</v>
      </c>
      <c r="BE282" s="32">
        <v>44383.0</v>
      </c>
      <c r="BF282" s="30">
        <v>88.0</v>
      </c>
      <c r="BG282" s="30" t="s">
        <v>1041</v>
      </c>
      <c r="BH282" s="33" t="s">
        <v>1042</v>
      </c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/>
      <c r="EG282" s="22"/>
      <c r="EH282" s="22"/>
      <c r="EI282" s="22"/>
      <c r="EJ282" s="22"/>
      <c r="EK282" s="22"/>
      <c r="EL282" s="22"/>
      <c r="EM282" s="22"/>
      <c r="EN282" s="22"/>
      <c r="EO282" s="22"/>
      <c r="EP282" s="22"/>
      <c r="EQ282" s="22"/>
      <c r="ER282" s="22"/>
      <c r="ES282" s="22"/>
      <c r="ET282" s="22"/>
      <c r="EU282" s="22"/>
      <c r="EV282" s="22"/>
      <c r="EW282" s="22"/>
      <c r="EX282" s="22"/>
      <c r="EY282" s="22"/>
      <c r="EZ282" s="22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3" t="s">
        <v>1043</v>
      </c>
      <c r="FM282" s="23" t="s">
        <v>260</v>
      </c>
      <c r="FN282" s="22"/>
      <c r="FO282" s="22"/>
      <c r="FP282" s="22"/>
      <c r="FQ282" s="22"/>
      <c r="FR282" s="22"/>
      <c r="FS282" s="22"/>
      <c r="FT282" s="22"/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/>
      <c r="GO282" s="22"/>
      <c r="GP282" s="22"/>
      <c r="GQ282" s="22"/>
      <c r="GR282" s="22"/>
      <c r="GS282" s="22"/>
      <c r="GT282" s="22"/>
      <c r="GU282" s="22"/>
      <c r="GV282" s="22"/>
      <c r="GW282" s="22"/>
      <c r="GX282" s="22"/>
      <c r="GY282" s="22"/>
      <c r="GZ282" s="22"/>
      <c r="HA282" s="22"/>
    </row>
    <row r="283" ht="23.25" customHeight="1">
      <c r="A283" s="29">
        <v>44659.907919942125</v>
      </c>
      <c r="B283" s="30" t="s">
        <v>6</v>
      </c>
      <c r="C283" s="30" t="s">
        <v>13</v>
      </c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0" t="s">
        <v>1037</v>
      </c>
      <c r="AY283" s="30" t="s">
        <v>1038</v>
      </c>
      <c r="AZ283" s="30" t="s">
        <v>1044</v>
      </c>
      <c r="BA283" s="30" t="s">
        <v>1045</v>
      </c>
      <c r="BB283" s="30" t="s">
        <v>310</v>
      </c>
      <c r="BC283" s="32">
        <v>44320.0</v>
      </c>
      <c r="BD283" s="32">
        <v>44381.0</v>
      </c>
      <c r="BE283" s="32">
        <v>44290.0</v>
      </c>
      <c r="BF283" s="30">
        <v>90.0</v>
      </c>
      <c r="BG283" s="30" t="s">
        <v>1041</v>
      </c>
      <c r="BH283" s="33" t="s">
        <v>1046</v>
      </c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/>
      <c r="EG283" s="22"/>
      <c r="EH283" s="22"/>
      <c r="EI283" s="22"/>
      <c r="EJ283" s="22"/>
      <c r="EK283" s="22"/>
      <c r="EL283" s="22"/>
      <c r="EM283" s="22"/>
      <c r="EN283" s="22"/>
      <c r="EO283" s="22"/>
      <c r="EP283" s="22"/>
      <c r="EQ283" s="22"/>
      <c r="ER283" s="22"/>
      <c r="ES283" s="22"/>
      <c r="ET283" s="22"/>
      <c r="EU283" s="22"/>
      <c r="EV283" s="22"/>
      <c r="EW283" s="22"/>
      <c r="EX283" s="22"/>
      <c r="EY283" s="22"/>
      <c r="EZ283" s="22"/>
      <c r="FA283" s="22"/>
      <c r="FB283" s="22"/>
      <c r="FC283" s="22"/>
      <c r="FD283" s="22"/>
      <c r="FE283" s="22"/>
      <c r="FF283" s="22"/>
      <c r="FG283" s="22"/>
      <c r="FH283" s="22"/>
      <c r="FI283" s="22"/>
      <c r="FJ283" s="22"/>
      <c r="FK283" s="22"/>
      <c r="FL283" s="23" t="s">
        <v>1043</v>
      </c>
      <c r="FM283" s="23" t="s">
        <v>260</v>
      </c>
      <c r="FN283" s="22"/>
      <c r="FO283" s="22"/>
      <c r="FP283" s="22"/>
      <c r="FQ283" s="22"/>
      <c r="FR283" s="22"/>
      <c r="FS283" s="22"/>
      <c r="FT283" s="22"/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22"/>
      <c r="GG283" s="22"/>
      <c r="GH283" s="22"/>
      <c r="GI283" s="22"/>
      <c r="GJ283" s="22"/>
      <c r="GK283" s="22"/>
      <c r="GL283" s="22"/>
      <c r="GM283" s="22"/>
      <c r="GN283" s="22"/>
      <c r="GO283" s="22"/>
      <c r="GP283" s="22"/>
      <c r="GQ283" s="22"/>
      <c r="GR283" s="22"/>
      <c r="GS283" s="22"/>
      <c r="GT283" s="22"/>
      <c r="GU283" s="22"/>
      <c r="GV283" s="22"/>
      <c r="GW283" s="22"/>
      <c r="GX283" s="22"/>
      <c r="GY283" s="22"/>
      <c r="GZ283" s="22"/>
      <c r="HA283" s="22"/>
    </row>
    <row r="284" ht="23.25" customHeight="1">
      <c r="A284" s="29">
        <v>44659.908196759265</v>
      </c>
      <c r="B284" s="30" t="s">
        <v>6</v>
      </c>
      <c r="C284" s="30" t="s">
        <v>13</v>
      </c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0" t="s">
        <v>1003</v>
      </c>
      <c r="AY284" s="30" t="s">
        <v>1015</v>
      </c>
      <c r="AZ284" s="30" t="s">
        <v>620</v>
      </c>
      <c r="BA284" s="30" t="s">
        <v>337</v>
      </c>
      <c r="BB284" s="30" t="s">
        <v>627</v>
      </c>
      <c r="BC284" s="32">
        <v>43928.0</v>
      </c>
      <c r="BD284" s="32">
        <v>43958.0</v>
      </c>
      <c r="BE284" s="32">
        <v>43958.0</v>
      </c>
      <c r="BF284" s="30">
        <v>100.0</v>
      </c>
      <c r="BG284" s="30" t="s">
        <v>339</v>
      </c>
      <c r="BH284" s="33" t="s">
        <v>1047</v>
      </c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  <c r="EK284" s="22"/>
      <c r="EL284" s="22"/>
      <c r="EM284" s="22"/>
      <c r="EN284" s="22"/>
      <c r="EO284" s="22"/>
      <c r="EP284" s="22"/>
      <c r="EQ284" s="22"/>
      <c r="ER284" s="22"/>
      <c r="ES284" s="22"/>
      <c r="ET284" s="22"/>
      <c r="EU284" s="22"/>
      <c r="EV284" s="22"/>
      <c r="EW284" s="22"/>
      <c r="EX284" s="22"/>
      <c r="EY284" s="22"/>
      <c r="EZ284" s="22"/>
      <c r="FA284" s="22"/>
      <c r="FB284" s="22"/>
      <c r="FC284" s="22"/>
      <c r="FD284" s="22"/>
      <c r="FE284" s="22"/>
      <c r="FF284" s="22"/>
      <c r="FG284" s="22"/>
      <c r="FH284" s="22"/>
      <c r="FI284" s="22"/>
      <c r="FJ284" s="22"/>
      <c r="FK284" s="22"/>
      <c r="FL284" s="23" t="s">
        <v>1006</v>
      </c>
      <c r="FM284" s="23" t="s">
        <v>323</v>
      </c>
      <c r="FN284" s="22"/>
      <c r="FO284" s="22"/>
      <c r="FP284" s="22"/>
      <c r="FQ284" s="22"/>
      <c r="FR284" s="22"/>
      <c r="FS284" s="22"/>
      <c r="FT284" s="22"/>
      <c r="FU284" s="22"/>
      <c r="FV284" s="22"/>
      <c r="FW284" s="22"/>
      <c r="FX284" s="22"/>
      <c r="FY284" s="22"/>
      <c r="FZ284" s="22"/>
      <c r="GA284" s="22"/>
      <c r="GB284" s="22"/>
      <c r="GC284" s="22"/>
      <c r="GD284" s="22"/>
      <c r="GE284" s="22"/>
      <c r="GF284" s="22"/>
      <c r="GG284" s="22"/>
      <c r="GH284" s="22"/>
      <c r="GI284" s="22"/>
      <c r="GJ284" s="22"/>
      <c r="GK284" s="22"/>
      <c r="GL284" s="22"/>
      <c r="GM284" s="22"/>
      <c r="GN284" s="22"/>
      <c r="GO284" s="22"/>
      <c r="GP284" s="22"/>
      <c r="GQ284" s="22"/>
      <c r="GR284" s="22"/>
      <c r="GS284" s="22"/>
      <c r="GT284" s="22"/>
      <c r="GU284" s="22"/>
      <c r="GV284" s="22"/>
      <c r="GW284" s="22"/>
      <c r="GX284" s="22"/>
      <c r="GY284" s="22"/>
      <c r="GZ284" s="22"/>
      <c r="HA284" s="22"/>
    </row>
    <row r="285" ht="23.25" customHeight="1">
      <c r="A285" s="29">
        <v>44659.91179408565</v>
      </c>
      <c r="B285" s="30" t="s">
        <v>6</v>
      </c>
      <c r="C285" s="30" t="s">
        <v>13</v>
      </c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0" t="s">
        <v>430</v>
      </c>
      <c r="AY285" s="30" t="s">
        <v>431</v>
      </c>
      <c r="AZ285" s="30" t="s">
        <v>1048</v>
      </c>
      <c r="BA285" s="30" t="s">
        <v>1049</v>
      </c>
      <c r="BB285" s="30" t="s">
        <v>627</v>
      </c>
      <c r="BC285" s="32">
        <v>44420.0</v>
      </c>
      <c r="BD285" s="32">
        <v>44451.0</v>
      </c>
      <c r="BE285" s="32">
        <v>44451.0</v>
      </c>
      <c r="BF285" s="30">
        <v>90.0</v>
      </c>
      <c r="BG285" s="30" t="s">
        <v>472</v>
      </c>
      <c r="BH285" s="33" t="s">
        <v>1050</v>
      </c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/>
      <c r="EG285" s="22"/>
      <c r="EH285" s="22"/>
      <c r="EI285" s="22"/>
      <c r="EJ285" s="22"/>
      <c r="EK285" s="22"/>
      <c r="EL285" s="22"/>
      <c r="EM285" s="22"/>
      <c r="EN285" s="22"/>
      <c r="EO285" s="22"/>
      <c r="EP285" s="22"/>
      <c r="EQ285" s="22"/>
      <c r="ER285" s="22"/>
      <c r="ES285" s="22"/>
      <c r="ET285" s="22"/>
      <c r="EU285" s="22"/>
      <c r="EV285" s="22"/>
      <c r="EW285" s="22"/>
      <c r="EX285" s="22"/>
      <c r="EY285" s="22"/>
      <c r="EZ285" s="22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3" t="s">
        <v>436</v>
      </c>
      <c r="FM285" s="23" t="s">
        <v>283</v>
      </c>
      <c r="FN285" s="22"/>
      <c r="FO285" s="22"/>
      <c r="FP285" s="22"/>
      <c r="FQ285" s="22"/>
      <c r="FR285" s="22"/>
      <c r="FS285" s="22"/>
      <c r="FT285" s="22"/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/>
      <c r="GJ285" s="22"/>
      <c r="GK285" s="22"/>
      <c r="GL285" s="22"/>
      <c r="GM285" s="22"/>
      <c r="GN285" s="22"/>
      <c r="GO285" s="22"/>
      <c r="GP285" s="22"/>
      <c r="GQ285" s="22"/>
      <c r="GR285" s="22"/>
      <c r="GS285" s="22"/>
      <c r="GT285" s="22"/>
      <c r="GU285" s="22"/>
      <c r="GV285" s="22"/>
      <c r="GW285" s="22"/>
      <c r="GX285" s="22"/>
      <c r="GY285" s="22"/>
      <c r="GZ285" s="22"/>
      <c r="HA285" s="22"/>
    </row>
    <row r="286" ht="23.25" customHeight="1">
      <c r="A286" s="29">
        <v>44659.91364247685</v>
      </c>
      <c r="B286" s="30" t="s">
        <v>6</v>
      </c>
      <c r="C286" s="30" t="s">
        <v>13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0" t="s">
        <v>430</v>
      </c>
      <c r="AY286" s="30" t="s">
        <v>431</v>
      </c>
      <c r="AZ286" s="30" t="s">
        <v>1051</v>
      </c>
      <c r="BA286" s="30" t="s">
        <v>1052</v>
      </c>
      <c r="BB286" s="30" t="s">
        <v>659</v>
      </c>
      <c r="BC286" s="32">
        <v>44350.0</v>
      </c>
      <c r="BD286" s="32">
        <v>44350.0</v>
      </c>
      <c r="BE286" s="32">
        <v>44350.0</v>
      </c>
      <c r="BF286" s="30">
        <v>90.0</v>
      </c>
      <c r="BG286" s="30" t="s">
        <v>472</v>
      </c>
      <c r="BH286" s="33" t="s">
        <v>1053</v>
      </c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/>
      <c r="EG286" s="22"/>
      <c r="EH286" s="22"/>
      <c r="EI286" s="22"/>
      <c r="EJ286" s="22"/>
      <c r="EK286" s="22"/>
      <c r="EL286" s="22"/>
      <c r="EM286" s="22"/>
      <c r="EN286" s="22"/>
      <c r="EO286" s="22"/>
      <c r="EP286" s="22"/>
      <c r="EQ286" s="22"/>
      <c r="ER286" s="22"/>
      <c r="ES286" s="22"/>
      <c r="ET286" s="22"/>
      <c r="EU286" s="22"/>
      <c r="EV286" s="22"/>
      <c r="EW286" s="22"/>
      <c r="EX286" s="22"/>
      <c r="EY286" s="22"/>
      <c r="EZ286" s="22"/>
      <c r="FA286" s="22"/>
      <c r="FB286" s="22"/>
      <c r="FC286" s="22"/>
      <c r="FD286" s="22"/>
      <c r="FE286" s="22"/>
      <c r="FF286" s="22"/>
      <c r="FG286" s="22"/>
      <c r="FH286" s="22"/>
      <c r="FI286" s="22"/>
      <c r="FJ286" s="22"/>
      <c r="FK286" s="22"/>
      <c r="FL286" s="23" t="s">
        <v>436</v>
      </c>
      <c r="FM286" s="23" t="s">
        <v>341</v>
      </c>
      <c r="FN286" s="22"/>
      <c r="FO286" s="22"/>
      <c r="FP286" s="22"/>
      <c r="FQ286" s="22"/>
      <c r="FR286" s="22"/>
      <c r="FS286" s="22"/>
      <c r="FT286" s="22"/>
      <c r="FU286" s="22"/>
      <c r="FV286" s="22"/>
      <c r="FW286" s="22"/>
      <c r="FX286" s="22"/>
      <c r="FY286" s="22"/>
      <c r="FZ286" s="22"/>
      <c r="GA286" s="22"/>
      <c r="GB286" s="22"/>
      <c r="GC286" s="22"/>
      <c r="GD286" s="22"/>
      <c r="GE286" s="22"/>
      <c r="GF286" s="22"/>
      <c r="GG286" s="22"/>
      <c r="GH286" s="22"/>
      <c r="GI286" s="22"/>
      <c r="GJ286" s="22"/>
      <c r="GK286" s="22"/>
      <c r="GL286" s="22"/>
      <c r="GM286" s="22"/>
      <c r="GN286" s="22"/>
      <c r="GO286" s="22"/>
      <c r="GP286" s="22"/>
      <c r="GQ286" s="22"/>
      <c r="GR286" s="22"/>
      <c r="GS286" s="22"/>
      <c r="GT286" s="22"/>
      <c r="GU286" s="22"/>
      <c r="GV286" s="22"/>
      <c r="GW286" s="22"/>
      <c r="GX286" s="22"/>
      <c r="GY286" s="22"/>
      <c r="GZ286" s="22"/>
      <c r="HA286" s="22"/>
    </row>
    <row r="287" ht="23.25" customHeight="1">
      <c r="A287" s="29">
        <v>44659.914185960646</v>
      </c>
      <c r="B287" s="30" t="s">
        <v>6</v>
      </c>
      <c r="C287" s="30" t="s">
        <v>13</v>
      </c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0" t="s">
        <v>1037</v>
      </c>
      <c r="AY287" s="30" t="s">
        <v>1038</v>
      </c>
      <c r="AZ287" s="30" t="s">
        <v>1054</v>
      </c>
      <c r="BA287" s="30" t="s">
        <v>1045</v>
      </c>
      <c r="BB287" s="30" t="s">
        <v>495</v>
      </c>
      <c r="BC287" s="32">
        <v>44371.0</v>
      </c>
      <c r="BD287" s="32">
        <v>44401.0</v>
      </c>
      <c r="BE287" s="32">
        <v>44310.0</v>
      </c>
      <c r="BF287" s="30">
        <v>91.0</v>
      </c>
      <c r="BG287" s="30" t="s">
        <v>1055</v>
      </c>
      <c r="BH287" s="33" t="s">
        <v>1056</v>
      </c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/>
      <c r="EG287" s="22"/>
      <c r="EH287" s="22"/>
      <c r="EI287" s="22"/>
      <c r="EJ287" s="22"/>
      <c r="EK287" s="22"/>
      <c r="EL287" s="22"/>
      <c r="EM287" s="22"/>
      <c r="EN287" s="22"/>
      <c r="EO287" s="22"/>
      <c r="EP287" s="22"/>
      <c r="EQ287" s="22"/>
      <c r="ER287" s="22"/>
      <c r="ES287" s="22"/>
      <c r="ET287" s="22"/>
      <c r="EU287" s="22"/>
      <c r="EV287" s="22"/>
      <c r="EW287" s="22"/>
      <c r="EX287" s="22"/>
      <c r="EY287" s="22"/>
      <c r="EZ287" s="22"/>
      <c r="FA287" s="22"/>
      <c r="FB287" s="22"/>
      <c r="FC287" s="22"/>
      <c r="FD287" s="22"/>
      <c r="FE287" s="22"/>
      <c r="FF287" s="22"/>
      <c r="FG287" s="22"/>
      <c r="FH287" s="22"/>
      <c r="FI287" s="22"/>
      <c r="FJ287" s="22"/>
      <c r="FK287" s="22"/>
      <c r="FL287" s="23" t="s">
        <v>1043</v>
      </c>
      <c r="FM287" s="23" t="s">
        <v>260</v>
      </c>
      <c r="FN287" s="22"/>
      <c r="FO287" s="22"/>
      <c r="FP287" s="22"/>
      <c r="FQ287" s="22"/>
      <c r="FR287" s="22"/>
      <c r="FS287" s="22"/>
      <c r="FT287" s="22"/>
      <c r="FU287" s="22"/>
      <c r="FV287" s="22"/>
      <c r="FW287" s="22"/>
      <c r="FX287" s="22"/>
      <c r="FY287" s="22"/>
      <c r="FZ287" s="22"/>
      <c r="GA287" s="22"/>
      <c r="GB287" s="22"/>
      <c r="GC287" s="22"/>
      <c r="GD287" s="22"/>
      <c r="GE287" s="22"/>
      <c r="GF287" s="22"/>
      <c r="GG287" s="22"/>
      <c r="GH287" s="22"/>
      <c r="GI287" s="22"/>
      <c r="GJ287" s="22"/>
      <c r="GK287" s="22"/>
      <c r="GL287" s="22"/>
      <c r="GM287" s="22"/>
      <c r="GN287" s="22"/>
      <c r="GO287" s="22"/>
      <c r="GP287" s="22"/>
      <c r="GQ287" s="22"/>
      <c r="GR287" s="22"/>
      <c r="GS287" s="22"/>
      <c r="GT287" s="22"/>
      <c r="GU287" s="22"/>
      <c r="GV287" s="22"/>
      <c r="GW287" s="22"/>
      <c r="GX287" s="22"/>
      <c r="GY287" s="22"/>
      <c r="GZ287" s="22"/>
      <c r="HA287" s="22"/>
    </row>
    <row r="288" ht="23.25" customHeight="1">
      <c r="A288" s="29">
        <v>44659.91609155093</v>
      </c>
      <c r="B288" s="30" t="s">
        <v>6</v>
      </c>
      <c r="C288" s="30" t="s">
        <v>13</v>
      </c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0" t="s">
        <v>1003</v>
      </c>
      <c r="AY288" s="30" t="s">
        <v>1015</v>
      </c>
      <c r="AZ288" s="30" t="s">
        <v>620</v>
      </c>
      <c r="BA288" s="30" t="s">
        <v>337</v>
      </c>
      <c r="BB288" s="30" t="s">
        <v>627</v>
      </c>
      <c r="BC288" s="32">
        <v>44287.0</v>
      </c>
      <c r="BD288" s="32">
        <v>44317.0</v>
      </c>
      <c r="BE288" s="32">
        <v>44317.0</v>
      </c>
      <c r="BF288" s="30">
        <v>100.0</v>
      </c>
      <c r="BG288" s="30" t="s">
        <v>339</v>
      </c>
      <c r="BH288" s="33" t="s">
        <v>1057</v>
      </c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/>
      <c r="EG288" s="22"/>
      <c r="EH288" s="22"/>
      <c r="EI288" s="22"/>
      <c r="EJ288" s="22"/>
      <c r="EK288" s="22"/>
      <c r="EL288" s="22"/>
      <c r="EM288" s="22"/>
      <c r="EN288" s="22"/>
      <c r="EO288" s="22"/>
      <c r="EP288" s="22"/>
      <c r="EQ288" s="22"/>
      <c r="ER288" s="22"/>
      <c r="ES288" s="22"/>
      <c r="ET288" s="22"/>
      <c r="EU288" s="22"/>
      <c r="EV288" s="22"/>
      <c r="EW288" s="22"/>
      <c r="EX288" s="22"/>
      <c r="EY288" s="22"/>
      <c r="EZ288" s="22"/>
      <c r="FA288" s="22"/>
      <c r="FB288" s="22"/>
      <c r="FC288" s="22"/>
      <c r="FD288" s="22"/>
      <c r="FE288" s="22"/>
      <c r="FF288" s="22"/>
      <c r="FG288" s="22"/>
      <c r="FH288" s="22"/>
      <c r="FI288" s="22"/>
      <c r="FJ288" s="22"/>
      <c r="FK288" s="22"/>
      <c r="FL288" s="23" t="s">
        <v>1006</v>
      </c>
      <c r="FM288" s="23" t="s">
        <v>323</v>
      </c>
      <c r="FN288" s="22"/>
      <c r="FO288" s="22"/>
      <c r="FP288" s="22"/>
      <c r="FQ288" s="22"/>
      <c r="FR288" s="22"/>
      <c r="FS288" s="22"/>
      <c r="FT288" s="22"/>
      <c r="FU288" s="22"/>
      <c r="FV288" s="22"/>
      <c r="FW288" s="22"/>
      <c r="FX288" s="22"/>
      <c r="FY288" s="22"/>
      <c r="FZ288" s="22"/>
      <c r="GA288" s="22"/>
      <c r="GB288" s="22"/>
      <c r="GC288" s="22"/>
      <c r="GD288" s="22"/>
      <c r="GE288" s="22"/>
      <c r="GF288" s="22"/>
      <c r="GG288" s="22"/>
      <c r="GH288" s="22"/>
      <c r="GI288" s="22"/>
      <c r="GJ288" s="22"/>
      <c r="GK288" s="22"/>
      <c r="GL288" s="22"/>
      <c r="GM288" s="22"/>
      <c r="GN288" s="22"/>
      <c r="GO288" s="22"/>
      <c r="GP288" s="22"/>
      <c r="GQ288" s="22"/>
      <c r="GR288" s="22"/>
      <c r="GS288" s="22"/>
      <c r="GT288" s="22"/>
      <c r="GU288" s="22"/>
      <c r="GV288" s="22"/>
      <c r="GW288" s="22"/>
      <c r="GX288" s="22"/>
      <c r="GY288" s="22"/>
      <c r="GZ288" s="22"/>
      <c r="HA288" s="22"/>
    </row>
    <row r="289" ht="23.25" customHeight="1">
      <c r="A289" s="29">
        <v>44659.91731958333</v>
      </c>
      <c r="B289" s="30" t="s">
        <v>6</v>
      </c>
      <c r="C289" s="30" t="s">
        <v>12</v>
      </c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0" t="s">
        <v>1058</v>
      </c>
      <c r="AO289" s="30" t="s">
        <v>1038</v>
      </c>
      <c r="AP289" s="30" t="s">
        <v>1059</v>
      </c>
      <c r="AQ289" s="30" t="s">
        <v>348</v>
      </c>
      <c r="AR289" s="32">
        <v>44490.0</v>
      </c>
      <c r="AS289" s="32">
        <v>44551.0</v>
      </c>
      <c r="AT289" s="30" t="s">
        <v>257</v>
      </c>
      <c r="AU289" s="30" t="s">
        <v>257</v>
      </c>
      <c r="AV289" s="30">
        <v>0.0</v>
      </c>
      <c r="AW289" s="33" t="s">
        <v>1060</v>
      </c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/>
      <c r="EG289" s="22"/>
      <c r="EH289" s="22"/>
      <c r="EI289" s="22"/>
      <c r="EJ289" s="22"/>
      <c r="EK289" s="22"/>
      <c r="EL289" s="22"/>
      <c r="EM289" s="22"/>
      <c r="EN289" s="22"/>
      <c r="EO289" s="22"/>
      <c r="EP289" s="22"/>
      <c r="EQ289" s="22"/>
      <c r="ER289" s="22"/>
      <c r="ES289" s="22"/>
      <c r="ET289" s="22"/>
      <c r="EU289" s="22"/>
      <c r="EV289" s="22"/>
      <c r="EW289" s="22"/>
      <c r="EX289" s="22"/>
      <c r="EY289" s="22"/>
      <c r="EZ289" s="22"/>
      <c r="FA289" s="22"/>
      <c r="FB289" s="22"/>
      <c r="FC289" s="22"/>
      <c r="FD289" s="22"/>
      <c r="FE289" s="22"/>
      <c r="FF289" s="22"/>
      <c r="FG289" s="22"/>
      <c r="FH289" s="22"/>
      <c r="FI289" s="22"/>
      <c r="FJ289" s="22"/>
      <c r="FK289" s="22"/>
      <c r="FL289" s="23" t="s">
        <v>1043</v>
      </c>
      <c r="FM289" s="23" t="s">
        <v>260</v>
      </c>
      <c r="FN289" s="22"/>
      <c r="FO289" s="22"/>
      <c r="FP289" s="22"/>
      <c r="FQ289" s="22"/>
      <c r="FR289" s="22"/>
      <c r="FS289" s="22"/>
      <c r="FT289" s="22"/>
      <c r="FU289" s="22"/>
      <c r="FV289" s="22"/>
      <c r="FW289" s="22"/>
      <c r="FX289" s="22"/>
      <c r="FY289" s="22"/>
      <c r="FZ289" s="22"/>
      <c r="GA289" s="22"/>
      <c r="GB289" s="22"/>
      <c r="GC289" s="22"/>
      <c r="GD289" s="22"/>
      <c r="GE289" s="22"/>
      <c r="GF289" s="22"/>
      <c r="GG289" s="22"/>
      <c r="GH289" s="22"/>
      <c r="GI289" s="22"/>
      <c r="GJ289" s="22"/>
      <c r="GK289" s="22"/>
      <c r="GL289" s="22"/>
      <c r="GM289" s="22"/>
      <c r="GN289" s="22"/>
      <c r="GO289" s="22"/>
      <c r="GP289" s="22"/>
      <c r="GQ289" s="22"/>
      <c r="GR289" s="22"/>
      <c r="GS289" s="22"/>
      <c r="GT289" s="22"/>
      <c r="GU289" s="22"/>
      <c r="GV289" s="22"/>
      <c r="GW289" s="22"/>
      <c r="GX289" s="22"/>
      <c r="GY289" s="22"/>
      <c r="GZ289" s="22"/>
      <c r="HA289" s="22"/>
    </row>
    <row r="290" ht="23.25" customHeight="1">
      <c r="A290" s="29">
        <v>44659.91888143518</v>
      </c>
      <c r="B290" s="30" t="s">
        <v>6</v>
      </c>
      <c r="C290" s="30" t="s">
        <v>13</v>
      </c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0" t="s">
        <v>1003</v>
      </c>
      <c r="AY290" s="30" t="s">
        <v>1015</v>
      </c>
      <c r="AZ290" s="30" t="s">
        <v>502</v>
      </c>
      <c r="BA290" s="30" t="s">
        <v>337</v>
      </c>
      <c r="BB290" s="30" t="s">
        <v>701</v>
      </c>
      <c r="BC290" s="32">
        <v>44287.0</v>
      </c>
      <c r="BD290" s="32">
        <v>44317.0</v>
      </c>
      <c r="BE290" s="32">
        <v>44287.0</v>
      </c>
      <c r="BF290" s="30">
        <v>100.0</v>
      </c>
      <c r="BG290" s="30" t="s">
        <v>559</v>
      </c>
      <c r="BH290" s="33" t="s">
        <v>1061</v>
      </c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/>
      <c r="EG290" s="22"/>
      <c r="EH290" s="22"/>
      <c r="EI290" s="22"/>
      <c r="EJ290" s="22"/>
      <c r="EK290" s="22"/>
      <c r="EL290" s="22"/>
      <c r="EM290" s="22"/>
      <c r="EN290" s="22"/>
      <c r="EO290" s="22"/>
      <c r="EP290" s="22"/>
      <c r="EQ290" s="22"/>
      <c r="ER290" s="22"/>
      <c r="ES290" s="22"/>
      <c r="ET290" s="22"/>
      <c r="EU290" s="22"/>
      <c r="EV290" s="22"/>
      <c r="EW290" s="22"/>
      <c r="EX290" s="22"/>
      <c r="EY290" s="22"/>
      <c r="EZ290" s="22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3" t="s">
        <v>1006</v>
      </c>
      <c r="FM290" s="23" t="s">
        <v>323</v>
      </c>
      <c r="FN290" s="22"/>
      <c r="FO290" s="22"/>
      <c r="FP290" s="22"/>
      <c r="FQ290" s="22"/>
      <c r="FR290" s="22"/>
      <c r="FS290" s="22"/>
      <c r="FT290" s="22"/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/>
      <c r="GP290" s="22"/>
      <c r="GQ290" s="22"/>
      <c r="GR290" s="22"/>
      <c r="GS290" s="22"/>
      <c r="GT290" s="22"/>
      <c r="GU290" s="22"/>
      <c r="GV290" s="22"/>
      <c r="GW290" s="22"/>
      <c r="GX290" s="22"/>
      <c r="GY290" s="22"/>
      <c r="GZ290" s="22"/>
      <c r="HA290" s="22"/>
    </row>
    <row r="291" ht="23.25" customHeight="1">
      <c r="A291" s="29">
        <v>44659.92045006945</v>
      </c>
      <c r="B291" s="30" t="s">
        <v>6</v>
      </c>
      <c r="C291" s="30" t="s">
        <v>13</v>
      </c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0" t="s">
        <v>1003</v>
      </c>
      <c r="AY291" s="30" t="s">
        <v>1015</v>
      </c>
      <c r="AZ291" s="30" t="s">
        <v>356</v>
      </c>
      <c r="BA291" s="30" t="s">
        <v>337</v>
      </c>
      <c r="BB291" s="30" t="s">
        <v>701</v>
      </c>
      <c r="BC291" s="32">
        <v>44287.0</v>
      </c>
      <c r="BD291" s="32">
        <v>44287.0</v>
      </c>
      <c r="BE291" s="32">
        <v>44287.0</v>
      </c>
      <c r="BF291" s="30">
        <v>100.0</v>
      </c>
      <c r="BG291" s="30" t="s">
        <v>559</v>
      </c>
      <c r="BH291" s="33" t="s">
        <v>1062</v>
      </c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/>
      <c r="EG291" s="22"/>
      <c r="EH291" s="22"/>
      <c r="EI291" s="22"/>
      <c r="EJ291" s="22"/>
      <c r="EK291" s="22"/>
      <c r="EL291" s="22"/>
      <c r="EM291" s="22"/>
      <c r="EN291" s="22"/>
      <c r="EO291" s="22"/>
      <c r="EP291" s="22"/>
      <c r="EQ291" s="22"/>
      <c r="ER291" s="22"/>
      <c r="ES291" s="22"/>
      <c r="ET291" s="22"/>
      <c r="EU291" s="22"/>
      <c r="EV291" s="22"/>
      <c r="EW291" s="22"/>
      <c r="EX291" s="22"/>
      <c r="EY291" s="22"/>
      <c r="EZ291" s="22"/>
      <c r="FA291" s="22"/>
      <c r="FB291" s="22"/>
      <c r="FC291" s="22"/>
      <c r="FD291" s="22"/>
      <c r="FE291" s="22"/>
      <c r="FF291" s="22"/>
      <c r="FG291" s="22"/>
      <c r="FH291" s="22"/>
      <c r="FI291" s="22"/>
      <c r="FJ291" s="22"/>
      <c r="FK291" s="22"/>
      <c r="FL291" s="23" t="s">
        <v>1006</v>
      </c>
      <c r="FM291" s="23" t="s">
        <v>323</v>
      </c>
      <c r="FN291" s="22"/>
      <c r="FO291" s="22"/>
      <c r="FP291" s="22"/>
      <c r="FQ291" s="22"/>
      <c r="FR291" s="22"/>
      <c r="FS291" s="22"/>
      <c r="FT291" s="22"/>
      <c r="FU291" s="22"/>
      <c r="FV291" s="22"/>
      <c r="FW291" s="22"/>
      <c r="FX291" s="22"/>
      <c r="FY291" s="22"/>
      <c r="FZ291" s="22"/>
      <c r="GA291" s="22"/>
      <c r="GB291" s="22"/>
      <c r="GC291" s="22"/>
      <c r="GD291" s="22"/>
      <c r="GE291" s="22"/>
      <c r="GF291" s="22"/>
      <c r="GG291" s="22"/>
      <c r="GH291" s="22"/>
      <c r="GI291" s="22"/>
      <c r="GJ291" s="22"/>
      <c r="GK291" s="22"/>
      <c r="GL291" s="22"/>
      <c r="GM291" s="22"/>
      <c r="GN291" s="22"/>
      <c r="GO291" s="22"/>
      <c r="GP291" s="22"/>
      <c r="GQ291" s="22"/>
      <c r="GR291" s="22"/>
      <c r="GS291" s="22"/>
      <c r="GT291" s="22"/>
      <c r="GU291" s="22"/>
      <c r="GV291" s="22"/>
      <c r="GW291" s="22"/>
      <c r="GX291" s="22"/>
      <c r="GY291" s="22"/>
      <c r="GZ291" s="22"/>
      <c r="HA291" s="22"/>
    </row>
    <row r="292" ht="23.25" customHeight="1">
      <c r="A292" s="29">
        <v>44659.92339469907</v>
      </c>
      <c r="B292" s="30" t="s">
        <v>6</v>
      </c>
      <c r="C292" s="30" t="s">
        <v>20</v>
      </c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3" t="s">
        <v>1058</v>
      </c>
      <c r="DY292" s="23" t="s">
        <v>1038</v>
      </c>
      <c r="DZ292" s="23" t="s">
        <v>159</v>
      </c>
      <c r="EA292" s="23" t="s">
        <v>1063</v>
      </c>
      <c r="EB292" s="24">
        <v>44128.0</v>
      </c>
      <c r="EC292" s="23" t="s">
        <v>1064</v>
      </c>
      <c r="ED292" s="25" t="s">
        <v>1065</v>
      </c>
      <c r="EE292" s="22"/>
      <c r="EF292" s="22"/>
      <c r="EG292" s="22"/>
      <c r="EH292" s="22"/>
      <c r="EI292" s="22"/>
      <c r="EJ292" s="22"/>
      <c r="EK292" s="22"/>
      <c r="EL292" s="22"/>
      <c r="EM292" s="22"/>
      <c r="EN292" s="22"/>
      <c r="EO292" s="22"/>
      <c r="EP292" s="22"/>
      <c r="EQ292" s="22"/>
      <c r="ER292" s="22"/>
      <c r="ES292" s="22"/>
      <c r="ET292" s="22"/>
      <c r="EU292" s="22"/>
      <c r="EV292" s="22"/>
      <c r="EW292" s="22"/>
      <c r="EX292" s="22"/>
      <c r="EY292" s="22"/>
      <c r="EZ292" s="22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3" t="s">
        <v>1043</v>
      </c>
      <c r="FM292" s="23" t="s">
        <v>260</v>
      </c>
      <c r="FN292" s="22"/>
      <c r="FO292" s="22"/>
      <c r="FP292" s="22"/>
      <c r="FQ292" s="22"/>
      <c r="FR292" s="22"/>
      <c r="FS292" s="22"/>
      <c r="FT292" s="22"/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/>
      <c r="GJ292" s="22"/>
      <c r="GK292" s="22"/>
      <c r="GL292" s="22"/>
      <c r="GM292" s="22"/>
      <c r="GN292" s="22"/>
      <c r="GO292" s="22"/>
      <c r="GP292" s="22"/>
      <c r="GQ292" s="22"/>
      <c r="GR292" s="22"/>
      <c r="GS292" s="22"/>
      <c r="GT292" s="22"/>
      <c r="GU292" s="22"/>
      <c r="GV292" s="22"/>
      <c r="GW292" s="22"/>
      <c r="GX292" s="22"/>
      <c r="GY292" s="22"/>
      <c r="GZ292" s="22"/>
      <c r="HA292" s="22"/>
    </row>
    <row r="293" ht="23.25" customHeight="1">
      <c r="A293" s="29">
        <v>44659.92372076389</v>
      </c>
      <c r="B293" s="30" t="s">
        <v>6</v>
      </c>
      <c r="C293" s="30" t="s">
        <v>13</v>
      </c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0" t="s">
        <v>1003</v>
      </c>
      <c r="AY293" s="30" t="s">
        <v>1015</v>
      </c>
      <c r="AZ293" s="30" t="s">
        <v>593</v>
      </c>
      <c r="BA293" s="30" t="s">
        <v>337</v>
      </c>
      <c r="BB293" s="30" t="s">
        <v>701</v>
      </c>
      <c r="BC293" s="32">
        <v>44348.0</v>
      </c>
      <c r="BD293" s="32">
        <v>44378.0</v>
      </c>
      <c r="BE293" s="32">
        <v>44378.0</v>
      </c>
      <c r="BF293" s="30">
        <v>100.0</v>
      </c>
      <c r="BG293" s="30" t="s">
        <v>523</v>
      </c>
      <c r="BH293" s="33" t="s">
        <v>1066</v>
      </c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/>
      <c r="EG293" s="22"/>
      <c r="EH293" s="22"/>
      <c r="EI293" s="22"/>
      <c r="EJ293" s="22"/>
      <c r="EK293" s="22"/>
      <c r="EL293" s="22"/>
      <c r="EM293" s="22"/>
      <c r="EN293" s="22"/>
      <c r="EO293" s="22"/>
      <c r="EP293" s="22"/>
      <c r="EQ293" s="22"/>
      <c r="ER293" s="22"/>
      <c r="ES293" s="22"/>
      <c r="ET293" s="22"/>
      <c r="EU293" s="22"/>
      <c r="EV293" s="22"/>
      <c r="EW293" s="22"/>
      <c r="EX293" s="22"/>
      <c r="EY293" s="22"/>
      <c r="EZ293" s="22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3" t="s">
        <v>1006</v>
      </c>
      <c r="FM293" s="23" t="s">
        <v>341</v>
      </c>
      <c r="FN293" s="22"/>
      <c r="FO293" s="22"/>
      <c r="FP293" s="22"/>
      <c r="FQ293" s="22"/>
      <c r="FR293" s="22"/>
      <c r="FS293" s="22"/>
      <c r="FT293" s="22"/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/>
      <c r="GP293" s="22"/>
      <c r="GQ293" s="22"/>
      <c r="GR293" s="22"/>
      <c r="GS293" s="22"/>
      <c r="GT293" s="22"/>
      <c r="GU293" s="22"/>
      <c r="GV293" s="22"/>
      <c r="GW293" s="22"/>
      <c r="GX293" s="22"/>
      <c r="GY293" s="22"/>
      <c r="GZ293" s="22"/>
      <c r="HA293" s="22"/>
    </row>
    <row r="294" ht="23.25" customHeight="1">
      <c r="A294" s="29">
        <v>44659.92613043981</v>
      </c>
      <c r="B294" s="30" t="s">
        <v>6</v>
      </c>
      <c r="C294" s="30" t="s">
        <v>13</v>
      </c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0" t="s">
        <v>989</v>
      </c>
      <c r="AY294" s="30" t="s">
        <v>990</v>
      </c>
      <c r="AZ294" s="30" t="s">
        <v>1067</v>
      </c>
      <c r="BA294" s="30" t="s">
        <v>345</v>
      </c>
      <c r="BB294" s="30" t="s">
        <v>1068</v>
      </c>
      <c r="BC294" s="32">
        <v>43983.0</v>
      </c>
      <c r="BD294" s="32">
        <v>44075.0</v>
      </c>
      <c r="BE294" s="32">
        <v>44084.0</v>
      </c>
      <c r="BF294" s="30">
        <v>80.0</v>
      </c>
      <c r="BG294" s="30" t="s">
        <v>1069</v>
      </c>
      <c r="BH294" s="33" t="s">
        <v>1070</v>
      </c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/>
      <c r="EG294" s="22"/>
      <c r="EH294" s="22"/>
      <c r="EI294" s="22"/>
      <c r="EJ294" s="22"/>
      <c r="EK294" s="22"/>
      <c r="EL294" s="22"/>
      <c r="EM294" s="22"/>
      <c r="EN294" s="22"/>
      <c r="EO294" s="22"/>
      <c r="EP294" s="22"/>
      <c r="EQ294" s="22"/>
      <c r="ER294" s="22"/>
      <c r="ES294" s="22"/>
      <c r="ET294" s="22"/>
      <c r="EU294" s="22"/>
      <c r="EV294" s="22"/>
      <c r="EW294" s="22"/>
      <c r="EX294" s="22"/>
      <c r="EY294" s="22"/>
      <c r="EZ294" s="22"/>
      <c r="FA294" s="22"/>
      <c r="FB294" s="22"/>
      <c r="FC294" s="22"/>
      <c r="FD294" s="22"/>
      <c r="FE294" s="22"/>
      <c r="FF294" s="22"/>
      <c r="FG294" s="22"/>
      <c r="FH294" s="22"/>
      <c r="FI294" s="22"/>
      <c r="FJ294" s="22"/>
      <c r="FK294" s="22"/>
      <c r="FL294" s="23" t="s">
        <v>994</v>
      </c>
      <c r="FM294" s="23" t="s">
        <v>260</v>
      </c>
      <c r="FN294" s="22"/>
      <c r="FO294" s="22"/>
      <c r="FP294" s="22"/>
      <c r="FQ294" s="22"/>
      <c r="FR294" s="22"/>
      <c r="FS294" s="22"/>
      <c r="FT294" s="22"/>
      <c r="FU294" s="22"/>
      <c r="FV294" s="22"/>
      <c r="FW294" s="22"/>
      <c r="FX294" s="22"/>
      <c r="FY294" s="22"/>
      <c r="FZ294" s="22"/>
      <c r="GA294" s="22"/>
      <c r="GB294" s="22"/>
      <c r="GC294" s="22"/>
      <c r="GD294" s="22"/>
      <c r="GE294" s="22"/>
      <c r="GF294" s="22"/>
      <c r="GG294" s="22"/>
      <c r="GH294" s="22"/>
      <c r="GI294" s="22"/>
      <c r="GJ294" s="22"/>
      <c r="GK294" s="22"/>
      <c r="GL294" s="22"/>
      <c r="GM294" s="22"/>
      <c r="GN294" s="22"/>
      <c r="GO294" s="22"/>
      <c r="GP294" s="22"/>
      <c r="GQ294" s="22"/>
      <c r="GR294" s="22"/>
      <c r="GS294" s="22"/>
      <c r="GT294" s="22"/>
      <c r="GU294" s="22"/>
      <c r="GV294" s="22"/>
      <c r="GW294" s="22"/>
      <c r="GX294" s="22"/>
      <c r="GY294" s="22"/>
      <c r="GZ294" s="22"/>
      <c r="HA294" s="22"/>
    </row>
    <row r="295" ht="23.25" customHeight="1">
      <c r="A295" s="29">
        <v>44659.92756730324</v>
      </c>
      <c r="B295" s="30" t="s">
        <v>6</v>
      </c>
      <c r="C295" s="30" t="s">
        <v>13</v>
      </c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0" t="s">
        <v>989</v>
      </c>
      <c r="AY295" s="30" t="s">
        <v>990</v>
      </c>
      <c r="AZ295" s="30" t="s">
        <v>1071</v>
      </c>
      <c r="BA295" s="30" t="s">
        <v>345</v>
      </c>
      <c r="BB295" s="30" t="s">
        <v>450</v>
      </c>
      <c r="BC295" s="32">
        <v>43983.0</v>
      </c>
      <c r="BD295" s="32">
        <v>44075.0</v>
      </c>
      <c r="BE295" s="32">
        <v>44084.0</v>
      </c>
      <c r="BF295" s="30">
        <v>80.0</v>
      </c>
      <c r="BG295" s="30" t="s">
        <v>1072</v>
      </c>
      <c r="BH295" s="33" t="s">
        <v>1073</v>
      </c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/>
      <c r="EG295" s="22"/>
      <c r="EH295" s="22"/>
      <c r="EI295" s="22"/>
      <c r="EJ295" s="22"/>
      <c r="EK295" s="22"/>
      <c r="EL295" s="22"/>
      <c r="EM295" s="22"/>
      <c r="EN295" s="22"/>
      <c r="EO295" s="22"/>
      <c r="EP295" s="22"/>
      <c r="EQ295" s="22"/>
      <c r="ER295" s="22"/>
      <c r="ES295" s="22"/>
      <c r="ET295" s="22"/>
      <c r="EU295" s="22"/>
      <c r="EV295" s="22"/>
      <c r="EW295" s="22"/>
      <c r="EX295" s="22"/>
      <c r="EY295" s="22"/>
      <c r="EZ295" s="22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3" t="s">
        <v>994</v>
      </c>
      <c r="FM295" s="23" t="s">
        <v>260</v>
      </c>
      <c r="FN295" s="22"/>
      <c r="FO295" s="22"/>
      <c r="FP295" s="22"/>
      <c r="FQ295" s="22"/>
      <c r="FR295" s="22"/>
      <c r="FS295" s="22"/>
      <c r="FT295" s="22"/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/>
      <c r="GJ295" s="22"/>
      <c r="GK295" s="22"/>
      <c r="GL295" s="22"/>
      <c r="GM295" s="22"/>
      <c r="GN295" s="22"/>
      <c r="GO295" s="22"/>
      <c r="GP295" s="22"/>
      <c r="GQ295" s="22"/>
      <c r="GR295" s="22"/>
      <c r="GS295" s="22"/>
      <c r="GT295" s="22"/>
      <c r="GU295" s="22"/>
      <c r="GV295" s="22"/>
      <c r="GW295" s="22"/>
      <c r="GX295" s="22"/>
      <c r="GY295" s="22"/>
      <c r="GZ295" s="22"/>
      <c r="HA295" s="22"/>
    </row>
    <row r="296" ht="23.25" customHeight="1">
      <c r="A296" s="29">
        <v>44659.92817353009</v>
      </c>
      <c r="B296" s="30" t="s">
        <v>6</v>
      </c>
      <c r="C296" s="30" t="s">
        <v>13</v>
      </c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0" t="s">
        <v>1003</v>
      </c>
      <c r="AY296" s="30" t="s">
        <v>1015</v>
      </c>
      <c r="AZ296" s="30" t="s">
        <v>1074</v>
      </c>
      <c r="BA296" s="30" t="s">
        <v>1075</v>
      </c>
      <c r="BB296" s="30" t="s">
        <v>1076</v>
      </c>
      <c r="BC296" s="32">
        <v>43979.0</v>
      </c>
      <c r="BD296" s="32">
        <v>43979.0</v>
      </c>
      <c r="BE296" s="32">
        <v>43979.0</v>
      </c>
      <c r="BF296" s="30">
        <v>100.0</v>
      </c>
      <c r="BG296" s="30" t="s">
        <v>523</v>
      </c>
      <c r="BH296" s="33" t="s">
        <v>1077</v>
      </c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/>
      <c r="EG296" s="22"/>
      <c r="EH296" s="22"/>
      <c r="EI296" s="22"/>
      <c r="EJ296" s="22"/>
      <c r="EK296" s="22"/>
      <c r="EL296" s="22"/>
      <c r="EM296" s="22"/>
      <c r="EN296" s="22"/>
      <c r="EO296" s="22"/>
      <c r="EP296" s="22"/>
      <c r="EQ296" s="22"/>
      <c r="ER296" s="22"/>
      <c r="ES296" s="22"/>
      <c r="ET296" s="22"/>
      <c r="EU296" s="22"/>
      <c r="EV296" s="22"/>
      <c r="EW296" s="22"/>
      <c r="EX296" s="22"/>
      <c r="EY296" s="22"/>
      <c r="EZ296" s="22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3" t="s">
        <v>1006</v>
      </c>
      <c r="FM296" s="23" t="s">
        <v>323</v>
      </c>
      <c r="FN296" s="22"/>
      <c r="FO296" s="22"/>
      <c r="FP296" s="22"/>
      <c r="FQ296" s="22"/>
      <c r="FR296" s="22"/>
      <c r="FS296" s="22"/>
      <c r="FT296" s="22"/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/>
      <c r="GJ296" s="22"/>
      <c r="GK296" s="22"/>
      <c r="GL296" s="22"/>
      <c r="GM296" s="22"/>
      <c r="GN296" s="22"/>
      <c r="GO296" s="22"/>
      <c r="GP296" s="22"/>
      <c r="GQ296" s="22"/>
      <c r="GR296" s="22"/>
      <c r="GS296" s="22"/>
      <c r="GT296" s="22"/>
      <c r="GU296" s="22"/>
      <c r="GV296" s="22"/>
      <c r="GW296" s="22"/>
      <c r="GX296" s="22"/>
      <c r="GY296" s="22"/>
      <c r="GZ296" s="22"/>
      <c r="HA296" s="22"/>
    </row>
    <row r="297" ht="23.25" customHeight="1">
      <c r="A297" s="29">
        <v>44659.92900581019</v>
      </c>
      <c r="B297" s="30" t="s">
        <v>6</v>
      </c>
      <c r="C297" s="30" t="s">
        <v>13</v>
      </c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0" t="s">
        <v>989</v>
      </c>
      <c r="AY297" s="30" t="s">
        <v>990</v>
      </c>
      <c r="AZ297" s="30" t="s">
        <v>1078</v>
      </c>
      <c r="BA297" s="30" t="s">
        <v>345</v>
      </c>
      <c r="BB297" s="30" t="s">
        <v>450</v>
      </c>
      <c r="BC297" s="32">
        <v>43983.0</v>
      </c>
      <c r="BD297" s="32">
        <v>44075.0</v>
      </c>
      <c r="BE297" s="32">
        <v>44084.0</v>
      </c>
      <c r="BF297" s="30">
        <v>80.0</v>
      </c>
      <c r="BG297" s="30" t="s">
        <v>1072</v>
      </c>
      <c r="BH297" s="33" t="s">
        <v>1079</v>
      </c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3" t="s">
        <v>994</v>
      </c>
      <c r="FM297" s="23" t="s">
        <v>260</v>
      </c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</row>
    <row r="298" ht="23.25" customHeight="1">
      <c r="A298" s="29">
        <v>44659.929619814815</v>
      </c>
      <c r="B298" s="30" t="s">
        <v>6</v>
      </c>
      <c r="C298" s="30" t="s">
        <v>12</v>
      </c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0" t="s">
        <v>1080</v>
      </c>
      <c r="AO298" s="30" t="s">
        <v>1081</v>
      </c>
      <c r="AP298" s="30" t="s">
        <v>1082</v>
      </c>
      <c r="AQ298" s="30" t="s">
        <v>1083</v>
      </c>
      <c r="AR298" s="32">
        <v>43992.0</v>
      </c>
      <c r="AS298" s="32">
        <v>44042.0</v>
      </c>
      <c r="AT298" s="30" t="s">
        <v>257</v>
      </c>
      <c r="AU298" s="30" t="s">
        <v>257</v>
      </c>
      <c r="AV298" s="30">
        <v>0.0</v>
      </c>
      <c r="AW298" s="33" t="s">
        <v>1084</v>
      </c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3" t="s">
        <v>1085</v>
      </c>
      <c r="FM298" s="23" t="s">
        <v>260</v>
      </c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</row>
    <row r="299" ht="23.25" customHeight="1">
      <c r="A299" s="29">
        <v>44659.93334033564</v>
      </c>
      <c r="B299" s="30" t="s">
        <v>6</v>
      </c>
      <c r="C299" s="30" t="s">
        <v>13</v>
      </c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0" t="s">
        <v>1086</v>
      </c>
      <c r="AY299" s="30" t="s">
        <v>1081</v>
      </c>
      <c r="AZ299" s="30" t="s">
        <v>1087</v>
      </c>
      <c r="BA299" s="30" t="s">
        <v>1088</v>
      </c>
      <c r="BB299" s="30" t="s">
        <v>1089</v>
      </c>
      <c r="BC299" s="32">
        <v>43952.0</v>
      </c>
      <c r="BD299" s="32">
        <v>43986.0</v>
      </c>
      <c r="BE299" s="32">
        <v>43986.0</v>
      </c>
      <c r="BF299" s="30">
        <v>88.0</v>
      </c>
      <c r="BG299" s="30" t="s">
        <v>523</v>
      </c>
      <c r="BH299" s="33" t="s">
        <v>1090</v>
      </c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3" t="s">
        <v>1085</v>
      </c>
      <c r="FM299" s="23" t="s">
        <v>260</v>
      </c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</row>
    <row r="300" ht="23.25" customHeight="1">
      <c r="A300" s="29">
        <v>44659.93491188658</v>
      </c>
      <c r="B300" s="30" t="s">
        <v>6</v>
      </c>
      <c r="C300" s="30" t="s">
        <v>13</v>
      </c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0" t="s">
        <v>1003</v>
      </c>
      <c r="AY300" s="30" t="s">
        <v>1015</v>
      </c>
      <c r="AZ300" s="30" t="s">
        <v>831</v>
      </c>
      <c r="BA300" s="30" t="s">
        <v>345</v>
      </c>
      <c r="BB300" s="30" t="s">
        <v>701</v>
      </c>
      <c r="BC300" s="32">
        <v>44434.0</v>
      </c>
      <c r="BD300" s="32">
        <v>44465.0</v>
      </c>
      <c r="BE300" s="32">
        <v>44465.0</v>
      </c>
      <c r="BF300" s="30">
        <v>100.0</v>
      </c>
      <c r="BG300" s="30" t="s">
        <v>523</v>
      </c>
      <c r="BH300" s="33" t="s">
        <v>1091</v>
      </c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/>
      <c r="EG300" s="22"/>
      <c r="EH300" s="22"/>
      <c r="EI300" s="22"/>
      <c r="EJ300" s="22"/>
      <c r="EK300" s="22"/>
      <c r="EL300" s="22"/>
      <c r="EM300" s="22"/>
      <c r="EN300" s="22"/>
      <c r="EO300" s="22"/>
      <c r="EP300" s="22"/>
      <c r="EQ300" s="22"/>
      <c r="ER300" s="22"/>
      <c r="ES300" s="22"/>
      <c r="ET300" s="22"/>
      <c r="EU300" s="22"/>
      <c r="EV300" s="22"/>
      <c r="EW300" s="22"/>
      <c r="EX300" s="22"/>
      <c r="EY300" s="22"/>
      <c r="EZ300" s="22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3" t="s">
        <v>1006</v>
      </c>
      <c r="FM300" s="23" t="s">
        <v>283</v>
      </c>
      <c r="FN300" s="22"/>
      <c r="FO300" s="22"/>
      <c r="FP300" s="22"/>
      <c r="FQ300" s="22"/>
      <c r="FR300" s="22"/>
      <c r="FS300" s="22"/>
      <c r="FT300" s="22"/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/>
      <c r="GP300" s="22"/>
      <c r="GQ300" s="22"/>
      <c r="GR300" s="22"/>
      <c r="GS300" s="22"/>
      <c r="GT300" s="22"/>
      <c r="GU300" s="22"/>
      <c r="GV300" s="22"/>
      <c r="GW300" s="22"/>
      <c r="GX300" s="22"/>
      <c r="GY300" s="22"/>
      <c r="GZ300" s="22"/>
      <c r="HA300" s="22"/>
    </row>
    <row r="301" ht="23.25" customHeight="1">
      <c r="A301" s="29">
        <v>44659.935703599534</v>
      </c>
      <c r="B301" s="30" t="s">
        <v>6</v>
      </c>
      <c r="C301" s="30" t="s">
        <v>13</v>
      </c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0" t="s">
        <v>1086</v>
      </c>
      <c r="AY301" s="30" t="s">
        <v>1081</v>
      </c>
      <c r="AZ301" s="30" t="s">
        <v>1092</v>
      </c>
      <c r="BA301" s="30" t="s">
        <v>1093</v>
      </c>
      <c r="BB301" s="30" t="s">
        <v>410</v>
      </c>
      <c r="BC301" s="32">
        <v>43952.0</v>
      </c>
      <c r="BD301" s="32">
        <v>43984.0</v>
      </c>
      <c r="BE301" s="32">
        <v>43984.0</v>
      </c>
      <c r="BF301" s="30">
        <v>90.0</v>
      </c>
      <c r="BG301" s="30" t="s">
        <v>523</v>
      </c>
      <c r="BH301" s="33" t="s">
        <v>1094</v>
      </c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/>
      <c r="EG301" s="22"/>
      <c r="EH301" s="22"/>
      <c r="EI301" s="22"/>
      <c r="EJ301" s="22"/>
      <c r="EK301" s="22"/>
      <c r="EL301" s="22"/>
      <c r="EM301" s="22"/>
      <c r="EN301" s="22"/>
      <c r="EO301" s="22"/>
      <c r="EP301" s="22"/>
      <c r="EQ301" s="22"/>
      <c r="ER301" s="22"/>
      <c r="ES301" s="22"/>
      <c r="ET301" s="22"/>
      <c r="EU301" s="22"/>
      <c r="EV301" s="22"/>
      <c r="EW301" s="22"/>
      <c r="EX301" s="22"/>
      <c r="EY301" s="22"/>
      <c r="EZ301" s="22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3" t="s">
        <v>1085</v>
      </c>
      <c r="FM301" s="23" t="s">
        <v>260</v>
      </c>
      <c r="FN301" s="22"/>
      <c r="FO301" s="22"/>
      <c r="FP301" s="22"/>
      <c r="FQ301" s="22"/>
      <c r="FR301" s="22"/>
      <c r="FS301" s="22"/>
      <c r="FT301" s="22"/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/>
      <c r="GP301" s="22"/>
      <c r="GQ301" s="22"/>
      <c r="GR301" s="22"/>
      <c r="GS301" s="22"/>
      <c r="GT301" s="22"/>
      <c r="GU301" s="22"/>
      <c r="GV301" s="22"/>
      <c r="GW301" s="22"/>
      <c r="GX301" s="22"/>
      <c r="GY301" s="22"/>
      <c r="GZ301" s="22"/>
      <c r="HA301" s="22"/>
    </row>
    <row r="302" ht="23.25" customHeight="1">
      <c r="A302" s="29">
        <v>44659.93650844907</v>
      </c>
      <c r="B302" s="30" t="s">
        <v>6</v>
      </c>
      <c r="C302" s="30" t="s">
        <v>13</v>
      </c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0" t="s">
        <v>1003</v>
      </c>
      <c r="AY302" s="30" t="s">
        <v>1015</v>
      </c>
      <c r="AZ302" s="30" t="s">
        <v>1095</v>
      </c>
      <c r="BA302" s="30" t="s">
        <v>345</v>
      </c>
      <c r="BB302" s="30" t="s">
        <v>701</v>
      </c>
      <c r="BC302" s="32">
        <v>44438.0</v>
      </c>
      <c r="BD302" s="32">
        <v>44469.0</v>
      </c>
      <c r="BE302" s="32">
        <v>44469.0</v>
      </c>
      <c r="BF302" s="30">
        <v>100.0</v>
      </c>
      <c r="BG302" s="30" t="s">
        <v>523</v>
      </c>
      <c r="BH302" s="33" t="s">
        <v>1096</v>
      </c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/>
      <c r="EG302" s="22"/>
      <c r="EH302" s="22"/>
      <c r="EI302" s="22"/>
      <c r="EJ302" s="22"/>
      <c r="EK302" s="22"/>
      <c r="EL302" s="22"/>
      <c r="EM302" s="22"/>
      <c r="EN302" s="22"/>
      <c r="EO302" s="22"/>
      <c r="EP302" s="22"/>
      <c r="EQ302" s="22"/>
      <c r="ER302" s="22"/>
      <c r="ES302" s="22"/>
      <c r="ET302" s="22"/>
      <c r="EU302" s="22"/>
      <c r="EV302" s="22"/>
      <c r="EW302" s="22"/>
      <c r="EX302" s="22"/>
      <c r="EY302" s="22"/>
      <c r="EZ302" s="22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3" t="s">
        <v>1006</v>
      </c>
      <c r="FM302" s="23" t="s">
        <v>283</v>
      </c>
      <c r="FN302" s="22"/>
      <c r="FO302" s="22"/>
      <c r="FP302" s="22"/>
      <c r="FQ302" s="22"/>
      <c r="FR302" s="22"/>
      <c r="FS302" s="22"/>
      <c r="FT302" s="22"/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/>
      <c r="GJ302" s="22"/>
      <c r="GK302" s="22"/>
      <c r="GL302" s="22"/>
      <c r="GM302" s="22"/>
      <c r="GN302" s="22"/>
      <c r="GO302" s="22"/>
      <c r="GP302" s="22"/>
      <c r="GQ302" s="22"/>
      <c r="GR302" s="22"/>
      <c r="GS302" s="22"/>
      <c r="GT302" s="22"/>
      <c r="GU302" s="22"/>
      <c r="GV302" s="22"/>
      <c r="GW302" s="22"/>
      <c r="GX302" s="22"/>
      <c r="GY302" s="22"/>
      <c r="GZ302" s="22"/>
      <c r="HA302" s="22"/>
    </row>
    <row r="303" ht="23.25" customHeight="1">
      <c r="A303" s="29">
        <v>44659.937646481485</v>
      </c>
      <c r="B303" s="30" t="s">
        <v>6</v>
      </c>
      <c r="C303" s="30" t="s">
        <v>13</v>
      </c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0" t="s">
        <v>1086</v>
      </c>
      <c r="AY303" s="30" t="s">
        <v>1081</v>
      </c>
      <c r="AZ303" s="30" t="s">
        <v>1097</v>
      </c>
      <c r="BA303" s="30" t="s">
        <v>1093</v>
      </c>
      <c r="BB303" s="30" t="s">
        <v>410</v>
      </c>
      <c r="BC303" s="32">
        <v>43952.0</v>
      </c>
      <c r="BD303" s="32">
        <v>43984.0</v>
      </c>
      <c r="BE303" s="32">
        <v>43984.0</v>
      </c>
      <c r="BF303" s="30">
        <v>87.0</v>
      </c>
      <c r="BG303" s="30" t="s">
        <v>523</v>
      </c>
      <c r="BH303" s="33" t="s">
        <v>1098</v>
      </c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/>
      <c r="EG303" s="22"/>
      <c r="EH303" s="22"/>
      <c r="EI303" s="22"/>
      <c r="EJ303" s="22"/>
      <c r="EK303" s="22"/>
      <c r="EL303" s="22"/>
      <c r="EM303" s="22"/>
      <c r="EN303" s="22"/>
      <c r="EO303" s="22"/>
      <c r="EP303" s="22"/>
      <c r="EQ303" s="22"/>
      <c r="ER303" s="22"/>
      <c r="ES303" s="22"/>
      <c r="ET303" s="22"/>
      <c r="EU303" s="22"/>
      <c r="EV303" s="22"/>
      <c r="EW303" s="22"/>
      <c r="EX303" s="22"/>
      <c r="EY303" s="22"/>
      <c r="EZ303" s="22"/>
      <c r="FA303" s="22"/>
      <c r="FB303" s="22"/>
      <c r="FC303" s="22"/>
      <c r="FD303" s="22"/>
      <c r="FE303" s="22"/>
      <c r="FF303" s="22"/>
      <c r="FG303" s="22"/>
      <c r="FH303" s="22"/>
      <c r="FI303" s="22"/>
      <c r="FJ303" s="22"/>
      <c r="FK303" s="22"/>
      <c r="FL303" s="23" t="s">
        <v>1085</v>
      </c>
      <c r="FM303" s="23" t="s">
        <v>260</v>
      </c>
      <c r="FN303" s="22"/>
      <c r="FO303" s="22"/>
      <c r="FP303" s="22"/>
      <c r="FQ303" s="22"/>
      <c r="FR303" s="22"/>
      <c r="FS303" s="22"/>
      <c r="FT303" s="22"/>
      <c r="FU303" s="22"/>
      <c r="FV303" s="22"/>
      <c r="FW303" s="22"/>
      <c r="FX303" s="22"/>
      <c r="FY303" s="22"/>
      <c r="FZ303" s="22"/>
      <c r="GA303" s="22"/>
      <c r="GB303" s="22"/>
      <c r="GC303" s="22"/>
      <c r="GD303" s="22"/>
      <c r="GE303" s="22"/>
      <c r="GF303" s="22"/>
      <c r="GG303" s="22"/>
      <c r="GH303" s="22"/>
      <c r="GI303" s="22"/>
      <c r="GJ303" s="22"/>
      <c r="GK303" s="22"/>
      <c r="GL303" s="22"/>
      <c r="GM303" s="22"/>
      <c r="GN303" s="22"/>
      <c r="GO303" s="22"/>
      <c r="GP303" s="22"/>
      <c r="GQ303" s="22"/>
      <c r="GR303" s="22"/>
      <c r="GS303" s="22"/>
      <c r="GT303" s="22"/>
      <c r="GU303" s="22"/>
      <c r="GV303" s="22"/>
      <c r="GW303" s="22"/>
      <c r="GX303" s="22"/>
      <c r="GY303" s="22"/>
      <c r="GZ303" s="22"/>
      <c r="HA303" s="22"/>
    </row>
    <row r="304" ht="23.25" customHeight="1">
      <c r="A304" s="29">
        <v>44659.938011990744</v>
      </c>
      <c r="B304" s="30" t="s">
        <v>6</v>
      </c>
      <c r="C304" s="30" t="s">
        <v>13</v>
      </c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0" t="s">
        <v>1003</v>
      </c>
      <c r="AY304" s="30" t="s">
        <v>1015</v>
      </c>
      <c r="AZ304" s="30" t="s">
        <v>1099</v>
      </c>
      <c r="BA304" s="30" t="s">
        <v>345</v>
      </c>
      <c r="BB304" s="30" t="s">
        <v>701</v>
      </c>
      <c r="BC304" s="32">
        <v>44438.0</v>
      </c>
      <c r="BD304" s="32">
        <v>44469.0</v>
      </c>
      <c r="BE304" s="32">
        <v>44469.0</v>
      </c>
      <c r="BF304" s="30">
        <v>100.0</v>
      </c>
      <c r="BG304" s="30" t="s">
        <v>523</v>
      </c>
      <c r="BH304" s="33" t="s">
        <v>1100</v>
      </c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/>
      <c r="EG304" s="22"/>
      <c r="EH304" s="22"/>
      <c r="EI304" s="22"/>
      <c r="EJ304" s="22"/>
      <c r="EK304" s="22"/>
      <c r="EL304" s="22"/>
      <c r="EM304" s="22"/>
      <c r="EN304" s="22"/>
      <c r="EO304" s="22"/>
      <c r="EP304" s="22"/>
      <c r="EQ304" s="22"/>
      <c r="ER304" s="22"/>
      <c r="ES304" s="22"/>
      <c r="ET304" s="22"/>
      <c r="EU304" s="22"/>
      <c r="EV304" s="22"/>
      <c r="EW304" s="22"/>
      <c r="EX304" s="22"/>
      <c r="EY304" s="22"/>
      <c r="EZ304" s="22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3" t="s">
        <v>1006</v>
      </c>
      <c r="FM304" s="23" t="s">
        <v>283</v>
      </c>
      <c r="FN304" s="22"/>
      <c r="FO304" s="22"/>
      <c r="FP304" s="22"/>
      <c r="FQ304" s="22"/>
      <c r="FR304" s="22"/>
      <c r="FS304" s="22"/>
      <c r="FT304" s="22"/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/>
      <c r="GP304" s="22"/>
      <c r="GQ304" s="22"/>
      <c r="GR304" s="22"/>
      <c r="GS304" s="22"/>
      <c r="GT304" s="22"/>
      <c r="GU304" s="22"/>
      <c r="GV304" s="22"/>
      <c r="GW304" s="22"/>
      <c r="GX304" s="22"/>
      <c r="GY304" s="22"/>
      <c r="GZ304" s="22"/>
      <c r="HA304" s="22"/>
    </row>
    <row r="305" ht="23.25" customHeight="1">
      <c r="A305" s="29">
        <v>44659.93929552083</v>
      </c>
      <c r="B305" s="30" t="s">
        <v>6</v>
      </c>
      <c r="C305" s="30" t="s">
        <v>13</v>
      </c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0" t="s">
        <v>1086</v>
      </c>
      <c r="AY305" s="30" t="s">
        <v>1081</v>
      </c>
      <c r="AZ305" s="30" t="s">
        <v>1101</v>
      </c>
      <c r="BA305" s="30" t="s">
        <v>1093</v>
      </c>
      <c r="BB305" s="30" t="s">
        <v>410</v>
      </c>
      <c r="BC305" s="32">
        <v>43952.0</v>
      </c>
      <c r="BD305" s="32">
        <v>43982.0</v>
      </c>
      <c r="BE305" s="32">
        <v>43982.0</v>
      </c>
      <c r="BF305" s="30">
        <v>80.0</v>
      </c>
      <c r="BG305" s="30" t="s">
        <v>523</v>
      </c>
      <c r="BH305" s="33" t="s">
        <v>1102</v>
      </c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/>
      <c r="EG305" s="22"/>
      <c r="EH305" s="22"/>
      <c r="EI305" s="22"/>
      <c r="EJ305" s="22"/>
      <c r="EK305" s="22"/>
      <c r="EL305" s="22"/>
      <c r="EM305" s="22"/>
      <c r="EN305" s="22"/>
      <c r="EO305" s="22"/>
      <c r="EP305" s="22"/>
      <c r="EQ305" s="22"/>
      <c r="ER305" s="22"/>
      <c r="ES305" s="22"/>
      <c r="ET305" s="22"/>
      <c r="EU305" s="22"/>
      <c r="EV305" s="22"/>
      <c r="EW305" s="22"/>
      <c r="EX305" s="22"/>
      <c r="EY305" s="22"/>
      <c r="EZ305" s="22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3" t="s">
        <v>1085</v>
      </c>
      <c r="FM305" s="23" t="s">
        <v>260</v>
      </c>
      <c r="FN305" s="22"/>
      <c r="FO305" s="22"/>
      <c r="FP305" s="22"/>
      <c r="FQ305" s="22"/>
      <c r="FR305" s="22"/>
      <c r="FS305" s="22"/>
      <c r="FT305" s="22"/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/>
      <c r="GP305" s="22"/>
      <c r="GQ305" s="22"/>
      <c r="GR305" s="22"/>
      <c r="GS305" s="22"/>
      <c r="GT305" s="22"/>
      <c r="GU305" s="22"/>
      <c r="GV305" s="22"/>
      <c r="GW305" s="22"/>
      <c r="GX305" s="22"/>
      <c r="GY305" s="22"/>
      <c r="GZ305" s="22"/>
      <c r="HA305" s="22"/>
    </row>
    <row r="306" ht="23.25" customHeight="1">
      <c r="A306" s="29">
        <v>44659.94078837963</v>
      </c>
      <c r="B306" s="30" t="s">
        <v>6</v>
      </c>
      <c r="C306" s="30" t="s">
        <v>13</v>
      </c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0" t="s">
        <v>1086</v>
      </c>
      <c r="AY306" s="30" t="s">
        <v>1081</v>
      </c>
      <c r="AZ306" s="30" t="s">
        <v>1103</v>
      </c>
      <c r="BA306" s="30" t="s">
        <v>1093</v>
      </c>
      <c r="BB306" s="30" t="s">
        <v>410</v>
      </c>
      <c r="BC306" s="32">
        <v>43952.0</v>
      </c>
      <c r="BD306" s="32">
        <v>43984.0</v>
      </c>
      <c r="BE306" s="32">
        <v>43984.0</v>
      </c>
      <c r="BF306" s="30">
        <v>78.0</v>
      </c>
      <c r="BG306" s="30" t="s">
        <v>523</v>
      </c>
      <c r="BH306" s="33" t="s">
        <v>1104</v>
      </c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/>
      <c r="EG306" s="22"/>
      <c r="EH306" s="22"/>
      <c r="EI306" s="22"/>
      <c r="EJ306" s="22"/>
      <c r="EK306" s="22"/>
      <c r="EL306" s="22"/>
      <c r="EM306" s="22"/>
      <c r="EN306" s="22"/>
      <c r="EO306" s="22"/>
      <c r="EP306" s="22"/>
      <c r="EQ306" s="22"/>
      <c r="ER306" s="22"/>
      <c r="ES306" s="22"/>
      <c r="ET306" s="22"/>
      <c r="EU306" s="22"/>
      <c r="EV306" s="22"/>
      <c r="EW306" s="22"/>
      <c r="EX306" s="22"/>
      <c r="EY306" s="22"/>
      <c r="EZ306" s="22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3" t="s">
        <v>1085</v>
      </c>
      <c r="FM306" s="23" t="s">
        <v>260</v>
      </c>
      <c r="FN306" s="22"/>
      <c r="FO306" s="22"/>
      <c r="FP306" s="22"/>
      <c r="FQ306" s="22"/>
      <c r="FR306" s="22"/>
      <c r="FS306" s="22"/>
      <c r="FT306" s="22"/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/>
      <c r="GO306" s="22"/>
      <c r="GP306" s="22"/>
      <c r="GQ306" s="22"/>
      <c r="GR306" s="22"/>
      <c r="GS306" s="22"/>
      <c r="GT306" s="22"/>
      <c r="GU306" s="22"/>
      <c r="GV306" s="22"/>
      <c r="GW306" s="22"/>
      <c r="GX306" s="22"/>
      <c r="GY306" s="22"/>
      <c r="GZ306" s="22"/>
      <c r="HA306" s="22"/>
    </row>
    <row r="307" ht="23.25" customHeight="1">
      <c r="A307" s="29">
        <v>44659.94227101852</v>
      </c>
      <c r="B307" s="30" t="s">
        <v>6</v>
      </c>
      <c r="C307" s="30" t="s">
        <v>13</v>
      </c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0" t="s">
        <v>1086</v>
      </c>
      <c r="AY307" s="30" t="s">
        <v>1081</v>
      </c>
      <c r="AZ307" s="30" t="s">
        <v>1105</v>
      </c>
      <c r="BA307" s="30" t="s">
        <v>345</v>
      </c>
      <c r="BB307" s="30" t="s">
        <v>410</v>
      </c>
      <c r="BC307" s="32">
        <v>43929.0</v>
      </c>
      <c r="BD307" s="32">
        <v>43960.0</v>
      </c>
      <c r="BE307" s="32">
        <v>43960.0</v>
      </c>
      <c r="BF307" s="30">
        <v>89.0</v>
      </c>
      <c r="BG307" s="30" t="s">
        <v>523</v>
      </c>
      <c r="BH307" s="33" t="s">
        <v>1106</v>
      </c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/>
      <c r="EG307" s="22"/>
      <c r="EH307" s="22"/>
      <c r="EI307" s="22"/>
      <c r="EJ307" s="22"/>
      <c r="EK307" s="22"/>
      <c r="EL307" s="22"/>
      <c r="EM307" s="22"/>
      <c r="EN307" s="22"/>
      <c r="EO307" s="22"/>
      <c r="EP307" s="22"/>
      <c r="EQ307" s="22"/>
      <c r="ER307" s="22"/>
      <c r="ES307" s="22"/>
      <c r="ET307" s="22"/>
      <c r="EU307" s="22"/>
      <c r="EV307" s="22"/>
      <c r="EW307" s="22"/>
      <c r="EX307" s="22"/>
      <c r="EY307" s="22"/>
      <c r="EZ307" s="22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3" t="s">
        <v>1085</v>
      </c>
      <c r="FM307" s="23" t="s">
        <v>260</v>
      </c>
      <c r="FN307" s="22"/>
      <c r="FO307" s="22"/>
      <c r="FP307" s="22"/>
      <c r="FQ307" s="22"/>
      <c r="FR307" s="22"/>
      <c r="FS307" s="22"/>
      <c r="FT307" s="22"/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/>
      <c r="GO307" s="22"/>
      <c r="GP307" s="22"/>
      <c r="GQ307" s="22"/>
      <c r="GR307" s="22"/>
      <c r="GS307" s="22"/>
      <c r="GT307" s="22"/>
      <c r="GU307" s="22"/>
      <c r="GV307" s="22"/>
      <c r="GW307" s="22"/>
      <c r="GX307" s="22"/>
      <c r="GY307" s="22"/>
      <c r="GZ307" s="22"/>
      <c r="HA307" s="22"/>
    </row>
    <row r="308" ht="23.25" customHeight="1">
      <c r="A308" s="29">
        <v>44659.94707447916</v>
      </c>
      <c r="B308" s="30" t="s">
        <v>6</v>
      </c>
      <c r="C308" s="30" t="s">
        <v>20</v>
      </c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3" t="s">
        <v>1107</v>
      </c>
      <c r="DY308" s="23" t="s">
        <v>1081</v>
      </c>
      <c r="DZ308" s="23" t="s">
        <v>150</v>
      </c>
      <c r="EA308" s="23" t="s">
        <v>1108</v>
      </c>
      <c r="EB308" s="24">
        <v>43330.0</v>
      </c>
      <c r="EC308" s="23" t="s">
        <v>1109</v>
      </c>
      <c r="ED308" s="25" t="s">
        <v>1110</v>
      </c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3" t="s">
        <v>1085</v>
      </c>
      <c r="FM308" s="23" t="s">
        <v>260</v>
      </c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</row>
    <row r="309" ht="23.25" customHeight="1">
      <c r="A309" s="29">
        <v>44659.94928783565</v>
      </c>
      <c r="B309" s="30" t="s">
        <v>6</v>
      </c>
      <c r="C309" s="30" t="s">
        <v>20</v>
      </c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3" t="s">
        <v>1111</v>
      </c>
      <c r="DY309" s="23" t="s">
        <v>1081</v>
      </c>
      <c r="DZ309" s="23" t="s">
        <v>150</v>
      </c>
      <c r="EA309" s="23" t="s">
        <v>1112</v>
      </c>
      <c r="EB309" s="24">
        <v>43452.0</v>
      </c>
      <c r="EC309" s="23" t="s">
        <v>1113</v>
      </c>
      <c r="ED309" s="25" t="s">
        <v>1114</v>
      </c>
      <c r="EE309" s="22"/>
      <c r="EF309" s="22"/>
      <c r="EG309" s="22"/>
      <c r="EH309" s="22"/>
      <c r="EI309" s="22"/>
      <c r="EJ309" s="22"/>
      <c r="EK309" s="22"/>
      <c r="EL309" s="22"/>
      <c r="EM309" s="22"/>
      <c r="EN309" s="22"/>
      <c r="EO309" s="22"/>
      <c r="EP309" s="22"/>
      <c r="EQ309" s="22"/>
      <c r="ER309" s="22"/>
      <c r="ES309" s="22"/>
      <c r="ET309" s="22"/>
      <c r="EU309" s="22"/>
      <c r="EV309" s="22"/>
      <c r="EW309" s="22"/>
      <c r="EX309" s="22"/>
      <c r="EY309" s="22"/>
      <c r="EZ309" s="22"/>
      <c r="FA309" s="22"/>
      <c r="FB309" s="22"/>
      <c r="FC309" s="22"/>
      <c r="FD309" s="22"/>
      <c r="FE309" s="22"/>
      <c r="FF309" s="22"/>
      <c r="FG309" s="22"/>
      <c r="FH309" s="22"/>
      <c r="FI309" s="22"/>
      <c r="FJ309" s="22"/>
      <c r="FK309" s="22"/>
      <c r="FL309" s="23" t="s">
        <v>1085</v>
      </c>
      <c r="FM309" s="23" t="s">
        <v>260</v>
      </c>
      <c r="FN309" s="22"/>
      <c r="FO309" s="22"/>
      <c r="FP309" s="22"/>
      <c r="FQ309" s="22"/>
      <c r="FR309" s="22"/>
      <c r="FS309" s="22"/>
      <c r="FT309" s="22"/>
      <c r="FU309" s="22"/>
      <c r="FV309" s="22"/>
      <c r="FW309" s="22"/>
      <c r="FX309" s="22"/>
      <c r="FY309" s="22"/>
      <c r="FZ309" s="22"/>
      <c r="GA309" s="22"/>
      <c r="GB309" s="22"/>
      <c r="GC309" s="22"/>
      <c r="GD309" s="22"/>
      <c r="GE309" s="22"/>
      <c r="GF309" s="22"/>
      <c r="GG309" s="22"/>
      <c r="GH309" s="22"/>
      <c r="GI309" s="22"/>
      <c r="GJ309" s="22"/>
      <c r="GK309" s="22"/>
      <c r="GL309" s="22"/>
      <c r="GM309" s="22"/>
      <c r="GN309" s="22"/>
      <c r="GO309" s="22"/>
      <c r="GP309" s="22"/>
      <c r="GQ309" s="22"/>
      <c r="GR309" s="22"/>
      <c r="GS309" s="22"/>
      <c r="GT309" s="22"/>
      <c r="GU309" s="22"/>
      <c r="GV309" s="22"/>
      <c r="GW309" s="22"/>
      <c r="GX309" s="22"/>
      <c r="GY309" s="22"/>
      <c r="GZ309" s="22"/>
      <c r="HA309" s="22"/>
    </row>
    <row r="310" ht="23.25" customHeight="1">
      <c r="A310" s="29">
        <v>44659.9537808912</v>
      </c>
      <c r="B310" s="30" t="s">
        <v>6</v>
      </c>
      <c r="C310" s="30" t="s">
        <v>13</v>
      </c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0" t="s">
        <v>1086</v>
      </c>
      <c r="AY310" s="30" t="s">
        <v>1081</v>
      </c>
      <c r="AZ310" s="30" t="s">
        <v>552</v>
      </c>
      <c r="BA310" s="30" t="s">
        <v>1115</v>
      </c>
      <c r="BB310" s="30" t="s">
        <v>1116</v>
      </c>
      <c r="BC310" s="32">
        <v>43237.0</v>
      </c>
      <c r="BD310" s="32">
        <v>43284.0</v>
      </c>
      <c r="BE310" s="32">
        <v>43348.0</v>
      </c>
      <c r="BF310" s="30">
        <v>74.0</v>
      </c>
      <c r="BG310" s="30" t="s">
        <v>523</v>
      </c>
      <c r="BH310" s="33" t="s">
        <v>1117</v>
      </c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/>
      <c r="EG310" s="22"/>
      <c r="EH310" s="22"/>
      <c r="EI310" s="22"/>
      <c r="EJ310" s="22"/>
      <c r="EK310" s="22"/>
      <c r="EL310" s="22"/>
      <c r="EM310" s="22"/>
      <c r="EN310" s="22"/>
      <c r="EO310" s="22"/>
      <c r="EP310" s="22"/>
      <c r="EQ310" s="22"/>
      <c r="ER310" s="22"/>
      <c r="ES310" s="22"/>
      <c r="ET310" s="22"/>
      <c r="EU310" s="22"/>
      <c r="EV310" s="22"/>
      <c r="EW310" s="22"/>
      <c r="EX310" s="22"/>
      <c r="EY310" s="22"/>
      <c r="EZ310" s="22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3" t="s">
        <v>1085</v>
      </c>
      <c r="FM310" s="23" t="s">
        <v>260</v>
      </c>
      <c r="FN310" s="22"/>
      <c r="FO310" s="22"/>
      <c r="FP310" s="22"/>
      <c r="FQ310" s="22"/>
      <c r="FR310" s="22"/>
      <c r="FS310" s="22"/>
      <c r="FT310" s="22"/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/>
      <c r="GP310" s="22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</row>
    <row r="311" ht="23.25" customHeight="1">
      <c r="A311" s="29">
        <v>44659.96968197917</v>
      </c>
      <c r="B311" s="30" t="s">
        <v>6</v>
      </c>
      <c r="C311" s="30" t="s">
        <v>27</v>
      </c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/>
      <c r="EG311" s="22"/>
      <c r="EH311" s="22"/>
      <c r="EI311" s="22"/>
      <c r="EJ311" s="22"/>
      <c r="EK311" s="22"/>
      <c r="EL311" s="22"/>
      <c r="EM311" s="22"/>
      <c r="EN311" s="22"/>
      <c r="EO311" s="22"/>
      <c r="EP311" s="22"/>
      <c r="EQ311" s="22"/>
      <c r="ER311" s="22"/>
      <c r="ES311" s="22"/>
      <c r="ET311" s="22"/>
      <c r="EU311" s="22"/>
      <c r="EV311" s="22"/>
      <c r="EW311" s="22"/>
      <c r="EX311" s="22"/>
      <c r="EY311" s="22"/>
      <c r="EZ311" s="22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3" t="s">
        <v>1085</v>
      </c>
      <c r="FM311" s="23" t="s">
        <v>260</v>
      </c>
      <c r="FN311" s="22"/>
      <c r="FO311" s="22"/>
      <c r="FP311" s="22"/>
      <c r="FQ311" s="22"/>
      <c r="FR311" s="22"/>
      <c r="FS311" s="22"/>
      <c r="FT311" s="22"/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3" t="s">
        <v>1118</v>
      </c>
      <c r="GG311" s="23" t="s">
        <v>1081</v>
      </c>
      <c r="GH311" s="23" t="s">
        <v>1119</v>
      </c>
      <c r="GI311" s="24">
        <v>44633.0</v>
      </c>
      <c r="GJ311" s="25" t="s">
        <v>1120</v>
      </c>
      <c r="GK311" s="23" t="s">
        <v>656</v>
      </c>
      <c r="GL311" s="23">
        <v>6.0</v>
      </c>
      <c r="GM311" s="22"/>
      <c r="GN311" s="22"/>
      <c r="GO311" s="22"/>
      <c r="GP311" s="22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</row>
    <row r="312" ht="23.25" customHeight="1">
      <c r="A312" s="29">
        <v>44659.972781805554</v>
      </c>
      <c r="B312" s="30" t="s">
        <v>6</v>
      </c>
      <c r="C312" s="30" t="s">
        <v>27</v>
      </c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3" t="s">
        <v>1085</v>
      </c>
      <c r="FM312" s="23" t="s">
        <v>260</v>
      </c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3" t="s">
        <v>1121</v>
      </c>
      <c r="GG312" s="23" t="s">
        <v>1081</v>
      </c>
      <c r="GH312" s="23" t="s">
        <v>254</v>
      </c>
      <c r="GI312" s="24">
        <v>44575.0</v>
      </c>
      <c r="GJ312" s="25" t="s">
        <v>1122</v>
      </c>
      <c r="GK312" s="23" t="s">
        <v>523</v>
      </c>
      <c r="GL312" s="23">
        <v>4.0</v>
      </c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  <c r="GW312" s="22"/>
      <c r="GX312" s="22"/>
      <c r="GY312" s="22"/>
      <c r="GZ312" s="22"/>
      <c r="HA312" s="22"/>
    </row>
    <row r="313" ht="23.25" customHeight="1">
      <c r="A313" s="29">
        <v>44659.97871019676</v>
      </c>
      <c r="B313" s="30" t="s">
        <v>6</v>
      </c>
      <c r="C313" s="30" t="s">
        <v>25</v>
      </c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/>
      <c r="EG313" s="22"/>
      <c r="EH313" s="22"/>
      <c r="EI313" s="22"/>
      <c r="EJ313" s="22"/>
      <c r="EK313" s="22"/>
      <c r="EL313" s="22"/>
      <c r="EM313" s="22"/>
      <c r="EN313" s="22"/>
      <c r="EO313" s="22"/>
      <c r="EP313" s="22"/>
      <c r="EQ313" s="22"/>
      <c r="ER313" s="22"/>
      <c r="ES313" s="22"/>
      <c r="ET313" s="22"/>
      <c r="EU313" s="22"/>
      <c r="EV313" s="22"/>
      <c r="EW313" s="22"/>
      <c r="EX313" s="22"/>
      <c r="EY313" s="22"/>
      <c r="EZ313" s="22"/>
      <c r="FA313" s="22"/>
      <c r="FB313" s="22"/>
      <c r="FC313" s="22"/>
      <c r="FD313" s="22"/>
      <c r="FE313" s="22"/>
      <c r="FF313" s="22"/>
      <c r="FG313" s="22"/>
      <c r="FH313" s="22"/>
      <c r="FI313" s="22"/>
      <c r="FJ313" s="22"/>
      <c r="FK313" s="22"/>
      <c r="FL313" s="23" t="s">
        <v>1085</v>
      </c>
      <c r="FM313" s="23" t="s">
        <v>260</v>
      </c>
      <c r="FN313" s="22"/>
      <c r="FO313" s="22"/>
      <c r="FP313" s="22"/>
      <c r="FQ313" s="22"/>
      <c r="FR313" s="22"/>
      <c r="FS313" s="22"/>
      <c r="FT313" s="23" t="s">
        <v>1123</v>
      </c>
      <c r="FU313" s="23" t="s">
        <v>1081</v>
      </c>
      <c r="FV313" s="23" t="s">
        <v>1124</v>
      </c>
      <c r="FW313" s="24">
        <v>43547.0</v>
      </c>
      <c r="FX313" s="23" t="s">
        <v>1125</v>
      </c>
      <c r="FY313" s="25" t="s">
        <v>1126</v>
      </c>
      <c r="FZ313" s="22"/>
      <c r="GA313" s="22"/>
      <c r="GB313" s="22"/>
      <c r="GC313" s="22"/>
      <c r="GD313" s="22"/>
      <c r="GE313" s="22"/>
      <c r="GF313" s="22"/>
      <c r="GG313" s="22"/>
      <c r="GH313" s="22"/>
      <c r="GI313" s="22"/>
      <c r="GJ313" s="22"/>
      <c r="GK313" s="22"/>
      <c r="GL313" s="22"/>
      <c r="GM313" s="22"/>
      <c r="GN313" s="22"/>
      <c r="GO313" s="22"/>
      <c r="GP313" s="22"/>
      <c r="GQ313" s="22"/>
      <c r="GR313" s="22"/>
      <c r="GS313" s="22"/>
      <c r="GT313" s="22"/>
      <c r="GU313" s="22"/>
      <c r="GV313" s="22"/>
      <c r="GW313" s="22"/>
      <c r="GX313" s="22"/>
      <c r="GY313" s="22"/>
      <c r="GZ313" s="22"/>
      <c r="HA313" s="22"/>
    </row>
    <row r="314" ht="23.25" customHeight="1">
      <c r="A314" s="29">
        <v>44659.980784942134</v>
      </c>
      <c r="B314" s="30" t="s">
        <v>6</v>
      </c>
      <c r="C314" s="30" t="s">
        <v>20</v>
      </c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3" t="s">
        <v>1123</v>
      </c>
      <c r="DY314" s="23" t="s">
        <v>1081</v>
      </c>
      <c r="DZ314" s="23" t="s">
        <v>150</v>
      </c>
      <c r="EA314" s="23" t="s">
        <v>1127</v>
      </c>
      <c r="EB314" s="24">
        <v>43323.0</v>
      </c>
      <c r="EC314" s="23" t="s">
        <v>1128</v>
      </c>
      <c r="ED314" s="25" t="s">
        <v>1129</v>
      </c>
      <c r="EE314" s="22"/>
      <c r="EF314" s="22"/>
      <c r="EG314" s="22"/>
      <c r="EH314" s="22"/>
      <c r="EI314" s="22"/>
      <c r="EJ314" s="22"/>
      <c r="EK314" s="22"/>
      <c r="EL314" s="22"/>
      <c r="EM314" s="22"/>
      <c r="EN314" s="22"/>
      <c r="EO314" s="22"/>
      <c r="EP314" s="22"/>
      <c r="EQ314" s="22"/>
      <c r="ER314" s="22"/>
      <c r="ES314" s="22"/>
      <c r="ET314" s="22"/>
      <c r="EU314" s="22"/>
      <c r="EV314" s="22"/>
      <c r="EW314" s="22"/>
      <c r="EX314" s="22"/>
      <c r="EY314" s="22"/>
      <c r="EZ314" s="22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3" t="s">
        <v>1085</v>
      </c>
      <c r="FM314" s="23" t="s">
        <v>260</v>
      </c>
      <c r="FN314" s="22"/>
      <c r="FO314" s="22"/>
      <c r="FP314" s="22"/>
      <c r="FQ314" s="22"/>
      <c r="FR314" s="22"/>
      <c r="FS314" s="22"/>
      <c r="FT314" s="22"/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/>
      <c r="GO314" s="22"/>
      <c r="GP314" s="22"/>
      <c r="GQ314" s="22"/>
      <c r="GR314" s="22"/>
      <c r="GS314" s="22"/>
      <c r="GT314" s="22"/>
      <c r="GU314" s="22"/>
      <c r="GV314" s="22"/>
      <c r="GW314" s="22"/>
      <c r="GX314" s="22"/>
      <c r="GY314" s="22"/>
      <c r="GZ314" s="22"/>
      <c r="HA314" s="22"/>
    </row>
    <row r="315" ht="23.25" customHeight="1">
      <c r="A315" s="29">
        <v>44659.99006895833</v>
      </c>
      <c r="B315" s="30" t="s">
        <v>6</v>
      </c>
      <c r="C315" s="30" t="s">
        <v>14</v>
      </c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0" t="s">
        <v>1130</v>
      </c>
      <c r="BJ315" s="30" t="s">
        <v>390</v>
      </c>
      <c r="BK315" s="30" t="s">
        <v>159</v>
      </c>
      <c r="BL315" s="30" t="s">
        <v>172</v>
      </c>
      <c r="BM315" s="30" t="s">
        <v>1131</v>
      </c>
      <c r="BN315" s="30">
        <v>2.0</v>
      </c>
      <c r="BO315" s="32">
        <v>43694.0</v>
      </c>
      <c r="BP315" s="32">
        <v>43695.0</v>
      </c>
      <c r="BQ315" s="30" t="s">
        <v>1132</v>
      </c>
      <c r="BR315" s="30" t="s">
        <v>1133</v>
      </c>
      <c r="BS315" s="30" t="s">
        <v>276</v>
      </c>
      <c r="BT315" s="30" t="s">
        <v>156</v>
      </c>
      <c r="BU315" s="30">
        <v>0.0</v>
      </c>
      <c r="BV315" s="33" t="s">
        <v>1134</v>
      </c>
      <c r="BW315" s="31"/>
      <c r="BX315" s="31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/>
      <c r="EG315" s="22"/>
      <c r="EH315" s="22"/>
      <c r="EI315" s="22"/>
      <c r="EJ315" s="22"/>
      <c r="EK315" s="22"/>
      <c r="EL315" s="22"/>
      <c r="EM315" s="22"/>
      <c r="EN315" s="22"/>
      <c r="EO315" s="22"/>
      <c r="EP315" s="22"/>
      <c r="EQ315" s="22"/>
      <c r="ER315" s="22"/>
      <c r="ES315" s="22"/>
      <c r="ET315" s="22"/>
      <c r="EU315" s="22"/>
      <c r="EV315" s="22"/>
      <c r="EW315" s="22"/>
      <c r="EX315" s="22"/>
      <c r="EY315" s="22"/>
      <c r="EZ315" s="22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3" t="s">
        <v>393</v>
      </c>
      <c r="FM315" s="23" t="s">
        <v>323</v>
      </c>
      <c r="FN315" s="22"/>
      <c r="FO315" s="22"/>
      <c r="FP315" s="22"/>
      <c r="FQ315" s="22"/>
      <c r="FR315" s="22"/>
      <c r="FS315" s="22"/>
      <c r="FT315" s="22"/>
      <c r="FU315" s="22"/>
      <c r="FV315" s="22"/>
      <c r="FW315" s="22"/>
      <c r="FX315" s="22"/>
      <c r="FY315" s="22"/>
      <c r="FZ315" s="22"/>
      <c r="GA315" s="22"/>
      <c r="GB315" s="22"/>
      <c r="GC315" s="22"/>
      <c r="GD315" s="22"/>
      <c r="GE315" s="22"/>
      <c r="GF315" s="22"/>
      <c r="GG315" s="22"/>
      <c r="GH315" s="22"/>
      <c r="GI315" s="22"/>
      <c r="GJ315" s="22"/>
      <c r="GK315" s="22"/>
      <c r="GL315" s="22"/>
      <c r="GM315" s="22"/>
      <c r="GN315" s="22"/>
      <c r="GO315" s="22"/>
      <c r="GP315" s="22"/>
      <c r="GQ315" s="22"/>
      <c r="GR315" s="22"/>
      <c r="GS315" s="22"/>
      <c r="GT315" s="22"/>
      <c r="GU315" s="22"/>
      <c r="GV315" s="22"/>
      <c r="GW315" s="22"/>
      <c r="GX315" s="22"/>
      <c r="GY315" s="22"/>
      <c r="GZ315" s="22"/>
      <c r="HA315" s="22"/>
    </row>
    <row r="316" ht="23.25" customHeight="1">
      <c r="A316" s="29">
        <v>44660.02782451389</v>
      </c>
      <c r="B316" s="30" t="s">
        <v>6</v>
      </c>
      <c r="C316" s="30" t="s">
        <v>12</v>
      </c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0" t="s">
        <v>1135</v>
      </c>
      <c r="AO316" s="30" t="s">
        <v>1136</v>
      </c>
      <c r="AP316" s="30" t="s">
        <v>985</v>
      </c>
      <c r="AQ316" s="30" t="s">
        <v>417</v>
      </c>
      <c r="AR316" s="32">
        <v>44547.0</v>
      </c>
      <c r="AS316" s="32">
        <v>44651.0</v>
      </c>
      <c r="AT316" s="30" t="s">
        <v>256</v>
      </c>
      <c r="AU316" s="30" t="s">
        <v>257</v>
      </c>
      <c r="AV316" s="30">
        <v>0.0</v>
      </c>
      <c r="AW316" s="33" t="s">
        <v>1137</v>
      </c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/>
      <c r="EG316" s="22"/>
      <c r="EH316" s="22"/>
      <c r="EI316" s="22"/>
      <c r="EJ316" s="22"/>
      <c r="EK316" s="22"/>
      <c r="EL316" s="22"/>
      <c r="EM316" s="22"/>
      <c r="EN316" s="22"/>
      <c r="EO316" s="22"/>
      <c r="EP316" s="22"/>
      <c r="EQ316" s="22"/>
      <c r="ER316" s="22"/>
      <c r="ES316" s="22"/>
      <c r="ET316" s="22"/>
      <c r="EU316" s="22"/>
      <c r="EV316" s="22"/>
      <c r="EW316" s="22"/>
      <c r="EX316" s="22"/>
      <c r="EY316" s="22"/>
      <c r="EZ316" s="22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3" t="s">
        <v>1138</v>
      </c>
      <c r="FM316" s="23" t="s">
        <v>260</v>
      </c>
      <c r="FN316" s="22"/>
      <c r="FO316" s="22"/>
      <c r="FP316" s="22"/>
      <c r="FQ316" s="22"/>
      <c r="FR316" s="22"/>
      <c r="FS316" s="22"/>
      <c r="FT316" s="22"/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/>
      <c r="GP316" s="22"/>
      <c r="GQ316" s="22"/>
      <c r="GR316" s="22"/>
      <c r="GS316" s="22"/>
      <c r="GT316" s="22"/>
      <c r="GU316" s="22"/>
      <c r="GV316" s="22"/>
      <c r="GW316" s="22"/>
      <c r="GX316" s="22"/>
      <c r="GY316" s="22"/>
      <c r="GZ316" s="22"/>
      <c r="HA316" s="22"/>
    </row>
    <row r="317" ht="23.25" customHeight="1">
      <c r="A317" s="29">
        <v>44660.09917290509</v>
      </c>
      <c r="B317" s="30" t="s">
        <v>6</v>
      </c>
      <c r="C317" s="20" t="s">
        <v>15</v>
      </c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0" t="s">
        <v>999</v>
      </c>
      <c r="BX317" s="30" t="s">
        <v>1000</v>
      </c>
      <c r="BY317" s="22"/>
      <c r="BZ317" s="23" t="s">
        <v>159</v>
      </c>
      <c r="CA317" s="23" t="s">
        <v>1139</v>
      </c>
      <c r="CB317" s="23" t="s">
        <v>1140</v>
      </c>
      <c r="CC317" s="23" t="s">
        <v>1141</v>
      </c>
      <c r="CD317" s="24">
        <v>44750.0</v>
      </c>
      <c r="CE317" s="24">
        <v>44843.0</v>
      </c>
      <c r="CF317" s="23">
        <v>87.0</v>
      </c>
      <c r="CG317" s="25" t="s">
        <v>1142</v>
      </c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3" t="s">
        <v>1002</v>
      </c>
      <c r="FM317" s="23" t="s">
        <v>260</v>
      </c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</row>
    <row r="318" ht="23.25" customHeight="1">
      <c r="A318" s="29">
        <v>44660.333277673606</v>
      </c>
      <c r="B318" s="30" t="s">
        <v>6</v>
      </c>
      <c r="C318" s="30" t="s">
        <v>13</v>
      </c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0" t="s">
        <v>1143</v>
      </c>
      <c r="AY318" s="30" t="s">
        <v>1144</v>
      </c>
      <c r="AZ318" s="30" t="s">
        <v>499</v>
      </c>
      <c r="BA318" s="30" t="s">
        <v>582</v>
      </c>
      <c r="BB318" s="30" t="s">
        <v>495</v>
      </c>
      <c r="BC318" s="32">
        <v>44516.0</v>
      </c>
      <c r="BD318" s="32">
        <v>44546.0</v>
      </c>
      <c r="BE318" s="32">
        <v>44546.0</v>
      </c>
      <c r="BF318" s="30">
        <v>100.0</v>
      </c>
      <c r="BG318" s="30" t="s">
        <v>1145</v>
      </c>
      <c r="BH318" s="33" t="s">
        <v>1146</v>
      </c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/>
      <c r="EG318" s="22"/>
      <c r="EH318" s="22"/>
      <c r="EI318" s="22"/>
      <c r="EJ318" s="22"/>
      <c r="EK318" s="22"/>
      <c r="EL318" s="22"/>
      <c r="EM318" s="22"/>
      <c r="EN318" s="22"/>
      <c r="EO318" s="22"/>
      <c r="EP318" s="22"/>
      <c r="EQ318" s="22"/>
      <c r="ER318" s="22"/>
      <c r="ES318" s="22"/>
      <c r="ET318" s="22"/>
      <c r="EU318" s="22"/>
      <c r="EV318" s="22"/>
      <c r="EW318" s="22"/>
      <c r="EX318" s="22"/>
      <c r="EY318" s="22"/>
      <c r="EZ318" s="22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3" t="s">
        <v>1147</v>
      </c>
      <c r="FM318" s="23" t="s">
        <v>260</v>
      </c>
      <c r="FN318" s="22"/>
      <c r="FO318" s="22"/>
      <c r="FP318" s="22"/>
      <c r="FQ318" s="22"/>
      <c r="FR318" s="22"/>
      <c r="FS318" s="22"/>
      <c r="FT318" s="22"/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/>
      <c r="GJ318" s="22"/>
      <c r="GK318" s="22"/>
      <c r="GL318" s="22"/>
      <c r="GM318" s="22"/>
      <c r="GN318" s="22"/>
      <c r="GO318" s="22"/>
      <c r="GP318" s="22"/>
      <c r="GQ318" s="22"/>
      <c r="GR318" s="22"/>
      <c r="GS318" s="22"/>
      <c r="GT318" s="22"/>
      <c r="GU318" s="22"/>
      <c r="GV318" s="22"/>
      <c r="GW318" s="22"/>
      <c r="GX318" s="22"/>
      <c r="GY318" s="22"/>
      <c r="GZ318" s="22"/>
      <c r="HA318" s="22"/>
    </row>
    <row r="319" ht="23.25" customHeight="1">
      <c r="A319" s="29">
        <v>44660.3370125</v>
      </c>
      <c r="B319" s="30" t="s">
        <v>6</v>
      </c>
      <c r="C319" s="20" t="s">
        <v>15</v>
      </c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0" t="s">
        <v>1148</v>
      </c>
      <c r="BX319" s="30" t="s">
        <v>1149</v>
      </c>
      <c r="BY319" s="22"/>
      <c r="BZ319" s="23" t="s">
        <v>171</v>
      </c>
      <c r="CA319" s="23" t="s">
        <v>1150</v>
      </c>
      <c r="CB319" s="23" t="s">
        <v>1151</v>
      </c>
      <c r="CC319" s="23" t="s">
        <v>475</v>
      </c>
      <c r="CD319" s="24">
        <v>44201.0</v>
      </c>
      <c r="CE319" s="24">
        <v>44656.0</v>
      </c>
      <c r="CF319" s="23">
        <v>70.0</v>
      </c>
      <c r="CG319" s="25" t="s">
        <v>1152</v>
      </c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/>
      <c r="EG319" s="22"/>
      <c r="EH319" s="22"/>
      <c r="EI319" s="22"/>
      <c r="EJ319" s="22"/>
      <c r="EK319" s="22"/>
      <c r="EL319" s="22"/>
      <c r="EM319" s="22"/>
      <c r="EN319" s="22"/>
      <c r="EO319" s="22"/>
      <c r="EP319" s="22"/>
      <c r="EQ319" s="22"/>
      <c r="ER319" s="22"/>
      <c r="ES319" s="22"/>
      <c r="ET319" s="22"/>
      <c r="EU319" s="22"/>
      <c r="EV319" s="22"/>
      <c r="EW319" s="22"/>
      <c r="EX319" s="22"/>
      <c r="EY319" s="22"/>
      <c r="EZ319" s="22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3" t="s">
        <v>1153</v>
      </c>
      <c r="FM319" s="23" t="s">
        <v>323</v>
      </c>
      <c r="FN319" s="22"/>
      <c r="FO319" s="22"/>
      <c r="FP319" s="22"/>
      <c r="FQ319" s="22"/>
      <c r="FR319" s="22"/>
      <c r="FS319" s="22"/>
      <c r="FT319" s="22"/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/>
      <c r="GP319" s="22"/>
      <c r="GQ319" s="22"/>
      <c r="GR319" s="22"/>
      <c r="GS319" s="22"/>
      <c r="GT319" s="22"/>
      <c r="GU319" s="22"/>
      <c r="GV319" s="22"/>
      <c r="GW319" s="22"/>
      <c r="GX319" s="22"/>
      <c r="GY319" s="22"/>
      <c r="GZ319" s="22"/>
      <c r="HA319" s="22"/>
    </row>
    <row r="320" ht="23.25" customHeight="1">
      <c r="A320" s="29">
        <v>44660.33782390047</v>
      </c>
      <c r="B320" s="30" t="s">
        <v>6</v>
      </c>
      <c r="C320" s="30" t="s">
        <v>12</v>
      </c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0" t="s">
        <v>402</v>
      </c>
      <c r="AO320" s="30" t="s">
        <v>1154</v>
      </c>
      <c r="AP320" s="30" t="s">
        <v>1155</v>
      </c>
      <c r="AQ320" s="30" t="s">
        <v>310</v>
      </c>
      <c r="AR320" s="32">
        <v>44068.0</v>
      </c>
      <c r="AS320" s="32">
        <v>44129.0</v>
      </c>
      <c r="AT320" s="30" t="s">
        <v>257</v>
      </c>
      <c r="AU320" s="30" t="s">
        <v>256</v>
      </c>
      <c r="AV320" s="30">
        <v>2000.0</v>
      </c>
      <c r="AW320" s="33" t="s">
        <v>1156</v>
      </c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/>
      <c r="EG320" s="22"/>
      <c r="EH320" s="22"/>
      <c r="EI320" s="22"/>
      <c r="EJ320" s="22"/>
      <c r="EK320" s="22"/>
      <c r="EL320" s="22"/>
      <c r="EM320" s="22"/>
      <c r="EN320" s="22"/>
      <c r="EO320" s="22"/>
      <c r="EP320" s="22"/>
      <c r="EQ320" s="22"/>
      <c r="ER320" s="22"/>
      <c r="ES320" s="22"/>
      <c r="ET320" s="22"/>
      <c r="EU320" s="22"/>
      <c r="EV320" s="22"/>
      <c r="EW320" s="22"/>
      <c r="EX320" s="22"/>
      <c r="EY320" s="22"/>
      <c r="EZ320" s="22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3" t="s">
        <v>405</v>
      </c>
      <c r="FM320" s="23" t="s">
        <v>260</v>
      </c>
      <c r="FN320" s="22"/>
      <c r="FO320" s="22"/>
      <c r="FP320" s="22"/>
      <c r="FQ320" s="22"/>
      <c r="FR320" s="22"/>
      <c r="FS320" s="22"/>
      <c r="FT320" s="22"/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/>
      <c r="GP320" s="22"/>
      <c r="GQ320" s="22"/>
      <c r="GR320" s="22"/>
      <c r="GS320" s="22"/>
      <c r="GT320" s="22"/>
      <c r="GU320" s="22"/>
      <c r="GV320" s="22"/>
      <c r="GW320" s="22"/>
      <c r="GX320" s="22"/>
      <c r="GY320" s="22"/>
      <c r="GZ320" s="22"/>
      <c r="HA320" s="22"/>
    </row>
    <row r="321" ht="23.25" customHeight="1">
      <c r="A321" s="29">
        <v>44660.33846135417</v>
      </c>
      <c r="B321" s="30" t="s">
        <v>6</v>
      </c>
      <c r="C321" s="30" t="s">
        <v>13</v>
      </c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0" t="s">
        <v>1157</v>
      </c>
      <c r="AY321" s="30" t="s">
        <v>1158</v>
      </c>
      <c r="AZ321" s="30" t="s">
        <v>1159</v>
      </c>
      <c r="BA321" s="30" t="s">
        <v>1160</v>
      </c>
      <c r="BB321" s="30" t="s">
        <v>1161</v>
      </c>
      <c r="BC321" s="32">
        <v>44348.0</v>
      </c>
      <c r="BD321" s="32">
        <v>44408.0</v>
      </c>
      <c r="BE321" s="32">
        <v>44408.0</v>
      </c>
      <c r="BF321" s="30">
        <v>87.0</v>
      </c>
      <c r="BG321" s="30" t="s">
        <v>377</v>
      </c>
      <c r="BH321" s="33" t="s">
        <v>1162</v>
      </c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/>
      <c r="EG321" s="22"/>
      <c r="EH321" s="22"/>
      <c r="EI321" s="22"/>
      <c r="EJ321" s="22"/>
      <c r="EK321" s="22"/>
      <c r="EL321" s="22"/>
      <c r="EM321" s="22"/>
      <c r="EN321" s="22"/>
      <c r="EO321" s="22"/>
      <c r="EP321" s="22"/>
      <c r="EQ321" s="22"/>
      <c r="ER321" s="22"/>
      <c r="ES321" s="22"/>
      <c r="ET321" s="22"/>
      <c r="EU321" s="22"/>
      <c r="EV321" s="22"/>
      <c r="EW321" s="22"/>
      <c r="EX321" s="22"/>
      <c r="EY321" s="22"/>
      <c r="EZ321" s="22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3" t="s">
        <v>1163</v>
      </c>
      <c r="FM321" s="23" t="s">
        <v>341</v>
      </c>
      <c r="FN321" s="22"/>
      <c r="FO321" s="22"/>
      <c r="FP321" s="22"/>
      <c r="FQ321" s="22"/>
      <c r="FR321" s="22"/>
      <c r="FS321" s="22"/>
      <c r="FT321" s="22"/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/>
      <c r="GP321" s="22"/>
      <c r="GQ321" s="22"/>
      <c r="GR321" s="22"/>
      <c r="GS321" s="22"/>
      <c r="GT321" s="22"/>
      <c r="GU321" s="22"/>
      <c r="GV321" s="22"/>
      <c r="GW321" s="22"/>
      <c r="GX321" s="22"/>
      <c r="GY321" s="22"/>
      <c r="GZ321" s="22"/>
      <c r="HA321" s="22"/>
    </row>
    <row r="322" ht="23.25" customHeight="1">
      <c r="A322" s="29">
        <v>44660.341988796295</v>
      </c>
      <c r="B322" s="30" t="s">
        <v>6</v>
      </c>
      <c r="C322" s="30" t="s">
        <v>13</v>
      </c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0" t="s">
        <v>1143</v>
      </c>
      <c r="AY322" s="30" t="s">
        <v>1144</v>
      </c>
      <c r="AZ322" s="30" t="s">
        <v>351</v>
      </c>
      <c r="BA322" s="30" t="s">
        <v>377</v>
      </c>
      <c r="BB322" s="30" t="s">
        <v>310</v>
      </c>
      <c r="BC322" s="32">
        <v>43614.0</v>
      </c>
      <c r="BD322" s="32">
        <v>43675.0</v>
      </c>
      <c r="BE322" s="32">
        <v>43675.0</v>
      </c>
      <c r="BF322" s="30">
        <v>100.0</v>
      </c>
      <c r="BG322" s="30" t="s">
        <v>1164</v>
      </c>
      <c r="BH322" s="33" t="s">
        <v>1165</v>
      </c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/>
      <c r="EG322" s="22"/>
      <c r="EH322" s="22"/>
      <c r="EI322" s="22"/>
      <c r="EJ322" s="22"/>
      <c r="EK322" s="22"/>
      <c r="EL322" s="22"/>
      <c r="EM322" s="22"/>
      <c r="EN322" s="22"/>
      <c r="EO322" s="22"/>
      <c r="EP322" s="22"/>
      <c r="EQ322" s="22"/>
      <c r="ER322" s="22"/>
      <c r="ES322" s="22"/>
      <c r="ET322" s="22"/>
      <c r="EU322" s="22"/>
      <c r="EV322" s="22"/>
      <c r="EW322" s="22"/>
      <c r="EX322" s="22"/>
      <c r="EY322" s="22"/>
      <c r="EZ322" s="22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3" t="s">
        <v>1147</v>
      </c>
      <c r="FM322" s="23" t="s">
        <v>260</v>
      </c>
      <c r="FN322" s="22"/>
      <c r="FO322" s="22"/>
      <c r="FP322" s="22"/>
      <c r="FQ322" s="22"/>
      <c r="FR322" s="22"/>
      <c r="FS322" s="22"/>
      <c r="FT322" s="22"/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/>
      <c r="GP322" s="22"/>
      <c r="GQ322" s="22"/>
      <c r="GR322" s="22"/>
      <c r="GS322" s="22"/>
      <c r="GT322" s="22"/>
      <c r="GU322" s="22"/>
      <c r="GV322" s="22"/>
      <c r="GW322" s="22"/>
      <c r="GX322" s="22"/>
      <c r="GY322" s="22"/>
      <c r="GZ322" s="22"/>
      <c r="HA322" s="22"/>
    </row>
    <row r="323" ht="23.25" customHeight="1">
      <c r="A323" s="29">
        <v>44660.34393123843</v>
      </c>
      <c r="B323" s="30" t="s">
        <v>6</v>
      </c>
      <c r="C323" s="30" t="s">
        <v>14</v>
      </c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0" t="s">
        <v>1166</v>
      </c>
      <c r="BJ323" s="30" t="s">
        <v>1167</v>
      </c>
      <c r="BK323" s="30" t="s">
        <v>159</v>
      </c>
      <c r="BL323" s="30" t="s">
        <v>151</v>
      </c>
      <c r="BM323" s="30" t="s">
        <v>1168</v>
      </c>
      <c r="BN323" s="30">
        <v>3.0</v>
      </c>
      <c r="BO323" s="32">
        <v>43518.0</v>
      </c>
      <c r="BP323" s="32">
        <v>43520.0</v>
      </c>
      <c r="BQ323" s="30" t="s">
        <v>1169</v>
      </c>
      <c r="BR323" s="30" t="s">
        <v>1170</v>
      </c>
      <c r="BS323" s="30" t="s">
        <v>176</v>
      </c>
      <c r="BT323" s="30" t="s">
        <v>632</v>
      </c>
      <c r="BU323" s="31"/>
      <c r="BV323" s="33" t="s">
        <v>1171</v>
      </c>
      <c r="BW323" s="31"/>
      <c r="BX323" s="31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/>
      <c r="EG323" s="22"/>
      <c r="EH323" s="22"/>
      <c r="EI323" s="22"/>
      <c r="EJ323" s="22"/>
      <c r="EK323" s="22"/>
      <c r="EL323" s="22"/>
      <c r="EM323" s="22"/>
      <c r="EN323" s="22"/>
      <c r="EO323" s="22"/>
      <c r="EP323" s="22"/>
      <c r="EQ323" s="22"/>
      <c r="ER323" s="22"/>
      <c r="ES323" s="22"/>
      <c r="ET323" s="22"/>
      <c r="EU323" s="22"/>
      <c r="EV323" s="22"/>
      <c r="EW323" s="22"/>
      <c r="EX323" s="22"/>
      <c r="EY323" s="22"/>
      <c r="EZ323" s="22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3" t="s">
        <v>1163</v>
      </c>
      <c r="FM323" s="23" t="s">
        <v>555</v>
      </c>
      <c r="FN323" s="22"/>
      <c r="FO323" s="22"/>
      <c r="FP323" s="22"/>
      <c r="FQ323" s="22"/>
      <c r="FR323" s="22"/>
      <c r="FS323" s="22"/>
      <c r="FT323" s="22"/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/>
      <c r="GJ323" s="22"/>
      <c r="GK323" s="22"/>
      <c r="GL323" s="22"/>
      <c r="GM323" s="22"/>
      <c r="GN323" s="22"/>
      <c r="GO323" s="22"/>
      <c r="GP323" s="22"/>
      <c r="GQ323" s="22"/>
      <c r="GR323" s="22"/>
      <c r="GS323" s="22"/>
      <c r="GT323" s="22"/>
      <c r="GU323" s="22"/>
      <c r="GV323" s="22"/>
      <c r="GW323" s="22"/>
      <c r="GX323" s="22"/>
      <c r="GY323" s="22"/>
      <c r="GZ323" s="22"/>
      <c r="HA323" s="22"/>
    </row>
    <row r="324" ht="23.25" customHeight="1">
      <c r="A324" s="29">
        <v>44660.345722777776</v>
      </c>
      <c r="B324" s="30" t="s">
        <v>6</v>
      </c>
      <c r="C324" s="30" t="s">
        <v>13</v>
      </c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0" t="s">
        <v>1172</v>
      </c>
      <c r="AY324" s="30" t="s">
        <v>1173</v>
      </c>
      <c r="AZ324" s="30" t="s">
        <v>1174</v>
      </c>
      <c r="BA324" s="30" t="s">
        <v>500</v>
      </c>
      <c r="BB324" s="30" t="s">
        <v>507</v>
      </c>
      <c r="BC324" s="32">
        <v>44489.0</v>
      </c>
      <c r="BD324" s="32">
        <v>44557.0</v>
      </c>
      <c r="BE324" s="32">
        <v>44556.0</v>
      </c>
      <c r="BF324" s="30">
        <v>0.0</v>
      </c>
      <c r="BG324" s="30" t="s">
        <v>1175</v>
      </c>
      <c r="BH324" s="33" t="s">
        <v>1176</v>
      </c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/>
      <c r="EG324" s="22"/>
      <c r="EH324" s="22"/>
      <c r="EI324" s="22"/>
      <c r="EJ324" s="22"/>
      <c r="EK324" s="22"/>
      <c r="EL324" s="22"/>
      <c r="EM324" s="22"/>
      <c r="EN324" s="22"/>
      <c r="EO324" s="22"/>
      <c r="EP324" s="22"/>
      <c r="EQ324" s="22"/>
      <c r="ER324" s="22"/>
      <c r="ES324" s="22"/>
      <c r="ET324" s="22"/>
      <c r="EU324" s="22"/>
      <c r="EV324" s="22"/>
      <c r="EW324" s="22"/>
      <c r="EX324" s="22"/>
      <c r="EY324" s="22"/>
      <c r="EZ324" s="22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3" t="s">
        <v>1177</v>
      </c>
      <c r="FM324" s="23" t="s">
        <v>260</v>
      </c>
      <c r="FN324" s="22"/>
      <c r="FO324" s="22"/>
      <c r="FP324" s="22"/>
      <c r="FQ324" s="22"/>
      <c r="FR324" s="22"/>
      <c r="FS324" s="22"/>
      <c r="FT324" s="22"/>
      <c r="FU324" s="22"/>
      <c r="FV324" s="22"/>
      <c r="FW324" s="22"/>
      <c r="FX324" s="22"/>
      <c r="FY324" s="22"/>
      <c r="FZ324" s="22"/>
      <c r="GA324" s="22"/>
      <c r="GB324" s="22"/>
      <c r="GC324" s="22"/>
      <c r="GD324" s="22"/>
      <c r="GE324" s="22"/>
      <c r="GF324" s="22"/>
      <c r="GG324" s="22"/>
      <c r="GH324" s="22"/>
      <c r="GI324" s="22"/>
      <c r="GJ324" s="22"/>
      <c r="GK324" s="22"/>
      <c r="GL324" s="22"/>
      <c r="GM324" s="22"/>
      <c r="GN324" s="22"/>
      <c r="GO324" s="22"/>
      <c r="GP324" s="22"/>
      <c r="GQ324" s="22"/>
      <c r="GR324" s="22"/>
      <c r="GS324" s="22"/>
      <c r="GT324" s="22"/>
      <c r="GU324" s="22"/>
      <c r="GV324" s="22"/>
      <c r="GW324" s="22"/>
      <c r="GX324" s="22"/>
      <c r="GY324" s="22"/>
      <c r="GZ324" s="22"/>
      <c r="HA324" s="22"/>
    </row>
    <row r="325" ht="23.25" customHeight="1">
      <c r="A325" s="29">
        <v>44660.34708765046</v>
      </c>
      <c r="B325" s="30" t="s">
        <v>6</v>
      </c>
      <c r="C325" s="30" t="s">
        <v>13</v>
      </c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0" t="s">
        <v>1143</v>
      </c>
      <c r="AY325" s="30" t="s">
        <v>1144</v>
      </c>
      <c r="AZ325" s="30" t="s">
        <v>1178</v>
      </c>
      <c r="BA325" s="30" t="s">
        <v>377</v>
      </c>
      <c r="BB325" s="30" t="s">
        <v>450</v>
      </c>
      <c r="BC325" s="32">
        <v>44292.0</v>
      </c>
      <c r="BD325" s="32">
        <v>44383.0</v>
      </c>
      <c r="BE325" s="32">
        <v>44383.0</v>
      </c>
      <c r="BF325" s="30">
        <v>100.0</v>
      </c>
      <c r="BG325" s="30" t="s">
        <v>1164</v>
      </c>
      <c r="BH325" s="33" t="s">
        <v>1179</v>
      </c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3" t="s">
        <v>1147</v>
      </c>
      <c r="FM325" s="23" t="s">
        <v>260</v>
      </c>
      <c r="FN325" s="22"/>
      <c r="FO325" s="22"/>
      <c r="FP325" s="22"/>
      <c r="FQ325" s="22"/>
      <c r="FR325" s="22"/>
      <c r="FS325" s="22"/>
      <c r="FT325" s="22"/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/>
      <c r="GO325" s="22"/>
      <c r="GP325" s="22"/>
      <c r="GQ325" s="22"/>
      <c r="GR325" s="22"/>
      <c r="GS325" s="22"/>
      <c r="GT325" s="22"/>
      <c r="GU325" s="22"/>
      <c r="GV325" s="22"/>
      <c r="GW325" s="22"/>
      <c r="GX325" s="22"/>
      <c r="GY325" s="22"/>
      <c r="GZ325" s="22"/>
      <c r="HA325" s="22"/>
    </row>
    <row r="326" ht="23.25" customHeight="1">
      <c r="A326" s="29">
        <v>44660.34765969907</v>
      </c>
      <c r="B326" s="30" t="s">
        <v>6</v>
      </c>
      <c r="C326" s="30" t="s">
        <v>12</v>
      </c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0" t="s">
        <v>1166</v>
      </c>
      <c r="AO326" s="30" t="s">
        <v>1167</v>
      </c>
      <c r="AP326" s="30" t="s">
        <v>1180</v>
      </c>
      <c r="AQ326" s="30" t="s">
        <v>810</v>
      </c>
      <c r="AR326" s="32">
        <v>44470.0</v>
      </c>
      <c r="AS326" s="32">
        <v>44561.0</v>
      </c>
      <c r="AT326" s="30" t="s">
        <v>257</v>
      </c>
      <c r="AU326" s="30" t="s">
        <v>257</v>
      </c>
      <c r="AV326" s="30">
        <v>0.0</v>
      </c>
      <c r="AW326" s="33" t="s">
        <v>1181</v>
      </c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/>
      <c r="EG326" s="22"/>
      <c r="EH326" s="22"/>
      <c r="EI326" s="22"/>
      <c r="EJ326" s="22"/>
      <c r="EK326" s="22"/>
      <c r="EL326" s="22"/>
      <c r="EM326" s="22"/>
      <c r="EN326" s="22"/>
      <c r="EO326" s="22"/>
      <c r="EP326" s="22"/>
      <c r="EQ326" s="22"/>
      <c r="ER326" s="22"/>
      <c r="ES326" s="22"/>
      <c r="ET326" s="22"/>
      <c r="EU326" s="22"/>
      <c r="EV326" s="22"/>
      <c r="EW326" s="22"/>
      <c r="EX326" s="22"/>
      <c r="EY326" s="22"/>
      <c r="EZ326" s="22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3" t="s">
        <v>1163</v>
      </c>
      <c r="FM326" s="23" t="s">
        <v>283</v>
      </c>
      <c r="FN326" s="22"/>
      <c r="FO326" s="22"/>
      <c r="FP326" s="22"/>
      <c r="FQ326" s="22"/>
      <c r="FR326" s="22"/>
      <c r="FS326" s="22"/>
      <c r="FT326" s="22"/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/>
      <c r="GO326" s="22"/>
      <c r="GP326" s="22"/>
      <c r="GQ326" s="22"/>
      <c r="GR326" s="22"/>
      <c r="GS326" s="22"/>
      <c r="GT326" s="22"/>
      <c r="GU326" s="22"/>
      <c r="GV326" s="22"/>
      <c r="GW326" s="22"/>
      <c r="GX326" s="22"/>
      <c r="GY326" s="22"/>
      <c r="GZ326" s="22"/>
      <c r="HA326" s="22"/>
    </row>
    <row r="327" ht="23.25" customHeight="1">
      <c r="A327" s="29">
        <v>44660.350194479164</v>
      </c>
      <c r="B327" s="30" t="s">
        <v>6</v>
      </c>
      <c r="C327" s="30" t="s">
        <v>13</v>
      </c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0" t="s">
        <v>1182</v>
      </c>
      <c r="AY327" s="30" t="s">
        <v>1167</v>
      </c>
      <c r="AZ327" s="30" t="s">
        <v>1183</v>
      </c>
      <c r="BA327" s="30" t="s">
        <v>377</v>
      </c>
      <c r="BB327" s="30" t="s">
        <v>410</v>
      </c>
      <c r="BC327" s="32">
        <v>43525.0</v>
      </c>
      <c r="BD327" s="32">
        <v>43585.0</v>
      </c>
      <c r="BE327" s="32">
        <v>43585.0</v>
      </c>
      <c r="BF327" s="30">
        <v>89.0</v>
      </c>
      <c r="BG327" s="30" t="s">
        <v>1184</v>
      </c>
      <c r="BH327" s="33" t="s">
        <v>1185</v>
      </c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/>
      <c r="EG327" s="22"/>
      <c r="EH327" s="22"/>
      <c r="EI327" s="22"/>
      <c r="EJ327" s="22"/>
      <c r="EK327" s="22"/>
      <c r="EL327" s="22"/>
      <c r="EM327" s="22"/>
      <c r="EN327" s="22"/>
      <c r="EO327" s="22"/>
      <c r="EP327" s="22"/>
      <c r="EQ327" s="22"/>
      <c r="ER327" s="22"/>
      <c r="ES327" s="22"/>
      <c r="ET327" s="22"/>
      <c r="EU327" s="22"/>
      <c r="EV327" s="22"/>
      <c r="EW327" s="22"/>
      <c r="EX327" s="22"/>
      <c r="EY327" s="22"/>
      <c r="EZ327" s="22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3" t="s">
        <v>1163</v>
      </c>
      <c r="FM327" s="23" t="s">
        <v>382</v>
      </c>
      <c r="FN327" s="22"/>
      <c r="FO327" s="22"/>
      <c r="FP327" s="22"/>
      <c r="FQ327" s="22"/>
      <c r="FR327" s="22"/>
      <c r="FS327" s="22"/>
      <c r="FT327" s="22"/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/>
      <c r="GJ327" s="22"/>
      <c r="GK327" s="22"/>
      <c r="GL327" s="22"/>
      <c r="GM327" s="22"/>
      <c r="GN327" s="22"/>
      <c r="GO327" s="22"/>
      <c r="GP327" s="22"/>
      <c r="GQ327" s="22"/>
      <c r="GR327" s="22"/>
      <c r="GS327" s="22"/>
      <c r="GT327" s="22"/>
      <c r="GU327" s="22"/>
      <c r="GV327" s="22"/>
      <c r="GW327" s="22"/>
      <c r="GX327" s="22"/>
      <c r="GY327" s="22"/>
      <c r="GZ327" s="22"/>
      <c r="HA327" s="22"/>
    </row>
    <row r="328" ht="23.25" customHeight="1">
      <c r="A328" s="29">
        <v>44660.3513665162</v>
      </c>
      <c r="B328" s="30" t="s">
        <v>6</v>
      </c>
      <c r="C328" s="30" t="s">
        <v>12</v>
      </c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0" t="s">
        <v>1186</v>
      </c>
      <c r="AO328" s="30" t="s">
        <v>1187</v>
      </c>
      <c r="AP328" s="30" t="s">
        <v>309</v>
      </c>
      <c r="AQ328" s="30" t="s">
        <v>507</v>
      </c>
      <c r="AR328" s="32">
        <v>44470.0</v>
      </c>
      <c r="AS328" s="32">
        <v>44561.0</v>
      </c>
      <c r="AT328" s="30" t="s">
        <v>257</v>
      </c>
      <c r="AU328" s="30" t="s">
        <v>257</v>
      </c>
      <c r="AV328" s="30">
        <v>0.0</v>
      </c>
      <c r="AW328" s="33" t="s">
        <v>1188</v>
      </c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/>
      <c r="EG328" s="22"/>
      <c r="EH328" s="22"/>
      <c r="EI328" s="22"/>
      <c r="EJ328" s="22"/>
      <c r="EK328" s="22"/>
      <c r="EL328" s="22"/>
      <c r="EM328" s="22"/>
      <c r="EN328" s="22"/>
      <c r="EO328" s="22"/>
      <c r="EP328" s="22"/>
      <c r="EQ328" s="22"/>
      <c r="ER328" s="22"/>
      <c r="ES328" s="22"/>
      <c r="ET328" s="22"/>
      <c r="EU328" s="22"/>
      <c r="EV328" s="22"/>
      <c r="EW328" s="22"/>
      <c r="EX328" s="22"/>
      <c r="EY328" s="22"/>
      <c r="EZ328" s="22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3" t="s">
        <v>1189</v>
      </c>
      <c r="FM328" s="23" t="s">
        <v>278</v>
      </c>
      <c r="FN328" s="22"/>
      <c r="FO328" s="22"/>
      <c r="FP328" s="22"/>
      <c r="FQ328" s="22"/>
      <c r="FR328" s="22"/>
      <c r="FS328" s="22"/>
      <c r="FT328" s="22"/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/>
      <c r="GO328" s="22"/>
      <c r="GP328" s="22"/>
      <c r="GQ328" s="22"/>
      <c r="GR328" s="22"/>
      <c r="GS328" s="22"/>
      <c r="GT328" s="22"/>
      <c r="GU328" s="22"/>
      <c r="GV328" s="22"/>
      <c r="GW328" s="22"/>
      <c r="GX328" s="22"/>
      <c r="GY328" s="22"/>
      <c r="GZ328" s="22"/>
      <c r="HA328" s="22"/>
    </row>
    <row r="329" ht="23.25" customHeight="1">
      <c r="A329" s="29">
        <v>44660.35205081019</v>
      </c>
      <c r="B329" s="30" t="s">
        <v>6</v>
      </c>
      <c r="C329" s="30" t="s">
        <v>13</v>
      </c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0" t="s">
        <v>1143</v>
      </c>
      <c r="AY329" s="30" t="s">
        <v>1144</v>
      </c>
      <c r="AZ329" s="30" t="s">
        <v>642</v>
      </c>
      <c r="BA329" s="30" t="s">
        <v>1190</v>
      </c>
      <c r="BB329" s="30" t="s">
        <v>495</v>
      </c>
      <c r="BC329" s="32">
        <v>44371.0</v>
      </c>
      <c r="BD329" s="32">
        <v>44401.0</v>
      </c>
      <c r="BE329" s="32">
        <v>44401.0</v>
      </c>
      <c r="BF329" s="30">
        <v>100.0</v>
      </c>
      <c r="BG329" s="30" t="s">
        <v>1191</v>
      </c>
      <c r="BH329" s="33" t="s">
        <v>1192</v>
      </c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/>
      <c r="EG329" s="22"/>
      <c r="EH329" s="22"/>
      <c r="EI329" s="22"/>
      <c r="EJ329" s="22"/>
      <c r="EK329" s="22"/>
      <c r="EL329" s="22"/>
      <c r="EM329" s="22"/>
      <c r="EN329" s="22"/>
      <c r="EO329" s="22"/>
      <c r="EP329" s="22"/>
      <c r="EQ329" s="22"/>
      <c r="ER329" s="22"/>
      <c r="ES329" s="22"/>
      <c r="ET329" s="22"/>
      <c r="EU329" s="22"/>
      <c r="EV329" s="22"/>
      <c r="EW329" s="22"/>
      <c r="EX329" s="22"/>
      <c r="EY329" s="22"/>
      <c r="EZ329" s="22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3" t="s">
        <v>1147</v>
      </c>
      <c r="FM329" s="23" t="s">
        <v>260</v>
      </c>
      <c r="FN329" s="22"/>
      <c r="FO329" s="22"/>
      <c r="FP329" s="22"/>
      <c r="FQ329" s="22"/>
      <c r="FR329" s="22"/>
      <c r="FS329" s="22"/>
      <c r="FT329" s="22"/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/>
      <c r="GP329" s="22"/>
      <c r="GQ329" s="22"/>
      <c r="GR329" s="22"/>
      <c r="GS329" s="22"/>
      <c r="GT329" s="22"/>
      <c r="GU329" s="22"/>
      <c r="GV329" s="22"/>
      <c r="GW329" s="22"/>
      <c r="GX329" s="22"/>
      <c r="GY329" s="22"/>
      <c r="GZ329" s="22"/>
      <c r="HA329" s="22"/>
    </row>
    <row r="330" ht="23.25" customHeight="1">
      <c r="A330" s="29">
        <v>44660.352526041665</v>
      </c>
      <c r="B330" s="30" t="s">
        <v>6</v>
      </c>
      <c r="C330" s="30" t="s">
        <v>13</v>
      </c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0" t="s">
        <v>1182</v>
      </c>
      <c r="AY330" s="30" t="s">
        <v>1167</v>
      </c>
      <c r="AZ330" s="30" t="s">
        <v>1193</v>
      </c>
      <c r="BA330" s="30" t="s">
        <v>377</v>
      </c>
      <c r="BB330" s="30" t="s">
        <v>495</v>
      </c>
      <c r="BC330" s="32">
        <v>44256.0</v>
      </c>
      <c r="BD330" s="32">
        <v>44316.0</v>
      </c>
      <c r="BE330" s="32">
        <v>44316.0</v>
      </c>
      <c r="BF330" s="30">
        <v>85.0</v>
      </c>
      <c r="BG330" s="30" t="s">
        <v>1184</v>
      </c>
      <c r="BH330" s="33" t="s">
        <v>1194</v>
      </c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/>
      <c r="EG330" s="22"/>
      <c r="EH330" s="22"/>
      <c r="EI330" s="22"/>
      <c r="EJ330" s="22"/>
      <c r="EK330" s="22"/>
      <c r="EL330" s="22"/>
      <c r="EM330" s="22"/>
      <c r="EN330" s="22"/>
      <c r="EO330" s="22"/>
      <c r="EP330" s="22"/>
      <c r="EQ330" s="22"/>
      <c r="ER330" s="22"/>
      <c r="ES330" s="22"/>
      <c r="ET330" s="22"/>
      <c r="EU330" s="22"/>
      <c r="EV330" s="22"/>
      <c r="EW330" s="22"/>
      <c r="EX330" s="22"/>
      <c r="EY330" s="22"/>
      <c r="EZ330" s="22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3" t="s">
        <v>1163</v>
      </c>
      <c r="FM330" s="23" t="s">
        <v>341</v>
      </c>
      <c r="FN330" s="22"/>
      <c r="FO330" s="22"/>
      <c r="FP330" s="22"/>
      <c r="FQ330" s="22"/>
      <c r="FR330" s="22"/>
      <c r="FS330" s="22"/>
      <c r="FT330" s="22"/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/>
      <c r="GO330" s="22"/>
      <c r="GP330" s="22"/>
      <c r="GQ330" s="22"/>
      <c r="GR330" s="22"/>
      <c r="GS330" s="22"/>
      <c r="GT330" s="22"/>
      <c r="GU330" s="22"/>
      <c r="GV330" s="22"/>
      <c r="GW330" s="22"/>
      <c r="GX330" s="22"/>
      <c r="GY330" s="22"/>
      <c r="GZ330" s="22"/>
      <c r="HA330" s="22"/>
    </row>
    <row r="331" ht="23.25" customHeight="1">
      <c r="A331" s="29">
        <v>44660.35411594907</v>
      </c>
      <c r="B331" s="30" t="s">
        <v>6</v>
      </c>
      <c r="C331" s="30" t="s">
        <v>20</v>
      </c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3" t="s">
        <v>1195</v>
      </c>
      <c r="DY331" s="23" t="s">
        <v>1196</v>
      </c>
      <c r="DZ331" s="23" t="s">
        <v>313</v>
      </c>
      <c r="EA331" s="23" t="s">
        <v>1197</v>
      </c>
      <c r="EB331" s="24">
        <v>44573.0</v>
      </c>
      <c r="EC331" s="23" t="s">
        <v>1198</v>
      </c>
      <c r="ED331" s="25" t="s">
        <v>1199</v>
      </c>
      <c r="EE331" s="22"/>
      <c r="EF331" s="22"/>
      <c r="EG331" s="22"/>
      <c r="EH331" s="22"/>
      <c r="EI331" s="22"/>
      <c r="EJ331" s="22"/>
      <c r="EK331" s="22"/>
      <c r="EL331" s="22"/>
      <c r="EM331" s="22"/>
      <c r="EN331" s="22"/>
      <c r="EO331" s="22"/>
      <c r="EP331" s="22"/>
      <c r="EQ331" s="22"/>
      <c r="ER331" s="22"/>
      <c r="ES331" s="22"/>
      <c r="ET331" s="22"/>
      <c r="EU331" s="22"/>
      <c r="EV331" s="22"/>
      <c r="EW331" s="22"/>
      <c r="EX331" s="22"/>
      <c r="EY331" s="22"/>
      <c r="EZ331" s="22"/>
      <c r="FA331" s="22"/>
      <c r="FB331" s="22"/>
      <c r="FC331" s="22"/>
      <c r="FD331" s="22"/>
      <c r="FE331" s="22"/>
      <c r="FF331" s="22"/>
      <c r="FG331" s="22"/>
      <c r="FH331" s="22"/>
      <c r="FI331" s="22"/>
      <c r="FJ331" s="22"/>
      <c r="FK331" s="22"/>
      <c r="FL331" s="23" t="s">
        <v>1200</v>
      </c>
      <c r="FM331" s="23" t="s">
        <v>278</v>
      </c>
      <c r="FN331" s="22"/>
      <c r="FO331" s="22"/>
      <c r="FP331" s="22"/>
      <c r="FQ331" s="22"/>
      <c r="FR331" s="22"/>
      <c r="FS331" s="22"/>
      <c r="FT331" s="22"/>
      <c r="FU331" s="22"/>
      <c r="FV331" s="22"/>
      <c r="FW331" s="22"/>
      <c r="FX331" s="22"/>
      <c r="FY331" s="22"/>
      <c r="FZ331" s="22"/>
      <c r="GA331" s="22"/>
      <c r="GB331" s="22"/>
      <c r="GC331" s="22"/>
      <c r="GD331" s="22"/>
      <c r="GE331" s="22"/>
      <c r="GF331" s="22"/>
      <c r="GG331" s="22"/>
      <c r="GH331" s="22"/>
      <c r="GI331" s="22"/>
      <c r="GJ331" s="22"/>
      <c r="GK331" s="22"/>
      <c r="GL331" s="22"/>
      <c r="GM331" s="22"/>
      <c r="GN331" s="22"/>
      <c r="GO331" s="22"/>
      <c r="GP331" s="22"/>
      <c r="GQ331" s="22"/>
      <c r="GR331" s="22"/>
      <c r="GS331" s="22"/>
      <c r="GT331" s="22"/>
      <c r="GU331" s="22"/>
      <c r="GV331" s="22"/>
      <c r="GW331" s="22"/>
      <c r="GX331" s="22"/>
      <c r="GY331" s="22"/>
      <c r="GZ331" s="22"/>
      <c r="HA331" s="22"/>
    </row>
    <row r="332" ht="23.25" customHeight="1">
      <c r="A332" s="29">
        <v>44660.35421423611</v>
      </c>
      <c r="B332" s="30" t="s">
        <v>6</v>
      </c>
      <c r="C332" s="30" t="s">
        <v>13</v>
      </c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0" t="s">
        <v>1166</v>
      </c>
      <c r="AY332" s="30" t="s">
        <v>1167</v>
      </c>
      <c r="AZ332" s="30" t="s">
        <v>356</v>
      </c>
      <c r="BA332" s="30" t="s">
        <v>377</v>
      </c>
      <c r="BB332" s="30" t="s">
        <v>410</v>
      </c>
      <c r="BC332" s="32">
        <v>44257.0</v>
      </c>
      <c r="BD332" s="32">
        <v>44315.0</v>
      </c>
      <c r="BE332" s="32">
        <v>44315.0</v>
      </c>
      <c r="BF332" s="30">
        <v>86.0</v>
      </c>
      <c r="BG332" s="30" t="s">
        <v>1201</v>
      </c>
      <c r="BH332" s="33" t="s">
        <v>1202</v>
      </c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/>
      <c r="EG332" s="22"/>
      <c r="EH332" s="22"/>
      <c r="EI332" s="22"/>
      <c r="EJ332" s="22"/>
      <c r="EK332" s="22"/>
      <c r="EL332" s="22"/>
      <c r="EM332" s="22"/>
      <c r="EN332" s="22"/>
      <c r="EO332" s="22"/>
      <c r="EP332" s="22"/>
      <c r="EQ332" s="22"/>
      <c r="ER332" s="22"/>
      <c r="ES332" s="22"/>
      <c r="ET332" s="22"/>
      <c r="EU332" s="22"/>
      <c r="EV332" s="22"/>
      <c r="EW332" s="22"/>
      <c r="EX332" s="22"/>
      <c r="EY332" s="22"/>
      <c r="EZ332" s="22"/>
      <c r="FA332" s="22"/>
      <c r="FB332" s="22"/>
      <c r="FC332" s="22"/>
      <c r="FD332" s="22"/>
      <c r="FE332" s="22"/>
      <c r="FF332" s="22"/>
      <c r="FG332" s="22"/>
      <c r="FH332" s="22"/>
      <c r="FI332" s="22"/>
      <c r="FJ332" s="22"/>
      <c r="FK332" s="22"/>
      <c r="FL332" s="23" t="s">
        <v>1163</v>
      </c>
      <c r="FM332" s="23" t="s">
        <v>341</v>
      </c>
      <c r="FN332" s="22"/>
      <c r="FO332" s="22"/>
      <c r="FP332" s="22"/>
      <c r="FQ332" s="22"/>
      <c r="FR332" s="22"/>
      <c r="FS332" s="22"/>
      <c r="FT332" s="22"/>
      <c r="FU332" s="22"/>
      <c r="FV332" s="22"/>
      <c r="FW332" s="22"/>
      <c r="FX332" s="22"/>
      <c r="FY332" s="22"/>
      <c r="FZ332" s="22"/>
      <c r="GA332" s="22"/>
      <c r="GB332" s="22"/>
      <c r="GC332" s="22"/>
      <c r="GD332" s="22"/>
      <c r="GE332" s="22"/>
      <c r="GF332" s="22"/>
      <c r="GG332" s="22"/>
      <c r="GH332" s="22"/>
      <c r="GI332" s="22"/>
      <c r="GJ332" s="22"/>
      <c r="GK332" s="22"/>
      <c r="GL332" s="22"/>
      <c r="GM332" s="22"/>
      <c r="GN332" s="22"/>
      <c r="GO332" s="22"/>
      <c r="GP332" s="22"/>
      <c r="GQ332" s="22"/>
      <c r="GR332" s="22"/>
      <c r="GS332" s="22"/>
      <c r="GT332" s="22"/>
      <c r="GU332" s="22"/>
      <c r="GV332" s="22"/>
      <c r="GW332" s="22"/>
      <c r="GX332" s="22"/>
      <c r="GY332" s="22"/>
      <c r="GZ332" s="22"/>
      <c r="HA332" s="22"/>
    </row>
    <row r="333" ht="23.25" customHeight="1">
      <c r="A333" s="29">
        <v>44660.35462820602</v>
      </c>
      <c r="B333" s="30" t="s">
        <v>6</v>
      </c>
      <c r="C333" s="30" t="s">
        <v>13</v>
      </c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0" t="s">
        <v>1203</v>
      </c>
      <c r="AY333" s="30" t="s">
        <v>1204</v>
      </c>
      <c r="AZ333" s="30" t="s">
        <v>1205</v>
      </c>
      <c r="BA333" s="30" t="s">
        <v>337</v>
      </c>
      <c r="BB333" s="30" t="s">
        <v>264</v>
      </c>
      <c r="BC333" s="32">
        <v>44177.0</v>
      </c>
      <c r="BD333" s="32">
        <v>44307.0</v>
      </c>
      <c r="BE333" s="32">
        <v>44328.0</v>
      </c>
      <c r="BF333" s="30">
        <v>90.0</v>
      </c>
      <c r="BG333" s="30" t="s">
        <v>1206</v>
      </c>
      <c r="BH333" s="33" t="s">
        <v>1207</v>
      </c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/>
      <c r="EG333" s="22"/>
      <c r="EH333" s="22"/>
      <c r="EI333" s="22"/>
      <c r="EJ333" s="22"/>
      <c r="EK333" s="22"/>
      <c r="EL333" s="22"/>
      <c r="EM333" s="22"/>
      <c r="EN333" s="22"/>
      <c r="EO333" s="22"/>
      <c r="EP333" s="22"/>
      <c r="EQ333" s="22"/>
      <c r="ER333" s="22"/>
      <c r="ES333" s="22"/>
      <c r="ET333" s="22"/>
      <c r="EU333" s="22"/>
      <c r="EV333" s="22"/>
      <c r="EW333" s="22"/>
      <c r="EX333" s="22"/>
      <c r="EY333" s="22"/>
      <c r="EZ333" s="22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3" t="s">
        <v>1208</v>
      </c>
      <c r="FM333" s="23" t="s">
        <v>260</v>
      </c>
      <c r="FN333" s="22"/>
      <c r="FO333" s="22"/>
      <c r="FP333" s="22"/>
      <c r="FQ333" s="22"/>
      <c r="FR333" s="22"/>
      <c r="FS333" s="22"/>
      <c r="FT333" s="22"/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/>
      <c r="GP333" s="22"/>
      <c r="GQ333" s="22"/>
      <c r="GR333" s="22"/>
      <c r="GS333" s="22"/>
      <c r="GT333" s="22"/>
      <c r="GU333" s="22"/>
      <c r="GV333" s="22"/>
      <c r="GW333" s="22"/>
      <c r="GX333" s="22"/>
      <c r="GY333" s="22"/>
      <c r="GZ333" s="22"/>
      <c r="HA333" s="22"/>
    </row>
    <row r="334" ht="23.25" customHeight="1">
      <c r="A334" s="29">
        <v>44660.355091550926</v>
      </c>
      <c r="B334" s="30" t="s">
        <v>6</v>
      </c>
      <c r="C334" s="30" t="s">
        <v>12</v>
      </c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0" t="s">
        <v>1143</v>
      </c>
      <c r="AO334" s="30" t="s">
        <v>1144</v>
      </c>
      <c r="AP334" s="30" t="s">
        <v>1209</v>
      </c>
      <c r="AQ334" s="30" t="s">
        <v>310</v>
      </c>
      <c r="AR334" s="32">
        <v>44470.0</v>
      </c>
      <c r="AS334" s="32">
        <v>44531.0</v>
      </c>
      <c r="AT334" s="30" t="s">
        <v>257</v>
      </c>
      <c r="AU334" s="30" t="s">
        <v>257</v>
      </c>
      <c r="AV334" s="30">
        <v>0.0</v>
      </c>
      <c r="AW334" s="33" t="s">
        <v>1210</v>
      </c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/>
      <c r="EG334" s="22"/>
      <c r="EH334" s="22"/>
      <c r="EI334" s="22"/>
      <c r="EJ334" s="22"/>
      <c r="EK334" s="22"/>
      <c r="EL334" s="22"/>
      <c r="EM334" s="22"/>
      <c r="EN334" s="22"/>
      <c r="EO334" s="22"/>
      <c r="EP334" s="22"/>
      <c r="EQ334" s="22"/>
      <c r="ER334" s="22"/>
      <c r="ES334" s="22"/>
      <c r="ET334" s="22"/>
      <c r="EU334" s="22"/>
      <c r="EV334" s="22"/>
      <c r="EW334" s="22"/>
      <c r="EX334" s="22"/>
      <c r="EY334" s="22"/>
      <c r="EZ334" s="22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3" t="s">
        <v>1147</v>
      </c>
      <c r="FM334" s="23" t="s">
        <v>260</v>
      </c>
      <c r="FN334" s="22"/>
      <c r="FO334" s="22"/>
      <c r="FP334" s="22"/>
      <c r="FQ334" s="22"/>
      <c r="FR334" s="22"/>
      <c r="FS334" s="22"/>
      <c r="FT334" s="22"/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/>
      <c r="GP334" s="22"/>
      <c r="GQ334" s="22"/>
      <c r="GR334" s="22"/>
      <c r="GS334" s="22"/>
      <c r="GT334" s="22"/>
      <c r="GU334" s="22"/>
      <c r="GV334" s="22"/>
      <c r="GW334" s="22"/>
      <c r="GX334" s="22"/>
      <c r="GY334" s="22"/>
      <c r="GZ334" s="22"/>
      <c r="HA334" s="22"/>
    </row>
    <row r="335" ht="23.25" customHeight="1">
      <c r="A335" s="29">
        <v>44660.35529825231</v>
      </c>
      <c r="B335" s="30" t="s">
        <v>6</v>
      </c>
      <c r="C335" s="30" t="s">
        <v>13</v>
      </c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0" t="s">
        <v>1211</v>
      </c>
      <c r="AY335" s="30" t="s">
        <v>1187</v>
      </c>
      <c r="AZ335" s="30" t="s">
        <v>1212</v>
      </c>
      <c r="BA335" s="30" t="s">
        <v>1212</v>
      </c>
      <c r="BB335" s="30" t="s">
        <v>1213</v>
      </c>
      <c r="BC335" s="32">
        <v>44602.0</v>
      </c>
      <c r="BD335" s="32">
        <v>44666.0</v>
      </c>
      <c r="BE335" s="32">
        <v>44666.0</v>
      </c>
      <c r="BF335" s="30">
        <v>96.0</v>
      </c>
      <c r="BG335" s="30" t="s">
        <v>1214</v>
      </c>
      <c r="BH335" s="33" t="s">
        <v>1215</v>
      </c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/>
      <c r="EG335" s="22"/>
      <c r="EH335" s="22"/>
      <c r="EI335" s="22"/>
      <c r="EJ335" s="22"/>
      <c r="EK335" s="22"/>
      <c r="EL335" s="22"/>
      <c r="EM335" s="22"/>
      <c r="EN335" s="22"/>
      <c r="EO335" s="22"/>
      <c r="EP335" s="22"/>
      <c r="EQ335" s="22"/>
      <c r="ER335" s="22"/>
      <c r="ES335" s="22"/>
      <c r="ET335" s="22"/>
      <c r="EU335" s="22"/>
      <c r="EV335" s="22"/>
      <c r="EW335" s="22"/>
      <c r="EX335" s="22"/>
      <c r="EY335" s="22"/>
      <c r="EZ335" s="22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3" t="s">
        <v>1189</v>
      </c>
      <c r="FM335" s="23" t="s">
        <v>260</v>
      </c>
      <c r="FN335" s="22"/>
      <c r="FO335" s="22"/>
      <c r="FP335" s="22"/>
      <c r="FQ335" s="22"/>
      <c r="FR335" s="22"/>
      <c r="FS335" s="22"/>
      <c r="FT335" s="22"/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/>
      <c r="GO335" s="22"/>
      <c r="GP335" s="22"/>
      <c r="GQ335" s="22"/>
      <c r="GR335" s="22"/>
      <c r="GS335" s="22"/>
      <c r="GT335" s="22"/>
      <c r="GU335" s="22"/>
      <c r="GV335" s="22"/>
      <c r="GW335" s="22"/>
      <c r="GX335" s="22"/>
      <c r="GY335" s="22"/>
      <c r="GZ335" s="22"/>
      <c r="HA335" s="22"/>
    </row>
    <row r="336" ht="23.25" customHeight="1">
      <c r="A336" s="29">
        <v>44660.35530326389</v>
      </c>
      <c r="B336" s="30" t="s">
        <v>6</v>
      </c>
      <c r="C336" s="20" t="s">
        <v>15</v>
      </c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0" t="s">
        <v>1216</v>
      </c>
      <c r="BX336" s="30" t="s">
        <v>1217</v>
      </c>
      <c r="BY336" s="22"/>
      <c r="BZ336" s="23" t="s">
        <v>171</v>
      </c>
      <c r="CA336" s="23" t="s">
        <v>1218</v>
      </c>
      <c r="CB336" s="23" t="s">
        <v>456</v>
      </c>
      <c r="CC336" s="23" t="s">
        <v>503</v>
      </c>
      <c r="CD336" s="24">
        <v>44203.0</v>
      </c>
      <c r="CE336" s="24">
        <v>44293.0</v>
      </c>
      <c r="CF336" s="23">
        <v>78.0</v>
      </c>
      <c r="CG336" s="25" t="s">
        <v>1219</v>
      </c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/>
      <c r="EG336" s="22"/>
      <c r="EH336" s="22"/>
      <c r="EI336" s="22"/>
      <c r="EJ336" s="22"/>
      <c r="EK336" s="22"/>
      <c r="EL336" s="22"/>
      <c r="EM336" s="22"/>
      <c r="EN336" s="22"/>
      <c r="EO336" s="22"/>
      <c r="EP336" s="22"/>
      <c r="EQ336" s="22"/>
      <c r="ER336" s="22"/>
      <c r="ES336" s="22"/>
      <c r="ET336" s="22"/>
      <c r="EU336" s="22"/>
      <c r="EV336" s="22"/>
      <c r="EW336" s="22"/>
      <c r="EX336" s="22"/>
      <c r="EY336" s="22"/>
      <c r="EZ336" s="22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3" t="s">
        <v>1220</v>
      </c>
      <c r="FM336" s="23" t="s">
        <v>341</v>
      </c>
      <c r="FN336" s="22"/>
      <c r="FO336" s="22"/>
      <c r="FP336" s="22"/>
      <c r="FQ336" s="22"/>
      <c r="FR336" s="22"/>
      <c r="FS336" s="22"/>
      <c r="FT336" s="22"/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/>
      <c r="GO336" s="22"/>
      <c r="GP336" s="22"/>
      <c r="GQ336" s="22"/>
      <c r="GR336" s="22"/>
      <c r="GS336" s="22"/>
      <c r="GT336" s="22"/>
      <c r="GU336" s="22"/>
      <c r="GV336" s="22"/>
      <c r="GW336" s="22"/>
      <c r="GX336" s="22"/>
      <c r="GY336" s="22"/>
      <c r="GZ336" s="22"/>
      <c r="HA336" s="22"/>
    </row>
    <row r="337" ht="23.25" customHeight="1">
      <c r="A337" s="29">
        <v>44660.35677810185</v>
      </c>
      <c r="B337" s="30" t="s">
        <v>6</v>
      </c>
      <c r="C337" s="30" t="s">
        <v>13</v>
      </c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0" t="s">
        <v>1182</v>
      </c>
      <c r="AY337" s="30" t="s">
        <v>1167</v>
      </c>
      <c r="AZ337" s="30" t="s">
        <v>1221</v>
      </c>
      <c r="BA337" s="30" t="s">
        <v>1222</v>
      </c>
      <c r="BB337" s="30" t="s">
        <v>495</v>
      </c>
      <c r="BC337" s="32">
        <v>44348.0</v>
      </c>
      <c r="BD337" s="32">
        <v>44408.0</v>
      </c>
      <c r="BE337" s="32">
        <v>44402.0</v>
      </c>
      <c r="BF337" s="30">
        <v>90.0</v>
      </c>
      <c r="BG337" s="30" t="s">
        <v>1201</v>
      </c>
      <c r="BH337" s="33" t="s">
        <v>1223</v>
      </c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/>
      <c r="EG337" s="22"/>
      <c r="EH337" s="22"/>
      <c r="EI337" s="22"/>
      <c r="EJ337" s="22"/>
      <c r="EK337" s="22"/>
      <c r="EL337" s="22"/>
      <c r="EM337" s="22"/>
      <c r="EN337" s="22"/>
      <c r="EO337" s="22"/>
      <c r="EP337" s="22"/>
      <c r="EQ337" s="22"/>
      <c r="ER337" s="22"/>
      <c r="ES337" s="22"/>
      <c r="ET337" s="22"/>
      <c r="EU337" s="22"/>
      <c r="EV337" s="22"/>
      <c r="EW337" s="22"/>
      <c r="EX337" s="22"/>
      <c r="EY337" s="22"/>
      <c r="EZ337" s="22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3" t="s">
        <v>1163</v>
      </c>
      <c r="FM337" s="23" t="s">
        <v>341</v>
      </c>
      <c r="FN337" s="22"/>
      <c r="FO337" s="22"/>
      <c r="FP337" s="22"/>
      <c r="FQ337" s="22"/>
      <c r="FR337" s="22"/>
      <c r="FS337" s="22"/>
      <c r="FT337" s="22"/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/>
      <c r="GO337" s="22"/>
      <c r="GP337" s="22"/>
      <c r="GQ337" s="22"/>
      <c r="GR337" s="22"/>
      <c r="GS337" s="22"/>
      <c r="GT337" s="22"/>
      <c r="GU337" s="22"/>
      <c r="GV337" s="22"/>
      <c r="GW337" s="22"/>
      <c r="GX337" s="22"/>
      <c r="GY337" s="22"/>
      <c r="GZ337" s="22"/>
      <c r="HA337" s="22"/>
    </row>
    <row r="338" ht="23.25" customHeight="1">
      <c r="A338" s="29">
        <v>44660.35744608796</v>
      </c>
      <c r="B338" s="30" t="s">
        <v>6</v>
      </c>
      <c r="C338" s="30" t="s">
        <v>13</v>
      </c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0" t="s">
        <v>1195</v>
      </c>
      <c r="AY338" s="30" t="s">
        <v>1196</v>
      </c>
      <c r="AZ338" s="30" t="s">
        <v>351</v>
      </c>
      <c r="BA338" s="30" t="s">
        <v>377</v>
      </c>
      <c r="BB338" s="30" t="s">
        <v>495</v>
      </c>
      <c r="BC338" s="32">
        <v>43644.0</v>
      </c>
      <c r="BD338" s="32">
        <v>44770.0</v>
      </c>
      <c r="BE338" s="32">
        <v>43677.0</v>
      </c>
      <c r="BF338" s="30">
        <v>85.0</v>
      </c>
      <c r="BG338" s="30" t="s">
        <v>1224</v>
      </c>
      <c r="BH338" s="33" t="s">
        <v>1225</v>
      </c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/>
      <c r="EG338" s="22"/>
      <c r="EH338" s="22"/>
      <c r="EI338" s="22"/>
      <c r="EJ338" s="22"/>
      <c r="EK338" s="22"/>
      <c r="EL338" s="22"/>
      <c r="EM338" s="22"/>
      <c r="EN338" s="22"/>
      <c r="EO338" s="22"/>
      <c r="EP338" s="22"/>
      <c r="EQ338" s="22"/>
      <c r="ER338" s="22"/>
      <c r="ES338" s="22"/>
      <c r="ET338" s="22"/>
      <c r="EU338" s="22"/>
      <c r="EV338" s="22"/>
      <c r="EW338" s="22"/>
      <c r="EX338" s="22"/>
      <c r="EY338" s="22"/>
      <c r="EZ338" s="22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3" t="s">
        <v>1200</v>
      </c>
      <c r="FM338" s="23" t="s">
        <v>555</v>
      </c>
      <c r="FN338" s="22"/>
      <c r="FO338" s="22"/>
      <c r="FP338" s="22"/>
      <c r="FQ338" s="22"/>
      <c r="FR338" s="22"/>
      <c r="FS338" s="22"/>
      <c r="FT338" s="22"/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/>
      <c r="GO338" s="22"/>
      <c r="GP338" s="22"/>
      <c r="GQ338" s="22"/>
      <c r="GR338" s="22"/>
      <c r="GS338" s="22"/>
      <c r="GT338" s="22"/>
      <c r="GU338" s="22"/>
      <c r="GV338" s="22"/>
      <c r="GW338" s="22"/>
      <c r="GX338" s="22"/>
      <c r="GY338" s="22"/>
      <c r="GZ338" s="22"/>
      <c r="HA338" s="22"/>
    </row>
    <row r="339" ht="23.25" customHeight="1">
      <c r="A339" s="29">
        <v>44660.35744891204</v>
      </c>
      <c r="B339" s="30" t="s">
        <v>6</v>
      </c>
      <c r="C339" s="30" t="s">
        <v>13</v>
      </c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0" t="s">
        <v>1203</v>
      </c>
      <c r="AY339" s="30" t="s">
        <v>1204</v>
      </c>
      <c r="AZ339" s="30" t="s">
        <v>1226</v>
      </c>
      <c r="BA339" s="30" t="s">
        <v>337</v>
      </c>
      <c r="BB339" s="30" t="s">
        <v>264</v>
      </c>
      <c r="BC339" s="32">
        <v>43443.0</v>
      </c>
      <c r="BD339" s="32">
        <v>43597.0</v>
      </c>
      <c r="BE339" s="32">
        <v>43618.0</v>
      </c>
      <c r="BF339" s="30">
        <v>85.0</v>
      </c>
      <c r="BG339" s="30" t="s">
        <v>1206</v>
      </c>
      <c r="BH339" s="33" t="s">
        <v>1227</v>
      </c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/>
      <c r="EG339" s="22"/>
      <c r="EH339" s="22"/>
      <c r="EI339" s="22"/>
      <c r="EJ339" s="22"/>
      <c r="EK339" s="22"/>
      <c r="EL339" s="22"/>
      <c r="EM339" s="22"/>
      <c r="EN339" s="22"/>
      <c r="EO339" s="22"/>
      <c r="EP339" s="22"/>
      <c r="EQ339" s="22"/>
      <c r="ER339" s="22"/>
      <c r="ES339" s="22"/>
      <c r="ET339" s="22"/>
      <c r="EU339" s="22"/>
      <c r="EV339" s="22"/>
      <c r="EW339" s="22"/>
      <c r="EX339" s="22"/>
      <c r="EY339" s="22"/>
      <c r="EZ339" s="22"/>
      <c r="FA339" s="22"/>
      <c r="FB339" s="22"/>
      <c r="FC339" s="22"/>
      <c r="FD339" s="22"/>
      <c r="FE339" s="22"/>
      <c r="FF339" s="22"/>
      <c r="FG339" s="22"/>
      <c r="FH339" s="22"/>
      <c r="FI339" s="22"/>
      <c r="FJ339" s="22"/>
      <c r="FK339" s="22"/>
      <c r="FL339" s="23" t="s">
        <v>1208</v>
      </c>
      <c r="FM339" s="23" t="s">
        <v>260</v>
      </c>
      <c r="FN339" s="22"/>
      <c r="FO339" s="22"/>
      <c r="FP339" s="22"/>
      <c r="FQ339" s="22"/>
      <c r="FR339" s="22"/>
      <c r="FS339" s="22"/>
      <c r="FT339" s="22"/>
      <c r="FU339" s="22"/>
      <c r="FV339" s="22"/>
      <c r="FW339" s="22"/>
      <c r="FX339" s="22"/>
      <c r="FY339" s="22"/>
      <c r="FZ339" s="22"/>
      <c r="GA339" s="22"/>
      <c r="GB339" s="22"/>
      <c r="GC339" s="22"/>
      <c r="GD339" s="22"/>
      <c r="GE339" s="22"/>
      <c r="GF339" s="22"/>
      <c r="GG339" s="22"/>
      <c r="GH339" s="22"/>
      <c r="GI339" s="22"/>
      <c r="GJ339" s="22"/>
      <c r="GK339" s="22"/>
      <c r="GL339" s="22"/>
      <c r="GM339" s="22"/>
      <c r="GN339" s="22"/>
      <c r="GO339" s="22"/>
      <c r="GP339" s="22"/>
      <c r="GQ339" s="22"/>
      <c r="GR339" s="22"/>
      <c r="GS339" s="22"/>
      <c r="GT339" s="22"/>
      <c r="GU339" s="22"/>
      <c r="GV339" s="22"/>
      <c r="GW339" s="22"/>
      <c r="GX339" s="22"/>
      <c r="GY339" s="22"/>
      <c r="GZ339" s="22"/>
      <c r="HA339" s="22"/>
    </row>
    <row r="340" ht="23.25" customHeight="1">
      <c r="A340" s="29">
        <v>44660.358391180554</v>
      </c>
      <c r="B340" s="30" t="s">
        <v>6</v>
      </c>
      <c r="C340" s="30" t="s">
        <v>13</v>
      </c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0" t="s">
        <v>1182</v>
      </c>
      <c r="AY340" s="30" t="s">
        <v>1167</v>
      </c>
      <c r="AZ340" s="30" t="s">
        <v>1228</v>
      </c>
      <c r="BA340" s="30" t="s">
        <v>377</v>
      </c>
      <c r="BB340" s="30" t="s">
        <v>495</v>
      </c>
      <c r="BC340" s="32">
        <v>43922.0</v>
      </c>
      <c r="BD340" s="32">
        <v>43982.0</v>
      </c>
      <c r="BE340" s="32">
        <v>43982.0</v>
      </c>
      <c r="BF340" s="30">
        <v>91.0</v>
      </c>
      <c r="BG340" s="30" t="s">
        <v>1214</v>
      </c>
      <c r="BH340" s="33" t="s">
        <v>1229</v>
      </c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/>
      <c r="EG340" s="22"/>
      <c r="EH340" s="22"/>
      <c r="EI340" s="22"/>
      <c r="EJ340" s="22"/>
      <c r="EK340" s="22"/>
      <c r="EL340" s="22"/>
      <c r="EM340" s="22"/>
      <c r="EN340" s="22"/>
      <c r="EO340" s="22"/>
      <c r="EP340" s="22"/>
      <c r="EQ340" s="22"/>
      <c r="ER340" s="22"/>
      <c r="ES340" s="22"/>
      <c r="ET340" s="22"/>
      <c r="EU340" s="22"/>
      <c r="EV340" s="22"/>
      <c r="EW340" s="22"/>
      <c r="EX340" s="22"/>
      <c r="EY340" s="22"/>
      <c r="EZ340" s="22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3" t="s">
        <v>1163</v>
      </c>
      <c r="FM340" s="23" t="s">
        <v>323</v>
      </c>
      <c r="FN340" s="22"/>
      <c r="FO340" s="22"/>
      <c r="FP340" s="22"/>
      <c r="FQ340" s="22"/>
      <c r="FR340" s="22"/>
      <c r="FS340" s="22"/>
      <c r="FT340" s="22"/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/>
      <c r="GO340" s="22"/>
      <c r="GP340" s="22"/>
      <c r="GQ340" s="22"/>
      <c r="GR340" s="22"/>
      <c r="GS340" s="22"/>
      <c r="GT340" s="22"/>
      <c r="GU340" s="22"/>
      <c r="GV340" s="22"/>
      <c r="GW340" s="22"/>
      <c r="GX340" s="22"/>
      <c r="GY340" s="22"/>
      <c r="GZ340" s="22"/>
      <c r="HA340" s="22"/>
    </row>
    <row r="341" ht="23.25" customHeight="1">
      <c r="A341" s="29">
        <v>44660.35851136574</v>
      </c>
      <c r="B341" s="30" t="s">
        <v>6</v>
      </c>
      <c r="C341" s="30" t="s">
        <v>13</v>
      </c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0" t="s">
        <v>1230</v>
      </c>
      <c r="AY341" s="30" t="s">
        <v>1217</v>
      </c>
      <c r="AZ341" s="30" t="s">
        <v>500</v>
      </c>
      <c r="BA341" s="30" t="s">
        <v>309</v>
      </c>
      <c r="BB341" s="30" t="s">
        <v>417</v>
      </c>
      <c r="BC341" s="32">
        <v>44476.0</v>
      </c>
      <c r="BD341" s="32">
        <v>44537.0</v>
      </c>
      <c r="BE341" s="32">
        <v>44535.0</v>
      </c>
      <c r="BF341" s="30">
        <v>100.0</v>
      </c>
      <c r="BG341" s="30" t="s">
        <v>1231</v>
      </c>
      <c r="BH341" s="33" t="s">
        <v>1232</v>
      </c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/>
      <c r="EG341" s="22"/>
      <c r="EH341" s="22"/>
      <c r="EI341" s="22"/>
      <c r="EJ341" s="22"/>
      <c r="EK341" s="22"/>
      <c r="EL341" s="22"/>
      <c r="EM341" s="22"/>
      <c r="EN341" s="22"/>
      <c r="EO341" s="22"/>
      <c r="EP341" s="22"/>
      <c r="EQ341" s="22"/>
      <c r="ER341" s="22"/>
      <c r="ES341" s="22"/>
      <c r="ET341" s="22"/>
      <c r="EU341" s="22"/>
      <c r="EV341" s="22"/>
      <c r="EW341" s="22"/>
      <c r="EX341" s="22"/>
      <c r="EY341" s="22"/>
      <c r="EZ341" s="22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3" t="s">
        <v>1220</v>
      </c>
      <c r="FM341" s="23" t="s">
        <v>278</v>
      </c>
      <c r="FN341" s="22"/>
      <c r="FO341" s="22"/>
      <c r="FP341" s="22"/>
      <c r="FQ341" s="22"/>
      <c r="FR341" s="22"/>
      <c r="FS341" s="22"/>
      <c r="FT341" s="22"/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/>
      <c r="GP341" s="22"/>
      <c r="GQ341" s="22"/>
      <c r="GR341" s="22"/>
      <c r="GS341" s="22"/>
      <c r="GT341" s="22"/>
      <c r="GU341" s="22"/>
      <c r="GV341" s="22"/>
      <c r="GW341" s="22"/>
      <c r="GX341" s="22"/>
      <c r="GY341" s="22"/>
      <c r="GZ341" s="22"/>
      <c r="HA341" s="22"/>
    </row>
    <row r="342" ht="23.25" customHeight="1">
      <c r="A342" s="29">
        <v>44660.359467546295</v>
      </c>
      <c r="B342" s="30" t="s">
        <v>6</v>
      </c>
      <c r="C342" s="30" t="s">
        <v>13</v>
      </c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0" t="s">
        <v>1203</v>
      </c>
      <c r="AY342" s="30" t="s">
        <v>1204</v>
      </c>
      <c r="AZ342" s="30" t="s">
        <v>1233</v>
      </c>
      <c r="BA342" s="30" t="s">
        <v>337</v>
      </c>
      <c r="BB342" s="30" t="s">
        <v>450</v>
      </c>
      <c r="BC342" s="32">
        <v>43489.0</v>
      </c>
      <c r="BD342" s="32">
        <v>43548.0</v>
      </c>
      <c r="BE342" s="32">
        <v>43585.0</v>
      </c>
      <c r="BF342" s="30">
        <v>90.0</v>
      </c>
      <c r="BG342" s="30" t="s">
        <v>1234</v>
      </c>
      <c r="BH342" s="33" t="s">
        <v>1235</v>
      </c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/>
      <c r="EG342" s="22"/>
      <c r="EH342" s="22"/>
      <c r="EI342" s="22"/>
      <c r="EJ342" s="22"/>
      <c r="EK342" s="22"/>
      <c r="EL342" s="22"/>
      <c r="EM342" s="22"/>
      <c r="EN342" s="22"/>
      <c r="EO342" s="22"/>
      <c r="EP342" s="22"/>
      <c r="EQ342" s="22"/>
      <c r="ER342" s="22"/>
      <c r="ES342" s="22"/>
      <c r="ET342" s="22"/>
      <c r="EU342" s="22"/>
      <c r="EV342" s="22"/>
      <c r="EW342" s="22"/>
      <c r="EX342" s="22"/>
      <c r="EY342" s="22"/>
      <c r="EZ342" s="22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3" t="s">
        <v>1208</v>
      </c>
      <c r="FM342" s="23" t="s">
        <v>260</v>
      </c>
      <c r="FN342" s="22"/>
      <c r="FO342" s="22"/>
      <c r="FP342" s="22"/>
      <c r="FQ342" s="22"/>
      <c r="FR342" s="22"/>
      <c r="FS342" s="22"/>
      <c r="FT342" s="22"/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/>
      <c r="GP342" s="22"/>
      <c r="GQ342" s="22"/>
      <c r="GR342" s="22"/>
      <c r="GS342" s="22"/>
      <c r="GT342" s="22"/>
      <c r="GU342" s="22"/>
      <c r="GV342" s="22"/>
      <c r="GW342" s="22"/>
      <c r="GX342" s="22"/>
      <c r="GY342" s="22"/>
      <c r="GZ342" s="22"/>
      <c r="HA342" s="22"/>
    </row>
    <row r="343" ht="23.25" customHeight="1">
      <c r="A343" s="29">
        <v>44660.359742615736</v>
      </c>
      <c r="B343" s="30" t="s">
        <v>6</v>
      </c>
      <c r="C343" s="30" t="s">
        <v>23</v>
      </c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/>
      <c r="EG343" s="22"/>
      <c r="EH343" s="22"/>
      <c r="EI343" s="22"/>
      <c r="EJ343" s="22"/>
      <c r="EK343" s="22"/>
      <c r="EL343" s="22"/>
      <c r="EM343" s="22"/>
      <c r="EN343" s="22"/>
      <c r="EO343" s="22"/>
      <c r="EP343" s="22"/>
      <c r="EQ343" s="22"/>
      <c r="ER343" s="22"/>
      <c r="ES343" s="22"/>
      <c r="ET343" s="22"/>
      <c r="EU343" s="22"/>
      <c r="EV343" s="22"/>
      <c r="EW343" s="22"/>
      <c r="EX343" s="22"/>
      <c r="EY343" s="22"/>
      <c r="EZ343" s="22"/>
      <c r="FA343" s="22"/>
      <c r="FB343" s="22"/>
      <c r="FC343" s="22"/>
      <c r="FD343" s="22"/>
      <c r="FE343" s="22"/>
      <c r="FF343" s="22"/>
      <c r="FG343" s="23" t="s">
        <v>1230</v>
      </c>
      <c r="FH343" s="23" t="s">
        <v>1217</v>
      </c>
      <c r="FI343" s="23" t="s">
        <v>301</v>
      </c>
      <c r="FJ343" s="24">
        <v>44219.0</v>
      </c>
      <c r="FK343" s="25" t="s">
        <v>1236</v>
      </c>
      <c r="FL343" s="23" t="s">
        <v>1220</v>
      </c>
      <c r="FM343" s="23" t="s">
        <v>260</v>
      </c>
      <c r="FN343" s="22"/>
      <c r="FO343" s="22"/>
      <c r="FP343" s="22"/>
      <c r="FQ343" s="22"/>
      <c r="FR343" s="22"/>
      <c r="FS343" s="22"/>
      <c r="FT343" s="22"/>
      <c r="FU343" s="22"/>
      <c r="FV343" s="22"/>
      <c r="FW343" s="22"/>
      <c r="FX343" s="22"/>
      <c r="FY343" s="22"/>
      <c r="FZ343" s="22"/>
      <c r="GA343" s="22"/>
      <c r="GB343" s="22"/>
      <c r="GC343" s="22"/>
      <c r="GD343" s="22"/>
      <c r="GE343" s="22"/>
      <c r="GF343" s="22"/>
      <c r="GG343" s="22"/>
      <c r="GH343" s="22"/>
      <c r="GI343" s="22"/>
      <c r="GJ343" s="22"/>
      <c r="GK343" s="22"/>
      <c r="GL343" s="22"/>
      <c r="GM343" s="22"/>
      <c r="GN343" s="22"/>
      <c r="GO343" s="22"/>
      <c r="GP343" s="22"/>
      <c r="GQ343" s="22"/>
      <c r="GR343" s="22"/>
      <c r="GS343" s="22"/>
      <c r="GT343" s="22"/>
      <c r="GU343" s="22"/>
      <c r="GV343" s="22"/>
      <c r="GW343" s="22"/>
      <c r="GX343" s="22"/>
      <c r="GY343" s="22"/>
      <c r="GZ343" s="22"/>
      <c r="HA343" s="22"/>
    </row>
    <row r="344" ht="23.25" customHeight="1">
      <c r="A344" s="29">
        <v>44660.359758923616</v>
      </c>
      <c r="B344" s="30" t="s">
        <v>6</v>
      </c>
      <c r="C344" s="30" t="s">
        <v>13</v>
      </c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0" t="s">
        <v>1148</v>
      </c>
      <c r="AY344" s="30" t="s">
        <v>1149</v>
      </c>
      <c r="AZ344" s="30" t="s">
        <v>1237</v>
      </c>
      <c r="BA344" s="30" t="s">
        <v>1238</v>
      </c>
      <c r="BB344" s="30" t="s">
        <v>553</v>
      </c>
      <c r="BC344" s="32">
        <v>43971.0</v>
      </c>
      <c r="BD344" s="32">
        <v>44033.0</v>
      </c>
      <c r="BE344" s="32">
        <v>44027.0</v>
      </c>
      <c r="BF344" s="30">
        <v>70.0</v>
      </c>
      <c r="BG344" s="30" t="s">
        <v>1214</v>
      </c>
      <c r="BH344" s="33" t="s">
        <v>1239</v>
      </c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/>
      <c r="EG344" s="22"/>
      <c r="EH344" s="22"/>
      <c r="EI344" s="22"/>
      <c r="EJ344" s="22"/>
      <c r="EK344" s="22"/>
      <c r="EL344" s="22"/>
      <c r="EM344" s="22"/>
      <c r="EN344" s="22"/>
      <c r="EO344" s="22"/>
      <c r="EP344" s="22"/>
      <c r="EQ344" s="22"/>
      <c r="ER344" s="22"/>
      <c r="ES344" s="22"/>
      <c r="ET344" s="22"/>
      <c r="EU344" s="22"/>
      <c r="EV344" s="22"/>
      <c r="EW344" s="22"/>
      <c r="EX344" s="22"/>
      <c r="EY344" s="22"/>
      <c r="EZ344" s="22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3" t="s">
        <v>1153</v>
      </c>
      <c r="FM344" s="23" t="s">
        <v>323</v>
      </c>
      <c r="FN344" s="22"/>
      <c r="FO344" s="22"/>
      <c r="FP344" s="22"/>
      <c r="FQ344" s="22"/>
      <c r="FR344" s="22"/>
      <c r="FS344" s="22"/>
      <c r="FT344" s="22"/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/>
      <c r="GO344" s="22"/>
      <c r="GP344" s="22"/>
      <c r="GQ344" s="22"/>
      <c r="GR344" s="22"/>
      <c r="GS344" s="22"/>
      <c r="GT344" s="22"/>
      <c r="GU344" s="22"/>
      <c r="GV344" s="22"/>
      <c r="GW344" s="22"/>
      <c r="GX344" s="22"/>
      <c r="GY344" s="22"/>
      <c r="GZ344" s="22"/>
      <c r="HA344" s="22"/>
    </row>
    <row r="345" ht="23.25" customHeight="1">
      <c r="A345" s="29">
        <v>44660.360415462965</v>
      </c>
      <c r="B345" s="30" t="s">
        <v>6</v>
      </c>
      <c r="C345" s="30" t="s">
        <v>13</v>
      </c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0" t="s">
        <v>1166</v>
      </c>
      <c r="AY345" s="30" t="s">
        <v>1167</v>
      </c>
      <c r="AZ345" s="30" t="s">
        <v>1240</v>
      </c>
      <c r="BA345" s="30" t="s">
        <v>377</v>
      </c>
      <c r="BB345" s="30" t="s">
        <v>495</v>
      </c>
      <c r="BC345" s="32">
        <v>44287.0</v>
      </c>
      <c r="BD345" s="32">
        <v>44317.0</v>
      </c>
      <c r="BE345" s="32">
        <v>44322.0</v>
      </c>
      <c r="BF345" s="30">
        <v>90.0</v>
      </c>
      <c r="BG345" s="30" t="s">
        <v>1201</v>
      </c>
      <c r="BH345" s="33" t="s">
        <v>1241</v>
      </c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/>
      <c r="EG345" s="22"/>
      <c r="EH345" s="22"/>
      <c r="EI345" s="22"/>
      <c r="EJ345" s="22"/>
      <c r="EK345" s="22"/>
      <c r="EL345" s="22"/>
      <c r="EM345" s="22"/>
      <c r="EN345" s="22"/>
      <c r="EO345" s="22"/>
      <c r="EP345" s="22"/>
      <c r="EQ345" s="22"/>
      <c r="ER345" s="22"/>
      <c r="ES345" s="22"/>
      <c r="ET345" s="22"/>
      <c r="EU345" s="22"/>
      <c r="EV345" s="22"/>
      <c r="EW345" s="22"/>
      <c r="EX345" s="22"/>
      <c r="EY345" s="22"/>
      <c r="EZ345" s="22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3" t="s">
        <v>1163</v>
      </c>
      <c r="FM345" s="23" t="s">
        <v>283</v>
      </c>
      <c r="FN345" s="22"/>
      <c r="FO345" s="22"/>
      <c r="FP345" s="22"/>
      <c r="FQ345" s="22"/>
      <c r="FR345" s="22"/>
      <c r="FS345" s="22"/>
      <c r="FT345" s="22"/>
      <c r="FU345" s="22"/>
      <c r="FV345" s="22"/>
      <c r="FW345" s="22"/>
      <c r="FX345" s="22"/>
      <c r="FY345" s="22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/>
      <c r="GP345" s="22"/>
      <c r="GQ345" s="22"/>
      <c r="GR345" s="22"/>
      <c r="GS345" s="22"/>
      <c r="GT345" s="22"/>
      <c r="GU345" s="22"/>
      <c r="GV345" s="22"/>
      <c r="GW345" s="22"/>
      <c r="GX345" s="22"/>
      <c r="GY345" s="22"/>
      <c r="GZ345" s="22"/>
      <c r="HA345" s="22"/>
    </row>
    <row r="346" ht="23.25" customHeight="1">
      <c r="A346" s="29">
        <v>44660.36136890046</v>
      </c>
      <c r="B346" s="30" t="s">
        <v>6</v>
      </c>
      <c r="C346" s="30" t="s">
        <v>13</v>
      </c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0" t="s">
        <v>1242</v>
      </c>
      <c r="AY346" s="30" t="s">
        <v>1243</v>
      </c>
      <c r="AZ346" s="30" t="s">
        <v>548</v>
      </c>
      <c r="BA346" s="30" t="s">
        <v>1244</v>
      </c>
      <c r="BB346" s="30" t="s">
        <v>310</v>
      </c>
      <c r="BC346" s="32">
        <v>44000.0</v>
      </c>
      <c r="BD346" s="32">
        <v>44057.0</v>
      </c>
      <c r="BE346" s="32">
        <v>44057.0</v>
      </c>
      <c r="BF346" s="30">
        <v>80.0</v>
      </c>
      <c r="BG346" s="30" t="s">
        <v>1245</v>
      </c>
      <c r="BH346" s="33" t="s">
        <v>1246</v>
      </c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3" t="s">
        <v>1247</v>
      </c>
      <c r="FM346" s="23" t="s">
        <v>260</v>
      </c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</row>
    <row r="347" ht="23.25" customHeight="1">
      <c r="A347" s="29">
        <v>44660.361687083336</v>
      </c>
      <c r="B347" s="30" t="s">
        <v>6</v>
      </c>
      <c r="C347" s="30" t="s">
        <v>12</v>
      </c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0" t="s">
        <v>1211</v>
      </c>
      <c r="AO347" s="30" t="s">
        <v>1187</v>
      </c>
      <c r="AP347" s="30" t="s">
        <v>1248</v>
      </c>
      <c r="AQ347" s="30" t="s">
        <v>450</v>
      </c>
      <c r="AR347" s="32">
        <v>44621.0</v>
      </c>
      <c r="AS347" s="32">
        <v>44696.0</v>
      </c>
      <c r="AT347" s="30" t="s">
        <v>256</v>
      </c>
      <c r="AU347" s="30" t="s">
        <v>257</v>
      </c>
      <c r="AV347" s="30">
        <v>0.0</v>
      </c>
      <c r="AW347" s="33" t="s">
        <v>1249</v>
      </c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3" t="s">
        <v>1189</v>
      </c>
      <c r="FM347" s="23" t="s">
        <v>260</v>
      </c>
      <c r="FN347" s="22"/>
      <c r="FO347" s="22"/>
      <c r="FP347" s="22"/>
      <c r="FQ347" s="22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  <c r="GW347" s="22"/>
      <c r="GX347" s="22"/>
      <c r="GY347" s="22"/>
      <c r="GZ347" s="22"/>
      <c r="HA347" s="22"/>
    </row>
    <row r="348" ht="23.25" customHeight="1">
      <c r="A348" s="29">
        <v>44660.36222545139</v>
      </c>
      <c r="B348" s="30" t="s">
        <v>6</v>
      </c>
      <c r="C348" s="30" t="s">
        <v>13</v>
      </c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0" t="s">
        <v>1250</v>
      </c>
      <c r="AY348" s="30" t="s">
        <v>1167</v>
      </c>
      <c r="AZ348" s="30" t="s">
        <v>1251</v>
      </c>
      <c r="BA348" s="30" t="s">
        <v>377</v>
      </c>
      <c r="BB348" s="30" t="s">
        <v>410</v>
      </c>
      <c r="BC348" s="32">
        <v>44279.0</v>
      </c>
      <c r="BD348" s="32">
        <v>44310.0</v>
      </c>
      <c r="BE348" s="32">
        <v>44312.0</v>
      </c>
      <c r="BF348" s="30">
        <v>91.0</v>
      </c>
      <c r="BG348" s="30" t="s">
        <v>1252</v>
      </c>
      <c r="BH348" s="33" t="s">
        <v>1253</v>
      </c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3" t="s">
        <v>1163</v>
      </c>
      <c r="FM348" s="23" t="s">
        <v>341</v>
      </c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</row>
    <row r="349" ht="23.25" customHeight="1">
      <c r="A349" s="29">
        <v>44660.362305243056</v>
      </c>
      <c r="B349" s="30" t="s">
        <v>6</v>
      </c>
      <c r="C349" s="30" t="s">
        <v>27</v>
      </c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3" t="s">
        <v>1147</v>
      </c>
      <c r="FM349" s="23" t="s">
        <v>260</v>
      </c>
      <c r="FN349" s="22"/>
      <c r="FO349" s="22"/>
      <c r="FP349" s="22"/>
      <c r="FQ349" s="22"/>
      <c r="FR349" s="22"/>
      <c r="FS349" s="22"/>
      <c r="FT349" s="22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3" t="s">
        <v>1143</v>
      </c>
      <c r="GG349" s="23" t="s">
        <v>1144</v>
      </c>
      <c r="GH349" s="23" t="s">
        <v>1254</v>
      </c>
      <c r="GI349" s="24">
        <v>44571.0</v>
      </c>
      <c r="GJ349" s="25" t="s">
        <v>1255</v>
      </c>
      <c r="GK349" s="23" t="s">
        <v>656</v>
      </c>
      <c r="GL349" s="23" t="s">
        <v>1256</v>
      </c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  <c r="GW349" s="22"/>
      <c r="GX349" s="22"/>
      <c r="GY349" s="22"/>
      <c r="GZ349" s="22"/>
      <c r="HA349" s="22"/>
    </row>
    <row r="350" ht="23.25" customHeight="1">
      <c r="A350" s="29">
        <v>44660.36335568287</v>
      </c>
      <c r="B350" s="30" t="s">
        <v>6</v>
      </c>
      <c r="C350" s="30" t="s">
        <v>13</v>
      </c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0" t="s">
        <v>1242</v>
      </c>
      <c r="AY350" s="30" t="s">
        <v>1243</v>
      </c>
      <c r="AZ350" s="30" t="s">
        <v>1257</v>
      </c>
      <c r="BA350" s="30" t="s">
        <v>1244</v>
      </c>
      <c r="BB350" s="30" t="s">
        <v>1258</v>
      </c>
      <c r="BC350" s="32">
        <v>43975.0</v>
      </c>
      <c r="BD350" s="32">
        <v>44009.0</v>
      </c>
      <c r="BE350" s="32">
        <v>44009.0</v>
      </c>
      <c r="BF350" s="30">
        <v>80.0</v>
      </c>
      <c r="BG350" s="30" t="s">
        <v>472</v>
      </c>
      <c r="BH350" s="33" t="s">
        <v>1259</v>
      </c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3" t="s">
        <v>1247</v>
      </c>
      <c r="FM350" s="23" t="s">
        <v>260</v>
      </c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</row>
    <row r="351" ht="23.25" customHeight="1">
      <c r="A351" s="29">
        <v>44660.36614814815</v>
      </c>
      <c r="B351" s="30" t="s">
        <v>6</v>
      </c>
      <c r="C351" s="30" t="s">
        <v>13</v>
      </c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0" t="s">
        <v>1242</v>
      </c>
      <c r="AY351" s="30" t="s">
        <v>1243</v>
      </c>
      <c r="AZ351" s="30" t="s">
        <v>1260</v>
      </c>
      <c r="BA351" s="30" t="s">
        <v>1244</v>
      </c>
      <c r="BB351" s="30" t="s">
        <v>1258</v>
      </c>
      <c r="BC351" s="32">
        <v>44071.0</v>
      </c>
      <c r="BD351" s="32">
        <v>44100.0</v>
      </c>
      <c r="BE351" s="32">
        <v>44100.0</v>
      </c>
      <c r="BF351" s="30">
        <v>75.0</v>
      </c>
      <c r="BG351" s="30" t="s">
        <v>1261</v>
      </c>
      <c r="BH351" s="33" t="s">
        <v>1262</v>
      </c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3" t="s">
        <v>1247</v>
      </c>
      <c r="FM351" s="23" t="s">
        <v>260</v>
      </c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</row>
    <row r="352" ht="23.25" customHeight="1">
      <c r="A352" s="29">
        <v>44660.36639810185</v>
      </c>
      <c r="B352" s="30" t="s">
        <v>6</v>
      </c>
      <c r="C352" s="30" t="s">
        <v>13</v>
      </c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0" t="s">
        <v>1166</v>
      </c>
      <c r="AY352" s="30" t="s">
        <v>1167</v>
      </c>
      <c r="AZ352" s="30" t="s">
        <v>1263</v>
      </c>
      <c r="BA352" s="30" t="s">
        <v>377</v>
      </c>
      <c r="BB352" s="30" t="s">
        <v>410</v>
      </c>
      <c r="BC352" s="32">
        <v>43929.0</v>
      </c>
      <c r="BD352" s="32">
        <v>43959.0</v>
      </c>
      <c r="BE352" s="32">
        <v>43964.0</v>
      </c>
      <c r="BF352" s="30">
        <v>92.0</v>
      </c>
      <c r="BG352" s="30" t="s">
        <v>1264</v>
      </c>
      <c r="BH352" s="33" t="s">
        <v>1265</v>
      </c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3" t="s">
        <v>1163</v>
      </c>
      <c r="FM352" s="23" t="s">
        <v>323</v>
      </c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</row>
    <row r="353" ht="23.25" customHeight="1">
      <c r="A353" s="29">
        <v>44660.37005171296</v>
      </c>
      <c r="B353" s="30" t="s">
        <v>6</v>
      </c>
      <c r="C353" s="30" t="s">
        <v>13</v>
      </c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0" t="s">
        <v>1242</v>
      </c>
      <c r="AY353" s="30" t="s">
        <v>1243</v>
      </c>
      <c r="AZ353" s="30" t="s">
        <v>1266</v>
      </c>
      <c r="BA353" s="30" t="s">
        <v>1244</v>
      </c>
      <c r="BB353" s="30" t="s">
        <v>1267</v>
      </c>
      <c r="BC353" s="32">
        <v>44482.0</v>
      </c>
      <c r="BD353" s="32">
        <v>44551.0</v>
      </c>
      <c r="BE353" s="32">
        <v>44552.0</v>
      </c>
      <c r="BF353" s="30">
        <v>85.0</v>
      </c>
      <c r="BG353" s="30" t="s">
        <v>472</v>
      </c>
      <c r="BH353" s="33" t="s">
        <v>1268</v>
      </c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3" t="s">
        <v>1247</v>
      </c>
      <c r="FM353" s="23" t="s">
        <v>260</v>
      </c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</row>
    <row r="354" ht="23.25" customHeight="1">
      <c r="A354" s="29">
        <v>44660.371562037035</v>
      </c>
      <c r="B354" s="30" t="s">
        <v>6</v>
      </c>
      <c r="C354" s="30" t="s">
        <v>13</v>
      </c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0" t="s">
        <v>1166</v>
      </c>
      <c r="AY354" s="30" t="s">
        <v>1167</v>
      </c>
      <c r="AZ354" s="30" t="s">
        <v>1269</v>
      </c>
      <c r="BA354" s="30" t="s">
        <v>377</v>
      </c>
      <c r="BB354" s="30" t="s">
        <v>410</v>
      </c>
      <c r="BC354" s="32">
        <v>43952.0</v>
      </c>
      <c r="BD354" s="32">
        <v>43983.0</v>
      </c>
      <c r="BE354" s="32">
        <v>43990.0</v>
      </c>
      <c r="BF354" s="30">
        <v>84.0</v>
      </c>
      <c r="BG354" s="30" t="s">
        <v>1270</v>
      </c>
      <c r="BH354" s="33" t="s">
        <v>1271</v>
      </c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3" t="s">
        <v>1163</v>
      </c>
      <c r="FM354" s="23" t="s">
        <v>323</v>
      </c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</row>
    <row r="355" ht="23.25" customHeight="1">
      <c r="A355" s="29">
        <v>44660.37290320602</v>
      </c>
      <c r="B355" s="30" t="s">
        <v>6</v>
      </c>
      <c r="C355" s="30" t="s">
        <v>13</v>
      </c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0" t="s">
        <v>1182</v>
      </c>
      <c r="AY355" s="30" t="s">
        <v>1167</v>
      </c>
      <c r="AZ355" s="30" t="s">
        <v>1272</v>
      </c>
      <c r="BA355" s="30" t="s">
        <v>377</v>
      </c>
      <c r="BB355" s="30" t="s">
        <v>410</v>
      </c>
      <c r="BC355" s="32">
        <v>43985.0</v>
      </c>
      <c r="BD355" s="32">
        <v>44015.0</v>
      </c>
      <c r="BE355" s="32">
        <v>44024.0</v>
      </c>
      <c r="BF355" s="30">
        <v>90.0</v>
      </c>
      <c r="BG355" s="30" t="s">
        <v>1270</v>
      </c>
      <c r="BH355" s="33" t="s">
        <v>1273</v>
      </c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3" t="s">
        <v>1163</v>
      </c>
      <c r="FM355" s="23" t="s">
        <v>323</v>
      </c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  <c r="GW355" s="22"/>
      <c r="GX355" s="22"/>
      <c r="GY355" s="22"/>
      <c r="GZ355" s="22"/>
      <c r="HA355" s="22"/>
    </row>
    <row r="356" ht="23.25" customHeight="1">
      <c r="A356" s="29">
        <v>44660.37313063657</v>
      </c>
      <c r="B356" s="30" t="s">
        <v>6</v>
      </c>
      <c r="C356" s="30" t="s">
        <v>13</v>
      </c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0" t="s">
        <v>1274</v>
      </c>
      <c r="AY356" s="30" t="s">
        <v>1243</v>
      </c>
      <c r="AZ356" s="30" t="s">
        <v>1275</v>
      </c>
      <c r="BA356" s="30" t="s">
        <v>1244</v>
      </c>
      <c r="BB356" s="30" t="s">
        <v>1276</v>
      </c>
      <c r="BC356" s="32">
        <v>44652.0</v>
      </c>
      <c r="BD356" s="32">
        <v>44653.0</v>
      </c>
      <c r="BE356" s="32">
        <v>44653.0</v>
      </c>
      <c r="BF356" s="30">
        <v>90.0</v>
      </c>
      <c r="BG356" s="30" t="s">
        <v>472</v>
      </c>
      <c r="BH356" s="33" t="s">
        <v>1277</v>
      </c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3" t="s">
        <v>1247</v>
      </c>
      <c r="FM356" s="23" t="s">
        <v>260</v>
      </c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22"/>
      <c r="GG356" s="22"/>
      <c r="GH356" s="22"/>
      <c r="GI356" s="22"/>
      <c r="GJ356" s="22"/>
      <c r="GK356" s="22"/>
      <c r="GL356" s="22"/>
      <c r="GM356" s="22"/>
      <c r="GN356" s="22"/>
      <c r="GO356" s="22"/>
      <c r="GP356" s="22"/>
      <c r="GQ356" s="22"/>
      <c r="GR356" s="22"/>
      <c r="GS356" s="22"/>
      <c r="GT356" s="22"/>
      <c r="GU356" s="22"/>
      <c r="GV356" s="22"/>
      <c r="GW356" s="22"/>
      <c r="GX356" s="22"/>
      <c r="GY356" s="22"/>
      <c r="GZ356" s="22"/>
      <c r="HA356" s="22"/>
    </row>
    <row r="357" ht="23.25" customHeight="1">
      <c r="A357" s="29">
        <v>44660.37507028935</v>
      </c>
      <c r="B357" s="30" t="s">
        <v>6</v>
      </c>
      <c r="C357" s="30" t="s">
        <v>17</v>
      </c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3" t="s">
        <v>1166</v>
      </c>
      <c r="CT357" s="23" t="s">
        <v>1278</v>
      </c>
      <c r="CU357" s="24">
        <v>43798.0</v>
      </c>
      <c r="CV357" s="24">
        <v>43800.0</v>
      </c>
      <c r="CW357" s="23">
        <v>100.0</v>
      </c>
      <c r="CX357" s="23" t="s">
        <v>1279</v>
      </c>
      <c r="CY357" s="35" t="s">
        <v>281</v>
      </c>
      <c r="CZ357" s="22"/>
      <c r="DA357" s="22"/>
      <c r="DB357" s="22"/>
      <c r="DC357" s="25" t="s">
        <v>1280</v>
      </c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3" t="s">
        <v>1163</v>
      </c>
      <c r="FM357" s="23" t="s">
        <v>382</v>
      </c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</row>
    <row r="358" ht="23.25" customHeight="1">
      <c r="A358" s="29">
        <v>44660.37842853009</v>
      </c>
      <c r="B358" s="30" t="s">
        <v>6</v>
      </c>
      <c r="C358" s="30" t="s">
        <v>14</v>
      </c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0" t="s">
        <v>1274</v>
      </c>
      <c r="BJ358" s="30" t="s">
        <v>1243</v>
      </c>
      <c r="BK358" s="30" t="s">
        <v>159</v>
      </c>
      <c r="BL358" s="30" t="s">
        <v>735</v>
      </c>
      <c r="BM358" s="30" t="s">
        <v>1281</v>
      </c>
      <c r="BN358" s="30">
        <v>2.0</v>
      </c>
      <c r="BO358" s="32">
        <v>43694.0</v>
      </c>
      <c r="BP358" s="32">
        <v>43695.0</v>
      </c>
      <c r="BQ358" s="30" t="s">
        <v>1282</v>
      </c>
      <c r="BR358" s="30" t="s">
        <v>1283</v>
      </c>
      <c r="BS358" s="30" t="s">
        <v>176</v>
      </c>
      <c r="BT358" s="30" t="s">
        <v>632</v>
      </c>
      <c r="BU358" s="30">
        <v>0.0</v>
      </c>
      <c r="BV358" s="33" t="s">
        <v>1284</v>
      </c>
      <c r="BW358" s="31"/>
      <c r="BX358" s="31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3" t="s">
        <v>1247</v>
      </c>
      <c r="FM358" s="23" t="s">
        <v>260</v>
      </c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  <c r="GW358" s="22"/>
      <c r="GX358" s="22"/>
      <c r="GY358" s="22"/>
      <c r="GZ358" s="22"/>
      <c r="HA358" s="22"/>
    </row>
    <row r="359" ht="23.25" customHeight="1">
      <c r="A359" s="29">
        <v>44660.379183425925</v>
      </c>
      <c r="B359" s="30" t="s">
        <v>6</v>
      </c>
      <c r="C359" s="30" t="s">
        <v>12</v>
      </c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0" t="s">
        <v>1166</v>
      </c>
      <c r="AO359" s="30" t="s">
        <v>1167</v>
      </c>
      <c r="AP359" s="30" t="s">
        <v>254</v>
      </c>
      <c r="AQ359" s="30" t="s">
        <v>417</v>
      </c>
      <c r="AR359" s="32">
        <v>44622.0</v>
      </c>
      <c r="AS359" s="32">
        <v>44721.0</v>
      </c>
      <c r="AT359" s="30" t="s">
        <v>257</v>
      </c>
      <c r="AU359" s="30" t="s">
        <v>257</v>
      </c>
      <c r="AV359" s="30">
        <v>0.0</v>
      </c>
      <c r="AW359" s="33" t="s">
        <v>1285</v>
      </c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3" t="s">
        <v>1163</v>
      </c>
      <c r="FM359" s="23" t="s">
        <v>260</v>
      </c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/>
      <c r="GO359" s="22"/>
      <c r="GP359" s="22"/>
      <c r="GQ359" s="22"/>
      <c r="GR359" s="22"/>
      <c r="GS359" s="22"/>
      <c r="GT359" s="22"/>
      <c r="GU359" s="22"/>
      <c r="GV359" s="22"/>
      <c r="GW359" s="22"/>
      <c r="GX359" s="22"/>
      <c r="GY359" s="22"/>
      <c r="GZ359" s="22"/>
      <c r="HA359" s="22"/>
    </row>
    <row r="360" ht="23.25" customHeight="1">
      <c r="A360" s="29">
        <v>44660.410802060185</v>
      </c>
      <c r="B360" s="30" t="s">
        <v>8</v>
      </c>
      <c r="C360" s="30" t="s">
        <v>14</v>
      </c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0" t="s">
        <v>1286</v>
      </c>
      <c r="BJ360" s="30" t="s">
        <v>1287</v>
      </c>
      <c r="BK360" s="30" t="s">
        <v>313</v>
      </c>
      <c r="BL360" s="30" t="s">
        <v>1288</v>
      </c>
      <c r="BM360" s="30" t="s">
        <v>1289</v>
      </c>
      <c r="BN360" s="30">
        <v>2.0</v>
      </c>
      <c r="BO360" s="32">
        <v>44645.0</v>
      </c>
      <c r="BP360" s="32">
        <v>44646.0</v>
      </c>
      <c r="BQ360" s="30" t="s">
        <v>1290</v>
      </c>
      <c r="BR360" s="30" t="s">
        <v>1291</v>
      </c>
      <c r="BS360" s="30" t="s">
        <v>276</v>
      </c>
      <c r="BT360" s="30" t="s">
        <v>632</v>
      </c>
      <c r="BU360" s="30">
        <v>300.0</v>
      </c>
      <c r="BV360" s="33" t="s">
        <v>1292</v>
      </c>
      <c r="BW360" s="31"/>
      <c r="BX360" s="31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3" t="s">
        <v>1293</v>
      </c>
      <c r="FM360" s="23" t="s">
        <v>323</v>
      </c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  <c r="GC360" s="22"/>
      <c r="GD360" s="22"/>
      <c r="GE360" s="22"/>
      <c r="GF360" s="22"/>
      <c r="GG360" s="22"/>
      <c r="GH360" s="22"/>
      <c r="GI360" s="22"/>
      <c r="GJ360" s="22"/>
      <c r="GK360" s="22"/>
      <c r="GL360" s="22"/>
      <c r="GM360" s="22"/>
      <c r="GN360" s="22"/>
      <c r="GO360" s="22"/>
      <c r="GP360" s="22"/>
      <c r="GQ360" s="22"/>
      <c r="GR360" s="22"/>
      <c r="GS360" s="22"/>
      <c r="GT360" s="22"/>
      <c r="GU360" s="22"/>
      <c r="GV360" s="22"/>
      <c r="GW360" s="22"/>
      <c r="GX360" s="22"/>
      <c r="GY360" s="22"/>
      <c r="GZ360" s="22"/>
      <c r="HA360" s="22"/>
    </row>
    <row r="361" ht="23.25" customHeight="1">
      <c r="A361" s="29">
        <v>44660.41384104166</v>
      </c>
      <c r="B361" s="30" t="s">
        <v>8</v>
      </c>
      <c r="C361" s="30" t="s">
        <v>14</v>
      </c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0" t="s">
        <v>1294</v>
      </c>
      <c r="BJ361" s="30" t="s">
        <v>1295</v>
      </c>
      <c r="BK361" s="30" t="s">
        <v>313</v>
      </c>
      <c r="BL361" s="30" t="s">
        <v>1288</v>
      </c>
      <c r="BM361" s="30" t="s">
        <v>1296</v>
      </c>
      <c r="BN361" s="30">
        <v>2.0</v>
      </c>
      <c r="BO361" s="32">
        <v>44645.0</v>
      </c>
      <c r="BP361" s="32">
        <v>44646.0</v>
      </c>
      <c r="BQ361" s="30" t="s">
        <v>1297</v>
      </c>
      <c r="BR361" s="30" t="s">
        <v>1298</v>
      </c>
      <c r="BS361" s="30" t="s">
        <v>276</v>
      </c>
      <c r="BT361" s="30" t="s">
        <v>632</v>
      </c>
      <c r="BU361" s="30">
        <v>300.0</v>
      </c>
      <c r="BV361" s="33" t="s">
        <v>1299</v>
      </c>
      <c r="BW361" s="31"/>
      <c r="BX361" s="31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3" t="s">
        <v>1300</v>
      </c>
      <c r="FM361" s="23" t="s">
        <v>323</v>
      </c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"/>
      <c r="GB361" s="22"/>
      <c r="GC361" s="22"/>
      <c r="GD361" s="22"/>
      <c r="GE361" s="22"/>
      <c r="GF361" s="22"/>
      <c r="GG361" s="22"/>
      <c r="GH361" s="22"/>
      <c r="GI361" s="22"/>
      <c r="GJ361" s="22"/>
      <c r="GK361" s="22"/>
      <c r="GL361" s="22"/>
      <c r="GM361" s="22"/>
      <c r="GN361" s="22"/>
      <c r="GO361" s="22"/>
      <c r="GP361" s="22"/>
      <c r="GQ361" s="22"/>
      <c r="GR361" s="22"/>
      <c r="GS361" s="22"/>
      <c r="GT361" s="22"/>
      <c r="GU361" s="22"/>
      <c r="GV361" s="22"/>
      <c r="GW361" s="22"/>
      <c r="GX361" s="22"/>
      <c r="GY361" s="22"/>
      <c r="GZ361" s="22"/>
      <c r="HA361" s="22"/>
    </row>
    <row r="362" ht="23.25" customHeight="1">
      <c r="A362" s="29">
        <v>44660.42539048611</v>
      </c>
      <c r="B362" s="30" t="s">
        <v>6</v>
      </c>
      <c r="C362" s="30" t="s">
        <v>13</v>
      </c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0" t="s">
        <v>1203</v>
      </c>
      <c r="AY362" s="30" t="s">
        <v>1204</v>
      </c>
      <c r="AZ362" s="30" t="s">
        <v>500</v>
      </c>
      <c r="BA362" s="30" t="s">
        <v>309</v>
      </c>
      <c r="BB362" s="30" t="s">
        <v>310</v>
      </c>
      <c r="BC362" s="32">
        <v>44481.0</v>
      </c>
      <c r="BD362" s="32">
        <v>44542.0</v>
      </c>
      <c r="BE362" s="32">
        <v>44542.0</v>
      </c>
      <c r="BF362" s="30">
        <v>90.0</v>
      </c>
      <c r="BG362" s="30" t="s">
        <v>1206</v>
      </c>
      <c r="BH362" s="33" t="s">
        <v>1301</v>
      </c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FL362" s="36" t="s">
        <v>1208</v>
      </c>
      <c r="FM362" s="36" t="s">
        <v>260</v>
      </c>
    </row>
    <row r="363" ht="23.25" customHeight="1">
      <c r="A363" s="29">
        <v>44660.43335931713</v>
      </c>
      <c r="B363" s="30" t="s">
        <v>6</v>
      </c>
      <c r="C363" s="30" t="s">
        <v>13</v>
      </c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0" t="s">
        <v>374</v>
      </c>
      <c r="AY363" s="30" t="s">
        <v>375</v>
      </c>
      <c r="AZ363" s="30" t="s">
        <v>1302</v>
      </c>
      <c r="BA363" s="30" t="s">
        <v>309</v>
      </c>
      <c r="BB363" s="30" t="s">
        <v>507</v>
      </c>
      <c r="BC363" s="32">
        <v>44527.0</v>
      </c>
      <c r="BD363" s="32">
        <v>44583.0</v>
      </c>
      <c r="BE363" s="32">
        <v>44583.0</v>
      </c>
      <c r="BF363" s="30">
        <v>90.0</v>
      </c>
      <c r="BG363" s="30" t="s">
        <v>1303</v>
      </c>
      <c r="BH363" s="33" t="s">
        <v>1304</v>
      </c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FL363" s="36" t="s">
        <v>381</v>
      </c>
      <c r="FM363" s="36" t="s">
        <v>278</v>
      </c>
    </row>
    <row r="364" ht="23.25" customHeight="1">
      <c r="A364" s="29">
        <v>44660.442004212964</v>
      </c>
      <c r="B364" s="30" t="s">
        <v>6</v>
      </c>
      <c r="C364" s="30" t="s">
        <v>13</v>
      </c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0" t="s">
        <v>1305</v>
      </c>
      <c r="AY364" s="30" t="s">
        <v>1306</v>
      </c>
      <c r="AZ364" s="30" t="s">
        <v>1307</v>
      </c>
      <c r="BA364" s="30" t="s">
        <v>1308</v>
      </c>
      <c r="BB364" s="30">
        <v>2.0</v>
      </c>
      <c r="BC364" s="32">
        <v>44245.0</v>
      </c>
      <c r="BD364" s="32">
        <v>44295.0</v>
      </c>
      <c r="BE364" s="32">
        <v>44316.0</v>
      </c>
      <c r="BF364" s="30">
        <v>100.0</v>
      </c>
      <c r="BG364" s="30" t="s">
        <v>339</v>
      </c>
      <c r="BH364" s="33" t="s">
        <v>1309</v>
      </c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FL364" s="36" t="s">
        <v>1310</v>
      </c>
      <c r="FM364" s="36" t="s">
        <v>260</v>
      </c>
    </row>
    <row r="365" ht="23.25" customHeight="1">
      <c r="A365" s="29">
        <v>44660.44310586806</v>
      </c>
      <c r="B365" s="30" t="s">
        <v>6</v>
      </c>
      <c r="C365" s="30" t="s">
        <v>13</v>
      </c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0" t="s">
        <v>448</v>
      </c>
      <c r="AY365" s="30" t="s">
        <v>449</v>
      </c>
      <c r="AZ365" s="30" t="s">
        <v>687</v>
      </c>
      <c r="BA365" s="30" t="s">
        <v>620</v>
      </c>
      <c r="BB365" s="30" t="s">
        <v>1311</v>
      </c>
      <c r="BC365" s="32">
        <v>44370.0</v>
      </c>
      <c r="BD365" s="32">
        <v>44377.0</v>
      </c>
      <c r="BE365" s="32">
        <v>44377.0</v>
      </c>
      <c r="BF365" s="30">
        <v>100.0</v>
      </c>
      <c r="BG365" s="30" t="s">
        <v>339</v>
      </c>
      <c r="BH365" s="33" t="s">
        <v>1312</v>
      </c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FL365" s="36" t="s">
        <v>452</v>
      </c>
      <c r="FM365" s="36" t="s">
        <v>260</v>
      </c>
    </row>
    <row r="366" ht="23.25" customHeight="1">
      <c r="A366" s="29">
        <v>44660.44587827547</v>
      </c>
      <c r="B366" s="30" t="s">
        <v>6</v>
      </c>
      <c r="C366" s="30" t="s">
        <v>13</v>
      </c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0" t="s">
        <v>1305</v>
      </c>
      <c r="AY366" s="30" t="s">
        <v>1306</v>
      </c>
      <c r="AZ366" s="30" t="s">
        <v>1193</v>
      </c>
      <c r="BA366" s="30" t="s">
        <v>377</v>
      </c>
      <c r="BB366" s="30" t="s">
        <v>348</v>
      </c>
      <c r="BC366" s="32">
        <v>44237.0</v>
      </c>
      <c r="BD366" s="32">
        <v>44295.0</v>
      </c>
      <c r="BE366" s="32">
        <v>44302.0</v>
      </c>
      <c r="BF366" s="30">
        <v>100.0</v>
      </c>
      <c r="BG366" s="30" t="s">
        <v>1201</v>
      </c>
      <c r="BH366" s="33" t="s">
        <v>1313</v>
      </c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FL366" s="36" t="s">
        <v>1310</v>
      </c>
      <c r="FM366" s="36" t="s">
        <v>260</v>
      </c>
    </row>
    <row r="367" ht="23.25" customHeight="1">
      <c r="A367" s="29">
        <v>44660.446834780094</v>
      </c>
      <c r="B367" s="30" t="s">
        <v>6</v>
      </c>
      <c r="C367" s="30" t="s">
        <v>13</v>
      </c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0" t="s">
        <v>448</v>
      </c>
      <c r="AY367" s="30" t="s">
        <v>449</v>
      </c>
      <c r="AZ367" s="30" t="s">
        <v>351</v>
      </c>
      <c r="BA367" s="30" t="s">
        <v>620</v>
      </c>
      <c r="BB367" s="30" t="s">
        <v>1311</v>
      </c>
      <c r="BC367" s="32">
        <v>43669.0</v>
      </c>
      <c r="BD367" s="32">
        <v>43676.0</v>
      </c>
      <c r="BE367" s="32">
        <v>43676.0</v>
      </c>
      <c r="BF367" s="30">
        <v>100.0</v>
      </c>
      <c r="BG367" s="30" t="s">
        <v>339</v>
      </c>
      <c r="BH367" s="33" t="s">
        <v>1314</v>
      </c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FL367" s="36" t="s">
        <v>452</v>
      </c>
      <c r="FM367" s="36" t="s">
        <v>260</v>
      </c>
    </row>
    <row r="368" ht="23.25" customHeight="1">
      <c r="A368" s="29">
        <v>44660.4471791088</v>
      </c>
      <c r="B368" s="30" t="s">
        <v>6</v>
      </c>
      <c r="C368" s="30" t="s">
        <v>13</v>
      </c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0" t="s">
        <v>1315</v>
      </c>
      <c r="AY368" s="30" t="s">
        <v>1316</v>
      </c>
      <c r="AZ368" s="30" t="s">
        <v>1317</v>
      </c>
      <c r="BA368" s="30" t="s">
        <v>1318</v>
      </c>
      <c r="BB368" s="30" t="s">
        <v>1258</v>
      </c>
      <c r="BC368" s="32">
        <v>44627.0</v>
      </c>
      <c r="BD368" s="32">
        <v>44660.0</v>
      </c>
      <c r="BE368" s="32">
        <v>44659.0</v>
      </c>
      <c r="BF368" s="30">
        <v>100.0</v>
      </c>
      <c r="BG368" s="30" t="s">
        <v>1319</v>
      </c>
      <c r="BH368" s="33" t="s">
        <v>1320</v>
      </c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FL368" s="36" t="s">
        <v>1321</v>
      </c>
      <c r="FM368" s="36" t="s">
        <v>260</v>
      </c>
    </row>
    <row r="369" ht="23.25" customHeight="1">
      <c r="A369" s="29">
        <v>44660.447653020834</v>
      </c>
      <c r="B369" s="30" t="s">
        <v>6</v>
      </c>
      <c r="C369" s="20" t="s">
        <v>15</v>
      </c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0" t="s">
        <v>1322</v>
      </c>
      <c r="BX369" s="30" t="s">
        <v>1323</v>
      </c>
      <c r="BZ369" s="36" t="s">
        <v>313</v>
      </c>
      <c r="CA369" s="36" t="s">
        <v>1324</v>
      </c>
      <c r="CB369" s="36" t="s">
        <v>456</v>
      </c>
      <c r="CC369" s="36" t="s">
        <v>1325</v>
      </c>
      <c r="CD369" s="37">
        <v>43687.0</v>
      </c>
      <c r="CE369" s="37">
        <v>43748.0</v>
      </c>
      <c r="CF369" s="36">
        <v>78.0</v>
      </c>
      <c r="CG369" s="38" t="s">
        <v>1326</v>
      </c>
      <c r="FL369" s="36" t="s">
        <v>1327</v>
      </c>
      <c r="FM369" s="36" t="s">
        <v>260</v>
      </c>
    </row>
    <row r="370" ht="23.25" customHeight="1">
      <c r="A370" s="29">
        <v>44660.44844436343</v>
      </c>
      <c r="B370" s="30" t="s">
        <v>6</v>
      </c>
      <c r="C370" s="30" t="s">
        <v>13</v>
      </c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0" t="s">
        <v>448</v>
      </c>
      <c r="AY370" s="30" t="s">
        <v>449</v>
      </c>
      <c r="AZ370" s="30" t="s">
        <v>356</v>
      </c>
      <c r="BA370" s="30" t="s">
        <v>620</v>
      </c>
      <c r="BB370" s="30" t="s">
        <v>1311</v>
      </c>
      <c r="BC370" s="32">
        <v>44310.0</v>
      </c>
      <c r="BD370" s="32">
        <v>44316.0</v>
      </c>
      <c r="BE370" s="32">
        <v>44316.0</v>
      </c>
      <c r="BF370" s="30">
        <v>100.0</v>
      </c>
      <c r="BG370" s="30" t="s">
        <v>339</v>
      </c>
      <c r="BH370" s="33" t="s">
        <v>1328</v>
      </c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FL370" s="36" t="s">
        <v>452</v>
      </c>
      <c r="FM370" s="36" t="s">
        <v>260</v>
      </c>
    </row>
    <row r="371" ht="23.25" customHeight="1">
      <c r="A371" s="29">
        <v>44660.450190787036</v>
      </c>
      <c r="B371" s="30" t="s">
        <v>6</v>
      </c>
      <c r="C371" s="20" t="s">
        <v>15</v>
      </c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0" t="s">
        <v>1322</v>
      </c>
      <c r="BX371" s="30" t="s">
        <v>1323</v>
      </c>
      <c r="BZ371" s="36" t="s">
        <v>313</v>
      </c>
      <c r="CA371" s="36" t="s">
        <v>1329</v>
      </c>
      <c r="CB371" s="36" t="s">
        <v>456</v>
      </c>
      <c r="CC371" s="36" t="s">
        <v>553</v>
      </c>
      <c r="CD371" s="37">
        <v>43849.0</v>
      </c>
      <c r="CE371" s="37">
        <v>43909.0</v>
      </c>
      <c r="CF371" s="36">
        <v>90.0</v>
      </c>
      <c r="CG371" s="38" t="s">
        <v>1330</v>
      </c>
      <c r="FL371" s="36" t="s">
        <v>1327</v>
      </c>
      <c r="FM371" s="36" t="s">
        <v>260</v>
      </c>
    </row>
    <row r="372" ht="23.25" customHeight="1">
      <c r="A372" s="29">
        <v>44660.45137956018</v>
      </c>
      <c r="B372" s="30" t="s">
        <v>6</v>
      </c>
      <c r="C372" s="30" t="s">
        <v>13</v>
      </c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0" t="s">
        <v>1331</v>
      </c>
      <c r="AY372" s="30" t="s">
        <v>1332</v>
      </c>
      <c r="AZ372" s="30" t="s">
        <v>1333</v>
      </c>
      <c r="BA372" s="30" t="s">
        <v>1334</v>
      </c>
      <c r="BB372" s="30" t="s">
        <v>1335</v>
      </c>
      <c r="BC372" s="32">
        <v>43497.0</v>
      </c>
      <c r="BD372" s="32">
        <v>44680.0</v>
      </c>
      <c r="BE372" s="32">
        <v>44679.0</v>
      </c>
      <c r="BF372" s="30">
        <v>100.0</v>
      </c>
      <c r="BG372" s="30" t="s">
        <v>1336</v>
      </c>
      <c r="BH372" s="33" t="s">
        <v>1337</v>
      </c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FL372" s="36" t="s">
        <v>1338</v>
      </c>
      <c r="FM372" s="36" t="s">
        <v>260</v>
      </c>
    </row>
    <row r="373" ht="23.25" customHeight="1">
      <c r="A373" s="29">
        <v>44660.45153957176</v>
      </c>
      <c r="B373" s="30" t="s">
        <v>6</v>
      </c>
      <c r="C373" s="30" t="s">
        <v>13</v>
      </c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0" t="s">
        <v>448</v>
      </c>
      <c r="AY373" s="30" t="s">
        <v>449</v>
      </c>
      <c r="AZ373" s="30" t="s">
        <v>502</v>
      </c>
      <c r="BA373" s="30" t="s">
        <v>620</v>
      </c>
      <c r="BB373" s="30" t="s">
        <v>1311</v>
      </c>
      <c r="BC373" s="32">
        <v>44310.0</v>
      </c>
      <c r="BD373" s="32">
        <v>44317.0</v>
      </c>
      <c r="BE373" s="32">
        <v>44317.0</v>
      </c>
      <c r="BF373" s="30">
        <v>99.0</v>
      </c>
      <c r="BG373" s="30" t="s">
        <v>339</v>
      </c>
      <c r="BH373" s="33" t="s">
        <v>1339</v>
      </c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FL373" s="36" t="s">
        <v>452</v>
      </c>
      <c r="FM373" s="36" t="s">
        <v>260</v>
      </c>
    </row>
    <row r="374" ht="23.25" customHeight="1">
      <c r="A374" s="29">
        <v>44660.4517096875</v>
      </c>
      <c r="B374" s="30" t="s">
        <v>6</v>
      </c>
      <c r="C374" s="30" t="s">
        <v>13</v>
      </c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0" t="s">
        <v>1340</v>
      </c>
      <c r="AY374" s="30" t="s">
        <v>1341</v>
      </c>
      <c r="AZ374" s="30" t="s">
        <v>1342</v>
      </c>
      <c r="BA374" s="30" t="s">
        <v>345</v>
      </c>
      <c r="BB374" s="30" t="s">
        <v>627</v>
      </c>
      <c r="BC374" s="32">
        <v>43939.0</v>
      </c>
      <c r="BD374" s="32">
        <v>43969.0</v>
      </c>
      <c r="BE374" s="32">
        <v>43969.0</v>
      </c>
      <c r="BF374" s="30">
        <v>100.0</v>
      </c>
      <c r="BG374" s="30" t="s">
        <v>1343</v>
      </c>
      <c r="BH374" s="33" t="s">
        <v>1344</v>
      </c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FL374" s="36" t="s">
        <v>1345</v>
      </c>
      <c r="FM374" s="36" t="s">
        <v>260</v>
      </c>
    </row>
    <row r="375" ht="23.25" customHeight="1">
      <c r="A375" s="29">
        <v>44660.453005625</v>
      </c>
      <c r="B375" s="30" t="s">
        <v>6</v>
      </c>
      <c r="C375" s="20" t="s">
        <v>15</v>
      </c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0" t="s">
        <v>1322</v>
      </c>
      <c r="BX375" s="30" t="s">
        <v>1323</v>
      </c>
      <c r="BZ375" s="36" t="s">
        <v>313</v>
      </c>
      <c r="CA375" s="36" t="s">
        <v>1346</v>
      </c>
      <c r="CB375" s="36" t="s">
        <v>456</v>
      </c>
      <c r="CC375" s="36" t="s">
        <v>1347</v>
      </c>
      <c r="CD375" s="37">
        <v>43848.0</v>
      </c>
      <c r="CE375" s="37">
        <v>43939.0</v>
      </c>
      <c r="CF375" s="36">
        <v>100.0</v>
      </c>
      <c r="CG375" s="38" t="s">
        <v>1348</v>
      </c>
      <c r="FL375" s="36" t="s">
        <v>1327</v>
      </c>
      <c r="FM375" s="36" t="s">
        <v>260</v>
      </c>
    </row>
    <row r="376" ht="23.25" customHeight="1">
      <c r="A376" s="29">
        <v>44660.4532175</v>
      </c>
      <c r="B376" s="30" t="s">
        <v>6</v>
      </c>
      <c r="C376" s="30" t="s">
        <v>13</v>
      </c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0" t="s">
        <v>1349</v>
      </c>
      <c r="AY376" s="30" t="s">
        <v>1350</v>
      </c>
      <c r="AZ376" s="30" t="s">
        <v>1351</v>
      </c>
      <c r="BA376" s="30" t="s">
        <v>345</v>
      </c>
      <c r="BB376" s="30" t="s">
        <v>1352</v>
      </c>
      <c r="BC376" s="32">
        <v>43925.0</v>
      </c>
      <c r="BD376" s="32">
        <v>43945.0</v>
      </c>
      <c r="BE376" s="32">
        <v>43945.0</v>
      </c>
      <c r="BF376" s="30">
        <v>100.0</v>
      </c>
      <c r="BG376" s="30" t="s">
        <v>1353</v>
      </c>
      <c r="BH376" s="33" t="s">
        <v>1354</v>
      </c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FL376" s="36" t="s">
        <v>1355</v>
      </c>
      <c r="FM376" s="36" t="s">
        <v>323</v>
      </c>
    </row>
    <row r="377" ht="23.25" customHeight="1">
      <c r="A377" s="29">
        <v>44660.45511954861</v>
      </c>
      <c r="B377" s="30" t="s">
        <v>6</v>
      </c>
      <c r="C377" s="20" t="s">
        <v>15</v>
      </c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0" t="s">
        <v>1322</v>
      </c>
      <c r="BX377" s="30" t="s">
        <v>1323</v>
      </c>
      <c r="BZ377" s="36" t="s">
        <v>313</v>
      </c>
      <c r="CA377" s="36" t="s">
        <v>1356</v>
      </c>
      <c r="CB377" s="36" t="s">
        <v>456</v>
      </c>
      <c r="CC377" s="36" t="s">
        <v>1347</v>
      </c>
      <c r="CD377" s="37">
        <v>43653.0</v>
      </c>
      <c r="CE377" s="37">
        <v>43743.0</v>
      </c>
      <c r="CF377" s="36">
        <v>80.0</v>
      </c>
      <c r="CG377" s="38" t="s">
        <v>1357</v>
      </c>
      <c r="FL377" s="36" t="s">
        <v>1327</v>
      </c>
      <c r="FM377" s="36" t="s">
        <v>260</v>
      </c>
    </row>
    <row r="378" ht="23.25" customHeight="1">
      <c r="A378" s="29">
        <v>44660.4577540162</v>
      </c>
      <c r="B378" s="30" t="s">
        <v>6</v>
      </c>
      <c r="C378" s="30" t="s">
        <v>13</v>
      </c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0" t="s">
        <v>1322</v>
      </c>
      <c r="AY378" s="30" t="s">
        <v>1323</v>
      </c>
      <c r="AZ378" s="30" t="s">
        <v>1358</v>
      </c>
      <c r="BA378" s="30" t="s">
        <v>337</v>
      </c>
      <c r="BB378" s="30" t="s">
        <v>510</v>
      </c>
      <c r="BC378" s="32">
        <v>43612.0</v>
      </c>
      <c r="BD378" s="32">
        <v>43677.0</v>
      </c>
      <c r="BE378" s="32">
        <v>43534.0</v>
      </c>
      <c r="BF378" s="30">
        <v>100.0</v>
      </c>
      <c r="BG378" s="30" t="s">
        <v>1359</v>
      </c>
      <c r="BH378" s="33" t="s">
        <v>1360</v>
      </c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FL378" s="36" t="s">
        <v>1327</v>
      </c>
      <c r="FM378" s="36" t="s">
        <v>260</v>
      </c>
    </row>
    <row r="379" ht="23.25" customHeight="1">
      <c r="A379" s="29">
        <v>44660.45961381945</v>
      </c>
      <c r="B379" s="30" t="s">
        <v>6</v>
      </c>
      <c r="C379" s="30" t="s">
        <v>20</v>
      </c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DX379" s="36" t="s">
        <v>1361</v>
      </c>
      <c r="DY379" s="36" t="s">
        <v>1362</v>
      </c>
      <c r="DZ379" s="36" t="s">
        <v>159</v>
      </c>
      <c r="EA379" s="36" t="s">
        <v>1363</v>
      </c>
      <c r="EB379" s="37">
        <v>43884.0</v>
      </c>
      <c r="EC379" s="36" t="s">
        <v>1364</v>
      </c>
      <c r="ED379" s="38" t="s">
        <v>1365</v>
      </c>
      <c r="FL379" s="36" t="s">
        <v>1366</v>
      </c>
      <c r="FM379" s="36" t="s">
        <v>260</v>
      </c>
    </row>
    <row r="380" ht="23.25" customHeight="1">
      <c r="A380" s="29">
        <v>44660.45972934028</v>
      </c>
      <c r="B380" s="30" t="s">
        <v>6</v>
      </c>
      <c r="C380" s="30" t="s">
        <v>13</v>
      </c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0" t="s">
        <v>1322</v>
      </c>
      <c r="AY380" s="30" t="s">
        <v>1323</v>
      </c>
      <c r="AZ380" s="30" t="s">
        <v>1367</v>
      </c>
      <c r="BA380" s="30" t="s">
        <v>337</v>
      </c>
      <c r="BB380" s="30" t="s">
        <v>510</v>
      </c>
      <c r="BC380" s="32" t="s">
        <v>1368</v>
      </c>
      <c r="BD380" s="32">
        <v>44378.0</v>
      </c>
      <c r="BE380" s="32">
        <v>44378.0</v>
      </c>
      <c r="BF380" s="30">
        <v>100.0</v>
      </c>
      <c r="BG380" s="30" t="s">
        <v>1369</v>
      </c>
      <c r="BH380" s="33" t="s">
        <v>1370</v>
      </c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FL380" s="36" t="s">
        <v>1327</v>
      </c>
      <c r="FM380" s="36" t="s">
        <v>260</v>
      </c>
    </row>
    <row r="381" ht="23.25" customHeight="1">
      <c r="A381" s="29">
        <v>44660.46160054398</v>
      </c>
      <c r="B381" s="30" t="s">
        <v>6</v>
      </c>
      <c r="C381" s="30" t="s">
        <v>20</v>
      </c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DX381" s="36" t="s">
        <v>1361</v>
      </c>
      <c r="DY381" s="36" t="s">
        <v>1362</v>
      </c>
      <c r="DZ381" s="36" t="s">
        <v>159</v>
      </c>
      <c r="EA381" s="36" t="s">
        <v>1363</v>
      </c>
      <c r="EB381" s="37">
        <v>43885.0</v>
      </c>
      <c r="EC381" s="36" t="s">
        <v>1128</v>
      </c>
      <c r="ED381" s="38" t="s">
        <v>1371</v>
      </c>
      <c r="FL381" s="36" t="s">
        <v>1366</v>
      </c>
      <c r="FM381" s="36" t="s">
        <v>260</v>
      </c>
    </row>
    <row r="382" ht="23.25" customHeight="1">
      <c r="A382" s="29">
        <v>44660.461831493056</v>
      </c>
      <c r="B382" s="30" t="s">
        <v>6</v>
      </c>
      <c r="C382" s="30" t="s">
        <v>13</v>
      </c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0" t="s">
        <v>1322</v>
      </c>
      <c r="AY382" s="30" t="s">
        <v>1323</v>
      </c>
      <c r="AZ382" s="30" t="s">
        <v>1372</v>
      </c>
      <c r="BA382" s="30" t="s">
        <v>337</v>
      </c>
      <c r="BB382" s="30" t="s">
        <v>510</v>
      </c>
      <c r="BC382" s="32">
        <v>43557.0</v>
      </c>
      <c r="BD382" s="32">
        <v>43618.0</v>
      </c>
      <c r="BE382" s="32">
        <v>43618.0</v>
      </c>
      <c r="BF382" s="30">
        <v>100.0</v>
      </c>
      <c r="BG382" s="30" t="s">
        <v>1175</v>
      </c>
      <c r="BH382" s="33" t="s">
        <v>1373</v>
      </c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FL382" s="36" t="s">
        <v>1327</v>
      </c>
      <c r="FM382" s="36" t="s">
        <v>260</v>
      </c>
    </row>
    <row r="383" ht="23.25" customHeight="1">
      <c r="A383" s="29">
        <v>44660.46323171296</v>
      </c>
      <c r="B383" s="30" t="s">
        <v>6</v>
      </c>
      <c r="C383" s="30" t="s">
        <v>13</v>
      </c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0" t="s">
        <v>1340</v>
      </c>
      <c r="AY383" s="30" t="s">
        <v>1341</v>
      </c>
      <c r="AZ383" s="30" t="s">
        <v>1374</v>
      </c>
      <c r="BA383" s="30" t="s">
        <v>345</v>
      </c>
      <c r="BB383" s="30" t="s">
        <v>495</v>
      </c>
      <c r="BC383" s="32">
        <v>43923.0</v>
      </c>
      <c r="BD383" s="32">
        <v>43953.0</v>
      </c>
      <c r="BE383" s="32">
        <v>43953.0</v>
      </c>
      <c r="BF383" s="30">
        <v>100.0</v>
      </c>
      <c r="BG383" s="30" t="s">
        <v>1375</v>
      </c>
      <c r="BH383" s="33" t="s">
        <v>1376</v>
      </c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FL383" s="36" t="s">
        <v>1345</v>
      </c>
      <c r="FM383" s="36" t="s">
        <v>260</v>
      </c>
    </row>
    <row r="384" ht="23.25" customHeight="1">
      <c r="A384" s="29">
        <v>44660.46385195602</v>
      </c>
      <c r="B384" s="30" t="s">
        <v>6</v>
      </c>
      <c r="C384" s="30" t="s">
        <v>13</v>
      </c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0" t="s">
        <v>1322</v>
      </c>
      <c r="AY384" s="30" t="s">
        <v>1323</v>
      </c>
      <c r="AZ384" s="30" t="s">
        <v>1377</v>
      </c>
      <c r="BA384" s="30" t="s">
        <v>1378</v>
      </c>
      <c r="BB384" s="30" t="s">
        <v>1379</v>
      </c>
      <c r="BC384" s="32">
        <v>43899.0</v>
      </c>
      <c r="BD384" s="32">
        <v>43940.0</v>
      </c>
      <c r="BE384" s="32">
        <v>43940.0</v>
      </c>
      <c r="BF384" s="30">
        <v>100.0</v>
      </c>
      <c r="BG384" s="30" t="s">
        <v>1380</v>
      </c>
      <c r="BH384" s="33" t="s">
        <v>1381</v>
      </c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FL384" s="36" t="s">
        <v>1327</v>
      </c>
      <c r="FM384" s="36" t="s">
        <v>260</v>
      </c>
    </row>
    <row r="385" ht="23.25" customHeight="1">
      <c r="A385" s="29">
        <v>44660.46429234954</v>
      </c>
      <c r="B385" s="30" t="s">
        <v>6</v>
      </c>
      <c r="C385" s="30" t="s">
        <v>20</v>
      </c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DX385" s="36" t="s">
        <v>1361</v>
      </c>
      <c r="DY385" s="36" t="s">
        <v>1362</v>
      </c>
      <c r="DZ385" s="36" t="s">
        <v>159</v>
      </c>
      <c r="EA385" s="36" t="s">
        <v>1363</v>
      </c>
      <c r="EB385" s="37">
        <v>43517.0</v>
      </c>
      <c r="EC385" s="36" t="s">
        <v>1128</v>
      </c>
      <c r="ED385" s="38" t="s">
        <v>1382</v>
      </c>
      <c r="FL385" s="36" t="s">
        <v>1366</v>
      </c>
      <c r="FM385" s="36" t="s">
        <v>260</v>
      </c>
    </row>
    <row r="386" ht="23.25" customHeight="1">
      <c r="A386" s="29">
        <v>44660.46442171297</v>
      </c>
      <c r="B386" s="30" t="s">
        <v>6</v>
      </c>
      <c r="C386" s="30" t="s">
        <v>13</v>
      </c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0" t="s">
        <v>1383</v>
      </c>
      <c r="AY386" s="30" t="s">
        <v>1384</v>
      </c>
      <c r="AZ386" s="30" t="s">
        <v>1385</v>
      </c>
      <c r="BA386" s="30" t="s">
        <v>1386</v>
      </c>
      <c r="BB386" s="30" t="s">
        <v>1387</v>
      </c>
      <c r="BC386" s="32">
        <v>43927.0</v>
      </c>
      <c r="BD386" s="32">
        <v>43954.0</v>
      </c>
      <c r="BE386" s="32">
        <v>43954.0</v>
      </c>
      <c r="BF386" s="30">
        <v>100.0</v>
      </c>
      <c r="BG386" s="30" t="s">
        <v>1388</v>
      </c>
      <c r="BH386" s="33" t="s">
        <v>1389</v>
      </c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FL386" s="36" t="s">
        <v>1390</v>
      </c>
      <c r="FM386" s="36" t="s">
        <v>323</v>
      </c>
    </row>
    <row r="387" ht="23.25" customHeight="1">
      <c r="A387" s="29">
        <v>44660.46451947917</v>
      </c>
      <c r="B387" s="30" t="s">
        <v>6</v>
      </c>
      <c r="C387" s="30" t="s">
        <v>13</v>
      </c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0" t="s">
        <v>1349</v>
      </c>
      <c r="AY387" s="30" t="s">
        <v>1350</v>
      </c>
      <c r="AZ387" s="30" t="s">
        <v>1349</v>
      </c>
      <c r="BA387" s="30" t="s">
        <v>345</v>
      </c>
      <c r="BB387" s="30" t="s">
        <v>1391</v>
      </c>
      <c r="BC387" s="32">
        <v>43964.0</v>
      </c>
      <c r="BD387" s="32">
        <v>43984.0</v>
      </c>
      <c r="BE387" s="32">
        <v>43984.0</v>
      </c>
      <c r="BF387" s="30">
        <v>100.0</v>
      </c>
      <c r="BG387" s="30" t="s">
        <v>1388</v>
      </c>
      <c r="BH387" s="33" t="s">
        <v>1392</v>
      </c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FL387" s="36" t="s">
        <v>1355</v>
      </c>
      <c r="FM387" s="36" t="s">
        <v>323</v>
      </c>
    </row>
    <row r="388" ht="23.25" customHeight="1">
      <c r="A388" s="29">
        <v>44660.46564609953</v>
      </c>
      <c r="B388" s="30" t="s">
        <v>6</v>
      </c>
      <c r="C388" s="30" t="s">
        <v>13</v>
      </c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0" t="s">
        <v>1322</v>
      </c>
      <c r="AY388" s="30" t="s">
        <v>1323</v>
      </c>
      <c r="AZ388" s="30" t="s">
        <v>1393</v>
      </c>
      <c r="BA388" s="30" t="s">
        <v>1378</v>
      </c>
      <c r="BB388" s="30" t="s">
        <v>1379</v>
      </c>
      <c r="BC388" s="32">
        <v>43933.0</v>
      </c>
      <c r="BD388" s="32">
        <v>43942.0</v>
      </c>
      <c r="BE388" s="32">
        <v>43941.0</v>
      </c>
      <c r="BF388" s="30">
        <v>100.0</v>
      </c>
      <c r="BG388" s="30" t="s">
        <v>1380</v>
      </c>
      <c r="BH388" s="33" t="s">
        <v>1394</v>
      </c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FL388" s="36" t="s">
        <v>1327</v>
      </c>
      <c r="FM388" s="36" t="s">
        <v>260</v>
      </c>
    </row>
    <row r="389" ht="23.25" customHeight="1">
      <c r="A389" s="29">
        <v>44660.46658677083</v>
      </c>
      <c r="B389" s="30" t="s">
        <v>6</v>
      </c>
      <c r="C389" s="30" t="s">
        <v>13</v>
      </c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0" t="s">
        <v>1349</v>
      </c>
      <c r="AY389" s="30" t="s">
        <v>1350</v>
      </c>
      <c r="AZ389" s="30" t="s">
        <v>1349</v>
      </c>
      <c r="BA389" s="30" t="s">
        <v>345</v>
      </c>
      <c r="BB389" s="30" t="s">
        <v>1395</v>
      </c>
      <c r="BC389" s="32">
        <v>44653.0</v>
      </c>
      <c r="BD389" s="32">
        <v>43951.0</v>
      </c>
      <c r="BE389" s="32">
        <v>43951.0</v>
      </c>
      <c r="BF389" s="30">
        <v>100.0</v>
      </c>
      <c r="BG389" s="30" t="s">
        <v>1388</v>
      </c>
      <c r="BH389" s="33" t="s">
        <v>1396</v>
      </c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FL389" s="36" t="s">
        <v>1355</v>
      </c>
      <c r="FM389" s="36" t="s">
        <v>323</v>
      </c>
    </row>
    <row r="390" ht="23.25" customHeight="1">
      <c r="A390" s="29">
        <v>44660.46716971065</v>
      </c>
      <c r="B390" s="30" t="s">
        <v>6</v>
      </c>
      <c r="C390" s="30" t="s">
        <v>13</v>
      </c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0" t="s">
        <v>1340</v>
      </c>
      <c r="AY390" s="30" t="s">
        <v>1341</v>
      </c>
      <c r="AZ390" s="30" t="s">
        <v>1397</v>
      </c>
      <c r="BA390" s="30" t="s">
        <v>345</v>
      </c>
      <c r="BB390" s="30" t="s">
        <v>495</v>
      </c>
      <c r="BC390" s="32">
        <v>43966.0</v>
      </c>
      <c r="BD390" s="32">
        <v>43997.0</v>
      </c>
      <c r="BE390" s="32">
        <v>43997.0</v>
      </c>
      <c r="BF390" s="30">
        <v>100.0</v>
      </c>
      <c r="BG390" s="30" t="s">
        <v>1398</v>
      </c>
      <c r="BH390" s="33" t="s">
        <v>1399</v>
      </c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FL390" s="36" t="s">
        <v>1345</v>
      </c>
      <c r="FM390" s="36" t="s">
        <v>260</v>
      </c>
    </row>
    <row r="391" ht="23.25" customHeight="1">
      <c r="A391" s="29">
        <v>44660.46887793981</v>
      </c>
      <c r="B391" s="30" t="s">
        <v>6</v>
      </c>
      <c r="C391" s="30" t="s">
        <v>13</v>
      </c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0" t="s">
        <v>1340</v>
      </c>
      <c r="AY391" s="30" t="s">
        <v>1341</v>
      </c>
      <c r="AZ391" s="30" t="s">
        <v>1400</v>
      </c>
      <c r="BA391" s="30" t="s">
        <v>345</v>
      </c>
      <c r="BB391" s="30" t="s">
        <v>495</v>
      </c>
      <c r="BC391" s="32">
        <v>43979.0</v>
      </c>
      <c r="BD391" s="32">
        <v>44010.0</v>
      </c>
      <c r="BE391" s="32">
        <v>44010.0</v>
      </c>
      <c r="BF391" s="30">
        <v>100.0</v>
      </c>
      <c r="BG391" s="30" t="s">
        <v>1401</v>
      </c>
      <c r="BH391" s="33" t="s">
        <v>1402</v>
      </c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FL391" s="36" t="s">
        <v>1345</v>
      </c>
      <c r="FM391" s="36" t="s">
        <v>260</v>
      </c>
    </row>
    <row r="392" ht="23.25" customHeight="1">
      <c r="A392" s="29">
        <v>44660.46891322917</v>
      </c>
      <c r="B392" s="30" t="s">
        <v>6</v>
      </c>
      <c r="C392" s="30" t="s">
        <v>13</v>
      </c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0" t="s">
        <v>1383</v>
      </c>
      <c r="AY392" s="30" t="s">
        <v>1384</v>
      </c>
      <c r="AZ392" s="30" t="s">
        <v>1351</v>
      </c>
      <c r="BA392" s="30" t="s">
        <v>1386</v>
      </c>
      <c r="BB392" s="30" t="s">
        <v>1403</v>
      </c>
      <c r="BC392" s="32">
        <v>43910.0</v>
      </c>
      <c r="BD392" s="32">
        <v>43945.0</v>
      </c>
      <c r="BE392" s="32">
        <v>43945.0</v>
      </c>
      <c r="BF392" s="30">
        <v>100.0</v>
      </c>
      <c r="BG392" s="30" t="s">
        <v>1388</v>
      </c>
      <c r="BH392" s="33" t="s">
        <v>1404</v>
      </c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FL392" s="36" t="s">
        <v>1390</v>
      </c>
      <c r="FM392" s="36" t="s">
        <v>323</v>
      </c>
    </row>
    <row r="393" ht="23.25" customHeight="1">
      <c r="A393" s="29">
        <v>44660.47057613426</v>
      </c>
      <c r="B393" s="30" t="s">
        <v>6</v>
      </c>
      <c r="C393" s="30" t="s">
        <v>13</v>
      </c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0" t="s">
        <v>1305</v>
      </c>
      <c r="AY393" s="30" t="s">
        <v>1306</v>
      </c>
      <c r="AZ393" s="30" t="s">
        <v>1405</v>
      </c>
      <c r="BA393" s="30" t="s">
        <v>1406</v>
      </c>
      <c r="BB393" s="30">
        <v>1.0</v>
      </c>
      <c r="BC393" s="32">
        <v>43959.0</v>
      </c>
      <c r="BD393" s="32">
        <v>43994.0</v>
      </c>
      <c r="BE393" s="32">
        <v>43966.0</v>
      </c>
      <c r="BF393" s="30">
        <v>87.0</v>
      </c>
      <c r="BG393" s="30" t="s">
        <v>1407</v>
      </c>
      <c r="BH393" s="33" t="s">
        <v>1408</v>
      </c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FL393" s="36" t="s">
        <v>1310</v>
      </c>
      <c r="FM393" s="36" t="s">
        <v>323</v>
      </c>
    </row>
    <row r="394" ht="23.25" customHeight="1">
      <c r="A394" s="29">
        <v>44660.471123842595</v>
      </c>
      <c r="B394" s="30" t="s">
        <v>6</v>
      </c>
      <c r="C394" s="30" t="s">
        <v>13</v>
      </c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0" t="s">
        <v>1340</v>
      </c>
      <c r="AY394" s="30" t="s">
        <v>1341</v>
      </c>
      <c r="AZ394" s="30" t="s">
        <v>1409</v>
      </c>
      <c r="BA394" s="30" t="s">
        <v>345</v>
      </c>
      <c r="BB394" s="30" t="s">
        <v>495</v>
      </c>
      <c r="BC394" s="32">
        <v>43992.0</v>
      </c>
      <c r="BD394" s="32">
        <v>44022.0</v>
      </c>
      <c r="BE394" s="32">
        <v>44022.0</v>
      </c>
      <c r="BF394" s="30">
        <v>100.0</v>
      </c>
      <c r="BG394" s="30" t="s">
        <v>1410</v>
      </c>
      <c r="BH394" s="33" t="s">
        <v>1411</v>
      </c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FL394" s="36" t="s">
        <v>1345</v>
      </c>
      <c r="FM394" s="36" t="s">
        <v>260</v>
      </c>
    </row>
    <row r="395" ht="23.25" customHeight="1">
      <c r="A395" s="29">
        <v>44660.47115966435</v>
      </c>
      <c r="B395" s="30" t="s">
        <v>6</v>
      </c>
      <c r="C395" s="30" t="s">
        <v>13</v>
      </c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0" t="s">
        <v>1349</v>
      </c>
      <c r="AY395" s="30" t="s">
        <v>1350</v>
      </c>
      <c r="AZ395" s="30" t="s">
        <v>1412</v>
      </c>
      <c r="BA395" s="30" t="s">
        <v>1413</v>
      </c>
      <c r="BB395" s="30" t="s">
        <v>196</v>
      </c>
      <c r="BC395" s="32">
        <v>43979.0</v>
      </c>
      <c r="BD395" s="32">
        <v>43979.0</v>
      </c>
      <c r="BE395" s="32">
        <v>43979.0</v>
      </c>
      <c r="BF395" s="30">
        <v>100.0</v>
      </c>
      <c r="BG395" s="30" t="s">
        <v>1388</v>
      </c>
      <c r="BH395" s="33" t="s">
        <v>1414</v>
      </c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FL395" s="36" t="s">
        <v>1355</v>
      </c>
      <c r="FM395" s="36" t="s">
        <v>323</v>
      </c>
    </row>
    <row r="396" ht="23.25" customHeight="1">
      <c r="A396" s="29">
        <v>44660.472770312495</v>
      </c>
      <c r="B396" s="30" t="s">
        <v>6</v>
      </c>
      <c r="C396" s="30" t="s">
        <v>13</v>
      </c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0" t="s">
        <v>1340</v>
      </c>
      <c r="AY396" s="30" t="s">
        <v>1341</v>
      </c>
      <c r="AZ396" s="30" t="s">
        <v>1415</v>
      </c>
      <c r="BA396" s="30" t="s">
        <v>345</v>
      </c>
      <c r="BB396" s="30" t="s">
        <v>495</v>
      </c>
      <c r="BC396" s="32">
        <v>44000.0</v>
      </c>
      <c r="BD396" s="32">
        <v>44030.0</v>
      </c>
      <c r="BE396" s="32">
        <v>44030.0</v>
      </c>
      <c r="BF396" s="30">
        <v>100.0</v>
      </c>
      <c r="BG396" s="30" t="s">
        <v>1375</v>
      </c>
      <c r="BH396" s="33" t="s">
        <v>1416</v>
      </c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FL396" s="36" t="s">
        <v>1345</v>
      </c>
      <c r="FM396" s="36" t="s">
        <v>260</v>
      </c>
    </row>
    <row r="397" ht="23.25" customHeight="1">
      <c r="A397" s="29">
        <v>44660.472941608794</v>
      </c>
      <c r="B397" s="30" t="s">
        <v>6</v>
      </c>
      <c r="C397" s="30" t="s">
        <v>12</v>
      </c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0" t="s">
        <v>1417</v>
      </c>
      <c r="AO397" s="30" t="s">
        <v>1418</v>
      </c>
      <c r="AP397" s="30" t="s">
        <v>1419</v>
      </c>
      <c r="AQ397" s="30" t="s">
        <v>1420</v>
      </c>
      <c r="AR397" s="32">
        <v>44418.0</v>
      </c>
      <c r="AS397" s="32">
        <v>44544.0</v>
      </c>
      <c r="AT397" s="30" t="s">
        <v>257</v>
      </c>
      <c r="AU397" s="30" t="s">
        <v>257</v>
      </c>
      <c r="AV397" s="30">
        <v>0.0</v>
      </c>
      <c r="AW397" s="33" t="s">
        <v>1421</v>
      </c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FL397" s="36" t="s">
        <v>1422</v>
      </c>
      <c r="FM397" s="36" t="s">
        <v>278</v>
      </c>
    </row>
    <row r="398" ht="23.25" customHeight="1">
      <c r="A398" s="29">
        <v>44660.47352002315</v>
      </c>
      <c r="B398" s="30" t="s">
        <v>6</v>
      </c>
      <c r="C398" s="30" t="s">
        <v>13</v>
      </c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0" t="s">
        <v>1423</v>
      </c>
      <c r="AY398" s="30" t="s">
        <v>1424</v>
      </c>
      <c r="AZ398" s="30" t="s">
        <v>500</v>
      </c>
      <c r="BA398" s="30" t="s">
        <v>309</v>
      </c>
      <c r="BB398" s="30" t="s">
        <v>410</v>
      </c>
      <c r="BC398" s="32">
        <v>44531.0</v>
      </c>
      <c r="BD398" s="32">
        <v>44531.0</v>
      </c>
      <c r="BE398" s="32">
        <v>44531.0</v>
      </c>
      <c r="BF398" s="30">
        <v>100.0</v>
      </c>
      <c r="BG398" s="30" t="s">
        <v>550</v>
      </c>
      <c r="BH398" s="33" t="s">
        <v>1425</v>
      </c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FL398" s="36" t="s">
        <v>1426</v>
      </c>
      <c r="FM398" s="36" t="s">
        <v>260</v>
      </c>
    </row>
    <row r="399" ht="23.25" customHeight="1">
      <c r="A399" s="29">
        <v>44660.47383619213</v>
      </c>
      <c r="B399" s="30" t="s">
        <v>6</v>
      </c>
      <c r="C399" s="30" t="s">
        <v>13</v>
      </c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0" t="s">
        <v>1427</v>
      </c>
      <c r="AY399" s="30" t="s">
        <v>1428</v>
      </c>
      <c r="AZ399" s="30" t="s">
        <v>1193</v>
      </c>
      <c r="BA399" s="30" t="s">
        <v>377</v>
      </c>
      <c r="BB399" s="30">
        <v>2.0</v>
      </c>
      <c r="BC399" s="32">
        <v>44344.0</v>
      </c>
      <c r="BD399" s="32">
        <v>43674.0</v>
      </c>
      <c r="BE399" s="32">
        <v>43674.0</v>
      </c>
      <c r="BF399" s="30">
        <v>89.0</v>
      </c>
      <c r="BG399" s="30" t="s">
        <v>1429</v>
      </c>
      <c r="BH399" s="33" t="s">
        <v>1430</v>
      </c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FL399" s="36" t="s">
        <v>1431</v>
      </c>
      <c r="FM399" s="36" t="s">
        <v>260</v>
      </c>
    </row>
    <row r="400" ht="23.25" customHeight="1">
      <c r="A400" s="29">
        <v>44660.475331180554</v>
      </c>
      <c r="B400" s="30" t="s">
        <v>6</v>
      </c>
      <c r="C400" s="30" t="s">
        <v>12</v>
      </c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0" t="s">
        <v>516</v>
      </c>
      <c r="AO400" s="30" t="s">
        <v>517</v>
      </c>
      <c r="AP400" s="30" t="s">
        <v>1432</v>
      </c>
      <c r="AQ400" s="30" t="s">
        <v>450</v>
      </c>
      <c r="AR400" s="32">
        <v>44075.0</v>
      </c>
      <c r="AS400" s="32">
        <v>44136.0</v>
      </c>
      <c r="AT400" s="30" t="s">
        <v>257</v>
      </c>
      <c r="AU400" s="30" t="s">
        <v>256</v>
      </c>
      <c r="AV400" s="30">
        <v>5000.0</v>
      </c>
      <c r="AW400" s="33" t="s">
        <v>1433</v>
      </c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FL400" s="36" t="s">
        <v>520</v>
      </c>
      <c r="FM400" s="36" t="s">
        <v>260</v>
      </c>
    </row>
    <row r="401" ht="23.25" customHeight="1">
      <c r="A401" s="29">
        <v>44660.47569924769</v>
      </c>
      <c r="B401" s="30" t="s">
        <v>6</v>
      </c>
      <c r="C401" s="30" t="s">
        <v>13</v>
      </c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0" t="s">
        <v>1427</v>
      </c>
      <c r="AY401" s="30" t="s">
        <v>1428</v>
      </c>
      <c r="AZ401" s="30" t="s">
        <v>1263</v>
      </c>
      <c r="BA401" s="30" t="s">
        <v>1434</v>
      </c>
      <c r="BB401" s="30">
        <v>6.0</v>
      </c>
      <c r="BC401" s="32">
        <v>44197.0</v>
      </c>
      <c r="BD401" s="32">
        <v>44377.0</v>
      </c>
      <c r="BE401" s="32">
        <v>44377.0</v>
      </c>
      <c r="BF401" s="30">
        <v>90.0</v>
      </c>
      <c r="BG401" s="30" t="s">
        <v>1435</v>
      </c>
      <c r="BH401" s="33" t="s">
        <v>1436</v>
      </c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FL401" s="36" t="s">
        <v>1431</v>
      </c>
      <c r="FM401" s="36" t="s">
        <v>260</v>
      </c>
    </row>
    <row r="402" ht="23.25" customHeight="1">
      <c r="A402" s="29">
        <v>44660.47607434027</v>
      </c>
      <c r="B402" s="30" t="s">
        <v>6</v>
      </c>
      <c r="C402" s="30" t="s">
        <v>13</v>
      </c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0" t="s">
        <v>1423</v>
      </c>
      <c r="AY402" s="30" t="s">
        <v>1424</v>
      </c>
      <c r="AZ402" s="30" t="s">
        <v>351</v>
      </c>
      <c r="BA402" s="30" t="s">
        <v>377</v>
      </c>
      <c r="BB402" s="30" t="s">
        <v>410</v>
      </c>
      <c r="BC402" s="32">
        <v>43646.0</v>
      </c>
      <c r="BD402" s="32">
        <v>43676.0</v>
      </c>
      <c r="BE402" s="32">
        <v>43677.0</v>
      </c>
      <c r="BF402" s="30">
        <v>90.0</v>
      </c>
      <c r="BG402" s="30" t="s">
        <v>1437</v>
      </c>
      <c r="BH402" s="33" t="s">
        <v>1438</v>
      </c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FL402" s="36" t="s">
        <v>1426</v>
      </c>
      <c r="FM402" s="36" t="s">
        <v>260</v>
      </c>
    </row>
    <row r="403" ht="23.25" customHeight="1">
      <c r="A403" s="29">
        <v>44660.47659614583</v>
      </c>
      <c r="B403" s="30" t="s">
        <v>6</v>
      </c>
      <c r="C403" s="30" t="s">
        <v>13</v>
      </c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0" t="s">
        <v>1305</v>
      </c>
      <c r="AY403" s="30" t="s">
        <v>1306</v>
      </c>
      <c r="AZ403" s="30" t="s">
        <v>1439</v>
      </c>
      <c r="BA403" s="30" t="s">
        <v>1440</v>
      </c>
      <c r="BB403" s="30">
        <v>1.0</v>
      </c>
      <c r="BC403" s="32">
        <v>44627.0</v>
      </c>
      <c r="BD403" s="32">
        <v>44658.0</v>
      </c>
      <c r="BE403" s="32">
        <v>44658.0</v>
      </c>
      <c r="BF403" s="30">
        <v>100.0</v>
      </c>
      <c r="BG403" s="30" t="s">
        <v>1407</v>
      </c>
      <c r="BH403" s="33" t="s">
        <v>1441</v>
      </c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FL403" s="36" t="s">
        <v>1310</v>
      </c>
      <c r="FM403" s="36" t="s">
        <v>260</v>
      </c>
    </row>
    <row r="404" ht="23.25" customHeight="1">
      <c r="A404" s="29">
        <v>44660.4767640625</v>
      </c>
      <c r="B404" s="30" t="s">
        <v>6</v>
      </c>
      <c r="C404" s="30" t="s">
        <v>13</v>
      </c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0" t="s">
        <v>1340</v>
      </c>
      <c r="AY404" s="30" t="s">
        <v>1341</v>
      </c>
      <c r="AZ404" s="30" t="s">
        <v>351</v>
      </c>
      <c r="BA404" s="30" t="s">
        <v>377</v>
      </c>
      <c r="BB404" s="30" t="s">
        <v>495</v>
      </c>
      <c r="BC404" s="32">
        <v>43646.0</v>
      </c>
      <c r="BD404" s="32">
        <v>43676.0</v>
      </c>
      <c r="BE404" s="32">
        <v>43676.0</v>
      </c>
      <c r="BF404" s="30">
        <v>100.0</v>
      </c>
      <c r="BG404" s="30" t="s">
        <v>1442</v>
      </c>
      <c r="BH404" s="33" t="s">
        <v>1443</v>
      </c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FL404" s="36" t="s">
        <v>1345</v>
      </c>
      <c r="FM404" s="36" t="s">
        <v>260</v>
      </c>
    </row>
    <row r="405" ht="23.25" customHeight="1">
      <c r="A405" s="29">
        <v>44660.47742466435</v>
      </c>
      <c r="B405" s="30" t="s">
        <v>6</v>
      </c>
      <c r="C405" s="30" t="s">
        <v>13</v>
      </c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0" t="s">
        <v>1427</v>
      </c>
      <c r="AY405" s="30" t="s">
        <v>1428</v>
      </c>
      <c r="AZ405" s="30" t="s">
        <v>1444</v>
      </c>
      <c r="BA405" s="30" t="s">
        <v>1434</v>
      </c>
      <c r="BB405" s="30">
        <v>2.0</v>
      </c>
      <c r="BC405" s="32">
        <v>44324.0</v>
      </c>
      <c r="BD405" s="32">
        <v>44385.0</v>
      </c>
      <c r="BE405" s="32">
        <v>44385.0</v>
      </c>
      <c r="BF405" s="30">
        <v>89.0</v>
      </c>
      <c r="BG405" s="30" t="s">
        <v>1429</v>
      </c>
      <c r="BH405" s="33" t="s">
        <v>1445</v>
      </c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FL405" s="36" t="s">
        <v>1431</v>
      </c>
      <c r="FM405" s="36" t="s">
        <v>260</v>
      </c>
    </row>
    <row r="406" ht="23.25" customHeight="1">
      <c r="A406" s="29">
        <v>44660.47845206018</v>
      </c>
      <c r="B406" s="30" t="s">
        <v>6</v>
      </c>
      <c r="C406" s="30" t="s">
        <v>13</v>
      </c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0" t="s">
        <v>1423</v>
      </c>
      <c r="AY406" s="30" t="s">
        <v>1424</v>
      </c>
      <c r="AZ406" s="30" t="s">
        <v>1183</v>
      </c>
      <c r="BA406" s="30" t="s">
        <v>377</v>
      </c>
      <c r="BB406" s="30" t="s">
        <v>495</v>
      </c>
      <c r="BC406" s="32">
        <v>43529.0</v>
      </c>
      <c r="BD406" s="32">
        <v>43585.0</v>
      </c>
      <c r="BE406" s="32">
        <v>43585.0</v>
      </c>
      <c r="BF406" s="30">
        <v>90.0</v>
      </c>
      <c r="BG406" s="30" t="s">
        <v>497</v>
      </c>
      <c r="BH406" s="33" t="s">
        <v>1446</v>
      </c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FL406" s="36" t="s">
        <v>1426</v>
      </c>
      <c r="FM406" s="36" t="s">
        <v>260</v>
      </c>
    </row>
    <row r="407" ht="23.25" customHeight="1">
      <c r="A407" s="29">
        <v>44660.47864077546</v>
      </c>
      <c r="B407" s="30" t="s">
        <v>6</v>
      </c>
      <c r="C407" s="30" t="s">
        <v>13</v>
      </c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0" t="s">
        <v>1417</v>
      </c>
      <c r="AY407" s="30" t="s">
        <v>1418</v>
      </c>
      <c r="AZ407" s="30" t="s">
        <v>603</v>
      </c>
      <c r="BA407" s="30" t="s">
        <v>309</v>
      </c>
      <c r="BB407" s="30" t="s">
        <v>495</v>
      </c>
      <c r="BC407" s="32">
        <v>44652.0</v>
      </c>
      <c r="BD407" s="32">
        <v>44681.0</v>
      </c>
      <c r="BE407" s="32">
        <v>44681.0</v>
      </c>
      <c r="BF407" s="30">
        <v>100.0</v>
      </c>
      <c r="BG407" s="30" t="s">
        <v>339</v>
      </c>
      <c r="BH407" s="33" t="s">
        <v>1447</v>
      </c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FL407" s="36" t="s">
        <v>1422</v>
      </c>
      <c r="FM407" s="36" t="s">
        <v>278</v>
      </c>
    </row>
    <row r="408" ht="23.25" customHeight="1">
      <c r="A408" s="29">
        <v>44660.47922060185</v>
      </c>
      <c r="B408" s="30" t="s">
        <v>6</v>
      </c>
      <c r="C408" s="30" t="s">
        <v>13</v>
      </c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0" t="s">
        <v>1305</v>
      </c>
      <c r="AY408" s="30" t="s">
        <v>1306</v>
      </c>
      <c r="AZ408" s="30" t="s">
        <v>1448</v>
      </c>
      <c r="BA408" s="30" t="s">
        <v>377</v>
      </c>
      <c r="BB408" s="30">
        <v>1.0</v>
      </c>
      <c r="BC408" s="32">
        <v>44265.0</v>
      </c>
      <c r="BD408" s="32">
        <v>44295.0</v>
      </c>
      <c r="BE408" s="32">
        <v>44302.0</v>
      </c>
      <c r="BF408" s="30">
        <v>100.0</v>
      </c>
      <c r="BG408" s="30" t="s">
        <v>1449</v>
      </c>
      <c r="BH408" s="33" t="s">
        <v>1450</v>
      </c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FL408" s="36" t="s">
        <v>1310</v>
      </c>
      <c r="FM408" s="36" t="s">
        <v>382</v>
      </c>
    </row>
    <row r="409" ht="23.25" customHeight="1">
      <c r="A409" s="29">
        <v>44660.480616712965</v>
      </c>
      <c r="B409" s="30" t="s">
        <v>6</v>
      </c>
      <c r="C409" s="30" t="s">
        <v>13</v>
      </c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0" t="s">
        <v>1427</v>
      </c>
      <c r="AY409" s="30" t="s">
        <v>1428</v>
      </c>
      <c r="AZ409" s="30" t="s">
        <v>1451</v>
      </c>
      <c r="BA409" s="30" t="s">
        <v>1452</v>
      </c>
      <c r="BB409" s="30" t="s">
        <v>1453</v>
      </c>
      <c r="BC409" s="32">
        <v>44013.0</v>
      </c>
      <c r="BD409" s="32">
        <v>44013.0</v>
      </c>
      <c r="BE409" s="32">
        <v>44013.0</v>
      </c>
      <c r="BF409" s="30">
        <v>100.0</v>
      </c>
      <c r="BG409" s="30" t="s">
        <v>1429</v>
      </c>
      <c r="BH409" s="33" t="s">
        <v>1454</v>
      </c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FL409" s="36" t="s">
        <v>1431</v>
      </c>
      <c r="FM409" s="36" t="s">
        <v>260</v>
      </c>
    </row>
    <row r="410" ht="23.25" customHeight="1">
      <c r="A410" s="29">
        <v>44660.48180498843</v>
      </c>
      <c r="B410" s="30" t="s">
        <v>6</v>
      </c>
      <c r="C410" s="30" t="s">
        <v>13</v>
      </c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0" t="s">
        <v>1417</v>
      </c>
      <c r="AY410" s="30" t="s">
        <v>1418</v>
      </c>
      <c r="AZ410" s="30" t="s">
        <v>1455</v>
      </c>
      <c r="BA410" s="30" t="s">
        <v>309</v>
      </c>
      <c r="BB410" s="30" t="s">
        <v>670</v>
      </c>
      <c r="BC410" s="32">
        <v>44876.0</v>
      </c>
      <c r="BD410" s="32">
        <v>44876.0</v>
      </c>
      <c r="BE410" s="32">
        <v>44876.0</v>
      </c>
      <c r="BF410" s="30">
        <v>98.0</v>
      </c>
      <c r="BG410" s="30" t="s">
        <v>525</v>
      </c>
      <c r="BH410" s="33" t="s">
        <v>1456</v>
      </c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FL410" s="36" t="s">
        <v>1422</v>
      </c>
      <c r="FM410" s="36" t="s">
        <v>278</v>
      </c>
    </row>
    <row r="411" ht="23.25" customHeight="1">
      <c r="A411" s="29">
        <v>44660.48192302084</v>
      </c>
      <c r="B411" s="30" t="s">
        <v>6</v>
      </c>
      <c r="C411" s="30" t="s">
        <v>13</v>
      </c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0" t="s">
        <v>1423</v>
      </c>
      <c r="AY411" s="30" t="s">
        <v>1424</v>
      </c>
      <c r="AZ411" s="30" t="s">
        <v>1457</v>
      </c>
      <c r="BA411" s="30" t="s">
        <v>345</v>
      </c>
      <c r="BB411" s="30" t="s">
        <v>495</v>
      </c>
      <c r="BC411" s="32">
        <v>43930.0</v>
      </c>
      <c r="BD411" s="32">
        <v>43967.0</v>
      </c>
      <c r="BE411" s="32">
        <v>43967.0</v>
      </c>
      <c r="BF411" s="30">
        <v>100.0</v>
      </c>
      <c r="BG411" s="30" t="s">
        <v>523</v>
      </c>
      <c r="BH411" s="33" t="s">
        <v>1458</v>
      </c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FL411" s="36" t="s">
        <v>1426</v>
      </c>
      <c r="FM411" s="36" t="s">
        <v>260</v>
      </c>
    </row>
    <row r="412" ht="23.25" customHeight="1">
      <c r="A412" s="29">
        <v>44660.48285908565</v>
      </c>
      <c r="B412" s="30" t="s">
        <v>6</v>
      </c>
      <c r="C412" s="30" t="s">
        <v>13</v>
      </c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0" t="s">
        <v>1427</v>
      </c>
      <c r="AY412" s="30" t="s">
        <v>1428</v>
      </c>
      <c r="AZ412" s="30" t="s">
        <v>1459</v>
      </c>
      <c r="BA412" s="30" t="s">
        <v>1452</v>
      </c>
      <c r="BB412" s="30" t="s">
        <v>1460</v>
      </c>
      <c r="BC412" s="32">
        <v>44593.0</v>
      </c>
      <c r="BD412" s="32">
        <v>44657.0</v>
      </c>
      <c r="BE412" s="32">
        <v>44657.0</v>
      </c>
      <c r="BF412" s="30">
        <v>100.0</v>
      </c>
      <c r="BG412" s="30" t="s">
        <v>1429</v>
      </c>
      <c r="BH412" s="33" t="s">
        <v>1461</v>
      </c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FL412" s="36" t="s">
        <v>1431</v>
      </c>
      <c r="FM412" s="36" t="s">
        <v>260</v>
      </c>
    </row>
    <row r="413" ht="23.25" customHeight="1">
      <c r="A413" s="29">
        <v>44660.4840065625</v>
      </c>
      <c r="B413" s="30" t="s">
        <v>6</v>
      </c>
      <c r="C413" s="30" t="s">
        <v>13</v>
      </c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0" t="s">
        <v>1417</v>
      </c>
      <c r="AY413" s="30" t="s">
        <v>1418</v>
      </c>
      <c r="AZ413" s="30" t="s">
        <v>1462</v>
      </c>
      <c r="BA413" s="30" t="s">
        <v>1463</v>
      </c>
      <c r="BB413" s="30" t="s">
        <v>1464</v>
      </c>
      <c r="BC413" s="32">
        <v>44896.0</v>
      </c>
      <c r="BD413" s="32">
        <v>44896.0</v>
      </c>
      <c r="BE413" s="32">
        <v>44896.0</v>
      </c>
      <c r="BF413" s="30">
        <v>98.0</v>
      </c>
      <c r="BG413" s="30" t="s">
        <v>525</v>
      </c>
      <c r="BH413" s="33" t="s">
        <v>1465</v>
      </c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FL413" s="36" t="s">
        <v>1422</v>
      </c>
      <c r="FM413" s="36" t="s">
        <v>278</v>
      </c>
    </row>
    <row r="414" ht="23.25" customHeight="1">
      <c r="A414" s="29">
        <v>44660.48403821759</v>
      </c>
      <c r="B414" s="30" t="s">
        <v>6</v>
      </c>
      <c r="C414" s="30" t="s">
        <v>13</v>
      </c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0" t="s">
        <v>1423</v>
      </c>
      <c r="AY414" s="30" t="s">
        <v>1424</v>
      </c>
      <c r="AZ414" s="30" t="s">
        <v>1374</v>
      </c>
      <c r="BA414" s="30" t="s">
        <v>1466</v>
      </c>
      <c r="BB414" s="30" t="s">
        <v>310</v>
      </c>
      <c r="BC414" s="32">
        <v>43923.0</v>
      </c>
      <c r="BD414" s="32">
        <v>44007.0</v>
      </c>
      <c r="BE414" s="32">
        <v>44007.0</v>
      </c>
      <c r="BF414" s="30">
        <v>80.0</v>
      </c>
      <c r="BG414" s="30" t="s">
        <v>523</v>
      </c>
      <c r="BH414" s="33" t="s">
        <v>1467</v>
      </c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FL414" s="36" t="s">
        <v>1426</v>
      </c>
      <c r="FM414" s="36" t="s">
        <v>260</v>
      </c>
    </row>
    <row r="415" ht="23.25" customHeight="1">
      <c r="A415" s="29">
        <v>44660.48474722222</v>
      </c>
      <c r="B415" s="30" t="s">
        <v>6</v>
      </c>
      <c r="C415" s="30" t="s">
        <v>13</v>
      </c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0" t="s">
        <v>1427</v>
      </c>
      <c r="AY415" s="30" t="s">
        <v>1428</v>
      </c>
      <c r="AZ415" s="30" t="s">
        <v>1468</v>
      </c>
      <c r="BA415" s="30" t="s">
        <v>1452</v>
      </c>
      <c r="BB415" s="30" t="s">
        <v>1469</v>
      </c>
      <c r="BC415" s="32">
        <v>44653.0</v>
      </c>
      <c r="BD415" s="32">
        <v>44657.0</v>
      </c>
      <c r="BE415" s="32">
        <v>44657.0</v>
      </c>
      <c r="BF415" s="30">
        <v>100.0</v>
      </c>
      <c r="BG415" s="30" t="s">
        <v>1429</v>
      </c>
      <c r="BH415" s="33" t="s">
        <v>1470</v>
      </c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FL415" s="36" t="s">
        <v>1431</v>
      </c>
      <c r="FM415" s="36" t="s">
        <v>260</v>
      </c>
    </row>
    <row r="416" ht="23.25" customHeight="1">
      <c r="A416" s="29">
        <v>44660.48653071759</v>
      </c>
      <c r="B416" s="30" t="s">
        <v>6</v>
      </c>
      <c r="C416" s="30" t="s">
        <v>12</v>
      </c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0" t="s">
        <v>1471</v>
      </c>
      <c r="AO416" s="30" t="s">
        <v>1472</v>
      </c>
      <c r="AP416" s="30" t="s">
        <v>1473</v>
      </c>
      <c r="AQ416" s="30" t="s">
        <v>507</v>
      </c>
      <c r="AR416" s="32">
        <v>44473.0</v>
      </c>
      <c r="AS416" s="32">
        <v>44561.0</v>
      </c>
      <c r="AT416" s="30" t="s">
        <v>257</v>
      </c>
      <c r="AU416" s="30" t="s">
        <v>257</v>
      </c>
      <c r="AV416" s="30">
        <v>0.0</v>
      </c>
      <c r="AW416" s="33" t="s">
        <v>1474</v>
      </c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FL416" s="36" t="s">
        <v>1475</v>
      </c>
      <c r="FM416" s="36" t="s">
        <v>260</v>
      </c>
    </row>
    <row r="417" ht="23.25" customHeight="1">
      <c r="A417" s="29">
        <v>44660.48724792824</v>
      </c>
      <c r="B417" s="30" t="s">
        <v>6</v>
      </c>
      <c r="C417" s="30" t="s">
        <v>13</v>
      </c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0" t="s">
        <v>1315</v>
      </c>
      <c r="AY417" s="30" t="s">
        <v>1316</v>
      </c>
      <c r="AZ417" s="30" t="s">
        <v>1476</v>
      </c>
      <c r="BA417" s="30" t="s">
        <v>1477</v>
      </c>
      <c r="BB417" s="30">
        <v>2.0</v>
      </c>
      <c r="BC417" s="32">
        <v>43505.0</v>
      </c>
      <c r="BD417" s="32">
        <v>43506.0</v>
      </c>
      <c r="BE417" s="32">
        <v>43506.0</v>
      </c>
      <c r="BF417" s="30">
        <v>100.0</v>
      </c>
      <c r="BG417" s="30" t="s">
        <v>1478</v>
      </c>
      <c r="BH417" s="33" t="s">
        <v>1479</v>
      </c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FL417" s="36" t="s">
        <v>1321</v>
      </c>
      <c r="FM417" s="36" t="s">
        <v>260</v>
      </c>
    </row>
    <row r="418" ht="23.25" customHeight="1">
      <c r="A418" s="29">
        <v>44660.489501504635</v>
      </c>
      <c r="B418" s="30" t="s">
        <v>6</v>
      </c>
      <c r="C418" s="30" t="s">
        <v>12</v>
      </c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0" t="s">
        <v>1480</v>
      </c>
      <c r="AO418" s="30" t="s">
        <v>1428</v>
      </c>
      <c r="AP418" s="30" t="s">
        <v>1254</v>
      </c>
      <c r="AQ418" s="30" t="s">
        <v>348</v>
      </c>
      <c r="AR418" s="32">
        <v>44615.0</v>
      </c>
      <c r="AS418" s="32">
        <v>44680.0</v>
      </c>
      <c r="AT418" s="30" t="s">
        <v>257</v>
      </c>
      <c r="AU418" s="30" t="s">
        <v>257</v>
      </c>
      <c r="AV418" s="30">
        <v>0.0</v>
      </c>
      <c r="AW418" s="33" t="s">
        <v>1481</v>
      </c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FL418" s="36" t="s">
        <v>1431</v>
      </c>
      <c r="FM418" s="36" t="s">
        <v>260</v>
      </c>
    </row>
    <row r="419" ht="23.25" customHeight="1">
      <c r="A419" s="29">
        <v>44660.490515682875</v>
      </c>
      <c r="B419" s="30" t="s">
        <v>6</v>
      </c>
      <c r="C419" s="30" t="s">
        <v>13</v>
      </c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0" t="s">
        <v>1315</v>
      </c>
      <c r="AY419" s="30" t="s">
        <v>1316</v>
      </c>
      <c r="AZ419" s="30" t="s">
        <v>1088</v>
      </c>
      <c r="BA419" s="30" t="s">
        <v>1482</v>
      </c>
      <c r="BB419" s="30">
        <v>2.0</v>
      </c>
      <c r="BC419" s="32">
        <v>44295.0</v>
      </c>
      <c r="BD419" s="32">
        <v>44419.0</v>
      </c>
      <c r="BE419" s="32">
        <v>44415.0</v>
      </c>
      <c r="BF419" s="30">
        <v>100.0</v>
      </c>
      <c r="BG419" s="30" t="s">
        <v>1483</v>
      </c>
      <c r="BH419" s="33" t="s">
        <v>1484</v>
      </c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FL419" s="36" t="s">
        <v>1321</v>
      </c>
      <c r="FM419" s="36" t="s">
        <v>260</v>
      </c>
    </row>
    <row r="420" ht="23.25" customHeight="1">
      <c r="A420" s="29">
        <v>44660.49571643518</v>
      </c>
      <c r="B420" s="30" t="s">
        <v>6</v>
      </c>
      <c r="C420" s="30" t="s">
        <v>20</v>
      </c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DX420" s="36" t="s">
        <v>1485</v>
      </c>
      <c r="DY420" s="36" t="s">
        <v>1418</v>
      </c>
      <c r="DZ420" s="36" t="s">
        <v>171</v>
      </c>
      <c r="EA420" s="36" t="s">
        <v>1486</v>
      </c>
      <c r="EB420" s="37">
        <v>44311.0</v>
      </c>
      <c r="EC420" s="36" t="s">
        <v>1487</v>
      </c>
      <c r="ED420" s="38" t="s">
        <v>1488</v>
      </c>
      <c r="FL420" s="36" t="s">
        <v>1422</v>
      </c>
      <c r="FM420" s="36" t="s">
        <v>341</v>
      </c>
    </row>
    <row r="421" ht="23.25" customHeight="1">
      <c r="A421" s="29">
        <v>44660.49679900463</v>
      </c>
      <c r="B421" s="30" t="s">
        <v>6</v>
      </c>
      <c r="C421" s="30" t="s">
        <v>13</v>
      </c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0" t="s">
        <v>1315</v>
      </c>
      <c r="AY421" s="30" t="s">
        <v>1316</v>
      </c>
      <c r="AZ421" s="30" t="s">
        <v>1489</v>
      </c>
      <c r="BA421" s="30" t="s">
        <v>345</v>
      </c>
      <c r="BB421" s="30" t="s">
        <v>310</v>
      </c>
      <c r="BC421" s="32">
        <v>44317.0</v>
      </c>
      <c r="BD421" s="32">
        <v>44378.0</v>
      </c>
      <c r="BE421" s="32">
        <v>44347.0</v>
      </c>
      <c r="BF421" s="30">
        <v>100.0</v>
      </c>
      <c r="BG421" s="30" t="s">
        <v>1490</v>
      </c>
      <c r="BH421" s="33" t="s">
        <v>1491</v>
      </c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FL421" s="36" t="s">
        <v>1321</v>
      </c>
      <c r="FM421" s="36" t="s">
        <v>260</v>
      </c>
    </row>
    <row r="422" ht="23.25" customHeight="1">
      <c r="A422" s="29">
        <v>44660.49743740741</v>
      </c>
      <c r="B422" s="30" t="s">
        <v>6</v>
      </c>
      <c r="C422" s="30" t="s">
        <v>13</v>
      </c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0" t="s">
        <v>1471</v>
      </c>
      <c r="AY422" s="30" t="s">
        <v>1472</v>
      </c>
      <c r="AZ422" s="30" t="s">
        <v>1492</v>
      </c>
      <c r="BA422" s="30" t="s">
        <v>337</v>
      </c>
      <c r="BB422" s="30" t="s">
        <v>1493</v>
      </c>
      <c r="BC422" s="32">
        <v>44317.0</v>
      </c>
      <c r="BD422" s="32">
        <v>44742.0</v>
      </c>
      <c r="BE422" s="32">
        <v>44385.0</v>
      </c>
      <c r="BF422" s="30">
        <v>90.0</v>
      </c>
      <c r="BG422" s="30" t="s">
        <v>1494</v>
      </c>
      <c r="BH422" s="33" t="s">
        <v>1495</v>
      </c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FL422" s="36" t="s">
        <v>1475</v>
      </c>
      <c r="FM422" s="36" t="s">
        <v>260</v>
      </c>
    </row>
    <row r="423" ht="23.25" customHeight="1">
      <c r="A423" s="29">
        <v>44660.497953032405</v>
      </c>
      <c r="B423" s="30" t="s">
        <v>6</v>
      </c>
      <c r="C423" s="30" t="s">
        <v>13</v>
      </c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0" t="s">
        <v>1496</v>
      </c>
      <c r="AY423" s="30" t="s">
        <v>1497</v>
      </c>
      <c r="AZ423" s="30" t="s">
        <v>1498</v>
      </c>
      <c r="BA423" s="30" t="s">
        <v>1499</v>
      </c>
      <c r="BB423" s="30">
        <v>2.0</v>
      </c>
      <c r="BC423" s="32">
        <v>43694.0</v>
      </c>
      <c r="BD423" s="32">
        <v>43695.0</v>
      </c>
      <c r="BE423" s="32">
        <v>43695.0</v>
      </c>
      <c r="BF423" s="30">
        <v>100.0</v>
      </c>
      <c r="BG423" s="30" t="s">
        <v>339</v>
      </c>
      <c r="BH423" s="33" t="s">
        <v>1500</v>
      </c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FL423" s="36" t="s">
        <v>1501</v>
      </c>
      <c r="FM423" s="36" t="s">
        <v>260</v>
      </c>
    </row>
    <row r="424" ht="23.25" customHeight="1">
      <c r="A424" s="29">
        <v>44660.49891663194</v>
      </c>
      <c r="B424" s="30" t="s">
        <v>6</v>
      </c>
      <c r="C424" s="30" t="s">
        <v>13</v>
      </c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0" t="s">
        <v>1315</v>
      </c>
      <c r="AY424" s="30" t="s">
        <v>1316</v>
      </c>
      <c r="AZ424" s="30" t="s">
        <v>1502</v>
      </c>
      <c r="BA424" s="30" t="s">
        <v>377</v>
      </c>
      <c r="BB424" s="30" t="s">
        <v>1335</v>
      </c>
      <c r="BC424" s="32">
        <v>43607.0</v>
      </c>
      <c r="BD424" s="32">
        <v>43675.0</v>
      </c>
      <c r="BE424" s="32">
        <v>43675.0</v>
      </c>
      <c r="BF424" s="30">
        <v>100.0</v>
      </c>
      <c r="BG424" s="30" t="s">
        <v>1503</v>
      </c>
      <c r="BH424" s="33" t="s">
        <v>1504</v>
      </c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FL424" s="36" t="s">
        <v>1321</v>
      </c>
      <c r="FM424" s="36" t="s">
        <v>260</v>
      </c>
    </row>
    <row r="425" ht="23.25" customHeight="1">
      <c r="A425" s="29">
        <v>44660.498939826386</v>
      </c>
      <c r="B425" s="30" t="s">
        <v>6</v>
      </c>
      <c r="C425" s="30" t="s">
        <v>20</v>
      </c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DX425" s="36" t="s">
        <v>1485</v>
      </c>
      <c r="DY425" s="36" t="s">
        <v>1418</v>
      </c>
      <c r="DZ425" s="36" t="s">
        <v>159</v>
      </c>
      <c r="EA425" s="36" t="s">
        <v>1505</v>
      </c>
      <c r="EB425" s="37">
        <v>43580.0</v>
      </c>
      <c r="EC425" s="36" t="s">
        <v>1506</v>
      </c>
      <c r="ED425" s="38" t="s">
        <v>1507</v>
      </c>
      <c r="FL425" s="36" t="s">
        <v>1422</v>
      </c>
      <c r="FM425" s="36" t="s">
        <v>555</v>
      </c>
    </row>
    <row r="426" ht="23.25" customHeight="1">
      <c r="A426" s="29">
        <v>44660.5001634375</v>
      </c>
      <c r="B426" s="30" t="s">
        <v>6</v>
      </c>
      <c r="C426" s="30" t="s">
        <v>20</v>
      </c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DX426" s="36" t="s">
        <v>1471</v>
      </c>
      <c r="DY426" s="36" t="s">
        <v>1472</v>
      </c>
      <c r="DZ426" s="36" t="s">
        <v>150</v>
      </c>
      <c r="EA426" s="36" t="s">
        <v>1508</v>
      </c>
      <c r="EB426" s="37">
        <v>43577.0</v>
      </c>
      <c r="EC426" s="36" t="s">
        <v>1509</v>
      </c>
      <c r="ED426" s="38" t="s">
        <v>1510</v>
      </c>
      <c r="FL426" s="36" t="s">
        <v>1475</v>
      </c>
      <c r="FM426" s="36" t="s">
        <v>260</v>
      </c>
    </row>
    <row r="427" ht="23.25" customHeight="1">
      <c r="A427" s="29">
        <v>44660.501174606485</v>
      </c>
      <c r="B427" s="30" t="s">
        <v>6</v>
      </c>
      <c r="C427" s="30" t="s">
        <v>13</v>
      </c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0" t="s">
        <v>1511</v>
      </c>
      <c r="AY427" s="30" t="s">
        <v>1497</v>
      </c>
      <c r="AZ427" s="30" t="s">
        <v>1512</v>
      </c>
      <c r="BA427" s="30" t="s">
        <v>345</v>
      </c>
      <c r="BB427" s="30" t="s">
        <v>310</v>
      </c>
      <c r="BC427" s="32">
        <v>43911.0</v>
      </c>
      <c r="BD427" s="32">
        <v>43982.0</v>
      </c>
      <c r="BE427" s="32">
        <v>43982.0</v>
      </c>
      <c r="BF427" s="30">
        <v>100.0</v>
      </c>
      <c r="BG427" s="30" t="s">
        <v>1513</v>
      </c>
      <c r="BH427" s="33" t="s">
        <v>1514</v>
      </c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FL427" s="36" t="s">
        <v>1501</v>
      </c>
      <c r="FM427" s="36" t="s">
        <v>260</v>
      </c>
    </row>
    <row r="428" ht="23.25" customHeight="1">
      <c r="A428" s="29">
        <v>44660.50245854167</v>
      </c>
      <c r="B428" s="30" t="s">
        <v>6</v>
      </c>
      <c r="C428" s="30" t="s">
        <v>27</v>
      </c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FL428" s="36" t="s">
        <v>303</v>
      </c>
      <c r="FM428" s="36" t="s">
        <v>260</v>
      </c>
      <c r="GF428" s="36" t="s">
        <v>299</v>
      </c>
      <c r="GG428" s="36" t="s">
        <v>300</v>
      </c>
      <c r="GH428" s="36" t="s">
        <v>1515</v>
      </c>
      <c r="GI428" s="37">
        <v>44569.0</v>
      </c>
      <c r="GJ428" s="38" t="s">
        <v>1516</v>
      </c>
      <c r="GK428" s="36" t="s">
        <v>1517</v>
      </c>
      <c r="GL428" s="36" t="s">
        <v>1518</v>
      </c>
    </row>
    <row r="429" ht="23.25" customHeight="1">
      <c r="A429" s="29">
        <v>44660.50249979166</v>
      </c>
      <c r="B429" s="30" t="s">
        <v>6</v>
      </c>
      <c r="C429" s="30" t="s">
        <v>12</v>
      </c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0" t="s">
        <v>1485</v>
      </c>
      <c r="AO429" s="30" t="s">
        <v>1418</v>
      </c>
      <c r="AP429" s="30" t="s">
        <v>637</v>
      </c>
      <c r="AQ429" s="30" t="s">
        <v>507</v>
      </c>
      <c r="AR429" s="32">
        <v>44630.0</v>
      </c>
      <c r="AS429" s="32">
        <v>44771.0</v>
      </c>
      <c r="AT429" s="30" t="s">
        <v>257</v>
      </c>
      <c r="AU429" s="30" t="s">
        <v>257</v>
      </c>
      <c r="AV429" s="30">
        <v>0.0</v>
      </c>
      <c r="AW429" s="33" t="s">
        <v>1519</v>
      </c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FL429" s="36" t="s">
        <v>1422</v>
      </c>
      <c r="FM429" s="36" t="s">
        <v>260</v>
      </c>
    </row>
    <row r="430" ht="23.25" customHeight="1">
      <c r="A430" s="29">
        <v>44660.50346474537</v>
      </c>
      <c r="B430" s="30" t="s">
        <v>6</v>
      </c>
      <c r="C430" s="30" t="s">
        <v>13</v>
      </c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0" t="s">
        <v>1471</v>
      </c>
      <c r="AY430" s="30" t="s">
        <v>1472</v>
      </c>
      <c r="AZ430" s="30" t="s">
        <v>1520</v>
      </c>
      <c r="BA430" s="30" t="s">
        <v>1521</v>
      </c>
      <c r="BB430" s="30" t="s">
        <v>310</v>
      </c>
      <c r="BC430" s="32">
        <v>44317.0</v>
      </c>
      <c r="BD430" s="32">
        <v>44377.0</v>
      </c>
      <c r="BE430" s="32">
        <v>44401.0</v>
      </c>
      <c r="BF430" s="30">
        <v>90.0</v>
      </c>
      <c r="BG430" s="30" t="s">
        <v>1437</v>
      </c>
      <c r="BH430" s="33" t="s">
        <v>1522</v>
      </c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FL430" s="36" t="s">
        <v>1475</v>
      </c>
      <c r="FM430" s="36" t="s">
        <v>260</v>
      </c>
    </row>
    <row r="431" ht="23.25" customHeight="1">
      <c r="A431" s="29">
        <v>44660.50352439815</v>
      </c>
      <c r="B431" s="30" t="s">
        <v>6</v>
      </c>
      <c r="C431" s="30" t="s">
        <v>13</v>
      </c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0" t="s">
        <v>1523</v>
      </c>
      <c r="AY431" s="30" t="s">
        <v>1497</v>
      </c>
      <c r="AZ431" s="30" t="s">
        <v>548</v>
      </c>
      <c r="BA431" s="30" t="s">
        <v>345</v>
      </c>
      <c r="BB431" s="30" t="s">
        <v>310</v>
      </c>
      <c r="BC431" s="32">
        <v>43911.0</v>
      </c>
      <c r="BD431" s="32">
        <v>43962.0</v>
      </c>
      <c r="BE431" s="32">
        <v>43962.0</v>
      </c>
      <c r="BF431" s="30">
        <v>100.0</v>
      </c>
      <c r="BG431" s="30" t="s">
        <v>1513</v>
      </c>
      <c r="BH431" s="33" t="s">
        <v>1524</v>
      </c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FL431" s="36" t="s">
        <v>1501</v>
      </c>
      <c r="FM431" s="36" t="s">
        <v>260</v>
      </c>
    </row>
    <row r="432" ht="23.25" customHeight="1">
      <c r="A432" s="29">
        <v>44660.505063125005</v>
      </c>
      <c r="B432" s="30" t="s">
        <v>6</v>
      </c>
      <c r="C432" s="30" t="s">
        <v>13</v>
      </c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0" t="s">
        <v>1485</v>
      </c>
      <c r="AY432" s="30" t="s">
        <v>1418</v>
      </c>
      <c r="AZ432" s="30" t="s">
        <v>1525</v>
      </c>
      <c r="BA432" s="30" t="s">
        <v>1378</v>
      </c>
      <c r="BB432" s="30" t="s">
        <v>495</v>
      </c>
      <c r="BC432" s="32">
        <v>43925.0</v>
      </c>
      <c r="BD432" s="32">
        <v>43955.0</v>
      </c>
      <c r="BE432" s="32">
        <v>43955.0</v>
      </c>
      <c r="BF432" s="30">
        <v>98.0</v>
      </c>
      <c r="BG432" s="30" t="s">
        <v>523</v>
      </c>
      <c r="BH432" s="33" t="s">
        <v>1526</v>
      </c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FL432" s="36" t="s">
        <v>1422</v>
      </c>
      <c r="FM432" s="36" t="s">
        <v>323</v>
      </c>
    </row>
    <row r="433" ht="23.25" customHeight="1">
      <c r="A433" s="29">
        <v>44660.50671148148</v>
      </c>
      <c r="B433" s="30" t="s">
        <v>6</v>
      </c>
      <c r="C433" s="30" t="s">
        <v>13</v>
      </c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0" t="s">
        <v>1523</v>
      </c>
      <c r="AY433" s="30" t="s">
        <v>1497</v>
      </c>
      <c r="AZ433" s="30" t="s">
        <v>1502</v>
      </c>
      <c r="BA433" s="30" t="s">
        <v>377</v>
      </c>
      <c r="BB433" s="30" t="s">
        <v>495</v>
      </c>
      <c r="BC433" s="32">
        <v>43641.0</v>
      </c>
      <c r="BD433" s="32">
        <v>43675.0</v>
      </c>
      <c r="BE433" s="32">
        <v>43675.0</v>
      </c>
      <c r="BF433" s="30">
        <v>100.0</v>
      </c>
      <c r="BG433" s="30" t="s">
        <v>1527</v>
      </c>
      <c r="BH433" s="33" t="s">
        <v>1528</v>
      </c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FL433" s="36" t="s">
        <v>1501</v>
      </c>
      <c r="FM433" s="36" t="s">
        <v>260</v>
      </c>
    </row>
    <row r="434" ht="23.25" customHeight="1">
      <c r="A434" s="29">
        <v>44660.50675408565</v>
      </c>
      <c r="B434" s="30" t="s">
        <v>6</v>
      </c>
      <c r="C434" s="30" t="s">
        <v>13</v>
      </c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0" t="s">
        <v>1471</v>
      </c>
      <c r="AY434" s="30" t="s">
        <v>1472</v>
      </c>
      <c r="AZ434" s="30" t="s">
        <v>1529</v>
      </c>
      <c r="BA434" s="30" t="s">
        <v>1530</v>
      </c>
      <c r="BB434" s="30" t="s">
        <v>475</v>
      </c>
      <c r="BC434" s="32">
        <v>44197.0</v>
      </c>
      <c r="BD434" s="32">
        <v>44316.0</v>
      </c>
      <c r="BE434" s="32">
        <v>44318.0</v>
      </c>
      <c r="BF434" s="30">
        <v>77.0</v>
      </c>
      <c r="BG434" s="30" t="s">
        <v>365</v>
      </c>
      <c r="BH434" s="33" t="s">
        <v>1531</v>
      </c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FL434" s="36" t="s">
        <v>1475</v>
      </c>
      <c r="FM434" s="36" t="s">
        <v>260</v>
      </c>
    </row>
    <row r="435" ht="23.25" customHeight="1">
      <c r="A435" s="29">
        <v>44660.50904630787</v>
      </c>
      <c r="B435" s="30" t="s">
        <v>6</v>
      </c>
      <c r="C435" s="30" t="s">
        <v>12</v>
      </c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0" t="s">
        <v>1511</v>
      </c>
      <c r="AO435" s="30" t="s">
        <v>1497</v>
      </c>
      <c r="AP435" s="30" t="s">
        <v>823</v>
      </c>
      <c r="AQ435" s="30" t="s">
        <v>495</v>
      </c>
      <c r="AR435" s="32">
        <v>43999.0</v>
      </c>
      <c r="AS435" s="32">
        <v>44024.0</v>
      </c>
      <c r="AT435" s="30" t="s">
        <v>257</v>
      </c>
      <c r="AU435" s="30" t="s">
        <v>257</v>
      </c>
      <c r="AV435" s="30">
        <v>0.0</v>
      </c>
      <c r="AW435" s="33" t="s">
        <v>1532</v>
      </c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FL435" s="36" t="s">
        <v>1501</v>
      </c>
      <c r="FM435" s="36" t="s">
        <v>260</v>
      </c>
    </row>
    <row r="436" ht="23.25" customHeight="1">
      <c r="A436" s="29">
        <v>44660.50955663194</v>
      </c>
      <c r="B436" s="30" t="s">
        <v>6</v>
      </c>
      <c r="C436" s="30" t="s">
        <v>12</v>
      </c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0" t="s">
        <v>1533</v>
      </c>
      <c r="AO436" s="30" t="s">
        <v>1316</v>
      </c>
      <c r="AP436" s="30" t="s">
        <v>269</v>
      </c>
      <c r="AQ436" s="30" t="s">
        <v>1068</v>
      </c>
      <c r="AR436" s="32">
        <v>44593.0</v>
      </c>
      <c r="AS436" s="32">
        <v>44708.0</v>
      </c>
      <c r="AT436" s="30" t="s">
        <v>257</v>
      </c>
      <c r="AU436" s="30" t="s">
        <v>257</v>
      </c>
      <c r="AV436" s="30">
        <v>0.0</v>
      </c>
      <c r="AW436" s="33" t="s">
        <v>1534</v>
      </c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FL436" s="36" t="s">
        <v>1321</v>
      </c>
      <c r="FM436" s="36" t="s">
        <v>260</v>
      </c>
    </row>
    <row r="437" ht="23.25" customHeight="1">
      <c r="A437" s="29">
        <v>44660.51325636574</v>
      </c>
      <c r="B437" s="30" t="s">
        <v>6</v>
      </c>
      <c r="C437" s="30" t="s">
        <v>12</v>
      </c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0" t="s">
        <v>1523</v>
      </c>
      <c r="AO437" s="30" t="s">
        <v>1535</v>
      </c>
      <c r="AP437" s="30" t="s">
        <v>269</v>
      </c>
      <c r="AQ437" s="30" t="s">
        <v>450</v>
      </c>
      <c r="AR437" s="32">
        <v>44614.0</v>
      </c>
      <c r="AS437" s="32">
        <v>44680.0</v>
      </c>
      <c r="AT437" s="30" t="s">
        <v>257</v>
      </c>
      <c r="AU437" s="30" t="s">
        <v>257</v>
      </c>
      <c r="AV437" s="30">
        <v>0.0</v>
      </c>
      <c r="AW437" s="33" t="s">
        <v>1536</v>
      </c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FL437" s="36" t="s">
        <v>1501</v>
      </c>
      <c r="FM437" s="36" t="s">
        <v>260</v>
      </c>
    </row>
    <row r="438" ht="23.25" customHeight="1">
      <c r="A438" s="29">
        <v>44660.5145953125</v>
      </c>
      <c r="B438" s="30" t="s">
        <v>6</v>
      </c>
      <c r="C438" s="30" t="s">
        <v>13</v>
      </c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0" t="s">
        <v>1471</v>
      </c>
      <c r="AY438" s="30" t="s">
        <v>1472</v>
      </c>
      <c r="AZ438" s="30" t="s">
        <v>1537</v>
      </c>
      <c r="BA438" s="30" t="s">
        <v>337</v>
      </c>
      <c r="BB438" s="30" t="s">
        <v>1335</v>
      </c>
      <c r="BC438" s="32">
        <v>44136.0</v>
      </c>
      <c r="BD438" s="32">
        <v>44196.0</v>
      </c>
      <c r="BE438" s="32">
        <v>44223.0</v>
      </c>
      <c r="BF438" s="30">
        <v>80.0</v>
      </c>
      <c r="BG438" s="30" t="s">
        <v>1437</v>
      </c>
      <c r="BH438" s="33" t="s">
        <v>1538</v>
      </c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FL438" s="36" t="s">
        <v>1475</v>
      </c>
      <c r="FM438" s="36" t="s">
        <v>260</v>
      </c>
    </row>
    <row r="439" ht="23.25" customHeight="1">
      <c r="A439" s="29">
        <v>44660.5152691088</v>
      </c>
      <c r="B439" s="30" t="s">
        <v>6</v>
      </c>
      <c r="C439" s="30" t="s">
        <v>13</v>
      </c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0" t="s">
        <v>1539</v>
      </c>
      <c r="AY439" s="30" t="s">
        <v>1540</v>
      </c>
      <c r="AZ439" s="30" t="s">
        <v>1541</v>
      </c>
      <c r="BA439" s="30" t="s">
        <v>345</v>
      </c>
      <c r="BB439" s="30" t="s">
        <v>495</v>
      </c>
      <c r="BC439" s="32">
        <v>44075.0</v>
      </c>
      <c r="BD439" s="32">
        <v>44086.0</v>
      </c>
      <c r="BE439" s="32">
        <v>44086.0</v>
      </c>
      <c r="BF439" s="30" t="s">
        <v>472</v>
      </c>
      <c r="BG439" s="30" t="s">
        <v>472</v>
      </c>
      <c r="BH439" s="33" t="s">
        <v>1542</v>
      </c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FL439" s="36" t="s">
        <v>1543</v>
      </c>
      <c r="FM439" s="36" t="s">
        <v>260</v>
      </c>
    </row>
    <row r="440" ht="23.25" customHeight="1">
      <c r="A440" s="29">
        <v>44660.51532143519</v>
      </c>
      <c r="B440" s="30" t="s">
        <v>6</v>
      </c>
      <c r="C440" s="30" t="s">
        <v>13</v>
      </c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0" t="s">
        <v>1544</v>
      </c>
      <c r="AY440" s="30" t="s">
        <v>741</v>
      </c>
      <c r="AZ440" s="30" t="s">
        <v>1071</v>
      </c>
      <c r="BA440" s="30" t="s">
        <v>345</v>
      </c>
      <c r="BB440" s="30" t="s">
        <v>495</v>
      </c>
      <c r="BC440" s="32">
        <v>43956.0</v>
      </c>
      <c r="BD440" s="32">
        <v>43984.0</v>
      </c>
      <c r="BE440" s="32">
        <v>43984.0</v>
      </c>
      <c r="BF440" s="39">
        <v>0.88</v>
      </c>
      <c r="BG440" s="30" t="s">
        <v>523</v>
      </c>
      <c r="BH440" s="33" t="s">
        <v>1545</v>
      </c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FL440" s="36" t="s">
        <v>744</v>
      </c>
      <c r="FM440" s="36" t="s">
        <v>260</v>
      </c>
    </row>
    <row r="441" ht="23.25" customHeight="1">
      <c r="A441" s="29">
        <v>44660.515361365746</v>
      </c>
      <c r="B441" s="30" t="s">
        <v>6</v>
      </c>
      <c r="C441" s="30" t="s">
        <v>13</v>
      </c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0" t="s">
        <v>1546</v>
      </c>
      <c r="AY441" s="30" t="s">
        <v>1547</v>
      </c>
      <c r="AZ441" s="30" t="s">
        <v>1548</v>
      </c>
      <c r="BA441" s="30" t="s">
        <v>345</v>
      </c>
      <c r="BB441" s="30" t="s">
        <v>1549</v>
      </c>
      <c r="BC441" s="32">
        <v>43914.0</v>
      </c>
      <c r="BD441" s="32">
        <v>43963.0</v>
      </c>
      <c r="BE441" s="32">
        <v>43963.0</v>
      </c>
      <c r="BF441" s="39">
        <v>0.99</v>
      </c>
      <c r="BG441" s="30" t="s">
        <v>1550</v>
      </c>
      <c r="BH441" s="33" t="s">
        <v>1551</v>
      </c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FL441" s="36" t="s">
        <v>1552</v>
      </c>
      <c r="FM441" s="36" t="s">
        <v>323</v>
      </c>
    </row>
    <row r="442" ht="23.25" customHeight="1">
      <c r="A442" s="29">
        <v>44660.517301458334</v>
      </c>
      <c r="B442" s="30" t="s">
        <v>6</v>
      </c>
      <c r="C442" s="30" t="s">
        <v>13</v>
      </c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0" t="s">
        <v>1553</v>
      </c>
      <c r="AY442" s="30" t="s">
        <v>741</v>
      </c>
      <c r="AZ442" s="30" t="s">
        <v>1554</v>
      </c>
      <c r="BA442" s="30" t="s">
        <v>345</v>
      </c>
      <c r="BB442" s="30" t="s">
        <v>410</v>
      </c>
      <c r="BC442" s="32">
        <v>43951.0</v>
      </c>
      <c r="BD442" s="32">
        <v>43982.0</v>
      </c>
      <c r="BE442" s="32">
        <v>43982.0</v>
      </c>
      <c r="BF442" s="30">
        <v>87.0</v>
      </c>
      <c r="BG442" s="30" t="s">
        <v>1555</v>
      </c>
      <c r="BH442" s="33" t="s">
        <v>1556</v>
      </c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FL442" s="36" t="s">
        <v>744</v>
      </c>
      <c r="FM442" s="36" t="s">
        <v>260</v>
      </c>
    </row>
    <row r="443" ht="23.25" customHeight="1">
      <c r="A443" s="29">
        <v>44660.5177875</v>
      </c>
      <c r="B443" s="30" t="s">
        <v>6</v>
      </c>
      <c r="C443" s="30" t="s">
        <v>13</v>
      </c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0" t="s">
        <v>1557</v>
      </c>
      <c r="AY443" s="30" t="s">
        <v>1558</v>
      </c>
      <c r="AZ443" s="30" t="s">
        <v>1559</v>
      </c>
      <c r="BA443" s="30" t="s">
        <v>345</v>
      </c>
      <c r="BB443" s="30" t="s">
        <v>1560</v>
      </c>
      <c r="BC443" s="32">
        <v>43832.0</v>
      </c>
      <c r="BD443" s="32">
        <v>43998.0</v>
      </c>
      <c r="BE443" s="32">
        <v>43994.0</v>
      </c>
      <c r="BF443" s="39">
        <v>0.85</v>
      </c>
      <c r="BG443" s="30" t="s">
        <v>1561</v>
      </c>
      <c r="BH443" s="33" t="s">
        <v>1562</v>
      </c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FL443" s="36" t="s">
        <v>1563</v>
      </c>
      <c r="FM443" s="36" t="s">
        <v>260</v>
      </c>
    </row>
    <row r="444" ht="23.25" customHeight="1">
      <c r="A444" s="29">
        <v>44660.51863766204</v>
      </c>
      <c r="B444" s="30" t="s">
        <v>6</v>
      </c>
      <c r="C444" s="30" t="s">
        <v>13</v>
      </c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0" t="s">
        <v>1544</v>
      </c>
      <c r="AY444" s="30" t="s">
        <v>741</v>
      </c>
      <c r="AZ444" s="30" t="s">
        <v>345</v>
      </c>
      <c r="BA444" s="30" t="s">
        <v>1564</v>
      </c>
      <c r="BB444" s="30" t="s">
        <v>410</v>
      </c>
      <c r="BC444" s="32">
        <v>43951.0</v>
      </c>
      <c r="BD444" s="32">
        <v>43960.0</v>
      </c>
      <c r="BE444" s="32">
        <v>43960.0</v>
      </c>
      <c r="BF444" s="30">
        <v>80.0</v>
      </c>
      <c r="BG444" s="30" t="s">
        <v>523</v>
      </c>
      <c r="BH444" s="33" t="s">
        <v>1565</v>
      </c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FL444" s="36" t="s">
        <v>744</v>
      </c>
      <c r="FM444" s="36" t="s">
        <v>260</v>
      </c>
    </row>
    <row r="445" ht="23.25" customHeight="1">
      <c r="A445" s="29">
        <v>44660.52042548612</v>
      </c>
      <c r="B445" s="30" t="s">
        <v>6</v>
      </c>
      <c r="C445" s="30" t="s">
        <v>13</v>
      </c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0" t="s">
        <v>1546</v>
      </c>
      <c r="AY445" s="30" t="s">
        <v>1547</v>
      </c>
      <c r="AZ445" s="30" t="s">
        <v>1566</v>
      </c>
      <c r="BA445" s="30" t="s">
        <v>345</v>
      </c>
      <c r="BB445" s="30" t="s">
        <v>1567</v>
      </c>
      <c r="BC445" s="32">
        <v>44639.0</v>
      </c>
      <c r="BD445" s="32">
        <v>43991.0</v>
      </c>
      <c r="BE445" s="32">
        <v>43991.0</v>
      </c>
      <c r="BF445" s="39">
        <v>0.98</v>
      </c>
      <c r="BG445" s="30" t="s">
        <v>1550</v>
      </c>
      <c r="BH445" s="33" t="s">
        <v>1568</v>
      </c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FL445" s="36" t="s">
        <v>1552</v>
      </c>
      <c r="FM445" s="36" t="s">
        <v>323</v>
      </c>
    </row>
    <row r="446" ht="23.25" customHeight="1">
      <c r="A446" s="29">
        <v>44660.52405008102</v>
      </c>
      <c r="B446" s="30" t="s">
        <v>6</v>
      </c>
      <c r="C446" s="30" t="s">
        <v>13</v>
      </c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0" t="s">
        <v>1539</v>
      </c>
      <c r="AY446" s="30" t="s">
        <v>1540</v>
      </c>
      <c r="AZ446" s="30" t="s">
        <v>1569</v>
      </c>
      <c r="BA446" s="30" t="s">
        <v>345</v>
      </c>
      <c r="BB446" s="30" t="s">
        <v>495</v>
      </c>
      <c r="BC446" s="32">
        <v>43961.0</v>
      </c>
      <c r="BD446" s="32">
        <v>43970.0</v>
      </c>
      <c r="BE446" s="32">
        <v>43970.0</v>
      </c>
      <c r="BF446" s="30" t="s">
        <v>472</v>
      </c>
      <c r="BG446" s="30" t="s">
        <v>472</v>
      </c>
      <c r="BH446" s="33" t="s">
        <v>1570</v>
      </c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FL446" s="36" t="s">
        <v>1543</v>
      </c>
      <c r="FM446" s="36" t="s">
        <v>260</v>
      </c>
    </row>
    <row r="447" ht="23.25" customHeight="1">
      <c r="A447" s="29">
        <v>44660.5257455324</v>
      </c>
      <c r="B447" s="30" t="s">
        <v>6</v>
      </c>
      <c r="C447" s="30" t="s">
        <v>14</v>
      </c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0" t="s">
        <v>1058</v>
      </c>
      <c r="BJ447" s="30" t="s">
        <v>1038</v>
      </c>
      <c r="BK447" s="30" t="s">
        <v>159</v>
      </c>
      <c r="BL447" s="30" t="s">
        <v>1288</v>
      </c>
      <c r="BM447" s="30" t="s">
        <v>1571</v>
      </c>
      <c r="BN447" s="30">
        <v>3.0</v>
      </c>
      <c r="BO447" s="32">
        <v>43689.0</v>
      </c>
      <c r="BP447" s="32">
        <v>43691.0</v>
      </c>
      <c r="BQ447" s="30" t="s">
        <v>1572</v>
      </c>
      <c r="BR447" s="30" t="s">
        <v>1572</v>
      </c>
      <c r="BS447" s="30" t="s">
        <v>276</v>
      </c>
      <c r="BT447" s="30" t="s">
        <v>156</v>
      </c>
      <c r="BU447" s="30">
        <v>0.0</v>
      </c>
      <c r="BV447" s="33" t="s">
        <v>1573</v>
      </c>
      <c r="BW447" s="31"/>
      <c r="BX447" s="31"/>
      <c r="FL447" s="36" t="s">
        <v>1043</v>
      </c>
      <c r="FM447" s="36" t="s">
        <v>260</v>
      </c>
    </row>
    <row r="448" ht="23.25" customHeight="1">
      <c r="A448" s="29">
        <v>44660.52633842593</v>
      </c>
      <c r="B448" s="30" t="s">
        <v>6</v>
      </c>
      <c r="C448" s="30" t="s">
        <v>13</v>
      </c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0" t="s">
        <v>1546</v>
      </c>
      <c r="AY448" s="30" t="s">
        <v>1574</v>
      </c>
      <c r="AZ448" s="30" t="s">
        <v>1575</v>
      </c>
      <c r="BA448" s="30" t="s">
        <v>345</v>
      </c>
      <c r="BB448" s="30" t="s">
        <v>1549</v>
      </c>
      <c r="BC448" s="32">
        <v>44298.0</v>
      </c>
      <c r="BD448" s="32">
        <v>44366.0</v>
      </c>
      <c r="BE448" s="32">
        <v>44366.0</v>
      </c>
      <c r="BF448" s="39">
        <v>0.99</v>
      </c>
      <c r="BG448" s="30" t="s">
        <v>1550</v>
      </c>
      <c r="BH448" s="33" t="s">
        <v>1576</v>
      </c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FL448" s="36" t="s">
        <v>1552</v>
      </c>
      <c r="FM448" s="36" t="s">
        <v>323</v>
      </c>
    </row>
    <row r="449" ht="23.25" customHeight="1">
      <c r="A449" s="29">
        <v>44660.528550625</v>
      </c>
      <c r="B449" s="30" t="s">
        <v>6</v>
      </c>
      <c r="C449" s="30" t="s">
        <v>27</v>
      </c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FL449" s="36" t="s">
        <v>1220</v>
      </c>
      <c r="FM449" s="36" t="s">
        <v>260</v>
      </c>
      <c r="GF449" s="36" t="s">
        <v>1230</v>
      </c>
      <c r="GG449" s="36" t="s">
        <v>1217</v>
      </c>
      <c r="GH449" s="36" t="s">
        <v>1577</v>
      </c>
      <c r="GI449" s="37">
        <v>44720.0</v>
      </c>
      <c r="GJ449" s="38" t="s">
        <v>1578</v>
      </c>
      <c r="GK449" s="36" t="s">
        <v>1579</v>
      </c>
      <c r="GL449" s="36">
        <v>4.0</v>
      </c>
    </row>
    <row r="450" ht="23.25" customHeight="1">
      <c r="A450" s="29">
        <v>44660.52942717593</v>
      </c>
      <c r="B450" s="30" t="s">
        <v>6</v>
      </c>
      <c r="C450" s="30" t="s">
        <v>13</v>
      </c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0" t="s">
        <v>1539</v>
      </c>
      <c r="AY450" s="30" t="s">
        <v>1540</v>
      </c>
      <c r="AZ450" s="30" t="s">
        <v>543</v>
      </c>
      <c r="BA450" s="30" t="s">
        <v>1386</v>
      </c>
      <c r="BB450" s="30" t="s">
        <v>495</v>
      </c>
      <c r="BC450" s="32">
        <v>43914.0</v>
      </c>
      <c r="BD450" s="32">
        <v>43945.0</v>
      </c>
      <c r="BE450" s="32">
        <v>43945.0</v>
      </c>
      <c r="BF450" s="30" t="s">
        <v>472</v>
      </c>
      <c r="BG450" s="30" t="s">
        <v>472</v>
      </c>
      <c r="BH450" s="33" t="s">
        <v>1580</v>
      </c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FL450" s="36" t="s">
        <v>1543</v>
      </c>
      <c r="FM450" s="36" t="s">
        <v>260</v>
      </c>
    </row>
    <row r="451" ht="23.25" customHeight="1">
      <c r="A451" s="29">
        <v>44660.531976087965</v>
      </c>
      <c r="B451" s="30" t="s">
        <v>6</v>
      </c>
      <c r="C451" s="30" t="s">
        <v>14</v>
      </c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0" t="s">
        <v>1581</v>
      </c>
      <c r="BJ451" s="30" t="s">
        <v>931</v>
      </c>
      <c r="BK451" s="30" t="s">
        <v>313</v>
      </c>
      <c r="BL451" s="30" t="s">
        <v>735</v>
      </c>
      <c r="BM451" s="30" t="s">
        <v>1582</v>
      </c>
      <c r="BN451" s="30">
        <v>1.0</v>
      </c>
      <c r="BO451" s="32">
        <v>44572.0</v>
      </c>
      <c r="BP451" s="32">
        <v>44572.0</v>
      </c>
      <c r="BQ451" s="30" t="s">
        <v>819</v>
      </c>
      <c r="BR451" s="30" t="s">
        <v>217</v>
      </c>
      <c r="BS451" s="30" t="s">
        <v>176</v>
      </c>
      <c r="BT451" s="30" t="s">
        <v>156</v>
      </c>
      <c r="BU451" s="31"/>
      <c r="BV451" s="33" t="s">
        <v>1583</v>
      </c>
      <c r="BW451" s="31"/>
      <c r="BX451" s="31"/>
      <c r="FL451" s="36" t="s">
        <v>935</v>
      </c>
      <c r="FM451" s="36" t="s">
        <v>278</v>
      </c>
    </row>
    <row r="452" ht="23.25" customHeight="1">
      <c r="A452" s="29">
        <v>44660.533092638885</v>
      </c>
      <c r="B452" s="30" t="s">
        <v>6</v>
      </c>
      <c r="C452" s="30" t="s">
        <v>12</v>
      </c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0" t="s">
        <v>1584</v>
      </c>
      <c r="AO452" s="30" t="s">
        <v>1585</v>
      </c>
      <c r="AP452" s="30" t="s">
        <v>309</v>
      </c>
      <c r="AQ452" s="30" t="s">
        <v>510</v>
      </c>
      <c r="AR452" s="32">
        <v>44470.0</v>
      </c>
      <c r="AS452" s="32">
        <v>44552.0</v>
      </c>
      <c r="AT452" s="30" t="s">
        <v>257</v>
      </c>
      <c r="AU452" s="30" t="s">
        <v>257</v>
      </c>
      <c r="AV452" s="30">
        <v>0.0</v>
      </c>
      <c r="AW452" s="33" t="s">
        <v>1586</v>
      </c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FL452" s="36" t="s">
        <v>1587</v>
      </c>
      <c r="FM452" s="36" t="s">
        <v>278</v>
      </c>
    </row>
    <row r="453" ht="23.25" customHeight="1">
      <c r="A453" s="29">
        <v>44660.53327015047</v>
      </c>
      <c r="B453" s="30" t="s">
        <v>6</v>
      </c>
      <c r="C453" s="30" t="s">
        <v>13</v>
      </c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0" t="s">
        <v>1471</v>
      </c>
      <c r="AY453" s="30" t="s">
        <v>1472</v>
      </c>
      <c r="AZ453" s="30" t="s">
        <v>1588</v>
      </c>
      <c r="BA453" s="30" t="s">
        <v>337</v>
      </c>
      <c r="BB453" s="30" t="s">
        <v>264</v>
      </c>
      <c r="BC453" s="32">
        <v>43800.0</v>
      </c>
      <c r="BD453" s="32">
        <v>43951.0</v>
      </c>
      <c r="BE453" s="32">
        <v>43967.0</v>
      </c>
      <c r="BF453" s="30">
        <v>85.0</v>
      </c>
      <c r="BG453" s="30" t="s">
        <v>1494</v>
      </c>
      <c r="BH453" s="33" t="s">
        <v>1589</v>
      </c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FL453" s="36" t="s">
        <v>1475</v>
      </c>
      <c r="FM453" s="36" t="s">
        <v>260</v>
      </c>
    </row>
    <row r="454" ht="23.25" customHeight="1">
      <c r="A454" s="29">
        <v>44660.53516515046</v>
      </c>
      <c r="B454" s="30" t="s">
        <v>6</v>
      </c>
      <c r="C454" s="30" t="s">
        <v>13</v>
      </c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0" t="s">
        <v>1590</v>
      </c>
      <c r="AY454" s="30" t="s">
        <v>931</v>
      </c>
      <c r="AZ454" s="30" t="s">
        <v>1591</v>
      </c>
      <c r="BA454" s="30" t="s">
        <v>985</v>
      </c>
      <c r="BB454" s="30">
        <v>1.0</v>
      </c>
      <c r="BC454" s="32">
        <v>44489.0</v>
      </c>
      <c r="BD454" s="32">
        <v>44489.0</v>
      </c>
      <c r="BE454" s="32">
        <v>44489.0</v>
      </c>
      <c r="BF454" s="30">
        <v>100.0</v>
      </c>
      <c r="BG454" s="30" t="s">
        <v>1592</v>
      </c>
      <c r="BH454" s="33" t="s">
        <v>1593</v>
      </c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FL454" s="36" t="s">
        <v>935</v>
      </c>
      <c r="FM454" s="36" t="s">
        <v>283</v>
      </c>
    </row>
    <row r="455" ht="23.25" customHeight="1">
      <c r="A455" s="29">
        <v>44660.53603783565</v>
      </c>
      <c r="B455" s="30" t="s">
        <v>6</v>
      </c>
      <c r="C455" s="30" t="s">
        <v>13</v>
      </c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0" t="s">
        <v>1471</v>
      </c>
      <c r="AY455" s="30" t="s">
        <v>1472</v>
      </c>
      <c r="AZ455" s="30" t="s">
        <v>1594</v>
      </c>
      <c r="BA455" s="30" t="s">
        <v>337</v>
      </c>
      <c r="BB455" s="30" t="s">
        <v>264</v>
      </c>
      <c r="BC455" s="32">
        <v>43800.0</v>
      </c>
      <c r="BD455" s="32">
        <v>43982.0</v>
      </c>
      <c r="BE455" s="32">
        <v>43990.0</v>
      </c>
      <c r="BF455" s="30">
        <v>80.0</v>
      </c>
      <c r="BG455" s="30" t="s">
        <v>1494</v>
      </c>
      <c r="BH455" s="33" t="s">
        <v>1595</v>
      </c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FL455" s="36" t="s">
        <v>1475</v>
      </c>
      <c r="FM455" s="36" t="s">
        <v>260</v>
      </c>
    </row>
    <row r="456" ht="23.25" customHeight="1">
      <c r="A456" s="29">
        <v>44660.53736609954</v>
      </c>
      <c r="B456" s="30" t="s">
        <v>6</v>
      </c>
      <c r="C456" s="30" t="s">
        <v>13</v>
      </c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0" t="s">
        <v>1596</v>
      </c>
      <c r="AY456" s="30" t="s">
        <v>1597</v>
      </c>
      <c r="AZ456" s="30" t="s">
        <v>1598</v>
      </c>
      <c r="BA456" s="30" t="s">
        <v>1599</v>
      </c>
      <c r="BB456" s="30" t="s">
        <v>450</v>
      </c>
      <c r="BC456" s="32">
        <v>44722.0</v>
      </c>
      <c r="BD456" s="32">
        <v>44783.0</v>
      </c>
      <c r="BE456" s="32">
        <v>44672.0</v>
      </c>
      <c r="BF456" s="30">
        <v>100.0</v>
      </c>
      <c r="BG456" s="30" t="s">
        <v>1600</v>
      </c>
      <c r="BH456" s="33" t="s">
        <v>1601</v>
      </c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FL456" s="36" t="s">
        <v>1602</v>
      </c>
      <c r="FM456" s="36" t="s">
        <v>260</v>
      </c>
    </row>
    <row r="457" ht="23.25" customHeight="1">
      <c r="A457" s="29">
        <v>44660.53825515046</v>
      </c>
      <c r="B457" s="30" t="s">
        <v>6</v>
      </c>
      <c r="C457" s="30" t="s">
        <v>13</v>
      </c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0" t="s">
        <v>1584</v>
      </c>
      <c r="AY457" s="30" t="s">
        <v>1585</v>
      </c>
      <c r="AZ457" s="30" t="s">
        <v>1603</v>
      </c>
      <c r="BA457" s="30" t="s">
        <v>1604</v>
      </c>
      <c r="BB457" s="30" t="s">
        <v>510</v>
      </c>
      <c r="BC457" s="32">
        <v>44317.0</v>
      </c>
      <c r="BD457" s="32">
        <v>44401.0</v>
      </c>
      <c r="BE457" s="32">
        <v>44354.0</v>
      </c>
      <c r="BF457" s="30">
        <v>85.0</v>
      </c>
      <c r="BG457" s="30" t="s">
        <v>1605</v>
      </c>
      <c r="BH457" s="33" t="s">
        <v>1606</v>
      </c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FL457" s="36" t="s">
        <v>1587</v>
      </c>
      <c r="FM457" s="36" t="s">
        <v>283</v>
      </c>
    </row>
    <row r="458" ht="23.25" customHeight="1">
      <c r="A458" s="29">
        <v>44660.53938141203</v>
      </c>
      <c r="B458" s="30" t="s">
        <v>6</v>
      </c>
      <c r="C458" s="30" t="s">
        <v>13</v>
      </c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0" t="s">
        <v>1471</v>
      </c>
      <c r="AY458" s="30" t="s">
        <v>1472</v>
      </c>
      <c r="AZ458" s="30" t="s">
        <v>1607</v>
      </c>
      <c r="BA458" s="30" t="s">
        <v>337</v>
      </c>
      <c r="BB458" s="30" t="s">
        <v>264</v>
      </c>
      <c r="BC458" s="32">
        <v>43831.0</v>
      </c>
      <c r="BD458" s="32">
        <v>44012.0</v>
      </c>
      <c r="BE458" s="32">
        <v>43995.0</v>
      </c>
      <c r="BF458" s="30">
        <v>87.0</v>
      </c>
      <c r="BG458" s="30" t="s">
        <v>1494</v>
      </c>
      <c r="BH458" s="33" t="s">
        <v>1608</v>
      </c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FL458" s="36" t="s">
        <v>1475</v>
      </c>
      <c r="FM458" s="36" t="s">
        <v>260</v>
      </c>
    </row>
    <row r="459" ht="23.25" customHeight="1">
      <c r="A459" s="29">
        <v>44660.544148518515</v>
      </c>
      <c r="B459" s="30" t="s">
        <v>6</v>
      </c>
      <c r="C459" s="30" t="s">
        <v>27</v>
      </c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FL459" s="36" t="s">
        <v>1475</v>
      </c>
      <c r="FM459" s="36" t="s">
        <v>260</v>
      </c>
      <c r="GF459" s="36" t="s">
        <v>1471</v>
      </c>
      <c r="GG459" s="36" t="s">
        <v>1472</v>
      </c>
      <c r="GH459" s="36" t="s">
        <v>518</v>
      </c>
      <c r="GI459" s="37">
        <v>44707.0</v>
      </c>
      <c r="GJ459" s="38" t="s">
        <v>1609</v>
      </c>
      <c r="GK459" s="36" t="s">
        <v>1610</v>
      </c>
      <c r="GL459" s="36" t="s">
        <v>1611</v>
      </c>
    </row>
    <row r="460" ht="23.25" customHeight="1">
      <c r="A460" s="29">
        <v>44660.54784288195</v>
      </c>
      <c r="B460" s="30" t="s">
        <v>6</v>
      </c>
      <c r="C460" s="30" t="s">
        <v>25</v>
      </c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FL460" s="36" t="s">
        <v>388</v>
      </c>
      <c r="FM460" s="36" t="s">
        <v>555</v>
      </c>
      <c r="FT460" s="36" t="s">
        <v>383</v>
      </c>
      <c r="FU460" s="36" t="s">
        <v>384</v>
      </c>
      <c r="FV460" s="36" t="s">
        <v>1612</v>
      </c>
      <c r="FW460" s="37">
        <v>43663.0</v>
      </c>
      <c r="FX460" s="36" t="s">
        <v>1613</v>
      </c>
      <c r="FY460" s="38" t="s">
        <v>1614</v>
      </c>
    </row>
    <row r="461" ht="23.25" customHeight="1">
      <c r="A461" s="29">
        <v>44660.5510809375</v>
      </c>
      <c r="B461" s="30" t="s">
        <v>6</v>
      </c>
      <c r="C461" s="30" t="s">
        <v>20</v>
      </c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DX461" s="36" t="s">
        <v>383</v>
      </c>
      <c r="DY461" s="36" t="s">
        <v>384</v>
      </c>
      <c r="DZ461" s="36" t="s">
        <v>171</v>
      </c>
      <c r="EA461" s="36" t="s">
        <v>1615</v>
      </c>
      <c r="EB461" s="37">
        <v>44530.0</v>
      </c>
      <c r="EC461" s="36" t="s">
        <v>1616</v>
      </c>
      <c r="ED461" s="38" t="s">
        <v>1617</v>
      </c>
      <c r="FL461" s="36" t="s">
        <v>388</v>
      </c>
      <c r="FM461" s="36" t="s">
        <v>341</v>
      </c>
    </row>
    <row r="462" ht="23.25" customHeight="1">
      <c r="A462" s="29">
        <v>44660.55115922454</v>
      </c>
      <c r="B462" s="30" t="s">
        <v>6</v>
      </c>
      <c r="C462" s="20" t="s">
        <v>15</v>
      </c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0" t="s">
        <v>1618</v>
      </c>
      <c r="BX462" s="30" t="s">
        <v>1619</v>
      </c>
      <c r="BZ462" s="36" t="s">
        <v>313</v>
      </c>
      <c r="CA462" s="36" t="s">
        <v>1620</v>
      </c>
      <c r="CB462" s="36" t="s">
        <v>1151</v>
      </c>
      <c r="CC462" s="36" t="s">
        <v>553</v>
      </c>
      <c r="CD462" s="37">
        <v>43685.0</v>
      </c>
      <c r="CE462" s="37">
        <v>43746.0</v>
      </c>
      <c r="CF462" s="36">
        <v>51.0</v>
      </c>
      <c r="CG462" s="38" t="s">
        <v>1621</v>
      </c>
      <c r="FL462" s="36" t="s">
        <v>1622</v>
      </c>
      <c r="FM462" s="36" t="s">
        <v>260</v>
      </c>
    </row>
    <row r="463" ht="23.25" customHeight="1">
      <c r="A463" s="29">
        <v>44660.55148487269</v>
      </c>
      <c r="B463" s="30" t="s">
        <v>6</v>
      </c>
      <c r="C463" s="30" t="s">
        <v>13</v>
      </c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0" t="s">
        <v>1623</v>
      </c>
      <c r="AY463" s="30" t="s">
        <v>1624</v>
      </c>
      <c r="AZ463" s="30" t="s">
        <v>1625</v>
      </c>
      <c r="BA463" s="30" t="s">
        <v>1626</v>
      </c>
      <c r="BB463" s="30" t="s">
        <v>450</v>
      </c>
      <c r="BC463" s="32">
        <v>43942.0</v>
      </c>
      <c r="BD463" s="32">
        <v>43982.0</v>
      </c>
      <c r="BE463" s="32">
        <v>43982.0</v>
      </c>
      <c r="BF463" s="30" t="s">
        <v>1627</v>
      </c>
      <c r="BG463" s="30" t="s">
        <v>1628</v>
      </c>
      <c r="BH463" s="33" t="s">
        <v>1629</v>
      </c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FL463" s="36" t="s">
        <v>1630</v>
      </c>
      <c r="FM463" s="36" t="s">
        <v>260</v>
      </c>
    </row>
    <row r="464" ht="23.25" customHeight="1">
      <c r="A464" s="29">
        <v>44660.55389206018</v>
      </c>
      <c r="B464" s="30" t="s">
        <v>6</v>
      </c>
      <c r="C464" s="30" t="s">
        <v>13</v>
      </c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0" t="s">
        <v>383</v>
      </c>
      <c r="AY464" s="30" t="s">
        <v>384</v>
      </c>
      <c r="AZ464" s="30" t="s">
        <v>1631</v>
      </c>
      <c r="BA464" s="30" t="s">
        <v>337</v>
      </c>
      <c r="BB464" s="30" t="s">
        <v>1632</v>
      </c>
      <c r="BC464" s="32">
        <v>43506.0</v>
      </c>
      <c r="BD464" s="32">
        <v>43585.0</v>
      </c>
      <c r="BE464" s="32">
        <v>43570.0</v>
      </c>
      <c r="BF464" s="30" t="s">
        <v>1633</v>
      </c>
      <c r="BG464" s="30" t="s">
        <v>1634</v>
      </c>
      <c r="BH464" s="33" t="s">
        <v>1635</v>
      </c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FL464" s="36" t="s">
        <v>388</v>
      </c>
      <c r="FM464" s="36" t="s">
        <v>382</v>
      </c>
    </row>
    <row r="465" ht="23.25" customHeight="1">
      <c r="A465" s="29">
        <v>44660.554640104165</v>
      </c>
      <c r="B465" s="30" t="s">
        <v>6</v>
      </c>
      <c r="C465" s="30" t="s">
        <v>13</v>
      </c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0" t="s">
        <v>1584</v>
      </c>
      <c r="AY465" s="30" t="s">
        <v>1585</v>
      </c>
      <c r="AZ465" s="30" t="s">
        <v>347</v>
      </c>
      <c r="BA465" s="30" t="s">
        <v>337</v>
      </c>
      <c r="BB465" s="30" t="s">
        <v>510</v>
      </c>
      <c r="BC465" s="32">
        <v>44317.0</v>
      </c>
      <c r="BD465" s="32">
        <v>44376.0</v>
      </c>
      <c r="BE465" s="32">
        <v>44379.0</v>
      </c>
      <c r="BF465" s="30">
        <v>96.0</v>
      </c>
      <c r="BG465" s="30" t="s">
        <v>1636</v>
      </c>
      <c r="BH465" s="33" t="s">
        <v>1637</v>
      </c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FL465" s="36" t="s">
        <v>1587</v>
      </c>
      <c r="FM465" s="36" t="s">
        <v>283</v>
      </c>
    </row>
    <row r="466" ht="23.25" customHeight="1">
      <c r="A466" s="29">
        <v>44660.55548462963</v>
      </c>
      <c r="B466" s="30" t="s">
        <v>6</v>
      </c>
      <c r="C466" s="30" t="s">
        <v>23</v>
      </c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FG466" s="36" t="s">
        <v>740</v>
      </c>
      <c r="FH466" s="36" t="s">
        <v>741</v>
      </c>
      <c r="FI466" s="36" t="s">
        <v>1638</v>
      </c>
      <c r="FJ466" s="37">
        <v>44581.0</v>
      </c>
      <c r="FK466" s="38" t="s">
        <v>1639</v>
      </c>
      <c r="FL466" s="36" t="s">
        <v>744</v>
      </c>
      <c r="FM466" s="36" t="s">
        <v>260</v>
      </c>
    </row>
    <row r="467" ht="23.25" customHeight="1">
      <c r="A467" s="29">
        <v>44660.55684583333</v>
      </c>
      <c r="B467" s="30" t="s">
        <v>6</v>
      </c>
      <c r="C467" s="30" t="s">
        <v>13</v>
      </c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0" t="s">
        <v>1584</v>
      </c>
      <c r="AY467" s="30" t="s">
        <v>1585</v>
      </c>
      <c r="AZ467" s="30" t="s">
        <v>369</v>
      </c>
      <c r="BA467" s="30" t="s">
        <v>1378</v>
      </c>
      <c r="BB467" s="30" t="s">
        <v>510</v>
      </c>
      <c r="BC467" s="32">
        <v>43922.0</v>
      </c>
      <c r="BD467" s="32">
        <v>43984.0</v>
      </c>
      <c r="BE467" s="32">
        <v>43985.0</v>
      </c>
      <c r="BF467" s="30">
        <v>90.0</v>
      </c>
      <c r="BG467" s="30" t="s">
        <v>365</v>
      </c>
      <c r="BH467" s="33" t="s">
        <v>1640</v>
      </c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FL467" s="36" t="s">
        <v>1587</v>
      </c>
      <c r="FM467" s="36" t="s">
        <v>323</v>
      </c>
    </row>
    <row r="468" ht="23.25" customHeight="1">
      <c r="A468" s="29">
        <v>44660.558250625</v>
      </c>
      <c r="B468" s="30" t="s">
        <v>6</v>
      </c>
      <c r="C468" s="30" t="s">
        <v>13</v>
      </c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0" t="s">
        <v>1584</v>
      </c>
      <c r="AY468" s="30" t="s">
        <v>1585</v>
      </c>
      <c r="AZ468" s="30" t="s">
        <v>344</v>
      </c>
      <c r="BA468" s="30" t="s">
        <v>1378</v>
      </c>
      <c r="BB468" s="30" t="s">
        <v>510</v>
      </c>
      <c r="BC468" s="32">
        <v>43985.0</v>
      </c>
      <c r="BD468" s="32">
        <v>44043.0</v>
      </c>
      <c r="BE468" s="32">
        <v>44044.0</v>
      </c>
      <c r="BF468" s="30">
        <v>93.0</v>
      </c>
      <c r="BG468" s="30" t="s">
        <v>365</v>
      </c>
      <c r="BH468" s="33" t="s">
        <v>1641</v>
      </c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FL468" s="36" t="s">
        <v>1587</v>
      </c>
      <c r="FM468" s="36" t="s">
        <v>323</v>
      </c>
    </row>
    <row r="469" ht="23.25" customHeight="1">
      <c r="A469" s="29">
        <v>44660.55992659723</v>
      </c>
      <c r="B469" s="30" t="s">
        <v>6</v>
      </c>
      <c r="C469" s="30" t="s">
        <v>20</v>
      </c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DX469" s="36" t="s">
        <v>1584</v>
      </c>
      <c r="DY469" s="36" t="s">
        <v>1585</v>
      </c>
      <c r="DZ469" s="36" t="s">
        <v>159</v>
      </c>
      <c r="EA469" s="36" t="s">
        <v>365</v>
      </c>
      <c r="EB469" s="37">
        <v>43995.0</v>
      </c>
      <c r="EC469" s="36" t="s">
        <v>1642</v>
      </c>
      <c r="ED469" s="38" t="s">
        <v>1643</v>
      </c>
      <c r="FL469" s="36" t="s">
        <v>1587</v>
      </c>
      <c r="FM469" s="36" t="s">
        <v>323</v>
      </c>
    </row>
    <row r="470" ht="23.25" customHeight="1">
      <c r="A470" s="29">
        <v>44660.56057074074</v>
      </c>
      <c r="B470" s="30" t="s">
        <v>6</v>
      </c>
      <c r="C470" s="20" t="s">
        <v>15</v>
      </c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0" t="s">
        <v>1618</v>
      </c>
      <c r="BX470" s="30" t="s">
        <v>1619</v>
      </c>
      <c r="BZ470" s="36" t="s">
        <v>313</v>
      </c>
      <c r="CA470" s="36" t="s">
        <v>1644</v>
      </c>
      <c r="CB470" s="36" t="s">
        <v>1151</v>
      </c>
      <c r="CC470" s="36" t="s">
        <v>1645</v>
      </c>
      <c r="CD470" s="37">
        <v>44088.0</v>
      </c>
      <c r="CE470" s="37">
        <v>44181.0</v>
      </c>
      <c r="CF470" s="36">
        <v>52.0</v>
      </c>
      <c r="CG470" s="38" t="s">
        <v>1646</v>
      </c>
      <c r="FL470" s="36" t="s">
        <v>1622</v>
      </c>
      <c r="FM470" s="36" t="s">
        <v>260</v>
      </c>
    </row>
    <row r="471" ht="23.25" customHeight="1">
      <c r="A471" s="29">
        <v>44660.56192523148</v>
      </c>
      <c r="B471" s="30" t="s">
        <v>6</v>
      </c>
      <c r="C471" s="30" t="s">
        <v>14</v>
      </c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0" t="s">
        <v>453</v>
      </c>
      <c r="BJ471" s="30" t="s">
        <v>454</v>
      </c>
      <c r="BK471" s="30" t="s">
        <v>313</v>
      </c>
      <c r="BL471" s="30" t="s">
        <v>1288</v>
      </c>
      <c r="BM471" s="30" t="s">
        <v>813</v>
      </c>
      <c r="BN471" s="30">
        <v>2.0</v>
      </c>
      <c r="BO471" s="32">
        <v>43505.0</v>
      </c>
      <c r="BP471" s="32">
        <v>43506.0</v>
      </c>
      <c r="BQ471" s="30" t="s">
        <v>1647</v>
      </c>
      <c r="BR471" s="30" t="s">
        <v>1648</v>
      </c>
      <c r="BS471" s="30" t="s">
        <v>276</v>
      </c>
      <c r="BT471" s="30" t="s">
        <v>632</v>
      </c>
      <c r="BU471" s="30">
        <v>300.0</v>
      </c>
      <c r="BV471" s="33" t="s">
        <v>1649</v>
      </c>
      <c r="BW471" s="31"/>
      <c r="BX471" s="31"/>
      <c r="FL471" s="36" t="s">
        <v>459</v>
      </c>
      <c r="FM471" s="36" t="s">
        <v>260</v>
      </c>
    </row>
    <row r="472" ht="23.25" customHeight="1">
      <c r="A472" s="29">
        <v>44660.56204928241</v>
      </c>
      <c r="B472" s="30" t="s">
        <v>6</v>
      </c>
      <c r="C472" s="30" t="s">
        <v>13</v>
      </c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0" t="s">
        <v>1623</v>
      </c>
      <c r="AY472" s="30" t="s">
        <v>1624</v>
      </c>
      <c r="AZ472" s="30" t="s">
        <v>1650</v>
      </c>
      <c r="BA472" s="30" t="s">
        <v>345</v>
      </c>
      <c r="BB472" s="30" t="s">
        <v>495</v>
      </c>
      <c r="BC472" s="32">
        <v>43922.0</v>
      </c>
      <c r="BD472" s="32">
        <v>43977.0</v>
      </c>
      <c r="BE472" s="32">
        <v>43977.0</v>
      </c>
      <c r="BF472" s="30" t="s">
        <v>1627</v>
      </c>
      <c r="BG472" s="30" t="s">
        <v>1628</v>
      </c>
      <c r="BH472" s="33" t="s">
        <v>1651</v>
      </c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FL472" s="36" t="s">
        <v>1630</v>
      </c>
      <c r="FM472" s="36" t="s">
        <v>260</v>
      </c>
    </row>
    <row r="473" ht="23.25" customHeight="1">
      <c r="A473" s="29">
        <v>44660.562375243055</v>
      </c>
      <c r="B473" s="30" t="s">
        <v>6</v>
      </c>
      <c r="C473" s="30" t="s">
        <v>13</v>
      </c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0" t="s">
        <v>1584</v>
      </c>
      <c r="AY473" s="30" t="s">
        <v>1585</v>
      </c>
      <c r="AZ473" s="30" t="s">
        <v>642</v>
      </c>
      <c r="BA473" s="30" t="s">
        <v>1652</v>
      </c>
      <c r="BB473" s="30" t="s">
        <v>510</v>
      </c>
      <c r="BC473" s="32">
        <v>44318.0</v>
      </c>
      <c r="BD473" s="32">
        <v>44378.0</v>
      </c>
      <c r="BE473" s="32">
        <v>44380.0</v>
      </c>
      <c r="BF473" s="30">
        <v>93.0</v>
      </c>
      <c r="BG473" s="30" t="s">
        <v>365</v>
      </c>
      <c r="BH473" s="33" t="s">
        <v>1653</v>
      </c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FL473" s="36" t="s">
        <v>1587</v>
      </c>
      <c r="FM473" s="36" t="s">
        <v>283</v>
      </c>
    </row>
    <row r="474" ht="23.25" customHeight="1">
      <c r="A474" s="29">
        <v>44660.56493891204</v>
      </c>
      <c r="B474" s="30" t="s">
        <v>6</v>
      </c>
      <c r="C474" s="30" t="s">
        <v>13</v>
      </c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0" t="s">
        <v>1623</v>
      </c>
      <c r="AY474" s="30" t="s">
        <v>1624</v>
      </c>
      <c r="AZ474" s="30" t="s">
        <v>1654</v>
      </c>
      <c r="BA474" s="30" t="s">
        <v>1655</v>
      </c>
      <c r="BB474" s="30" t="s">
        <v>495</v>
      </c>
      <c r="BC474" s="32">
        <v>43952.0</v>
      </c>
      <c r="BD474" s="32">
        <v>43973.0</v>
      </c>
      <c r="BE474" s="32">
        <v>43973.0</v>
      </c>
      <c r="BF474" s="30" t="s">
        <v>1627</v>
      </c>
      <c r="BG474" s="30" t="s">
        <v>1628</v>
      </c>
      <c r="BH474" s="33" t="s">
        <v>1656</v>
      </c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FL474" s="36" t="s">
        <v>1630</v>
      </c>
      <c r="FM474" s="36" t="s">
        <v>260</v>
      </c>
    </row>
    <row r="475" ht="23.25" customHeight="1">
      <c r="A475" s="29">
        <v>44660.568961261575</v>
      </c>
      <c r="B475" s="30" t="s">
        <v>6</v>
      </c>
      <c r="C475" s="30" t="s">
        <v>13</v>
      </c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0" t="s">
        <v>1657</v>
      </c>
      <c r="AY475" s="30" t="s">
        <v>1658</v>
      </c>
      <c r="AZ475" s="30" t="s">
        <v>1659</v>
      </c>
      <c r="BA475" s="30" t="s">
        <v>1660</v>
      </c>
      <c r="BB475" s="30" t="s">
        <v>495</v>
      </c>
      <c r="BC475" s="32">
        <v>44367.0</v>
      </c>
      <c r="BD475" s="32">
        <v>44401.0</v>
      </c>
      <c r="BE475" s="32">
        <v>44400.0</v>
      </c>
      <c r="BF475" s="30">
        <v>100.0</v>
      </c>
      <c r="BG475" s="30" t="s">
        <v>1055</v>
      </c>
      <c r="BH475" s="33" t="s">
        <v>1661</v>
      </c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FL475" s="36" t="s">
        <v>1662</v>
      </c>
      <c r="FM475" s="36" t="s">
        <v>341</v>
      </c>
    </row>
    <row r="476" ht="23.25" customHeight="1">
      <c r="A476" s="29">
        <v>44660.57096067129</v>
      </c>
      <c r="B476" s="30" t="s">
        <v>6</v>
      </c>
      <c r="C476" s="30" t="s">
        <v>12</v>
      </c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0" t="s">
        <v>1657</v>
      </c>
      <c r="AO476" s="30" t="s">
        <v>1658</v>
      </c>
      <c r="AP476" s="30" t="s">
        <v>309</v>
      </c>
      <c r="AQ476" s="30" t="s">
        <v>310</v>
      </c>
      <c r="AR476" s="32">
        <v>44478.0</v>
      </c>
      <c r="AS476" s="32">
        <v>44545.0</v>
      </c>
      <c r="AT476" s="30" t="s">
        <v>257</v>
      </c>
      <c r="AU476" s="30" t="s">
        <v>257</v>
      </c>
      <c r="AV476" s="30">
        <v>0.0</v>
      </c>
      <c r="AW476" s="33" t="s">
        <v>1663</v>
      </c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FL476" s="36" t="s">
        <v>1662</v>
      </c>
      <c r="FM476" s="36" t="s">
        <v>278</v>
      </c>
    </row>
    <row r="477" ht="23.25" customHeight="1">
      <c r="A477" s="29">
        <v>44660.57388109954</v>
      </c>
      <c r="B477" s="30" t="s">
        <v>6</v>
      </c>
      <c r="C477" s="30" t="s">
        <v>13</v>
      </c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0" t="s">
        <v>1623</v>
      </c>
      <c r="AY477" s="30" t="s">
        <v>1624</v>
      </c>
      <c r="AZ477" s="30" t="s">
        <v>1664</v>
      </c>
      <c r="BA477" s="30" t="s">
        <v>345</v>
      </c>
      <c r="BB477" s="30" t="s">
        <v>1665</v>
      </c>
      <c r="BC477" s="32">
        <v>44013.0</v>
      </c>
      <c r="BD477" s="32">
        <v>44019.0</v>
      </c>
      <c r="BE477" s="32">
        <v>44019.0</v>
      </c>
      <c r="BF477" s="30" t="s">
        <v>1627</v>
      </c>
      <c r="BG477" s="30" t="s">
        <v>1628</v>
      </c>
      <c r="BH477" s="33" t="s">
        <v>1666</v>
      </c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FL477" s="36" t="s">
        <v>1630</v>
      </c>
      <c r="FM477" s="36" t="s">
        <v>260</v>
      </c>
    </row>
    <row r="478" ht="23.25" customHeight="1">
      <c r="A478" s="29">
        <v>44660.5762477199</v>
      </c>
      <c r="B478" s="30" t="s">
        <v>6</v>
      </c>
      <c r="C478" s="30" t="s">
        <v>13</v>
      </c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0" t="s">
        <v>1623</v>
      </c>
      <c r="AY478" s="30" t="s">
        <v>1624</v>
      </c>
      <c r="AZ478" s="30" t="s">
        <v>1667</v>
      </c>
      <c r="BA478" s="30" t="s">
        <v>345</v>
      </c>
      <c r="BB478" s="30" t="s">
        <v>495</v>
      </c>
      <c r="BC478" s="32">
        <v>44013.0</v>
      </c>
      <c r="BD478" s="32">
        <v>44017.0</v>
      </c>
      <c r="BE478" s="32">
        <v>44017.0</v>
      </c>
      <c r="BF478" s="30" t="s">
        <v>1668</v>
      </c>
      <c r="BG478" s="30" t="s">
        <v>1628</v>
      </c>
      <c r="BH478" s="33" t="s">
        <v>1669</v>
      </c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FL478" s="36" t="s">
        <v>1630</v>
      </c>
      <c r="FM478" s="36" t="s">
        <v>260</v>
      </c>
    </row>
    <row r="479" ht="23.25" customHeight="1">
      <c r="A479" s="29">
        <v>44660.58163840278</v>
      </c>
      <c r="B479" s="30" t="s">
        <v>6</v>
      </c>
      <c r="C479" s="30" t="s">
        <v>13</v>
      </c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0" t="s">
        <v>1623</v>
      </c>
      <c r="AY479" s="30" t="s">
        <v>1624</v>
      </c>
      <c r="AZ479" s="30" t="s">
        <v>1670</v>
      </c>
      <c r="BA479" s="30" t="s">
        <v>345</v>
      </c>
      <c r="BB479" s="30" t="s">
        <v>1493</v>
      </c>
      <c r="BC479" s="32">
        <v>43891.0</v>
      </c>
      <c r="BD479" s="32">
        <v>43968.0</v>
      </c>
      <c r="BE479" s="32">
        <v>43968.0</v>
      </c>
      <c r="BF479" s="30" t="s">
        <v>1671</v>
      </c>
      <c r="BG479" s="30" t="s">
        <v>1628</v>
      </c>
      <c r="BH479" s="33" t="s">
        <v>1672</v>
      </c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FL479" s="36" t="s">
        <v>1630</v>
      </c>
      <c r="FM479" s="36" t="s">
        <v>260</v>
      </c>
    </row>
    <row r="480" ht="23.25" customHeight="1">
      <c r="A480" s="29">
        <v>44660.586881111114</v>
      </c>
      <c r="B480" s="30" t="s">
        <v>6</v>
      </c>
      <c r="C480" s="30" t="s">
        <v>13</v>
      </c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0" t="s">
        <v>1673</v>
      </c>
      <c r="AY480" s="30" t="s">
        <v>1674</v>
      </c>
      <c r="AZ480" s="30" t="s">
        <v>500</v>
      </c>
      <c r="BA480" s="30" t="s">
        <v>309</v>
      </c>
      <c r="BB480" s="30" t="s">
        <v>450</v>
      </c>
      <c r="BC480" s="32">
        <v>44476.0</v>
      </c>
      <c r="BD480" s="32">
        <v>44537.0</v>
      </c>
      <c r="BE480" s="32">
        <v>44536.0</v>
      </c>
      <c r="BF480" s="30">
        <v>100.0</v>
      </c>
      <c r="BG480" s="30" t="s">
        <v>1675</v>
      </c>
      <c r="BH480" s="33" t="s">
        <v>1676</v>
      </c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FL480" s="36" t="s">
        <v>1677</v>
      </c>
      <c r="FM480" s="36" t="s">
        <v>260</v>
      </c>
    </row>
    <row r="481" ht="23.25" customHeight="1">
      <c r="A481" s="29">
        <v>44660.58781149305</v>
      </c>
      <c r="B481" s="30" t="s">
        <v>6</v>
      </c>
      <c r="C481" s="30" t="s">
        <v>12</v>
      </c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0" t="s">
        <v>1305</v>
      </c>
      <c r="AO481" s="30" t="s">
        <v>1306</v>
      </c>
      <c r="AP481" s="30" t="s">
        <v>637</v>
      </c>
      <c r="AQ481" s="30" t="s">
        <v>507</v>
      </c>
      <c r="AR481" s="32">
        <v>44630.0</v>
      </c>
      <c r="AS481" s="32">
        <v>44712.0</v>
      </c>
      <c r="AT481" s="30" t="s">
        <v>257</v>
      </c>
      <c r="AU481" s="30" t="s">
        <v>257</v>
      </c>
      <c r="AV481" s="30">
        <v>0.0</v>
      </c>
      <c r="AW481" s="33" t="s">
        <v>1678</v>
      </c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FL481" s="36" t="s">
        <v>1310</v>
      </c>
      <c r="FM481" s="36" t="s">
        <v>260</v>
      </c>
    </row>
    <row r="482" ht="23.25" customHeight="1">
      <c r="A482" s="29">
        <v>44660.591374386575</v>
      </c>
      <c r="B482" s="30" t="s">
        <v>6</v>
      </c>
      <c r="C482" s="30" t="s">
        <v>23</v>
      </c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FG482" s="36" t="s">
        <v>1673</v>
      </c>
      <c r="FH482" s="36" t="s">
        <v>1674</v>
      </c>
      <c r="FI482" s="36" t="s">
        <v>1679</v>
      </c>
      <c r="FJ482" s="37">
        <v>44486.0</v>
      </c>
      <c r="FK482" s="38" t="s">
        <v>1680</v>
      </c>
      <c r="FL482" s="36" t="s">
        <v>1677</v>
      </c>
      <c r="FM482" s="36" t="s">
        <v>260</v>
      </c>
    </row>
    <row r="483" ht="23.25" customHeight="1">
      <c r="A483" s="29">
        <v>44660.59872800926</v>
      </c>
      <c r="B483" s="30" t="s">
        <v>6</v>
      </c>
      <c r="C483" s="30" t="s">
        <v>13</v>
      </c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0" t="s">
        <v>978</v>
      </c>
      <c r="AY483" s="30" t="s">
        <v>390</v>
      </c>
      <c r="AZ483" s="30" t="s">
        <v>1681</v>
      </c>
      <c r="BA483" s="30" t="s">
        <v>1452</v>
      </c>
      <c r="BB483" s="30" t="s">
        <v>1682</v>
      </c>
      <c r="BC483" s="32">
        <v>43930.0</v>
      </c>
      <c r="BD483" s="32">
        <v>43931.0</v>
      </c>
      <c r="BE483" s="32">
        <v>43930.0</v>
      </c>
      <c r="BF483" s="30">
        <v>80.0</v>
      </c>
      <c r="BG483" s="30" t="s">
        <v>397</v>
      </c>
      <c r="BH483" s="33" t="s">
        <v>1683</v>
      </c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FL483" s="36" t="s">
        <v>393</v>
      </c>
      <c r="FM483" s="36" t="s">
        <v>260</v>
      </c>
    </row>
    <row r="484" ht="23.25" customHeight="1">
      <c r="A484" s="29">
        <v>44660.60101545139</v>
      </c>
      <c r="B484" s="30" t="s">
        <v>6</v>
      </c>
      <c r="C484" s="30" t="s">
        <v>12</v>
      </c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0" t="s">
        <v>1684</v>
      </c>
      <c r="AO484" s="30" t="s">
        <v>1685</v>
      </c>
      <c r="AP484" s="30" t="s">
        <v>637</v>
      </c>
      <c r="AQ484" s="30" t="s">
        <v>450</v>
      </c>
      <c r="AR484" s="32">
        <v>44668.0</v>
      </c>
      <c r="AS484" s="32">
        <v>44759.0</v>
      </c>
      <c r="AT484" s="30" t="s">
        <v>257</v>
      </c>
      <c r="AU484" s="30" t="s">
        <v>257</v>
      </c>
      <c r="AV484" s="30">
        <v>0.0</v>
      </c>
      <c r="AW484" s="33" t="s">
        <v>1686</v>
      </c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FL484" s="36" t="s">
        <v>1687</v>
      </c>
      <c r="FM484" s="36" t="s">
        <v>260</v>
      </c>
    </row>
    <row r="485" ht="23.25" customHeight="1">
      <c r="A485" s="29">
        <v>44660.60587211806</v>
      </c>
      <c r="B485" s="30" t="s">
        <v>6</v>
      </c>
      <c r="C485" s="30" t="s">
        <v>27</v>
      </c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FL485" s="36" t="s">
        <v>1687</v>
      </c>
      <c r="FM485" s="36" t="s">
        <v>260</v>
      </c>
      <c r="GF485" s="36" t="s">
        <v>1684</v>
      </c>
      <c r="GG485" s="36" t="s">
        <v>1685</v>
      </c>
      <c r="GH485" s="36" t="s">
        <v>637</v>
      </c>
      <c r="GI485" s="37">
        <v>44732.0</v>
      </c>
      <c r="GJ485" s="38" t="s">
        <v>1688</v>
      </c>
      <c r="GK485" s="36" t="s">
        <v>1689</v>
      </c>
      <c r="GL485" s="36">
        <v>3.5</v>
      </c>
    </row>
    <row r="486" ht="23.25" customHeight="1">
      <c r="A486" s="29">
        <v>44660.60707008102</v>
      </c>
      <c r="B486" s="30" t="s">
        <v>6</v>
      </c>
      <c r="C486" s="30" t="s">
        <v>27</v>
      </c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FL486" s="36" t="s">
        <v>1687</v>
      </c>
      <c r="FM486" s="36" t="s">
        <v>260</v>
      </c>
      <c r="GF486" s="36" t="s">
        <v>1684</v>
      </c>
      <c r="GG486" s="36" t="s">
        <v>1685</v>
      </c>
      <c r="GH486" s="36" t="s">
        <v>254</v>
      </c>
      <c r="GI486" s="37">
        <v>44737.0</v>
      </c>
      <c r="GJ486" s="38" t="s">
        <v>1690</v>
      </c>
      <c r="GK486" s="36" t="s">
        <v>1689</v>
      </c>
      <c r="GL486" s="36">
        <v>4.0</v>
      </c>
    </row>
    <row r="487" ht="23.25" customHeight="1">
      <c r="A487" s="29">
        <v>44660.60814353009</v>
      </c>
      <c r="B487" s="30" t="s">
        <v>6</v>
      </c>
      <c r="C487" s="30" t="s">
        <v>27</v>
      </c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FL487" s="36" t="s">
        <v>1687</v>
      </c>
      <c r="FM487" s="36" t="s">
        <v>260</v>
      </c>
      <c r="GF487" s="36" t="s">
        <v>1684</v>
      </c>
      <c r="GG487" s="36" t="s">
        <v>1685</v>
      </c>
      <c r="GH487" s="36" t="s">
        <v>269</v>
      </c>
      <c r="GI487" s="37">
        <v>44754.0</v>
      </c>
      <c r="GJ487" s="38" t="s">
        <v>1691</v>
      </c>
      <c r="GK487" s="36" t="s">
        <v>1689</v>
      </c>
      <c r="GL487" s="36">
        <v>3.6</v>
      </c>
    </row>
    <row r="488" ht="23.25" customHeight="1">
      <c r="A488" s="29">
        <v>44660.61487829861</v>
      </c>
      <c r="B488" s="30" t="s">
        <v>6</v>
      </c>
      <c r="C488" s="30" t="s">
        <v>12</v>
      </c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0" t="s">
        <v>1692</v>
      </c>
      <c r="AO488" s="30" t="s">
        <v>619</v>
      </c>
      <c r="AP488" s="30" t="s">
        <v>637</v>
      </c>
      <c r="AQ488" s="30" t="s">
        <v>450</v>
      </c>
      <c r="AR488" s="32">
        <v>44657.0</v>
      </c>
      <c r="AS488" s="32">
        <v>44742.0</v>
      </c>
      <c r="AT488" s="30" t="s">
        <v>257</v>
      </c>
      <c r="AU488" s="30" t="s">
        <v>257</v>
      </c>
      <c r="AV488" s="30">
        <v>0.0</v>
      </c>
      <c r="AW488" s="33" t="s">
        <v>1693</v>
      </c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FL488" s="36" t="s">
        <v>622</v>
      </c>
      <c r="FM488" s="36" t="s">
        <v>260</v>
      </c>
    </row>
    <row r="489" ht="23.25" customHeight="1">
      <c r="A489" s="29">
        <v>44660.614935405094</v>
      </c>
      <c r="B489" s="30" t="s">
        <v>6</v>
      </c>
      <c r="C489" s="30" t="s">
        <v>13</v>
      </c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0" t="s">
        <v>1684</v>
      </c>
      <c r="AY489" s="30" t="s">
        <v>1685</v>
      </c>
      <c r="AZ489" s="30" t="s">
        <v>1694</v>
      </c>
      <c r="BA489" s="30" t="s">
        <v>500</v>
      </c>
      <c r="BB489" s="30" t="s">
        <v>450</v>
      </c>
      <c r="BC489" s="32">
        <v>44479.0</v>
      </c>
      <c r="BD489" s="32">
        <v>44571.0</v>
      </c>
      <c r="BE489" s="32">
        <v>44572.0</v>
      </c>
      <c r="BF489" s="30">
        <v>100.0</v>
      </c>
      <c r="BG489" s="30" t="s">
        <v>1437</v>
      </c>
      <c r="BH489" s="33" t="s">
        <v>1695</v>
      </c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FL489" s="36" t="s">
        <v>1687</v>
      </c>
      <c r="FM489" s="36" t="s">
        <v>260</v>
      </c>
    </row>
    <row r="490" ht="23.25" customHeight="1">
      <c r="A490" s="29">
        <v>44660.61575134259</v>
      </c>
      <c r="B490" s="30" t="s">
        <v>6</v>
      </c>
      <c r="C490" s="30" t="s">
        <v>12</v>
      </c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0" t="s">
        <v>1696</v>
      </c>
      <c r="AO490" s="30" t="s">
        <v>403</v>
      </c>
      <c r="AP490" s="30" t="s">
        <v>637</v>
      </c>
      <c r="AQ490" s="30" t="s">
        <v>1068</v>
      </c>
      <c r="AR490" s="32">
        <v>44645.0</v>
      </c>
      <c r="AS490" s="32">
        <v>44737.0</v>
      </c>
      <c r="AT490" s="30" t="s">
        <v>257</v>
      </c>
      <c r="AU490" s="30" t="s">
        <v>257</v>
      </c>
      <c r="AV490" s="30">
        <v>0.0</v>
      </c>
      <c r="AW490" s="33" t="s">
        <v>1697</v>
      </c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FL490" s="36" t="s">
        <v>405</v>
      </c>
      <c r="FM490" s="36" t="s">
        <v>260</v>
      </c>
    </row>
    <row r="491" ht="23.25" customHeight="1">
      <c r="A491" s="29">
        <v>44660.6186387037</v>
      </c>
      <c r="B491" s="30" t="s">
        <v>6</v>
      </c>
      <c r="C491" s="30" t="s">
        <v>13</v>
      </c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0" t="s">
        <v>1698</v>
      </c>
      <c r="AY491" s="30" t="s">
        <v>1699</v>
      </c>
      <c r="AZ491" s="30" t="s">
        <v>1700</v>
      </c>
      <c r="BA491" s="30" t="s">
        <v>377</v>
      </c>
      <c r="BB491" s="30" t="s">
        <v>310</v>
      </c>
      <c r="BC491" s="32">
        <v>43601.0</v>
      </c>
      <c r="BD491" s="32">
        <v>43672.0</v>
      </c>
      <c r="BE491" s="32">
        <v>43672.0</v>
      </c>
      <c r="BF491" s="30">
        <v>90.0</v>
      </c>
      <c r="BG491" s="30" t="s">
        <v>1675</v>
      </c>
      <c r="BH491" s="33" t="s">
        <v>1701</v>
      </c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FL491" s="36" t="s">
        <v>1702</v>
      </c>
      <c r="FM491" s="36" t="s">
        <v>414</v>
      </c>
    </row>
    <row r="492" ht="23.25" customHeight="1">
      <c r="A492" s="29">
        <v>44660.621747094905</v>
      </c>
      <c r="B492" s="30" t="s">
        <v>6</v>
      </c>
      <c r="C492" s="30" t="s">
        <v>27</v>
      </c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FL492" s="36" t="s">
        <v>1677</v>
      </c>
      <c r="FM492" s="36" t="s">
        <v>260</v>
      </c>
      <c r="GF492" s="36" t="s">
        <v>1673</v>
      </c>
      <c r="GG492" s="36" t="s">
        <v>1674</v>
      </c>
      <c r="GH492" s="36" t="s">
        <v>1703</v>
      </c>
      <c r="GI492" s="37">
        <v>44781.0</v>
      </c>
      <c r="GJ492" s="38" t="s">
        <v>1704</v>
      </c>
      <c r="GK492" s="36" t="s">
        <v>1705</v>
      </c>
      <c r="GL492" s="36">
        <v>4.5</v>
      </c>
    </row>
    <row r="493" ht="23.25" customHeight="1">
      <c r="A493" s="29">
        <v>44660.62330880787</v>
      </c>
      <c r="B493" s="30" t="s">
        <v>6</v>
      </c>
      <c r="C493" s="30" t="s">
        <v>13</v>
      </c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0" t="s">
        <v>1684</v>
      </c>
      <c r="AY493" s="30" t="s">
        <v>1685</v>
      </c>
      <c r="AZ493" s="30" t="s">
        <v>351</v>
      </c>
      <c r="BA493" s="30" t="s">
        <v>377</v>
      </c>
      <c r="BB493" s="30" t="s">
        <v>450</v>
      </c>
      <c r="BC493" s="32">
        <v>43564.0</v>
      </c>
      <c r="BD493" s="32">
        <v>43665.0</v>
      </c>
      <c r="BE493" s="32">
        <v>43672.0</v>
      </c>
      <c r="BF493" s="30">
        <v>98.0</v>
      </c>
      <c r="BG493" s="30" t="s">
        <v>497</v>
      </c>
      <c r="BH493" s="33" t="s">
        <v>1706</v>
      </c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FL493" s="36" t="s">
        <v>1687</v>
      </c>
      <c r="FM493" s="36" t="s">
        <v>260</v>
      </c>
    </row>
    <row r="494" ht="23.25" customHeight="1">
      <c r="A494" s="29">
        <v>44660.624412997684</v>
      </c>
      <c r="B494" s="30" t="s">
        <v>6</v>
      </c>
      <c r="C494" s="30" t="s">
        <v>27</v>
      </c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FL494" s="36" t="s">
        <v>1677</v>
      </c>
      <c r="FM494" s="36" t="s">
        <v>260</v>
      </c>
      <c r="GF494" s="36" t="s">
        <v>1673</v>
      </c>
      <c r="GG494" s="36" t="s">
        <v>1674</v>
      </c>
      <c r="GH494" s="36" t="s">
        <v>637</v>
      </c>
      <c r="GI494" s="37">
        <v>44753.0</v>
      </c>
      <c r="GJ494" s="38" t="s">
        <v>1707</v>
      </c>
      <c r="GK494" s="36" t="s">
        <v>1689</v>
      </c>
      <c r="GL494" s="36">
        <v>3.6</v>
      </c>
    </row>
    <row r="495" ht="23.25" customHeight="1">
      <c r="A495" s="29">
        <v>44660.62677084491</v>
      </c>
      <c r="B495" s="30" t="s">
        <v>6</v>
      </c>
      <c r="C495" s="30" t="s">
        <v>12</v>
      </c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0" t="s">
        <v>1708</v>
      </c>
      <c r="AO495" s="30" t="s">
        <v>1709</v>
      </c>
      <c r="AP495" s="30" t="s">
        <v>254</v>
      </c>
      <c r="AQ495" s="30" t="s">
        <v>450</v>
      </c>
      <c r="AR495" s="32">
        <v>44620.0</v>
      </c>
      <c r="AS495" s="32">
        <v>44696.0</v>
      </c>
      <c r="AT495" s="30" t="s">
        <v>256</v>
      </c>
      <c r="AU495" s="30" t="s">
        <v>257</v>
      </c>
      <c r="AV495" s="30">
        <v>22000.0</v>
      </c>
      <c r="AW495" s="33" t="s">
        <v>1710</v>
      </c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FL495" s="36" t="s">
        <v>1711</v>
      </c>
      <c r="FM495" s="36" t="s">
        <v>260</v>
      </c>
    </row>
    <row r="496" ht="23.25" customHeight="1">
      <c r="A496" s="29">
        <v>44660.62867229167</v>
      </c>
      <c r="B496" s="30" t="s">
        <v>6</v>
      </c>
      <c r="C496" s="30" t="s">
        <v>27</v>
      </c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FL496" s="36" t="s">
        <v>1677</v>
      </c>
      <c r="FM496" s="36" t="s">
        <v>260</v>
      </c>
      <c r="GF496" s="36" t="s">
        <v>1673</v>
      </c>
      <c r="GG496" s="36" t="s">
        <v>1674</v>
      </c>
      <c r="GH496" s="36" t="s">
        <v>1712</v>
      </c>
      <c r="GI496" s="37">
        <v>44652.0</v>
      </c>
      <c r="GJ496" s="38" t="s">
        <v>1713</v>
      </c>
      <c r="GK496" s="36" t="s">
        <v>1714</v>
      </c>
      <c r="GL496" s="36">
        <v>7.7</v>
      </c>
    </row>
    <row r="497" ht="23.25" customHeight="1">
      <c r="A497" s="29">
        <v>44660.62990525463</v>
      </c>
      <c r="B497" s="30" t="s">
        <v>6</v>
      </c>
      <c r="C497" s="30" t="s">
        <v>13</v>
      </c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0" t="s">
        <v>1715</v>
      </c>
      <c r="AY497" s="30" t="s">
        <v>1709</v>
      </c>
      <c r="AZ497" s="30" t="s">
        <v>647</v>
      </c>
      <c r="BA497" s="30" t="s">
        <v>1452</v>
      </c>
      <c r="BB497" s="30" t="s">
        <v>495</v>
      </c>
      <c r="BC497" s="32">
        <v>44063.0</v>
      </c>
      <c r="BD497" s="32">
        <v>44092.0</v>
      </c>
      <c r="BE497" s="32">
        <v>44094.0</v>
      </c>
      <c r="BF497" s="30">
        <v>90.0</v>
      </c>
      <c r="BG497" s="30" t="s">
        <v>1031</v>
      </c>
      <c r="BH497" s="33" t="s">
        <v>1716</v>
      </c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FL497" s="36" t="s">
        <v>1711</v>
      </c>
      <c r="FM497" s="36" t="s">
        <v>260</v>
      </c>
    </row>
    <row r="498" ht="23.25" customHeight="1">
      <c r="A498" s="29">
        <v>44660.632632673616</v>
      </c>
      <c r="B498" s="30" t="s">
        <v>6</v>
      </c>
      <c r="C498" s="30" t="s">
        <v>13</v>
      </c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0" t="s">
        <v>1715</v>
      </c>
      <c r="AY498" s="30" t="s">
        <v>1709</v>
      </c>
      <c r="AZ498" s="30" t="s">
        <v>1717</v>
      </c>
      <c r="BA498" s="30" t="s">
        <v>1432</v>
      </c>
      <c r="BB498" s="30" t="s">
        <v>450</v>
      </c>
      <c r="BC498" s="32">
        <v>44096.0</v>
      </c>
      <c r="BD498" s="32">
        <v>44181.0</v>
      </c>
      <c r="BE498" s="32">
        <v>44157.0</v>
      </c>
      <c r="BF498" s="30" t="s">
        <v>1031</v>
      </c>
      <c r="BG498" s="30" t="s">
        <v>1718</v>
      </c>
      <c r="BH498" s="33" t="s">
        <v>1719</v>
      </c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FL498" s="36" t="s">
        <v>1711</v>
      </c>
      <c r="FM498" s="36" t="s">
        <v>260</v>
      </c>
    </row>
    <row r="499" ht="23.25" customHeight="1">
      <c r="A499" s="29">
        <v>44660.641297395836</v>
      </c>
      <c r="B499" s="30" t="s">
        <v>6</v>
      </c>
      <c r="C499" s="30" t="s">
        <v>14</v>
      </c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0" t="s">
        <v>1684</v>
      </c>
      <c r="BJ499" s="30" t="s">
        <v>1685</v>
      </c>
      <c r="BK499" s="30" t="s">
        <v>313</v>
      </c>
      <c r="BL499" s="30" t="s">
        <v>735</v>
      </c>
      <c r="BM499" s="30" t="s">
        <v>1720</v>
      </c>
      <c r="BN499" s="30">
        <v>1.0</v>
      </c>
      <c r="BO499" s="32">
        <v>44292.0</v>
      </c>
      <c r="BP499" s="32">
        <v>44292.0</v>
      </c>
      <c r="BQ499" s="30" t="s">
        <v>209</v>
      </c>
      <c r="BR499" s="30" t="s">
        <v>1721</v>
      </c>
      <c r="BS499" s="30" t="s">
        <v>176</v>
      </c>
      <c r="BT499" s="30" t="s">
        <v>632</v>
      </c>
      <c r="BU499" s="30">
        <v>0.0</v>
      </c>
      <c r="BV499" s="33" t="s">
        <v>1722</v>
      </c>
      <c r="BW499" s="31"/>
      <c r="BX499" s="31"/>
      <c r="FL499" s="36" t="s">
        <v>1687</v>
      </c>
      <c r="FM499" s="36" t="s">
        <v>260</v>
      </c>
    </row>
    <row r="500" ht="23.25" customHeight="1">
      <c r="A500" s="29">
        <v>44660.64389011574</v>
      </c>
      <c r="B500" s="30" t="s">
        <v>6</v>
      </c>
      <c r="C500" s="30" t="s">
        <v>13</v>
      </c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0" t="s">
        <v>1684</v>
      </c>
      <c r="AY500" s="30" t="s">
        <v>1685</v>
      </c>
      <c r="AZ500" s="30" t="s">
        <v>1723</v>
      </c>
      <c r="BA500" s="30" t="s">
        <v>345</v>
      </c>
      <c r="BB500" s="30" t="s">
        <v>450</v>
      </c>
      <c r="BC500" s="32">
        <v>43875.0</v>
      </c>
      <c r="BD500" s="32">
        <v>43971.0</v>
      </c>
      <c r="BE500" s="32">
        <v>43976.0</v>
      </c>
      <c r="BF500" s="30">
        <v>99.0</v>
      </c>
      <c r="BG500" s="30" t="s">
        <v>397</v>
      </c>
      <c r="BH500" s="33" t="s">
        <v>1724</v>
      </c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FL500" s="36" t="s">
        <v>1687</v>
      </c>
      <c r="FM500" s="36" t="s">
        <v>260</v>
      </c>
    </row>
    <row r="501" ht="23.25" customHeight="1">
      <c r="A501" s="29">
        <v>44660.64504070602</v>
      </c>
      <c r="B501" s="30" t="s">
        <v>6</v>
      </c>
      <c r="C501" s="30" t="s">
        <v>27</v>
      </c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FL501" s="36" t="s">
        <v>1725</v>
      </c>
      <c r="FM501" s="36" t="s">
        <v>260</v>
      </c>
      <c r="GF501" s="36" t="s">
        <v>1726</v>
      </c>
      <c r="GG501" s="36" t="s">
        <v>1727</v>
      </c>
      <c r="GH501" s="36" t="s">
        <v>254</v>
      </c>
      <c r="GI501" s="37">
        <v>44716.0</v>
      </c>
      <c r="GJ501" s="38" t="s">
        <v>1728</v>
      </c>
      <c r="GK501" s="36" t="s">
        <v>1729</v>
      </c>
      <c r="GL501" s="36">
        <v>4.0</v>
      </c>
    </row>
    <row r="502" ht="23.25" customHeight="1">
      <c r="A502" s="29">
        <v>44660.64603181713</v>
      </c>
      <c r="B502" s="30" t="s">
        <v>6</v>
      </c>
      <c r="C502" s="30" t="s">
        <v>13</v>
      </c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0" t="s">
        <v>1684</v>
      </c>
      <c r="AY502" s="30" t="s">
        <v>1685</v>
      </c>
      <c r="AZ502" s="30" t="s">
        <v>1730</v>
      </c>
      <c r="BA502" s="30" t="s">
        <v>1452</v>
      </c>
      <c r="BB502" s="30" t="s">
        <v>1731</v>
      </c>
      <c r="BC502" s="32">
        <v>43525.0</v>
      </c>
      <c r="BD502" s="32">
        <v>43531.0</v>
      </c>
      <c r="BE502" s="32">
        <v>43547.0</v>
      </c>
      <c r="BF502" s="30">
        <v>100.0</v>
      </c>
      <c r="BG502" s="30" t="s">
        <v>397</v>
      </c>
      <c r="BH502" s="33" t="s">
        <v>1732</v>
      </c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FL502" s="36" t="s">
        <v>1687</v>
      </c>
      <c r="FM502" s="36" t="s">
        <v>260</v>
      </c>
    </row>
    <row r="503" ht="23.25" customHeight="1">
      <c r="A503" s="29">
        <v>44660.647814571756</v>
      </c>
      <c r="B503" s="30" t="s">
        <v>6</v>
      </c>
      <c r="C503" s="30" t="s">
        <v>13</v>
      </c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0" t="s">
        <v>1684</v>
      </c>
      <c r="AY503" s="30" t="s">
        <v>1685</v>
      </c>
      <c r="AZ503" s="30" t="s">
        <v>1733</v>
      </c>
      <c r="BA503" s="30" t="s">
        <v>1452</v>
      </c>
      <c r="BB503" s="30" t="s">
        <v>1734</v>
      </c>
      <c r="BC503" s="32">
        <v>43970.0</v>
      </c>
      <c r="BD503" s="32">
        <v>43976.0</v>
      </c>
      <c r="BE503" s="32">
        <v>43976.0</v>
      </c>
      <c r="BF503" s="30" t="s">
        <v>257</v>
      </c>
      <c r="BG503" s="30" t="s">
        <v>397</v>
      </c>
      <c r="BH503" s="33" t="s">
        <v>1735</v>
      </c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FL503" s="36" t="s">
        <v>1687</v>
      </c>
      <c r="FM503" s="36" t="s">
        <v>260</v>
      </c>
    </row>
    <row r="504" ht="23.25" customHeight="1">
      <c r="A504" s="29">
        <v>44660.64796259259</v>
      </c>
      <c r="B504" s="30" t="s">
        <v>6</v>
      </c>
      <c r="C504" s="30" t="s">
        <v>13</v>
      </c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0" t="s">
        <v>1715</v>
      </c>
      <c r="AY504" s="30" t="s">
        <v>1709</v>
      </c>
      <c r="AZ504" s="30" t="s">
        <v>1736</v>
      </c>
      <c r="BA504" s="30" t="s">
        <v>742</v>
      </c>
      <c r="BB504" s="30" t="s">
        <v>310</v>
      </c>
      <c r="BC504" s="32">
        <v>44166.0</v>
      </c>
      <c r="BD504" s="32">
        <v>44177.0</v>
      </c>
      <c r="BE504" s="32">
        <v>44177.0</v>
      </c>
      <c r="BF504" s="30">
        <v>95.0</v>
      </c>
      <c r="BG504" s="30" t="s">
        <v>525</v>
      </c>
      <c r="BH504" s="33" t="s">
        <v>1737</v>
      </c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FL504" s="36" t="s">
        <v>1711</v>
      </c>
      <c r="FM504" s="36" t="s">
        <v>260</v>
      </c>
    </row>
    <row r="505" ht="23.25" customHeight="1">
      <c r="A505" s="29">
        <v>44660.64800700231</v>
      </c>
      <c r="B505" s="30" t="s">
        <v>6</v>
      </c>
      <c r="C505" s="30" t="s">
        <v>13</v>
      </c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0" t="s">
        <v>1673</v>
      </c>
      <c r="AY505" s="30" t="s">
        <v>1674</v>
      </c>
      <c r="AZ505" s="30" t="s">
        <v>1738</v>
      </c>
      <c r="BA505" s="30" t="s">
        <v>1452</v>
      </c>
      <c r="BB505" s="30" t="s">
        <v>1739</v>
      </c>
      <c r="BC505" s="32">
        <v>43434.0</v>
      </c>
      <c r="BD505" s="32">
        <v>43441.0</v>
      </c>
      <c r="BE505" s="32">
        <v>43441.0</v>
      </c>
      <c r="BF505" s="30">
        <v>90.0</v>
      </c>
      <c r="BG505" s="30" t="s">
        <v>330</v>
      </c>
      <c r="BH505" s="33" t="s">
        <v>1740</v>
      </c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FL505" s="36" t="s">
        <v>1677</v>
      </c>
      <c r="FM505" s="36" t="s">
        <v>414</v>
      </c>
    </row>
    <row r="506" ht="23.25" customHeight="1">
      <c r="A506" s="29">
        <v>44660.65352288194</v>
      </c>
      <c r="B506" s="30" t="s">
        <v>6</v>
      </c>
      <c r="C506" s="30" t="s">
        <v>13</v>
      </c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0" t="s">
        <v>1741</v>
      </c>
      <c r="AY506" s="30" t="s">
        <v>1742</v>
      </c>
      <c r="AZ506" s="30" t="s">
        <v>500</v>
      </c>
      <c r="BA506" s="30" t="s">
        <v>1743</v>
      </c>
      <c r="BB506" s="30" t="s">
        <v>553</v>
      </c>
      <c r="BC506" s="32">
        <v>44481.0</v>
      </c>
      <c r="BD506" s="32">
        <v>44542.0</v>
      </c>
      <c r="BE506" s="32">
        <v>44554.0</v>
      </c>
      <c r="BF506" s="30" t="s">
        <v>257</v>
      </c>
      <c r="BG506" s="30" t="s">
        <v>1055</v>
      </c>
      <c r="BH506" s="33" t="s">
        <v>1744</v>
      </c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FL506" s="36" t="s">
        <v>1745</v>
      </c>
      <c r="FM506" s="36" t="s">
        <v>260</v>
      </c>
    </row>
    <row r="507" ht="23.25" customHeight="1">
      <c r="A507" s="29">
        <v>44660.65446716435</v>
      </c>
      <c r="B507" s="30" t="s">
        <v>6</v>
      </c>
      <c r="C507" s="30" t="s">
        <v>14</v>
      </c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0" t="s">
        <v>1684</v>
      </c>
      <c r="BJ507" s="30" t="s">
        <v>1685</v>
      </c>
      <c r="BK507" s="30" t="s">
        <v>171</v>
      </c>
      <c r="BL507" s="30" t="s">
        <v>1288</v>
      </c>
      <c r="BM507" s="30" t="s">
        <v>1746</v>
      </c>
      <c r="BN507" s="30">
        <v>1.0</v>
      </c>
      <c r="BO507" s="32">
        <v>44008.0</v>
      </c>
      <c r="BP507" s="32">
        <v>44008.0</v>
      </c>
      <c r="BQ507" s="30" t="s">
        <v>1747</v>
      </c>
      <c r="BR507" s="30" t="s">
        <v>1748</v>
      </c>
      <c r="BS507" s="30" t="s">
        <v>155</v>
      </c>
      <c r="BT507" s="30" t="s">
        <v>156</v>
      </c>
      <c r="BU507" s="31"/>
      <c r="BV507" s="33" t="s">
        <v>1749</v>
      </c>
      <c r="BW507" s="31"/>
      <c r="BX507" s="31"/>
      <c r="FL507" s="36" t="s">
        <v>1687</v>
      </c>
      <c r="FM507" s="36" t="s">
        <v>260</v>
      </c>
    </row>
    <row r="508" ht="23.25" customHeight="1">
      <c r="A508" s="29">
        <v>44660.658255104165</v>
      </c>
      <c r="B508" s="30" t="s">
        <v>6</v>
      </c>
      <c r="C508" s="30" t="s">
        <v>14</v>
      </c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0" t="s">
        <v>1684</v>
      </c>
      <c r="BJ508" s="30" t="s">
        <v>1685</v>
      </c>
      <c r="BK508" s="30" t="s">
        <v>313</v>
      </c>
      <c r="BL508" s="30" t="s">
        <v>1288</v>
      </c>
      <c r="BM508" s="30" t="s">
        <v>1750</v>
      </c>
      <c r="BN508" s="30">
        <v>5.0</v>
      </c>
      <c r="BO508" s="32">
        <v>44379.0</v>
      </c>
      <c r="BP508" s="32">
        <v>44387.0</v>
      </c>
      <c r="BQ508" s="30" t="s">
        <v>1747</v>
      </c>
      <c r="BR508" s="30" t="s">
        <v>1751</v>
      </c>
      <c r="BS508" s="30" t="s">
        <v>176</v>
      </c>
      <c r="BT508" s="30" t="s">
        <v>156</v>
      </c>
      <c r="BU508" s="31"/>
      <c r="BV508" s="33" t="s">
        <v>1752</v>
      </c>
      <c r="BW508" s="31"/>
      <c r="BX508" s="31"/>
      <c r="FL508" s="36" t="s">
        <v>1687</v>
      </c>
      <c r="FM508" s="36" t="s">
        <v>260</v>
      </c>
    </row>
    <row r="509" ht="23.25" customHeight="1">
      <c r="A509" s="29">
        <v>44660.673469120375</v>
      </c>
      <c r="B509" s="30" t="s">
        <v>6</v>
      </c>
      <c r="C509" s="30" t="s">
        <v>13</v>
      </c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0" t="s">
        <v>752</v>
      </c>
      <c r="AY509" s="30" t="s">
        <v>753</v>
      </c>
      <c r="AZ509" s="30" t="s">
        <v>1753</v>
      </c>
      <c r="BA509" s="30" t="s">
        <v>345</v>
      </c>
      <c r="BB509" s="30" t="s">
        <v>320</v>
      </c>
      <c r="BC509" s="32">
        <v>43899.0</v>
      </c>
      <c r="BD509" s="32">
        <v>43949.0</v>
      </c>
      <c r="BE509" s="32">
        <v>43949.0</v>
      </c>
      <c r="BF509" s="30" t="s">
        <v>1754</v>
      </c>
      <c r="BG509" s="30" t="s">
        <v>345</v>
      </c>
      <c r="BH509" s="33" t="s">
        <v>1755</v>
      </c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FL509" s="36" t="s">
        <v>756</v>
      </c>
      <c r="FM509" s="36" t="s">
        <v>260</v>
      </c>
    </row>
    <row r="510" ht="23.25" customHeight="1">
      <c r="A510" s="29">
        <v>44660.67657459491</v>
      </c>
      <c r="B510" s="30" t="s">
        <v>6</v>
      </c>
      <c r="C510" s="30" t="s">
        <v>13</v>
      </c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0" t="s">
        <v>752</v>
      </c>
      <c r="AY510" s="30" t="s">
        <v>753</v>
      </c>
      <c r="AZ510" s="30" t="s">
        <v>543</v>
      </c>
      <c r="BA510" s="30" t="s">
        <v>345</v>
      </c>
      <c r="BB510" s="30" t="s">
        <v>320</v>
      </c>
      <c r="BC510" s="32">
        <v>43959.0</v>
      </c>
      <c r="BD510" s="32">
        <v>43990.0</v>
      </c>
      <c r="BE510" s="32">
        <v>43990.0</v>
      </c>
      <c r="BF510" s="30" t="s">
        <v>1754</v>
      </c>
      <c r="BG510" s="30" t="s">
        <v>345</v>
      </c>
      <c r="BH510" s="33" t="s">
        <v>1756</v>
      </c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FL510" s="36" t="s">
        <v>756</v>
      </c>
      <c r="FM510" s="36" t="s">
        <v>260</v>
      </c>
    </row>
    <row r="511" ht="23.25" customHeight="1">
      <c r="A511" s="29">
        <v>44660.67995791667</v>
      </c>
      <c r="B511" s="30" t="s">
        <v>6</v>
      </c>
      <c r="C511" s="30" t="s">
        <v>14</v>
      </c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0" t="s">
        <v>752</v>
      </c>
      <c r="BJ511" s="30" t="s">
        <v>753</v>
      </c>
      <c r="BK511" s="30" t="s">
        <v>313</v>
      </c>
      <c r="BL511" s="30" t="s">
        <v>1288</v>
      </c>
      <c r="BM511" s="30" t="s">
        <v>1757</v>
      </c>
      <c r="BN511" s="30">
        <v>20.0</v>
      </c>
      <c r="BO511" s="32">
        <v>44354.0</v>
      </c>
      <c r="BP511" s="32">
        <v>44373.0</v>
      </c>
      <c r="BQ511" s="30" t="s">
        <v>1758</v>
      </c>
      <c r="BR511" s="30" t="s">
        <v>1759</v>
      </c>
      <c r="BS511" s="30" t="s">
        <v>276</v>
      </c>
      <c r="BT511" s="30" t="s">
        <v>632</v>
      </c>
      <c r="BU511" s="30">
        <v>200.0</v>
      </c>
      <c r="BV511" s="33" t="s">
        <v>1760</v>
      </c>
      <c r="BW511" s="31"/>
      <c r="BX511" s="31"/>
      <c r="FL511" s="36" t="s">
        <v>756</v>
      </c>
      <c r="FM511" s="36" t="s">
        <v>260</v>
      </c>
    </row>
    <row r="512" ht="23.25" customHeight="1">
      <c r="A512" s="29">
        <v>44660.68305990741</v>
      </c>
      <c r="B512" s="30" t="s">
        <v>6</v>
      </c>
      <c r="C512" s="20" t="s">
        <v>15</v>
      </c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0" t="s">
        <v>752</v>
      </c>
      <c r="BX512" s="30" t="s">
        <v>753</v>
      </c>
      <c r="BZ512" s="36" t="s">
        <v>313</v>
      </c>
      <c r="CA512" s="36" t="s">
        <v>1761</v>
      </c>
      <c r="CB512" s="36" t="s">
        <v>456</v>
      </c>
      <c r="CC512" s="36" t="s">
        <v>320</v>
      </c>
      <c r="CD512" s="37">
        <v>43664.0</v>
      </c>
      <c r="CE512" s="37">
        <v>43717.0</v>
      </c>
      <c r="CF512" s="36">
        <v>77.0</v>
      </c>
      <c r="CG512" s="38" t="s">
        <v>1762</v>
      </c>
      <c r="FL512" s="36" t="s">
        <v>756</v>
      </c>
      <c r="FM512" s="36" t="s">
        <v>260</v>
      </c>
    </row>
    <row r="513" ht="23.25" customHeight="1">
      <c r="A513" s="29">
        <v>44660.686269074075</v>
      </c>
      <c r="B513" s="30" t="s">
        <v>6</v>
      </c>
      <c r="C513" s="30" t="s">
        <v>14</v>
      </c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0" t="s">
        <v>1763</v>
      </c>
      <c r="BJ513" s="30" t="s">
        <v>1764</v>
      </c>
      <c r="BK513" s="30" t="s">
        <v>313</v>
      </c>
      <c r="BL513" s="30" t="s">
        <v>1288</v>
      </c>
      <c r="BM513" s="30" t="s">
        <v>1765</v>
      </c>
      <c r="BN513" s="30">
        <v>2.0</v>
      </c>
      <c r="BO513" s="32">
        <v>43694.0</v>
      </c>
      <c r="BP513" s="32">
        <v>43695.0</v>
      </c>
      <c r="BQ513" s="30" t="s">
        <v>1766</v>
      </c>
      <c r="BR513" s="30" t="s">
        <v>1767</v>
      </c>
      <c r="BS513" s="30" t="s">
        <v>276</v>
      </c>
      <c r="BT513" s="30" t="s">
        <v>156</v>
      </c>
      <c r="BU513" s="31"/>
      <c r="BV513" s="33" t="s">
        <v>1768</v>
      </c>
      <c r="BW513" s="31"/>
      <c r="BX513" s="31"/>
      <c r="FL513" s="36" t="s">
        <v>1769</v>
      </c>
      <c r="FM513" s="36" t="s">
        <v>260</v>
      </c>
    </row>
    <row r="514" ht="23.25" customHeight="1">
      <c r="A514" s="29">
        <v>44660.68732596065</v>
      </c>
      <c r="B514" s="30" t="s">
        <v>6</v>
      </c>
      <c r="C514" s="30" t="s">
        <v>13</v>
      </c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0" t="s">
        <v>752</v>
      </c>
      <c r="AY514" s="30" t="s">
        <v>753</v>
      </c>
      <c r="AZ514" s="30" t="s">
        <v>786</v>
      </c>
      <c r="BA514" s="30" t="s">
        <v>337</v>
      </c>
      <c r="BB514" s="30" t="s">
        <v>320</v>
      </c>
      <c r="BC514" s="32">
        <v>43918.0</v>
      </c>
      <c r="BD514" s="32">
        <v>43979.0</v>
      </c>
      <c r="BE514" s="32">
        <v>43979.0</v>
      </c>
      <c r="BF514" s="30" t="s">
        <v>1754</v>
      </c>
      <c r="BG514" s="30" t="s">
        <v>1770</v>
      </c>
      <c r="BH514" s="33" t="s">
        <v>1771</v>
      </c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FL514" s="36" t="s">
        <v>756</v>
      </c>
      <c r="FM514" s="36" t="s">
        <v>260</v>
      </c>
    </row>
    <row r="515" ht="23.25" customHeight="1">
      <c r="A515" s="29">
        <v>44660.689683819444</v>
      </c>
      <c r="B515" s="30" t="s">
        <v>6</v>
      </c>
      <c r="C515" s="30" t="s">
        <v>13</v>
      </c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0" t="s">
        <v>752</v>
      </c>
      <c r="AY515" s="30" t="s">
        <v>753</v>
      </c>
      <c r="AZ515" s="30" t="s">
        <v>354</v>
      </c>
      <c r="BA515" s="30" t="s">
        <v>337</v>
      </c>
      <c r="BB515" s="30" t="s">
        <v>417</v>
      </c>
      <c r="BC515" s="32">
        <v>43686.0</v>
      </c>
      <c r="BD515" s="32">
        <v>43777.0</v>
      </c>
      <c r="BE515" s="32">
        <v>43777.0</v>
      </c>
      <c r="BF515" s="30" t="s">
        <v>1754</v>
      </c>
      <c r="BG515" s="30" t="s">
        <v>1772</v>
      </c>
      <c r="BH515" s="33" t="s">
        <v>1773</v>
      </c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FL515" s="36" t="s">
        <v>756</v>
      </c>
      <c r="FM515" s="36" t="s">
        <v>260</v>
      </c>
    </row>
    <row r="516" ht="23.25" customHeight="1">
      <c r="A516" s="29">
        <v>44660.69116111111</v>
      </c>
      <c r="B516" s="30" t="s">
        <v>6</v>
      </c>
      <c r="C516" s="30" t="s">
        <v>13</v>
      </c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0" t="s">
        <v>1774</v>
      </c>
      <c r="AY516" s="30" t="s">
        <v>1764</v>
      </c>
      <c r="AZ516" s="30" t="s">
        <v>1775</v>
      </c>
      <c r="BA516" s="30" t="s">
        <v>1386</v>
      </c>
      <c r="BB516" s="30" t="s">
        <v>495</v>
      </c>
      <c r="BC516" s="32">
        <v>43836.0</v>
      </c>
      <c r="BD516" s="32">
        <v>43867.0</v>
      </c>
      <c r="BE516" s="32">
        <v>43867.0</v>
      </c>
      <c r="BF516" s="30">
        <v>95.0</v>
      </c>
      <c r="BG516" s="30" t="s">
        <v>1388</v>
      </c>
      <c r="BH516" s="33" t="s">
        <v>1776</v>
      </c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FL516" s="36" t="s">
        <v>1769</v>
      </c>
      <c r="FM516" s="36" t="s">
        <v>260</v>
      </c>
    </row>
    <row r="517" ht="23.25" customHeight="1">
      <c r="A517" s="29">
        <v>44660.691829664356</v>
      </c>
      <c r="B517" s="30" t="s">
        <v>6</v>
      </c>
      <c r="C517" s="30" t="s">
        <v>13</v>
      </c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0" t="s">
        <v>752</v>
      </c>
      <c r="AY517" s="30" t="s">
        <v>753</v>
      </c>
      <c r="AZ517" s="30" t="s">
        <v>351</v>
      </c>
      <c r="BA517" s="30" t="s">
        <v>337</v>
      </c>
      <c r="BB517" s="30" t="s">
        <v>701</v>
      </c>
      <c r="BC517" s="32">
        <v>44007.0</v>
      </c>
      <c r="BD517" s="32">
        <v>43672.0</v>
      </c>
      <c r="BE517" s="32">
        <v>43672.0</v>
      </c>
      <c r="BF517" s="30" t="s">
        <v>1754</v>
      </c>
      <c r="BG517" s="30" t="s">
        <v>768</v>
      </c>
      <c r="BH517" s="33" t="s">
        <v>1777</v>
      </c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FL517" s="36" t="s">
        <v>756</v>
      </c>
      <c r="FM517" s="36" t="s">
        <v>260</v>
      </c>
    </row>
    <row r="518" ht="23.25" customHeight="1">
      <c r="A518" s="29">
        <v>44660.69565576389</v>
      </c>
      <c r="B518" s="30" t="s">
        <v>6</v>
      </c>
      <c r="C518" s="30" t="s">
        <v>13</v>
      </c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0" t="s">
        <v>752</v>
      </c>
      <c r="AY518" s="30" t="s">
        <v>753</v>
      </c>
      <c r="AZ518" s="30" t="s">
        <v>347</v>
      </c>
      <c r="BA518" s="30" t="s">
        <v>337</v>
      </c>
      <c r="BB518" s="30" t="s">
        <v>320</v>
      </c>
      <c r="BC518" s="32">
        <v>44325.0</v>
      </c>
      <c r="BD518" s="32">
        <v>44386.0</v>
      </c>
      <c r="BE518" s="32">
        <v>44386.0</v>
      </c>
      <c r="BF518" s="30" t="s">
        <v>1754</v>
      </c>
      <c r="BG518" s="30" t="s">
        <v>1772</v>
      </c>
      <c r="BH518" s="33" t="s">
        <v>1778</v>
      </c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FL518" s="36" t="s">
        <v>756</v>
      </c>
      <c r="FM518" s="36" t="s">
        <v>260</v>
      </c>
    </row>
    <row r="519" ht="23.25" customHeight="1">
      <c r="A519" s="29">
        <v>44660.69748336806</v>
      </c>
      <c r="B519" s="30" t="s">
        <v>6</v>
      </c>
      <c r="C519" s="30" t="s">
        <v>13</v>
      </c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0" t="s">
        <v>752</v>
      </c>
      <c r="AY519" s="30" t="s">
        <v>753</v>
      </c>
      <c r="AZ519" s="30" t="s">
        <v>981</v>
      </c>
      <c r="BA519" s="30" t="s">
        <v>337</v>
      </c>
      <c r="BB519" s="30" t="s">
        <v>320</v>
      </c>
      <c r="BC519" s="32">
        <v>43611.0</v>
      </c>
      <c r="BD519" s="32">
        <v>43672.0</v>
      </c>
      <c r="BE519" s="32">
        <v>43672.0</v>
      </c>
      <c r="BF519" s="30" t="s">
        <v>1754</v>
      </c>
      <c r="BG519" s="30" t="s">
        <v>842</v>
      </c>
      <c r="BH519" s="33" t="s">
        <v>1779</v>
      </c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FL519" s="36" t="s">
        <v>756</v>
      </c>
      <c r="FM519" s="36" t="s">
        <v>260</v>
      </c>
    </row>
    <row r="520" ht="23.25" customHeight="1">
      <c r="A520" s="29">
        <v>44660.69965876157</v>
      </c>
      <c r="B520" s="30" t="s">
        <v>6</v>
      </c>
      <c r="C520" s="30" t="s">
        <v>13</v>
      </c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0" t="s">
        <v>752</v>
      </c>
      <c r="AY520" s="30" t="s">
        <v>753</v>
      </c>
      <c r="AZ520" s="30" t="s">
        <v>571</v>
      </c>
      <c r="BA520" s="30" t="s">
        <v>337</v>
      </c>
      <c r="BB520" s="30" t="s">
        <v>320</v>
      </c>
      <c r="BC520" s="32">
        <v>44320.0</v>
      </c>
      <c r="BD520" s="32">
        <v>44381.0</v>
      </c>
      <c r="BE520" s="32">
        <v>44381.0</v>
      </c>
      <c r="BF520" s="30" t="s">
        <v>1754</v>
      </c>
      <c r="BG520" s="30" t="s">
        <v>768</v>
      </c>
      <c r="BH520" s="33" t="s">
        <v>1780</v>
      </c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FL520" s="36" t="s">
        <v>756</v>
      </c>
      <c r="FM520" s="36" t="s">
        <v>260</v>
      </c>
    </row>
    <row r="521" ht="23.25" customHeight="1">
      <c r="A521" s="29">
        <v>44660.70242356481</v>
      </c>
      <c r="B521" s="30" t="s">
        <v>6</v>
      </c>
      <c r="C521" s="30" t="s">
        <v>13</v>
      </c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0" t="s">
        <v>752</v>
      </c>
      <c r="AY521" s="30" t="s">
        <v>753</v>
      </c>
      <c r="AZ521" s="30" t="s">
        <v>1439</v>
      </c>
      <c r="BA521" s="30" t="s">
        <v>878</v>
      </c>
      <c r="BB521" s="30" t="s">
        <v>1035</v>
      </c>
      <c r="BC521" s="32">
        <v>44625.0</v>
      </c>
      <c r="BD521" s="32">
        <v>44656.0</v>
      </c>
      <c r="BE521" s="32">
        <v>44656.0</v>
      </c>
      <c r="BF521" s="30" t="s">
        <v>1754</v>
      </c>
      <c r="BG521" s="30" t="s">
        <v>1772</v>
      </c>
      <c r="BH521" s="33" t="s">
        <v>1781</v>
      </c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FL521" s="36" t="s">
        <v>756</v>
      </c>
      <c r="FM521" s="36" t="s">
        <v>260</v>
      </c>
    </row>
    <row r="522" ht="23.25" customHeight="1">
      <c r="A522" s="29">
        <v>44660.705691724535</v>
      </c>
      <c r="B522" s="30" t="s">
        <v>6</v>
      </c>
      <c r="C522" s="30" t="s">
        <v>13</v>
      </c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0" t="s">
        <v>752</v>
      </c>
      <c r="AY522" s="30" t="s">
        <v>753</v>
      </c>
      <c r="AZ522" s="30" t="s">
        <v>1782</v>
      </c>
      <c r="BA522" s="30" t="s">
        <v>1783</v>
      </c>
      <c r="BB522" s="30" t="s">
        <v>1784</v>
      </c>
      <c r="BC522" s="32">
        <v>44174.0</v>
      </c>
      <c r="BD522" s="32">
        <v>44296.0</v>
      </c>
      <c r="BE522" s="32">
        <v>44296.0</v>
      </c>
      <c r="BF522" s="30" t="s">
        <v>1754</v>
      </c>
      <c r="BG522" s="30" t="s">
        <v>1759</v>
      </c>
      <c r="BH522" s="33" t="s">
        <v>1785</v>
      </c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FL522" s="36" t="s">
        <v>756</v>
      </c>
      <c r="FM522" s="36" t="s">
        <v>260</v>
      </c>
    </row>
    <row r="523" ht="23.25" customHeight="1">
      <c r="A523" s="29">
        <v>44660.70840501157</v>
      </c>
      <c r="B523" s="30" t="s">
        <v>6</v>
      </c>
      <c r="C523" s="30" t="s">
        <v>12</v>
      </c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0" t="s">
        <v>752</v>
      </c>
      <c r="AO523" s="30" t="s">
        <v>753</v>
      </c>
      <c r="AP523" s="30" t="s">
        <v>309</v>
      </c>
      <c r="AQ523" s="30" t="s">
        <v>1786</v>
      </c>
      <c r="AR523" s="32">
        <v>44485.0</v>
      </c>
      <c r="AS523" s="32">
        <v>44560.0</v>
      </c>
      <c r="AT523" s="30" t="s">
        <v>257</v>
      </c>
      <c r="AU523" s="30" t="s">
        <v>257</v>
      </c>
      <c r="AV523" s="30">
        <v>0.0</v>
      </c>
      <c r="AW523" s="33" t="s">
        <v>1787</v>
      </c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FL523" s="36" t="s">
        <v>756</v>
      </c>
      <c r="FM523" s="36" t="s">
        <v>260</v>
      </c>
    </row>
    <row r="524" ht="23.25" customHeight="1">
      <c r="A524" s="29">
        <v>44660.71176795139</v>
      </c>
      <c r="B524" s="30" t="s">
        <v>6</v>
      </c>
      <c r="C524" s="30" t="s">
        <v>13</v>
      </c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0" t="s">
        <v>752</v>
      </c>
      <c r="AY524" s="30" t="s">
        <v>753</v>
      </c>
      <c r="AZ524" s="30" t="s">
        <v>1788</v>
      </c>
      <c r="BA524" s="30" t="s">
        <v>337</v>
      </c>
      <c r="BB524" s="30" t="s">
        <v>627</v>
      </c>
      <c r="BC524" s="32">
        <v>44357.0</v>
      </c>
      <c r="BD524" s="32">
        <v>44387.0</v>
      </c>
      <c r="BE524" s="32">
        <v>44387.0</v>
      </c>
      <c r="BF524" s="30" t="s">
        <v>1754</v>
      </c>
      <c r="BG524" s="30" t="s">
        <v>1759</v>
      </c>
      <c r="BH524" s="33" t="s">
        <v>1789</v>
      </c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FL524" s="36" t="s">
        <v>756</v>
      </c>
      <c r="FM524" s="36" t="s">
        <v>260</v>
      </c>
    </row>
    <row r="525" ht="23.25" customHeight="1">
      <c r="A525" s="29">
        <v>44660.71430206018</v>
      </c>
      <c r="B525" s="30" t="s">
        <v>6</v>
      </c>
      <c r="C525" s="30" t="s">
        <v>14</v>
      </c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0" t="s">
        <v>752</v>
      </c>
      <c r="BJ525" s="30" t="s">
        <v>753</v>
      </c>
      <c r="BK525" s="30" t="s">
        <v>313</v>
      </c>
      <c r="BL525" s="30" t="s">
        <v>1288</v>
      </c>
      <c r="BM525" s="30" t="s">
        <v>1790</v>
      </c>
      <c r="BN525" s="30">
        <v>15.0</v>
      </c>
      <c r="BO525" s="32">
        <v>44627.0</v>
      </c>
      <c r="BP525" s="32">
        <v>44642.0</v>
      </c>
      <c r="BQ525" s="30" t="s">
        <v>1791</v>
      </c>
      <c r="BR525" s="30" t="s">
        <v>1759</v>
      </c>
      <c r="BS525" s="30" t="s">
        <v>176</v>
      </c>
      <c r="BT525" s="30" t="s">
        <v>156</v>
      </c>
      <c r="BU525" s="31"/>
      <c r="BV525" s="33" t="s">
        <v>1792</v>
      </c>
      <c r="BW525" s="31"/>
      <c r="BX525" s="31"/>
      <c r="FL525" s="36" t="s">
        <v>756</v>
      </c>
      <c r="FM525" s="36" t="s">
        <v>260</v>
      </c>
    </row>
    <row r="526" ht="23.25" customHeight="1">
      <c r="A526" s="29">
        <v>44660.71642722222</v>
      </c>
      <c r="B526" s="30" t="s">
        <v>6</v>
      </c>
      <c r="C526" s="30" t="s">
        <v>14</v>
      </c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0" t="s">
        <v>752</v>
      </c>
      <c r="BJ526" s="30" t="s">
        <v>753</v>
      </c>
      <c r="BK526" s="30" t="s">
        <v>313</v>
      </c>
      <c r="BL526" s="30" t="s">
        <v>1288</v>
      </c>
      <c r="BM526" s="30" t="s">
        <v>1790</v>
      </c>
      <c r="BN526" s="30">
        <v>15.0</v>
      </c>
      <c r="BO526" s="32">
        <v>44643.0</v>
      </c>
      <c r="BP526" s="32">
        <v>44657.0</v>
      </c>
      <c r="BQ526" s="30" t="s">
        <v>1791</v>
      </c>
      <c r="BR526" s="30" t="s">
        <v>1759</v>
      </c>
      <c r="BS526" s="30" t="s">
        <v>176</v>
      </c>
      <c r="BT526" s="30" t="s">
        <v>156</v>
      </c>
      <c r="BU526" s="31"/>
      <c r="BV526" s="33" t="s">
        <v>1793</v>
      </c>
      <c r="BW526" s="31"/>
      <c r="BX526" s="31"/>
      <c r="FL526" s="36" t="s">
        <v>756</v>
      </c>
      <c r="FM526" s="36" t="s">
        <v>260</v>
      </c>
    </row>
    <row r="527" ht="23.25" customHeight="1">
      <c r="A527" s="29">
        <v>44660.743163402774</v>
      </c>
      <c r="B527" s="30" t="s">
        <v>6</v>
      </c>
      <c r="C527" s="30" t="s">
        <v>13</v>
      </c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0" t="s">
        <v>1794</v>
      </c>
      <c r="AY527" s="30" t="s">
        <v>1795</v>
      </c>
      <c r="AZ527" s="30" t="s">
        <v>719</v>
      </c>
      <c r="BA527" s="30" t="s">
        <v>337</v>
      </c>
      <c r="BB527" s="30" t="s">
        <v>1784</v>
      </c>
      <c r="BC527" s="32">
        <v>43109.0</v>
      </c>
      <c r="BD527" s="32">
        <v>43565.0</v>
      </c>
      <c r="BE527" s="32">
        <v>43205.0</v>
      </c>
      <c r="BF527" s="30" t="s">
        <v>1796</v>
      </c>
      <c r="BG527" s="30" t="s">
        <v>394</v>
      </c>
      <c r="BH527" s="33" t="s">
        <v>1797</v>
      </c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FL527" s="36" t="s">
        <v>1798</v>
      </c>
      <c r="FM527" s="36" t="s">
        <v>414</v>
      </c>
    </row>
    <row r="528" ht="23.25" customHeight="1">
      <c r="A528" s="29">
        <v>44660.74568653935</v>
      </c>
      <c r="B528" s="30" t="s">
        <v>6</v>
      </c>
      <c r="C528" s="30" t="s">
        <v>13</v>
      </c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0" t="s">
        <v>1794</v>
      </c>
      <c r="AY528" s="30" t="s">
        <v>1795</v>
      </c>
      <c r="AZ528" s="30" t="s">
        <v>351</v>
      </c>
      <c r="BA528" s="30" t="s">
        <v>337</v>
      </c>
      <c r="BB528" s="30" t="s">
        <v>1799</v>
      </c>
      <c r="BC528" s="32">
        <v>43447.0</v>
      </c>
      <c r="BD528" s="32">
        <v>43651.0</v>
      </c>
      <c r="BE528" s="32">
        <v>43664.0</v>
      </c>
      <c r="BF528" s="30" t="s">
        <v>1796</v>
      </c>
      <c r="BG528" s="30" t="s">
        <v>394</v>
      </c>
      <c r="BH528" s="33" t="s">
        <v>1800</v>
      </c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FL528" s="36" t="s">
        <v>1798</v>
      </c>
      <c r="FM528" s="36" t="s">
        <v>382</v>
      </c>
    </row>
    <row r="529" ht="23.25" customHeight="1">
      <c r="A529" s="29">
        <v>44660.74829684028</v>
      </c>
      <c r="B529" s="30" t="s">
        <v>6</v>
      </c>
      <c r="C529" s="30" t="s">
        <v>13</v>
      </c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0" t="s">
        <v>1794</v>
      </c>
      <c r="AY529" s="30" t="s">
        <v>1795</v>
      </c>
      <c r="AZ529" s="30" t="s">
        <v>502</v>
      </c>
      <c r="BA529" s="30" t="s">
        <v>337</v>
      </c>
      <c r="BB529" s="30" t="s">
        <v>1799</v>
      </c>
      <c r="BC529" s="32">
        <v>43505.0</v>
      </c>
      <c r="BD529" s="32">
        <v>43649.0</v>
      </c>
      <c r="BE529" s="32">
        <v>43659.0</v>
      </c>
      <c r="BF529" s="30" t="s">
        <v>1796</v>
      </c>
      <c r="BG529" s="30" t="s">
        <v>394</v>
      </c>
      <c r="BH529" s="33" t="s">
        <v>1801</v>
      </c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FL529" s="36" t="s">
        <v>1798</v>
      </c>
      <c r="FM529" s="36" t="s">
        <v>382</v>
      </c>
    </row>
    <row r="530" ht="23.25" customHeight="1">
      <c r="A530" s="29">
        <v>44660.75072034722</v>
      </c>
      <c r="B530" s="30" t="s">
        <v>6</v>
      </c>
      <c r="C530" s="30" t="s">
        <v>13</v>
      </c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0" t="s">
        <v>1794</v>
      </c>
      <c r="AY530" s="30" t="s">
        <v>1795</v>
      </c>
      <c r="AZ530" s="30" t="s">
        <v>1802</v>
      </c>
      <c r="BA530" s="30" t="s">
        <v>345</v>
      </c>
      <c r="BB530" s="30" t="s">
        <v>1803</v>
      </c>
      <c r="BC530" s="32">
        <v>43910.0</v>
      </c>
      <c r="BD530" s="32">
        <v>43941.0</v>
      </c>
      <c r="BE530" s="32">
        <v>43941.0</v>
      </c>
      <c r="BF530" s="30" t="s">
        <v>1804</v>
      </c>
      <c r="BG530" s="30" t="s">
        <v>1805</v>
      </c>
      <c r="BH530" s="33" t="s">
        <v>1806</v>
      </c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FL530" s="36" t="s">
        <v>1798</v>
      </c>
      <c r="FM530" s="36" t="s">
        <v>555</v>
      </c>
    </row>
    <row r="531" ht="23.25" customHeight="1">
      <c r="A531" s="29">
        <v>44660.75278185185</v>
      </c>
      <c r="B531" s="30" t="s">
        <v>6</v>
      </c>
      <c r="C531" s="30" t="s">
        <v>13</v>
      </c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0" t="s">
        <v>1794</v>
      </c>
      <c r="AY531" s="30" t="s">
        <v>1795</v>
      </c>
      <c r="AZ531" s="30" t="s">
        <v>1807</v>
      </c>
      <c r="BA531" s="30" t="s">
        <v>345</v>
      </c>
      <c r="BB531" s="30" t="s">
        <v>1803</v>
      </c>
      <c r="BC531" s="32">
        <v>43909.0</v>
      </c>
      <c r="BD531" s="32">
        <v>43940.0</v>
      </c>
      <c r="BE531" s="32">
        <v>43941.0</v>
      </c>
      <c r="BF531" s="30" t="s">
        <v>1796</v>
      </c>
      <c r="BG531" s="30" t="s">
        <v>1808</v>
      </c>
      <c r="BH531" s="33" t="s">
        <v>1809</v>
      </c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FL531" s="36" t="s">
        <v>1798</v>
      </c>
      <c r="FM531" s="36" t="s">
        <v>323</v>
      </c>
    </row>
    <row r="532" ht="23.25" customHeight="1">
      <c r="A532" s="29">
        <v>44660.75556013889</v>
      </c>
      <c r="B532" s="30" t="s">
        <v>6</v>
      </c>
      <c r="C532" s="30" t="s">
        <v>13</v>
      </c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0" t="s">
        <v>1794</v>
      </c>
      <c r="AY532" s="30" t="s">
        <v>1795</v>
      </c>
      <c r="AZ532" s="30" t="s">
        <v>1351</v>
      </c>
      <c r="BA532" s="30" t="s">
        <v>345</v>
      </c>
      <c r="BB532" s="30" t="s">
        <v>1810</v>
      </c>
      <c r="BC532" s="32">
        <v>43920.0</v>
      </c>
      <c r="BD532" s="32">
        <v>43941.0</v>
      </c>
      <c r="BE532" s="32">
        <v>43941.0</v>
      </c>
      <c r="BF532" s="30" t="s">
        <v>1796</v>
      </c>
      <c r="BG532" s="30" t="s">
        <v>1401</v>
      </c>
      <c r="BH532" s="33" t="s">
        <v>1811</v>
      </c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FL532" s="36" t="s">
        <v>1798</v>
      </c>
      <c r="FM532" s="36" t="s">
        <v>323</v>
      </c>
    </row>
    <row r="533" ht="23.25" customHeight="1">
      <c r="A533" s="29">
        <v>44660.77163133102</v>
      </c>
      <c r="B533" s="30" t="s">
        <v>6</v>
      </c>
      <c r="C533" s="30" t="s">
        <v>13</v>
      </c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0" t="s">
        <v>1794</v>
      </c>
      <c r="AY533" s="30" t="s">
        <v>1795</v>
      </c>
      <c r="AZ533" s="30" t="s">
        <v>687</v>
      </c>
      <c r="BA533" s="30" t="s">
        <v>337</v>
      </c>
      <c r="BB533" s="30" t="s">
        <v>310</v>
      </c>
      <c r="BC533" s="32">
        <v>44301.0</v>
      </c>
      <c r="BD533" s="32">
        <v>44362.0</v>
      </c>
      <c r="BE533" s="32">
        <v>44377.0</v>
      </c>
      <c r="BF533" s="30" t="s">
        <v>1796</v>
      </c>
      <c r="BG533" s="30" t="s">
        <v>394</v>
      </c>
      <c r="BH533" s="33" t="s">
        <v>1812</v>
      </c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FL533" s="36" t="s">
        <v>1798</v>
      </c>
      <c r="FM533" s="36" t="s">
        <v>283</v>
      </c>
    </row>
    <row r="534" ht="23.25" customHeight="1">
      <c r="A534" s="29">
        <v>44660.77510078704</v>
      </c>
      <c r="B534" s="30" t="s">
        <v>6</v>
      </c>
      <c r="C534" s="30" t="s">
        <v>13</v>
      </c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0" t="s">
        <v>1813</v>
      </c>
      <c r="AY534" s="30" t="s">
        <v>1814</v>
      </c>
      <c r="AZ534" s="30" t="s">
        <v>1815</v>
      </c>
      <c r="BA534" s="30" t="s">
        <v>1816</v>
      </c>
      <c r="BB534" s="30" t="s">
        <v>1311</v>
      </c>
      <c r="BC534" s="32">
        <v>43971.0</v>
      </c>
      <c r="BD534" s="32">
        <v>43979.0</v>
      </c>
      <c r="BE534" s="32">
        <v>43979.0</v>
      </c>
      <c r="BF534" s="39">
        <v>0.92</v>
      </c>
      <c r="BG534" s="30" t="s">
        <v>1817</v>
      </c>
      <c r="BH534" s="33" t="s">
        <v>1818</v>
      </c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FL534" s="36" t="s">
        <v>1819</v>
      </c>
      <c r="FM534" s="36" t="s">
        <v>260</v>
      </c>
    </row>
    <row r="535" ht="23.25" customHeight="1">
      <c r="A535" s="29">
        <v>44660.776653761575</v>
      </c>
      <c r="B535" s="30" t="s">
        <v>6</v>
      </c>
      <c r="C535" s="30" t="s">
        <v>13</v>
      </c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0" t="s">
        <v>1794</v>
      </c>
      <c r="AY535" s="30" t="s">
        <v>1795</v>
      </c>
      <c r="AZ535" s="30" t="s">
        <v>1820</v>
      </c>
      <c r="BA535" s="30" t="s">
        <v>1821</v>
      </c>
      <c r="BB535" s="30" t="s">
        <v>659</v>
      </c>
      <c r="BC535" s="32">
        <v>44456.0</v>
      </c>
      <c r="BD535" s="32">
        <v>44456.0</v>
      </c>
      <c r="BE535" s="32">
        <v>44303.0</v>
      </c>
      <c r="BF535" s="30" t="s">
        <v>1822</v>
      </c>
      <c r="BG535" s="30" t="s">
        <v>1823</v>
      </c>
      <c r="BH535" s="33" t="s">
        <v>1824</v>
      </c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FL535" s="36" t="s">
        <v>1798</v>
      </c>
      <c r="FM535" s="36" t="s">
        <v>278</v>
      </c>
    </row>
    <row r="536" ht="23.25" customHeight="1">
      <c r="A536" s="29">
        <v>44660.78151011574</v>
      </c>
      <c r="B536" s="30" t="s">
        <v>6</v>
      </c>
      <c r="C536" s="30" t="s">
        <v>13</v>
      </c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0" t="s">
        <v>1825</v>
      </c>
      <c r="AY536" s="30" t="s">
        <v>1826</v>
      </c>
      <c r="AZ536" s="30" t="s">
        <v>500</v>
      </c>
      <c r="BA536" s="30" t="s">
        <v>422</v>
      </c>
      <c r="BB536" s="30" t="s">
        <v>670</v>
      </c>
      <c r="BC536" s="32">
        <v>44511.0</v>
      </c>
      <c r="BD536" s="32">
        <v>44512.0</v>
      </c>
      <c r="BE536" s="32">
        <v>44512.0</v>
      </c>
      <c r="BF536" s="30">
        <v>80.0</v>
      </c>
      <c r="BG536" s="30" t="s">
        <v>1827</v>
      </c>
      <c r="BH536" s="33" t="s">
        <v>1828</v>
      </c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FL536" s="36" t="s">
        <v>1829</v>
      </c>
      <c r="FM536" s="36" t="s">
        <v>260</v>
      </c>
    </row>
    <row r="537" ht="23.25" customHeight="1">
      <c r="A537" s="29">
        <v>44660.782265428235</v>
      </c>
      <c r="B537" s="30" t="s">
        <v>6</v>
      </c>
      <c r="C537" s="30" t="s">
        <v>27</v>
      </c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FL537" s="36" t="s">
        <v>1798</v>
      </c>
      <c r="FM537" s="36" t="s">
        <v>260</v>
      </c>
      <c r="GF537" s="36" t="s">
        <v>1794</v>
      </c>
      <c r="GG537" s="36" t="s">
        <v>1795</v>
      </c>
      <c r="GH537" s="36" t="s">
        <v>637</v>
      </c>
      <c r="GI537" s="37">
        <v>44663.0</v>
      </c>
      <c r="GJ537" s="38" t="s">
        <v>1830</v>
      </c>
      <c r="GK537" s="36" t="s">
        <v>1831</v>
      </c>
      <c r="GL537" s="36" t="s">
        <v>1832</v>
      </c>
    </row>
    <row r="538" ht="23.25" customHeight="1">
      <c r="A538" s="29">
        <v>44660.7870209838</v>
      </c>
      <c r="B538" s="30" t="s">
        <v>6</v>
      </c>
      <c r="C538" s="30" t="s">
        <v>13</v>
      </c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0" t="s">
        <v>1825</v>
      </c>
      <c r="AY538" s="30" t="s">
        <v>1826</v>
      </c>
      <c r="AZ538" s="30" t="s">
        <v>1660</v>
      </c>
      <c r="BA538" s="30" t="s">
        <v>642</v>
      </c>
      <c r="BB538" s="30">
        <v>20.0</v>
      </c>
      <c r="BC538" s="32">
        <v>44398.0</v>
      </c>
      <c r="BD538" s="32">
        <v>44399.0</v>
      </c>
      <c r="BE538" s="32">
        <v>44400.0</v>
      </c>
      <c r="BF538" s="30">
        <v>85.0</v>
      </c>
      <c r="BG538" s="30" t="s">
        <v>1827</v>
      </c>
      <c r="BH538" s="33" t="s">
        <v>1833</v>
      </c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FL538" s="36" t="s">
        <v>1829</v>
      </c>
      <c r="FM538" s="36" t="s">
        <v>260</v>
      </c>
    </row>
    <row r="539" ht="23.25" customHeight="1">
      <c r="A539" s="29">
        <v>44660.78841842593</v>
      </c>
      <c r="B539" s="30" t="s">
        <v>6</v>
      </c>
      <c r="C539" s="30" t="s">
        <v>13</v>
      </c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0" t="s">
        <v>1794</v>
      </c>
      <c r="AY539" s="30" t="s">
        <v>1795</v>
      </c>
      <c r="AZ539" s="30" t="s">
        <v>642</v>
      </c>
      <c r="BA539" s="30" t="s">
        <v>1834</v>
      </c>
      <c r="BB539" s="30" t="s">
        <v>1835</v>
      </c>
      <c r="BC539" s="32">
        <v>44360.0</v>
      </c>
      <c r="BD539" s="32">
        <v>44400.0</v>
      </c>
      <c r="BE539" s="32">
        <v>44401.0</v>
      </c>
      <c r="BF539" s="30" t="s">
        <v>1796</v>
      </c>
      <c r="BG539" s="30" t="s">
        <v>1836</v>
      </c>
      <c r="BH539" s="33" t="s">
        <v>1837</v>
      </c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FL539" s="36" t="s">
        <v>1798</v>
      </c>
      <c r="FM539" s="36" t="s">
        <v>278</v>
      </c>
    </row>
    <row r="540" ht="23.25" customHeight="1">
      <c r="A540" s="29">
        <v>44660.78988744213</v>
      </c>
      <c r="B540" s="30" t="s">
        <v>6</v>
      </c>
      <c r="C540" s="30" t="s">
        <v>13</v>
      </c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0" t="s">
        <v>1825</v>
      </c>
      <c r="AY540" s="30" t="s">
        <v>1826</v>
      </c>
      <c r="AZ540" s="30" t="s">
        <v>1838</v>
      </c>
      <c r="BA540" s="30" t="s">
        <v>730</v>
      </c>
      <c r="BB540" s="30" t="s">
        <v>1839</v>
      </c>
      <c r="BC540" s="32">
        <v>44420.0</v>
      </c>
      <c r="BD540" s="32">
        <v>44535.0</v>
      </c>
      <c r="BE540" s="32">
        <v>44547.0</v>
      </c>
      <c r="BF540" s="30">
        <v>80.0</v>
      </c>
      <c r="BG540" s="30" t="s">
        <v>1827</v>
      </c>
      <c r="BH540" s="33" t="s">
        <v>1840</v>
      </c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FL540" s="36" t="s">
        <v>1829</v>
      </c>
      <c r="FM540" s="36" t="s">
        <v>260</v>
      </c>
    </row>
    <row r="541" ht="23.25" customHeight="1">
      <c r="A541" s="29">
        <v>44660.79293869213</v>
      </c>
      <c r="B541" s="30" t="s">
        <v>6</v>
      </c>
      <c r="C541" s="30" t="s">
        <v>13</v>
      </c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0" t="s">
        <v>1825</v>
      </c>
      <c r="AY541" s="30" t="s">
        <v>1826</v>
      </c>
      <c r="AZ541" s="30" t="s">
        <v>1841</v>
      </c>
      <c r="BA541" s="30" t="s">
        <v>1842</v>
      </c>
      <c r="BB541" s="30">
        <v>15.0</v>
      </c>
      <c r="BC541" s="32">
        <v>44567.0</v>
      </c>
      <c r="BD541" s="32">
        <v>44573.0</v>
      </c>
      <c r="BE541" s="32">
        <v>44573.0</v>
      </c>
      <c r="BF541" s="30">
        <v>79.0</v>
      </c>
      <c r="BG541" s="30" t="s">
        <v>1827</v>
      </c>
      <c r="BH541" s="33" t="s">
        <v>1843</v>
      </c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FL541" s="36" t="s">
        <v>1829</v>
      </c>
      <c r="FM541" s="36" t="s">
        <v>260</v>
      </c>
    </row>
    <row r="542" ht="23.25" customHeight="1">
      <c r="A542" s="29">
        <v>44660.79818880787</v>
      </c>
      <c r="B542" s="30" t="s">
        <v>6</v>
      </c>
      <c r="C542" s="30" t="s">
        <v>13</v>
      </c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0" t="s">
        <v>1825</v>
      </c>
      <c r="AY542" s="30" t="s">
        <v>1826</v>
      </c>
      <c r="AZ542" s="30" t="s">
        <v>1844</v>
      </c>
      <c r="BA542" s="30" t="s">
        <v>1845</v>
      </c>
      <c r="BB542" s="30" t="s">
        <v>1846</v>
      </c>
      <c r="BC542" s="32">
        <v>44242.0</v>
      </c>
      <c r="BD542" s="32">
        <v>44322.0</v>
      </c>
      <c r="BE542" s="32">
        <v>44354.0</v>
      </c>
      <c r="BF542" s="30">
        <v>43.0</v>
      </c>
      <c r="BG542" s="30" t="s">
        <v>1827</v>
      </c>
      <c r="BH542" s="33" t="s">
        <v>1847</v>
      </c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FL542" s="36" t="s">
        <v>1829</v>
      </c>
      <c r="FM542" s="36" t="s">
        <v>260</v>
      </c>
    </row>
    <row r="543" ht="23.25" customHeight="1">
      <c r="A543" s="29">
        <v>44660.80013158565</v>
      </c>
      <c r="B543" s="30" t="s">
        <v>6</v>
      </c>
      <c r="C543" s="30" t="s">
        <v>13</v>
      </c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0" t="s">
        <v>1825</v>
      </c>
      <c r="AY543" s="30" t="s">
        <v>1826</v>
      </c>
      <c r="AZ543" s="30" t="s">
        <v>1848</v>
      </c>
      <c r="BA543" s="30" t="s">
        <v>1849</v>
      </c>
      <c r="BB543" s="30" t="s">
        <v>1850</v>
      </c>
      <c r="BC543" s="32">
        <v>44632.0</v>
      </c>
      <c r="BD543" s="32">
        <v>44653.0</v>
      </c>
      <c r="BE543" s="32">
        <v>44654.0</v>
      </c>
      <c r="BF543" s="30">
        <v>100.0</v>
      </c>
      <c r="BG543" s="30" t="s">
        <v>1827</v>
      </c>
      <c r="BH543" s="33" t="s">
        <v>1851</v>
      </c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FL543" s="36" t="s">
        <v>1829</v>
      </c>
      <c r="FM543" s="36" t="s">
        <v>260</v>
      </c>
    </row>
    <row r="544" ht="23.25" customHeight="1">
      <c r="A544" s="29">
        <v>44660.80297945601</v>
      </c>
      <c r="B544" s="30" t="s">
        <v>6</v>
      </c>
      <c r="C544" s="30" t="s">
        <v>13</v>
      </c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0" t="s">
        <v>1825</v>
      </c>
      <c r="AY544" s="30" t="s">
        <v>1826</v>
      </c>
      <c r="AZ544" s="30" t="s">
        <v>1852</v>
      </c>
      <c r="BA544" s="30" t="s">
        <v>1853</v>
      </c>
      <c r="BB544" s="30" t="s">
        <v>1854</v>
      </c>
      <c r="BC544" s="32">
        <v>43633.0</v>
      </c>
      <c r="BD544" s="32">
        <v>43634.0</v>
      </c>
      <c r="BE544" s="32">
        <v>43634.0</v>
      </c>
      <c r="BF544" s="30">
        <v>90.0</v>
      </c>
      <c r="BG544" s="30" t="s">
        <v>1827</v>
      </c>
      <c r="BH544" s="33" t="s">
        <v>1855</v>
      </c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FL544" s="36" t="s">
        <v>1829</v>
      </c>
      <c r="FM544" s="36" t="s">
        <v>260</v>
      </c>
    </row>
    <row r="545" ht="23.25" customHeight="1">
      <c r="A545" s="29">
        <v>44660.80670351852</v>
      </c>
      <c r="B545" s="30" t="s">
        <v>6</v>
      </c>
      <c r="C545" s="30" t="s">
        <v>13</v>
      </c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0" t="s">
        <v>1825</v>
      </c>
      <c r="AY545" s="30" t="s">
        <v>1826</v>
      </c>
      <c r="AZ545" s="30" t="s">
        <v>1856</v>
      </c>
      <c r="BA545" s="30" t="s">
        <v>1857</v>
      </c>
      <c r="BB545" s="30">
        <v>4.0</v>
      </c>
      <c r="BC545" s="32">
        <v>44659.0</v>
      </c>
      <c r="BD545" s="32">
        <v>44659.0</v>
      </c>
      <c r="BE545" s="32">
        <v>44659.0</v>
      </c>
      <c r="BF545" s="30">
        <v>86.0</v>
      </c>
      <c r="BG545" s="30" t="s">
        <v>1827</v>
      </c>
      <c r="BH545" s="33" t="s">
        <v>1858</v>
      </c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FL545" s="36" t="s">
        <v>1829</v>
      </c>
      <c r="FM545" s="36" t="s">
        <v>260</v>
      </c>
    </row>
    <row r="546" ht="23.25" customHeight="1">
      <c r="A546" s="29">
        <v>44660.80793686342</v>
      </c>
      <c r="B546" s="30" t="s">
        <v>6</v>
      </c>
      <c r="C546" s="30" t="s">
        <v>13</v>
      </c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0" t="s">
        <v>1859</v>
      </c>
      <c r="AY546" s="30" t="s">
        <v>1860</v>
      </c>
      <c r="AZ546" s="30" t="s">
        <v>1861</v>
      </c>
      <c r="BA546" s="30" t="s">
        <v>1862</v>
      </c>
      <c r="BB546" s="30">
        <v>1.0</v>
      </c>
      <c r="BC546" s="32">
        <v>44644.0</v>
      </c>
      <c r="BD546" s="32">
        <v>44681.0</v>
      </c>
      <c r="BE546" s="32">
        <v>44658.0</v>
      </c>
      <c r="BF546" s="30">
        <v>100.0</v>
      </c>
      <c r="BG546" s="30" t="s">
        <v>1863</v>
      </c>
      <c r="BH546" s="33" t="s">
        <v>1864</v>
      </c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FL546" s="36" t="s">
        <v>1865</v>
      </c>
      <c r="FM546" s="36" t="s">
        <v>260</v>
      </c>
    </row>
    <row r="547" ht="23.25" customHeight="1">
      <c r="A547" s="29">
        <v>44660.80856520833</v>
      </c>
      <c r="B547" s="30" t="s">
        <v>6</v>
      </c>
      <c r="C547" s="30" t="s">
        <v>13</v>
      </c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0" t="s">
        <v>1866</v>
      </c>
      <c r="AY547" s="30" t="s">
        <v>1867</v>
      </c>
      <c r="AZ547" s="30" t="s">
        <v>1868</v>
      </c>
      <c r="BA547" s="30" t="s">
        <v>1869</v>
      </c>
      <c r="BB547" s="30" t="s">
        <v>410</v>
      </c>
      <c r="BC547" s="32">
        <v>44644.0</v>
      </c>
      <c r="BD547" s="32">
        <v>44681.0</v>
      </c>
      <c r="BE547" s="32">
        <v>44658.0</v>
      </c>
      <c r="BF547" s="30">
        <v>100.0</v>
      </c>
      <c r="BG547" s="30" t="s">
        <v>1870</v>
      </c>
      <c r="BH547" s="33" t="s">
        <v>1871</v>
      </c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FL547" s="36" t="s">
        <v>1872</v>
      </c>
      <c r="FM547" s="36" t="s">
        <v>260</v>
      </c>
    </row>
    <row r="548" ht="23.25" customHeight="1">
      <c r="A548" s="29">
        <v>44660.808769375</v>
      </c>
      <c r="B548" s="30" t="s">
        <v>6</v>
      </c>
      <c r="C548" s="30" t="s">
        <v>13</v>
      </c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0" t="s">
        <v>1825</v>
      </c>
      <c r="AY548" s="30" t="s">
        <v>1826</v>
      </c>
      <c r="AZ548" s="30" t="s">
        <v>1856</v>
      </c>
      <c r="BA548" s="30" t="s">
        <v>1873</v>
      </c>
      <c r="BB548" s="30">
        <v>2.0</v>
      </c>
      <c r="BC548" s="32">
        <v>44659.0</v>
      </c>
      <c r="BD548" s="32">
        <v>44659.0</v>
      </c>
      <c r="BE548" s="32">
        <v>44659.0</v>
      </c>
      <c r="BF548" s="30">
        <v>87.0</v>
      </c>
      <c r="BG548" s="30" t="s">
        <v>1827</v>
      </c>
      <c r="BH548" s="33" t="s">
        <v>1874</v>
      </c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FL548" s="36" t="s">
        <v>1829</v>
      </c>
      <c r="FM548" s="36" t="s">
        <v>260</v>
      </c>
    </row>
    <row r="549" ht="23.25" customHeight="1">
      <c r="A549" s="29">
        <v>44660.81340672454</v>
      </c>
      <c r="B549" s="30" t="s">
        <v>6</v>
      </c>
      <c r="C549" s="30" t="s">
        <v>13</v>
      </c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0" t="s">
        <v>1825</v>
      </c>
      <c r="AY549" s="30" t="s">
        <v>1826</v>
      </c>
      <c r="AZ549" s="30" t="s">
        <v>1875</v>
      </c>
      <c r="BA549" s="30" t="s">
        <v>1876</v>
      </c>
      <c r="BB549" s="30">
        <v>5.0</v>
      </c>
      <c r="BC549" s="32">
        <v>43865.0</v>
      </c>
      <c r="BD549" s="32">
        <v>43865.0</v>
      </c>
      <c r="BE549" s="32">
        <v>43895.0</v>
      </c>
      <c r="BF549" s="30">
        <v>90.0</v>
      </c>
      <c r="BG549" s="30" t="s">
        <v>1827</v>
      </c>
      <c r="BH549" s="33" t="s">
        <v>1877</v>
      </c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FL549" s="36" t="s">
        <v>1829</v>
      </c>
      <c r="FM549" s="36" t="s">
        <v>260</v>
      </c>
    </row>
    <row r="550" ht="23.25" customHeight="1">
      <c r="A550" s="29">
        <v>44660.81503922454</v>
      </c>
      <c r="B550" s="30" t="s">
        <v>6</v>
      </c>
      <c r="C550" s="30" t="s">
        <v>13</v>
      </c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0" t="s">
        <v>1825</v>
      </c>
      <c r="AY550" s="30" t="s">
        <v>1826</v>
      </c>
      <c r="AZ550" s="30" t="s">
        <v>1878</v>
      </c>
      <c r="BA550" s="30" t="s">
        <v>1351</v>
      </c>
      <c r="BB550" s="30">
        <v>16.0</v>
      </c>
      <c r="BC550" s="32">
        <v>43905.0</v>
      </c>
      <c r="BD550" s="32">
        <v>43920.0</v>
      </c>
      <c r="BE550" s="32">
        <v>43920.0</v>
      </c>
      <c r="BF550" s="30">
        <v>86.0</v>
      </c>
      <c r="BG550" s="30" t="s">
        <v>1879</v>
      </c>
      <c r="BH550" s="33" t="s">
        <v>1880</v>
      </c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FL550" s="36" t="s">
        <v>1829</v>
      </c>
      <c r="FM550" s="36" t="s">
        <v>260</v>
      </c>
    </row>
    <row r="551" ht="23.25" customHeight="1">
      <c r="A551" s="29">
        <v>44660.81656719907</v>
      </c>
      <c r="B551" s="30" t="s">
        <v>6</v>
      </c>
      <c r="C551" s="30" t="s">
        <v>13</v>
      </c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0" t="s">
        <v>1825</v>
      </c>
      <c r="AY551" s="30" t="s">
        <v>1826</v>
      </c>
      <c r="AZ551" s="30" t="s">
        <v>1881</v>
      </c>
      <c r="BA551" s="30" t="s">
        <v>1882</v>
      </c>
      <c r="BB551" s="30">
        <v>15.0</v>
      </c>
      <c r="BC551" s="32">
        <v>43925.0</v>
      </c>
      <c r="BD551" s="32">
        <v>43941.0</v>
      </c>
      <c r="BE551" s="32">
        <v>43942.0</v>
      </c>
      <c r="BF551" s="30">
        <v>86.0</v>
      </c>
      <c r="BG551" s="30" t="s">
        <v>1879</v>
      </c>
      <c r="BH551" s="33" t="s">
        <v>1883</v>
      </c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FL551" s="36" t="s">
        <v>1829</v>
      </c>
      <c r="FM551" s="36" t="s">
        <v>260</v>
      </c>
    </row>
    <row r="552" ht="23.25" customHeight="1">
      <c r="A552" s="29">
        <v>44660.8171037037</v>
      </c>
      <c r="B552" s="30" t="s">
        <v>6</v>
      </c>
      <c r="C552" s="30" t="s">
        <v>13</v>
      </c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0" t="s">
        <v>1884</v>
      </c>
      <c r="AY552" s="30" t="s">
        <v>1885</v>
      </c>
      <c r="AZ552" s="30" t="s">
        <v>1351</v>
      </c>
      <c r="BA552" s="30" t="s">
        <v>1378</v>
      </c>
      <c r="BB552" s="30" t="s">
        <v>882</v>
      </c>
      <c r="BC552" s="32">
        <v>43948.0</v>
      </c>
      <c r="BD552" s="32">
        <v>43950.0</v>
      </c>
      <c r="BE552" s="32">
        <v>43950.0</v>
      </c>
      <c r="BF552" s="30">
        <v>90.0</v>
      </c>
      <c r="BG552" s="30" t="s">
        <v>1886</v>
      </c>
      <c r="BH552" s="33" t="s">
        <v>1887</v>
      </c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FL552" s="36" t="s">
        <v>1888</v>
      </c>
      <c r="FM552" s="36" t="s">
        <v>260</v>
      </c>
    </row>
    <row r="553" ht="23.25" customHeight="1">
      <c r="A553" s="29">
        <v>44660.817913935185</v>
      </c>
      <c r="B553" s="30" t="s">
        <v>6</v>
      </c>
      <c r="C553" s="30" t="s">
        <v>13</v>
      </c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0" t="s">
        <v>1825</v>
      </c>
      <c r="AY553" s="30" t="s">
        <v>1826</v>
      </c>
      <c r="AZ553" s="30" t="s">
        <v>1881</v>
      </c>
      <c r="BA553" s="30" t="s">
        <v>1753</v>
      </c>
      <c r="BB553" s="30">
        <v>15.0</v>
      </c>
      <c r="BC553" s="32">
        <v>43955.0</v>
      </c>
      <c r="BD553" s="32">
        <v>43970.0</v>
      </c>
      <c r="BE553" s="32">
        <v>43971.0</v>
      </c>
      <c r="BF553" s="30">
        <v>94.0</v>
      </c>
      <c r="BG553" s="30" t="s">
        <v>1879</v>
      </c>
      <c r="BH553" s="33" t="s">
        <v>1889</v>
      </c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FL553" s="36" t="s">
        <v>1829</v>
      </c>
      <c r="FM553" s="36" t="s">
        <v>260</v>
      </c>
    </row>
    <row r="554" ht="23.25" customHeight="1">
      <c r="A554" s="29">
        <v>44660.81951341435</v>
      </c>
      <c r="B554" s="30" t="s">
        <v>6</v>
      </c>
      <c r="C554" s="30" t="s">
        <v>13</v>
      </c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0" t="s">
        <v>1825</v>
      </c>
      <c r="AY554" s="30" t="s">
        <v>1826</v>
      </c>
      <c r="AZ554" s="30" t="s">
        <v>1881</v>
      </c>
      <c r="BA554" s="30" t="s">
        <v>1385</v>
      </c>
      <c r="BB554" s="30">
        <v>15.0</v>
      </c>
      <c r="BC554" s="32">
        <v>43955.0</v>
      </c>
      <c r="BD554" s="32">
        <v>43966.0</v>
      </c>
      <c r="BE554" s="32">
        <v>43967.0</v>
      </c>
      <c r="BF554" s="30">
        <v>96.0</v>
      </c>
      <c r="BG554" s="30" t="s">
        <v>1879</v>
      </c>
      <c r="BH554" s="33" t="s">
        <v>1890</v>
      </c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FL554" s="36" t="s">
        <v>1829</v>
      </c>
      <c r="FM554" s="36" t="s">
        <v>260</v>
      </c>
    </row>
    <row r="555" ht="23.25" customHeight="1">
      <c r="A555" s="29">
        <v>44660.82041138889</v>
      </c>
      <c r="B555" s="30" t="s">
        <v>6</v>
      </c>
      <c r="C555" s="30" t="s">
        <v>13</v>
      </c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0" t="s">
        <v>1884</v>
      </c>
      <c r="AY555" s="30" t="s">
        <v>1891</v>
      </c>
      <c r="AZ555" s="30" t="s">
        <v>1385</v>
      </c>
      <c r="BA555" s="30" t="s">
        <v>1378</v>
      </c>
      <c r="BB555" s="30" t="s">
        <v>1892</v>
      </c>
      <c r="BC555" s="32">
        <v>43976.0</v>
      </c>
      <c r="BD555" s="32">
        <v>43997.0</v>
      </c>
      <c r="BE555" s="32">
        <v>44004.0</v>
      </c>
      <c r="BF555" s="30">
        <v>90.0</v>
      </c>
      <c r="BG555" s="30" t="s">
        <v>1886</v>
      </c>
      <c r="BH555" s="33" t="s">
        <v>1893</v>
      </c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FL555" s="36" t="s">
        <v>1888</v>
      </c>
      <c r="FM555" s="36" t="s">
        <v>260</v>
      </c>
    </row>
    <row r="556" ht="23.25" customHeight="1">
      <c r="A556" s="29">
        <v>44660.82244454861</v>
      </c>
      <c r="B556" s="30" t="s">
        <v>6</v>
      </c>
      <c r="C556" s="30" t="s">
        <v>14</v>
      </c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0" t="s">
        <v>1894</v>
      </c>
      <c r="BJ556" s="30" t="s">
        <v>1867</v>
      </c>
      <c r="BK556" s="30" t="s">
        <v>150</v>
      </c>
      <c r="BL556" s="30" t="s">
        <v>1288</v>
      </c>
      <c r="BM556" s="30" t="s">
        <v>1895</v>
      </c>
      <c r="BN556" s="30">
        <v>2.0</v>
      </c>
      <c r="BO556" s="32">
        <v>43505.0</v>
      </c>
      <c r="BP556" s="32">
        <v>43506.0</v>
      </c>
      <c r="BQ556" s="30" t="s">
        <v>1896</v>
      </c>
      <c r="BR556" s="30" t="s">
        <v>813</v>
      </c>
      <c r="BS556" s="30" t="s">
        <v>276</v>
      </c>
      <c r="BT556" s="30" t="s">
        <v>632</v>
      </c>
      <c r="BU556" s="30">
        <v>250.0</v>
      </c>
      <c r="BV556" s="33" t="s">
        <v>1897</v>
      </c>
      <c r="BW556" s="31"/>
      <c r="BX556" s="31"/>
      <c r="FL556" s="36" t="s">
        <v>1872</v>
      </c>
      <c r="FM556" s="36" t="s">
        <v>260</v>
      </c>
    </row>
    <row r="557" ht="23.25" customHeight="1">
      <c r="A557" s="29">
        <v>44660.8230424537</v>
      </c>
      <c r="B557" s="30" t="s">
        <v>6</v>
      </c>
      <c r="C557" s="30" t="s">
        <v>13</v>
      </c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0" t="s">
        <v>1898</v>
      </c>
      <c r="AY557" s="30" t="s">
        <v>1860</v>
      </c>
      <c r="AZ557" s="30" t="s">
        <v>1899</v>
      </c>
      <c r="BA557" s="30" t="s">
        <v>1900</v>
      </c>
      <c r="BB557" s="30" t="s">
        <v>1854</v>
      </c>
      <c r="BC557" s="32">
        <v>43694.0</v>
      </c>
      <c r="BD557" s="32">
        <v>43695.0</v>
      </c>
      <c r="BE557" s="32">
        <v>43695.0</v>
      </c>
      <c r="BF557" s="30">
        <v>100.0</v>
      </c>
      <c r="BG557" s="30" t="s">
        <v>1901</v>
      </c>
      <c r="BH557" s="33" t="s">
        <v>1902</v>
      </c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FL557" s="36" t="s">
        <v>1865</v>
      </c>
      <c r="FM557" s="36" t="s">
        <v>260</v>
      </c>
    </row>
    <row r="558" ht="23.25" customHeight="1">
      <c r="A558" s="29">
        <v>44660.82333438657</v>
      </c>
      <c r="B558" s="30" t="s">
        <v>6</v>
      </c>
      <c r="C558" s="30" t="s">
        <v>13</v>
      </c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0" t="s">
        <v>1884</v>
      </c>
      <c r="AY558" s="30" t="s">
        <v>1885</v>
      </c>
      <c r="AZ558" s="30" t="s">
        <v>1903</v>
      </c>
      <c r="BA558" s="30" t="s">
        <v>1378</v>
      </c>
      <c r="BB558" s="30" t="s">
        <v>1892</v>
      </c>
      <c r="BC558" s="32">
        <v>43997.0</v>
      </c>
      <c r="BD558" s="32">
        <v>44018.0</v>
      </c>
      <c r="BE558" s="32">
        <v>44018.0</v>
      </c>
      <c r="BF558" s="30">
        <v>90.0</v>
      </c>
      <c r="BG558" s="30" t="s">
        <v>1886</v>
      </c>
      <c r="BH558" s="33" t="s">
        <v>1904</v>
      </c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FL558" s="36" t="s">
        <v>1888</v>
      </c>
      <c r="FM558" s="36" t="s">
        <v>260</v>
      </c>
    </row>
    <row r="559" ht="23.25" customHeight="1">
      <c r="A559" s="29">
        <v>44660.8241040162</v>
      </c>
      <c r="B559" s="30" t="s">
        <v>6</v>
      </c>
      <c r="C559" s="30" t="s">
        <v>27</v>
      </c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FL559" s="36" t="s">
        <v>1905</v>
      </c>
      <c r="FM559" s="36" t="s">
        <v>260</v>
      </c>
      <c r="GF559" s="36" t="s">
        <v>1906</v>
      </c>
      <c r="GG559" s="36" t="s">
        <v>1907</v>
      </c>
      <c r="GH559" s="36" t="s">
        <v>1908</v>
      </c>
      <c r="GI559" s="37">
        <v>44743.0</v>
      </c>
      <c r="GJ559" s="38" t="s">
        <v>1909</v>
      </c>
      <c r="GK559" s="36" t="s">
        <v>656</v>
      </c>
      <c r="GL559" s="36" t="s">
        <v>1910</v>
      </c>
    </row>
    <row r="560" ht="23.25" customHeight="1">
      <c r="A560" s="29">
        <v>44660.82883396991</v>
      </c>
      <c r="B560" s="30" t="s">
        <v>6</v>
      </c>
      <c r="C560" s="30" t="s">
        <v>12</v>
      </c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0" t="s">
        <v>1906</v>
      </c>
      <c r="AO560" s="30" t="s">
        <v>1907</v>
      </c>
      <c r="AP560" s="30" t="s">
        <v>1911</v>
      </c>
      <c r="AQ560" s="30" t="s">
        <v>495</v>
      </c>
      <c r="AR560" s="32">
        <v>43992.0</v>
      </c>
      <c r="AS560" s="32">
        <v>44024.0</v>
      </c>
      <c r="AT560" s="30" t="s">
        <v>257</v>
      </c>
      <c r="AU560" s="30" t="s">
        <v>257</v>
      </c>
      <c r="AV560" s="30">
        <v>0.0</v>
      </c>
      <c r="AW560" s="33" t="s">
        <v>1912</v>
      </c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FL560" s="36" t="s">
        <v>1905</v>
      </c>
      <c r="FM560" s="36" t="s">
        <v>260</v>
      </c>
    </row>
    <row r="561" ht="23.25" customHeight="1">
      <c r="A561" s="29">
        <v>44660.82950553241</v>
      </c>
      <c r="B561" s="30" t="s">
        <v>6</v>
      </c>
      <c r="C561" s="30" t="s">
        <v>13</v>
      </c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0" t="s">
        <v>1884</v>
      </c>
      <c r="AY561" s="30" t="s">
        <v>1885</v>
      </c>
      <c r="AZ561" s="30" t="s">
        <v>1913</v>
      </c>
      <c r="BA561" s="30" t="s">
        <v>1378</v>
      </c>
      <c r="BB561" s="30" t="s">
        <v>1914</v>
      </c>
      <c r="BC561" s="32">
        <v>44041.0</v>
      </c>
      <c r="BD561" s="32">
        <v>44052.0</v>
      </c>
      <c r="BE561" s="32">
        <v>44052.0</v>
      </c>
      <c r="BF561" s="30">
        <v>90.0</v>
      </c>
      <c r="BG561" s="30" t="s">
        <v>1886</v>
      </c>
      <c r="BH561" s="33" t="s">
        <v>1915</v>
      </c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FL561" s="36" t="s">
        <v>1888</v>
      </c>
      <c r="FM561" s="36" t="s">
        <v>260</v>
      </c>
    </row>
    <row r="562" ht="23.25" customHeight="1">
      <c r="A562" s="29">
        <v>44660.83053699074</v>
      </c>
      <c r="B562" s="30" t="s">
        <v>6</v>
      </c>
      <c r="C562" s="30" t="s">
        <v>13</v>
      </c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0" t="s">
        <v>1859</v>
      </c>
      <c r="AY562" s="30" t="s">
        <v>1860</v>
      </c>
      <c r="AZ562" s="30" t="s">
        <v>351</v>
      </c>
      <c r="BA562" s="30" t="s">
        <v>337</v>
      </c>
      <c r="BB562" s="30" t="s">
        <v>701</v>
      </c>
      <c r="BC562" s="32">
        <v>43637.0</v>
      </c>
      <c r="BD562" s="32">
        <v>43675.0</v>
      </c>
      <c r="BE562" s="32">
        <v>43675.0</v>
      </c>
      <c r="BF562" s="30">
        <v>100.0</v>
      </c>
      <c r="BG562" s="30" t="s">
        <v>1916</v>
      </c>
      <c r="BH562" s="33" t="s">
        <v>1917</v>
      </c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FL562" s="36" t="s">
        <v>1865</v>
      </c>
      <c r="FM562" s="36" t="s">
        <v>260</v>
      </c>
    </row>
    <row r="563" ht="23.25" customHeight="1">
      <c r="A563" s="29">
        <v>44660.833577453704</v>
      </c>
      <c r="B563" s="30" t="s">
        <v>6</v>
      </c>
      <c r="C563" s="30" t="s">
        <v>13</v>
      </c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0" t="s">
        <v>1884</v>
      </c>
      <c r="AY563" s="30" t="s">
        <v>1885</v>
      </c>
      <c r="AZ563" s="30" t="s">
        <v>1918</v>
      </c>
      <c r="BA563" s="30" t="s">
        <v>1378</v>
      </c>
      <c r="BB563" s="30" t="s">
        <v>1919</v>
      </c>
      <c r="BC563" s="32">
        <v>44014.0</v>
      </c>
      <c r="BD563" s="32">
        <v>44042.0</v>
      </c>
      <c r="BE563" s="32">
        <v>44042.0</v>
      </c>
      <c r="BF563" s="30">
        <v>99.0</v>
      </c>
      <c r="BG563" s="30" t="s">
        <v>1886</v>
      </c>
      <c r="BH563" s="33" t="s">
        <v>1920</v>
      </c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FL563" s="36" t="s">
        <v>1888</v>
      </c>
      <c r="FM563" s="36" t="s">
        <v>260</v>
      </c>
    </row>
    <row r="564" ht="23.25" customHeight="1">
      <c r="A564" s="29">
        <v>44660.83469021991</v>
      </c>
      <c r="B564" s="30" t="s">
        <v>6</v>
      </c>
      <c r="C564" s="30" t="s">
        <v>13</v>
      </c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0" t="s">
        <v>1859</v>
      </c>
      <c r="AY564" s="30" t="s">
        <v>1860</v>
      </c>
      <c r="AZ564" s="30" t="s">
        <v>1921</v>
      </c>
      <c r="BA564" s="30" t="s">
        <v>337</v>
      </c>
      <c r="BB564" s="30" t="s">
        <v>701</v>
      </c>
      <c r="BC564" s="32">
        <v>43583.0</v>
      </c>
      <c r="BD564" s="32">
        <v>43600.0</v>
      </c>
      <c r="BE564" s="32">
        <v>43600.0</v>
      </c>
      <c r="BF564" s="30">
        <v>100.0</v>
      </c>
      <c r="BG564" s="30" t="s">
        <v>1916</v>
      </c>
      <c r="BH564" s="33" t="s">
        <v>1922</v>
      </c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FL564" s="36" t="s">
        <v>1865</v>
      </c>
      <c r="FM564" s="36" t="s">
        <v>260</v>
      </c>
    </row>
    <row r="565" ht="23.25" customHeight="1">
      <c r="A565" s="29">
        <v>44660.83569635417</v>
      </c>
      <c r="B565" s="30" t="s">
        <v>6</v>
      </c>
      <c r="C565" s="30" t="s">
        <v>13</v>
      </c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0" t="s">
        <v>1894</v>
      </c>
      <c r="AY565" s="30" t="s">
        <v>1867</v>
      </c>
      <c r="AZ565" s="30" t="s">
        <v>351</v>
      </c>
      <c r="BA565" s="30" t="s">
        <v>377</v>
      </c>
      <c r="BB565" s="30">
        <v>1.0</v>
      </c>
      <c r="BC565" s="32">
        <v>43645.0</v>
      </c>
      <c r="BD565" s="32">
        <v>43675.0</v>
      </c>
      <c r="BE565" s="32">
        <v>43675.0</v>
      </c>
      <c r="BF565" s="30">
        <v>100.0</v>
      </c>
      <c r="BG565" s="30" t="s">
        <v>1923</v>
      </c>
      <c r="BH565" s="33" t="s">
        <v>1924</v>
      </c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FL565" s="36" t="s">
        <v>1872</v>
      </c>
      <c r="FM565" s="36" t="s">
        <v>260</v>
      </c>
    </row>
    <row r="566" ht="23.25" customHeight="1">
      <c r="A566" s="29">
        <v>44660.83709248842</v>
      </c>
      <c r="B566" s="30" t="s">
        <v>6</v>
      </c>
      <c r="C566" s="30" t="s">
        <v>13</v>
      </c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0" t="s">
        <v>1884</v>
      </c>
      <c r="AY566" s="30" t="s">
        <v>1885</v>
      </c>
      <c r="AZ566" s="30" t="s">
        <v>531</v>
      </c>
      <c r="BA566" s="30" t="s">
        <v>1378</v>
      </c>
      <c r="BB566" s="30" t="s">
        <v>1925</v>
      </c>
      <c r="BC566" s="32">
        <v>44005.0</v>
      </c>
      <c r="BD566" s="32">
        <v>44039.0</v>
      </c>
      <c r="BE566" s="32">
        <v>44039.0</v>
      </c>
      <c r="BF566" s="30">
        <v>97.0</v>
      </c>
      <c r="BG566" s="30" t="s">
        <v>1886</v>
      </c>
      <c r="BH566" s="33" t="s">
        <v>1926</v>
      </c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FL566" s="36" t="s">
        <v>1888</v>
      </c>
      <c r="FM566" s="36" t="s">
        <v>260</v>
      </c>
    </row>
    <row r="567" ht="23.25" customHeight="1">
      <c r="A567" s="29">
        <v>44660.840953425926</v>
      </c>
      <c r="B567" s="30" t="s">
        <v>6</v>
      </c>
      <c r="C567" s="30" t="s">
        <v>13</v>
      </c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0" t="s">
        <v>1894</v>
      </c>
      <c r="AY567" s="30" t="s">
        <v>1867</v>
      </c>
      <c r="AZ567" s="30" t="s">
        <v>502</v>
      </c>
      <c r="BA567" s="30" t="s">
        <v>377</v>
      </c>
      <c r="BB567" s="30">
        <v>1.0</v>
      </c>
      <c r="BC567" s="32">
        <v>44660.0</v>
      </c>
      <c r="BD567" s="32">
        <v>44302.0</v>
      </c>
      <c r="BE567" s="32">
        <v>44302.0</v>
      </c>
      <c r="BF567" s="30">
        <v>100.0</v>
      </c>
      <c r="BG567" s="30" t="s">
        <v>1927</v>
      </c>
      <c r="BH567" s="33" t="s">
        <v>1928</v>
      </c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FL567" s="36" t="s">
        <v>1872</v>
      </c>
      <c r="FM567" s="36" t="s">
        <v>260</v>
      </c>
    </row>
    <row r="568" ht="23.25" customHeight="1">
      <c r="A568" s="29">
        <v>44660.84225648148</v>
      </c>
      <c r="B568" s="30" t="s">
        <v>6</v>
      </c>
      <c r="C568" s="30" t="s">
        <v>14</v>
      </c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0" t="s">
        <v>1929</v>
      </c>
      <c r="BJ568" s="30" t="s">
        <v>1885</v>
      </c>
      <c r="BK568" s="30" t="s">
        <v>159</v>
      </c>
      <c r="BL568" s="30" t="s">
        <v>1288</v>
      </c>
      <c r="BM568" s="30" t="s">
        <v>1930</v>
      </c>
      <c r="BN568" s="30">
        <v>3.0</v>
      </c>
      <c r="BO568" s="32">
        <v>44037.0</v>
      </c>
      <c r="BP568" s="32">
        <v>44039.0</v>
      </c>
      <c r="BQ568" s="30" t="s">
        <v>1045</v>
      </c>
      <c r="BR568" s="30" t="s">
        <v>1886</v>
      </c>
      <c r="BS568" s="30" t="s">
        <v>176</v>
      </c>
      <c r="BT568" s="30" t="s">
        <v>156</v>
      </c>
      <c r="BU568" s="31"/>
      <c r="BV568" s="33" t="s">
        <v>1931</v>
      </c>
      <c r="BW568" s="31"/>
      <c r="BX568" s="31"/>
      <c r="FL568" s="36" t="s">
        <v>1888</v>
      </c>
      <c r="FM568" s="36" t="s">
        <v>260</v>
      </c>
    </row>
    <row r="569" ht="23.25" customHeight="1">
      <c r="A569" s="29">
        <v>44660.84472486111</v>
      </c>
      <c r="B569" s="30" t="s">
        <v>6</v>
      </c>
      <c r="C569" s="30" t="s">
        <v>27</v>
      </c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FL569" s="36" t="s">
        <v>1888</v>
      </c>
      <c r="FM569" s="36" t="s">
        <v>260</v>
      </c>
      <c r="GF569" s="36" t="s">
        <v>1929</v>
      </c>
      <c r="GG569" s="36" t="s">
        <v>1885</v>
      </c>
      <c r="GH569" s="36" t="s">
        <v>1932</v>
      </c>
      <c r="GI569" s="37">
        <v>44628.0</v>
      </c>
      <c r="GJ569" s="38" t="s">
        <v>1933</v>
      </c>
      <c r="GK569" s="36" t="s">
        <v>1934</v>
      </c>
      <c r="GL569" s="36" t="s">
        <v>1935</v>
      </c>
    </row>
    <row r="570" ht="23.25" customHeight="1">
      <c r="A570" s="29">
        <v>44660.84516449074</v>
      </c>
      <c r="B570" s="30" t="s">
        <v>6</v>
      </c>
      <c r="C570" s="30" t="s">
        <v>13</v>
      </c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0" t="s">
        <v>757</v>
      </c>
      <c r="AY570" s="30" t="s">
        <v>748</v>
      </c>
      <c r="AZ570" s="30" t="s">
        <v>1393</v>
      </c>
      <c r="BA570" s="30" t="s">
        <v>1378</v>
      </c>
      <c r="BB570" s="30" t="s">
        <v>1936</v>
      </c>
      <c r="BC570" s="32">
        <v>43925.0</v>
      </c>
      <c r="BD570" s="32">
        <v>43945.0</v>
      </c>
      <c r="BE570" s="32">
        <v>43945.0</v>
      </c>
      <c r="BF570" s="30">
        <v>100.0</v>
      </c>
      <c r="BG570" s="30" t="s">
        <v>523</v>
      </c>
      <c r="BH570" s="33" t="s">
        <v>1937</v>
      </c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FL570" s="36" t="s">
        <v>751</v>
      </c>
      <c r="FM570" s="36" t="s">
        <v>260</v>
      </c>
    </row>
    <row r="571" ht="23.25" customHeight="1">
      <c r="A571" s="29">
        <v>44660.84651341435</v>
      </c>
      <c r="B571" s="30" t="s">
        <v>6</v>
      </c>
      <c r="C571" s="30" t="s">
        <v>13</v>
      </c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0" t="s">
        <v>1938</v>
      </c>
      <c r="AY571" s="30" t="s">
        <v>1860</v>
      </c>
      <c r="AZ571" s="30" t="s">
        <v>1939</v>
      </c>
      <c r="BA571" s="30" t="s">
        <v>1378</v>
      </c>
      <c r="BB571" s="30" t="s">
        <v>1919</v>
      </c>
      <c r="BC571" s="32">
        <v>43924.0</v>
      </c>
      <c r="BD571" s="32">
        <v>43961.0</v>
      </c>
      <c r="BE571" s="32">
        <v>43961.0</v>
      </c>
      <c r="BF571" s="30">
        <v>100.0</v>
      </c>
      <c r="BG571" s="30" t="s">
        <v>1401</v>
      </c>
      <c r="BH571" s="33" t="s">
        <v>1940</v>
      </c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FL571" s="36" t="s">
        <v>1865</v>
      </c>
      <c r="FM571" s="36" t="s">
        <v>260</v>
      </c>
    </row>
    <row r="572" ht="23.25" customHeight="1">
      <c r="A572" s="29">
        <v>44660.84824453703</v>
      </c>
      <c r="B572" s="30" t="s">
        <v>6</v>
      </c>
      <c r="C572" s="30" t="s">
        <v>13</v>
      </c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0" t="s">
        <v>1894</v>
      </c>
      <c r="AY572" s="30" t="s">
        <v>1867</v>
      </c>
      <c r="AZ572" s="30" t="s">
        <v>1941</v>
      </c>
      <c r="BA572" s="30" t="s">
        <v>377</v>
      </c>
      <c r="BB572" s="30">
        <v>1.0</v>
      </c>
      <c r="BC572" s="32">
        <v>43642.0</v>
      </c>
      <c r="BD572" s="32">
        <v>43672.0</v>
      </c>
      <c r="BE572" s="32">
        <v>43672.0</v>
      </c>
      <c r="BF572" s="30">
        <v>100.0</v>
      </c>
      <c r="BG572" s="30" t="s">
        <v>339</v>
      </c>
      <c r="BH572" s="33" t="s">
        <v>1942</v>
      </c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FL572" s="36" t="s">
        <v>1872</v>
      </c>
      <c r="FM572" s="36" t="s">
        <v>260</v>
      </c>
    </row>
    <row r="573" ht="23.25" customHeight="1">
      <c r="A573" s="29">
        <v>44660.850106134254</v>
      </c>
      <c r="B573" s="30" t="s">
        <v>6</v>
      </c>
      <c r="C573" s="30" t="s">
        <v>13</v>
      </c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0" t="s">
        <v>1884</v>
      </c>
      <c r="AY573" s="30" t="s">
        <v>1885</v>
      </c>
      <c r="AZ573" s="30" t="s">
        <v>1943</v>
      </c>
      <c r="BA573" s="30" t="s">
        <v>337</v>
      </c>
      <c r="BB573" s="30" t="s">
        <v>310</v>
      </c>
      <c r="BC573" s="32">
        <v>44348.0</v>
      </c>
      <c r="BD573" s="32">
        <v>44403.0</v>
      </c>
      <c r="BE573" s="32">
        <v>44404.0</v>
      </c>
      <c r="BF573" s="30">
        <v>89.0</v>
      </c>
      <c r="BG573" s="30" t="s">
        <v>1944</v>
      </c>
      <c r="BH573" s="33" t="s">
        <v>1945</v>
      </c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FL573" s="36" t="s">
        <v>1888</v>
      </c>
      <c r="FM573" s="36" t="s">
        <v>260</v>
      </c>
    </row>
    <row r="574" ht="23.25" customHeight="1">
      <c r="A574" s="29">
        <v>44660.850449432866</v>
      </c>
      <c r="B574" s="30" t="s">
        <v>6</v>
      </c>
      <c r="C574" s="30" t="s">
        <v>13</v>
      </c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0" t="s">
        <v>747</v>
      </c>
      <c r="AY574" s="30" t="s">
        <v>748</v>
      </c>
      <c r="AZ574" s="30" t="s">
        <v>1946</v>
      </c>
      <c r="BA574" s="30" t="s">
        <v>1386</v>
      </c>
      <c r="BB574" s="30" t="s">
        <v>495</v>
      </c>
      <c r="BC574" s="32">
        <v>43926.0</v>
      </c>
      <c r="BD574" s="32">
        <v>43956.0</v>
      </c>
      <c r="BE574" s="32">
        <v>43956.0</v>
      </c>
      <c r="BF574" s="39">
        <v>0.95</v>
      </c>
      <c r="BG574" s="30" t="s">
        <v>1947</v>
      </c>
      <c r="BH574" s="33" t="s">
        <v>1948</v>
      </c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FL574" s="36" t="s">
        <v>751</v>
      </c>
      <c r="FM574" s="36" t="s">
        <v>260</v>
      </c>
    </row>
    <row r="575" ht="23.25" customHeight="1">
      <c r="A575" s="29">
        <v>44660.85150769676</v>
      </c>
      <c r="B575" s="30" t="s">
        <v>6</v>
      </c>
      <c r="C575" s="30" t="s">
        <v>13</v>
      </c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0" t="s">
        <v>1949</v>
      </c>
      <c r="AY575" s="30" t="s">
        <v>1860</v>
      </c>
      <c r="AZ575" s="30" t="s">
        <v>1950</v>
      </c>
      <c r="BA575" s="30" t="s">
        <v>1378</v>
      </c>
      <c r="BB575" s="30" t="s">
        <v>1925</v>
      </c>
      <c r="BC575" s="32">
        <v>43924.0</v>
      </c>
      <c r="BD575" s="32">
        <v>43968.0</v>
      </c>
      <c r="BE575" s="32">
        <v>43968.0</v>
      </c>
      <c r="BF575" s="30">
        <v>100.0</v>
      </c>
      <c r="BG575" s="30" t="s">
        <v>1375</v>
      </c>
      <c r="BH575" s="33" t="s">
        <v>1951</v>
      </c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FL575" s="36" t="s">
        <v>1865</v>
      </c>
      <c r="FM575" s="36" t="s">
        <v>260</v>
      </c>
    </row>
    <row r="576" ht="23.25" customHeight="1">
      <c r="A576" s="29">
        <v>44660.85249925926</v>
      </c>
      <c r="B576" s="30" t="s">
        <v>6</v>
      </c>
      <c r="C576" s="30" t="s">
        <v>13</v>
      </c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0" t="s">
        <v>1884</v>
      </c>
      <c r="AY576" s="30" t="s">
        <v>1885</v>
      </c>
      <c r="AZ576" s="30" t="s">
        <v>376</v>
      </c>
      <c r="BA576" s="30" t="s">
        <v>377</v>
      </c>
      <c r="BB576" s="30" t="s">
        <v>378</v>
      </c>
      <c r="BC576" s="32">
        <v>43647.0</v>
      </c>
      <c r="BD576" s="32">
        <v>43681.0</v>
      </c>
      <c r="BE576" s="32">
        <v>43803.0</v>
      </c>
      <c r="BF576" s="30">
        <v>90.0</v>
      </c>
      <c r="BG576" s="30" t="s">
        <v>379</v>
      </c>
      <c r="BH576" s="33" t="s">
        <v>1952</v>
      </c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FL576" s="36" t="s">
        <v>1888</v>
      </c>
      <c r="FM576" s="36" t="s">
        <v>260</v>
      </c>
    </row>
    <row r="577" ht="23.25" customHeight="1">
      <c r="A577" s="29">
        <v>44660.85430575232</v>
      </c>
      <c r="B577" s="30" t="s">
        <v>6</v>
      </c>
      <c r="C577" s="30" t="s">
        <v>13</v>
      </c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0" t="s">
        <v>1894</v>
      </c>
      <c r="AY577" s="30" t="s">
        <v>1867</v>
      </c>
      <c r="AZ577" s="30" t="s">
        <v>1953</v>
      </c>
      <c r="BA577" s="30" t="s">
        <v>345</v>
      </c>
      <c r="BB577" s="30">
        <v>1.0</v>
      </c>
      <c r="BC577" s="32">
        <v>43953.0</v>
      </c>
      <c r="BD577" s="32">
        <v>43984.0</v>
      </c>
      <c r="BE577" s="32">
        <v>43984.0</v>
      </c>
      <c r="BF577" s="30">
        <v>100.0</v>
      </c>
      <c r="BG577" s="30" t="s">
        <v>345</v>
      </c>
      <c r="BH577" s="33" t="s">
        <v>1954</v>
      </c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FL577" s="36" t="s">
        <v>1872</v>
      </c>
      <c r="FM577" s="36" t="s">
        <v>260</v>
      </c>
    </row>
    <row r="578" ht="23.25" customHeight="1">
      <c r="A578" s="29">
        <v>44660.8558506713</v>
      </c>
      <c r="B578" s="30" t="s">
        <v>6</v>
      </c>
      <c r="C578" s="30" t="s">
        <v>13</v>
      </c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0" t="s">
        <v>747</v>
      </c>
      <c r="AY578" s="30" t="s">
        <v>748</v>
      </c>
      <c r="AZ578" s="30" t="s">
        <v>1955</v>
      </c>
      <c r="BA578" s="30" t="s">
        <v>337</v>
      </c>
      <c r="BB578" s="30" t="s">
        <v>1956</v>
      </c>
      <c r="BC578" s="32">
        <v>43472.0</v>
      </c>
      <c r="BD578" s="32">
        <v>43563.0</v>
      </c>
      <c r="BE578" s="32">
        <v>43567.0</v>
      </c>
      <c r="BF578" s="39">
        <v>0.9</v>
      </c>
      <c r="BG578" s="30" t="s">
        <v>1957</v>
      </c>
      <c r="BH578" s="33" t="s">
        <v>1958</v>
      </c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FL578" s="36" t="s">
        <v>751</v>
      </c>
      <c r="FM578" s="36" t="s">
        <v>260</v>
      </c>
    </row>
    <row r="579" ht="23.25" customHeight="1">
      <c r="A579" s="29">
        <v>44660.85654936342</v>
      </c>
      <c r="B579" s="30" t="s">
        <v>6</v>
      </c>
      <c r="C579" s="30" t="s">
        <v>13</v>
      </c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0" t="s">
        <v>1949</v>
      </c>
      <c r="AY579" s="30" t="s">
        <v>1860</v>
      </c>
      <c r="AZ579" s="30" t="s">
        <v>1959</v>
      </c>
      <c r="BA579" s="30" t="s">
        <v>1378</v>
      </c>
      <c r="BB579" s="30" t="s">
        <v>1914</v>
      </c>
      <c r="BC579" s="32">
        <v>43974.0</v>
      </c>
      <c r="BD579" s="32">
        <v>44016.0</v>
      </c>
      <c r="BE579" s="32">
        <v>44016.0</v>
      </c>
      <c r="BF579" s="30">
        <v>100.0</v>
      </c>
      <c r="BG579" s="30" t="s">
        <v>1960</v>
      </c>
      <c r="BH579" s="33" t="s">
        <v>1961</v>
      </c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FL579" s="36" t="s">
        <v>1865</v>
      </c>
      <c r="FM579" s="36" t="s">
        <v>260</v>
      </c>
    </row>
    <row r="580" ht="23.25" customHeight="1">
      <c r="A580" s="29">
        <v>44660.856999525466</v>
      </c>
      <c r="B580" s="30" t="s">
        <v>6</v>
      </c>
      <c r="C580" s="30" t="s">
        <v>13</v>
      </c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0" t="s">
        <v>1962</v>
      </c>
      <c r="AY580" s="30" t="s">
        <v>1963</v>
      </c>
      <c r="AZ580" s="30" t="s">
        <v>502</v>
      </c>
      <c r="BA580" s="30" t="s">
        <v>900</v>
      </c>
      <c r="BB580" s="30" t="s">
        <v>320</v>
      </c>
      <c r="BC580" s="32">
        <v>44251.0</v>
      </c>
      <c r="BD580" s="32">
        <v>44310.0</v>
      </c>
      <c r="BE580" s="32">
        <v>44308.0</v>
      </c>
      <c r="BF580" s="30">
        <v>99.0</v>
      </c>
      <c r="BG580" s="30" t="s">
        <v>1964</v>
      </c>
      <c r="BH580" s="33" t="s">
        <v>1965</v>
      </c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FL580" s="36" t="s">
        <v>1338</v>
      </c>
      <c r="FM580" s="36" t="s">
        <v>260</v>
      </c>
    </row>
    <row r="581" ht="23.25" customHeight="1">
      <c r="A581" s="29">
        <v>44660.86033085648</v>
      </c>
      <c r="B581" s="30" t="s">
        <v>6</v>
      </c>
      <c r="C581" s="30" t="s">
        <v>12</v>
      </c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0" t="s">
        <v>1894</v>
      </c>
      <c r="AO581" s="30" t="s">
        <v>1867</v>
      </c>
      <c r="AP581" s="30" t="s">
        <v>309</v>
      </c>
      <c r="AQ581" s="30">
        <v>3.0</v>
      </c>
      <c r="AR581" s="32">
        <v>44484.0</v>
      </c>
      <c r="AS581" s="32">
        <v>44546.0</v>
      </c>
      <c r="AT581" s="30" t="s">
        <v>257</v>
      </c>
      <c r="AU581" s="30" t="s">
        <v>257</v>
      </c>
      <c r="AV581" s="30">
        <v>0.0</v>
      </c>
      <c r="AW581" s="33" t="s">
        <v>1966</v>
      </c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FL581" s="36" t="s">
        <v>1872</v>
      </c>
      <c r="FM581" s="36" t="s">
        <v>260</v>
      </c>
    </row>
    <row r="582" ht="23.25" customHeight="1">
      <c r="A582" s="29">
        <v>44660.86372302083</v>
      </c>
      <c r="B582" s="30" t="s">
        <v>6</v>
      </c>
      <c r="C582" s="30" t="s">
        <v>12</v>
      </c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0" t="s">
        <v>1967</v>
      </c>
      <c r="AO582" s="30" t="s">
        <v>1860</v>
      </c>
      <c r="AP582" s="30" t="s">
        <v>269</v>
      </c>
      <c r="AQ582" s="30" t="s">
        <v>503</v>
      </c>
      <c r="AR582" s="32">
        <v>44640.0</v>
      </c>
      <c r="AS582" s="32">
        <v>44732.0</v>
      </c>
      <c r="AT582" s="30" t="s">
        <v>257</v>
      </c>
      <c r="AU582" s="30" t="s">
        <v>257</v>
      </c>
      <c r="AV582" s="30">
        <v>0.0</v>
      </c>
      <c r="AW582" s="33" t="s">
        <v>1968</v>
      </c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FL582" s="36" t="s">
        <v>1865</v>
      </c>
      <c r="FM582" s="36" t="s">
        <v>260</v>
      </c>
    </row>
    <row r="583" ht="23.25" customHeight="1">
      <c r="A583" s="29">
        <v>44660.869151875</v>
      </c>
      <c r="B583" s="30" t="s">
        <v>6</v>
      </c>
      <c r="C583" s="30" t="s">
        <v>17</v>
      </c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CS583" s="36" t="s">
        <v>1894</v>
      </c>
      <c r="CT583" s="36">
        <v>1.0</v>
      </c>
      <c r="CU583" s="37">
        <v>44469.0</v>
      </c>
      <c r="CV583" s="37">
        <v>44469.0</v>
      </c>
      <c r="CW583" s="36">
        <v>150.0</v>
      </c>
      <c r="CX583" s="36" t="s">
        <v>1969</v>
      </c>
      <c r="CY583" s="36" t="s">
        <v>1970</v>
      </c>
      <c r="DC583" s="38" t="s">
        <v>1971</v>
      </c>
      <c r="FL583" s="36" t="s">
        <v>1872</v>
      </c>
      <c r="FM583" s="36" t="s">
        <v>260</v>
      </c>
    </row>
    <row r="584" ht="23.25" customHeight="1">
      <c r="A584" s="29">
        <v>44660.8783569213</v>
      </c>
      <c r="B584" s="30" t="s">
        <v>6</v>
      </c>
      <c r="C584" s="30" t="s">
        <v>13</v>
      </c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0" t="s">
        <v>1825</v>
      </c>
      <c r="AY584" s="30" t="s">
        <v>1826</v>
      </c>
      <c r="AZ584" s="30" t="s">
        <v>620</v>
      </c>
      <c r="BA584" s="30" t="s">
        <v>1972</v>
      </c>
      <c r="BB584" s="30">
        <v>15.0</v>
      </c>
      <c r="BC584" s="32">
        <v>44422.0</v>
      </c>
      <c r="BD584" s="32">
        <v>44453.0</v>
      </c>
      <c r="BE584" s="32">
        <v>44454.0</v>
      </c>
      <c r="BF584" s="30">
        <v>94.0</v>
      </c>
      <c r="BG584" s="30" t="s">
        <v>1879</v>
      </c>
      <c r="BH584" s="33" t="s">
        <v>1973</v>
      </c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FL584" s="36" t="s">
        <v>1829</v>
      </c>
      <c r="FM584" s="36" t="s">
        <v>260</v>
      </c>
    </row>
    <row r="585" ht="23.25" customHeight="1">
      <c r="A585" s="29">
        <v>44660.88265774306</v>
      </c>
      <c r="B585" s="30" t="s">
        <v>6</v>
      </c>
      <c r="C585" s="30" t="s">
        <v>13</v>
      </c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0" t="s">
        <v>1825</v>
      </c>
      <c r="AY585" s="30" t="s">
        <v>1826</v>
      </c>
      <c r="AZ585" s="30" t="s">
        <v>620</v>
      </c>
      <c r="BA585" s="30" t="s">
        <v>502</v>
      </c>
      <c r="BB585" s="30">
        <v>15.0</v>
      </c>
      <c r="BC585" s="32">
        <v>44362.0</v>
      </c>
      <c r="BD585" s="32">
        <v>44400.0</v>
      </c>
      <c r="BE585" s="32">
        <v>44401.0</v>
      </c>
      <c r="BF585" s="30">
        <v>86.0</v>
      </c>
      <c r="BG585" s="30" t="s">
        <v>1879</v>
      </c>
      <c r="BH585" s="33" t="s">
        <v>1974</v>
      </c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FL585" s="36" t="s">
        <v>1829</v>
      </c>
      <c r="FM585" s="36" t="s">
        <v>260</v>
      </c>
    </row>
    <row r="586" ht="23.25" customHeight="1">
      <c r="A586" s="29">
        <v>44660.884125625</v>
      </c>
      <c r="B586" s="30" t="s">
        <v>6</v>
      </c>
      <c r="C586" s="30" t="s">
        <v>13</v>
      </c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0" t="s">
        <v>1825</v>
      </c>
      <c r="AY586" s="30" t="s">
        <v>1826</v>
      </c>
      <c r="AZ586" s="30" t="s">
        <v>620</v>
      </c>
      <c r="BA586" s="30" t="s">
        <v>356</v>
      </c>
      <c r="BB586" s="30">
        <v>15.0</v>
      </c>
      <c r="BC586" s="32">
        <v>44384.0</v>
      </c>
      <c r="BD586" s="32">
        <v>44403.0</v>
      </c>
      <c r="BE586" s="32">
        <v>44404.0</v>
      </c>
      <c r="BF586" s="30">
        <v>97.0</v>
      </c>
      <c r="BG586" s="30" t="s">
        <v>1879</v>
      </c>
      <c r="BH586" s="33" t="s">
        <v>1975</v>
      </c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FL586" s="36" t="s">
        <v>1829</v>
      </c>
      <c r="FM586" s="36" t="s">
        <v>260</v>
      </c>
    </row>
    <row r="587" ht="23.25" customHeight="1">
      <c r="A587" s="29">
        <v>44660.884306886575</v>
      </c>
      <c r="B587" s="30" t="s">
        <v>6</v>
      </c>
      <c r="C587" s="30" t="s">
        <v>13</v>
      </c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0" t="s">
        <v>1349</v>
      </c>
      <c r="AY587" s="30" t="s">
        <v>1350</v>
      </c>
      <c r="AZ587" s="30" t="s">
        <v>1976</v>
      </c>
      <c r="BA587" s="30" t="s">
        <v>1977</v>
      </c>
      <c r="BB587" s="30" t="s">
        <v>1311</v>
      </c>
      <c r="BC587" s="32">
        <v>43968.0</v>
      </c>
      <c r="BD587" s="32">
        <v>43975.0</v>
      </c>
      <c r="BE587" s="32">
        <v>43975.0</v>
      </c>
      <c r="BF587" s="30">
        <v>100.0</v>
      </c>
      <c r="BG587" s="30" t="s">
        <v>1388</v>
      </c>
      <c r="BH587" s="33" t="s">
        <v>1978</v>
      </c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FL587" s="36" t="s">
        <v>1355</v>
      </c>
      <c r="FM587" s="36" t="s">
        <v>323</v>
      </c>
    </row>
    <row r="588" ht="23.25" customHeight="1">
      <c r="A588" s="29">
        <v>44660.88502785879</v>
      </c>
      <c r="B588" s="30" t="s">
        <v>6</v>
      </c>
      <c r="C588" s="30" t="s">
        <v>13</v>
      </c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0" t="s">
        <v>1383</v>
      </c>
      <c r="AY588" s="30" t="s">
        <v>1384</v>
      </c>
      <c r="AZ588" s="30" t="s">
        <v>719</v>
      </c>
      <c r="BA588" s="30" t="s">
        <v>409</v>
      </c>
      <c r="BB588" s="30" t="s">
        <v>378</v>
      </c>
      <c r="BC588" s="32">
        <v>43472.0</v>
      </c>
      <c r="BD588" s="32">
        <v>43563.0</v>
      </c>
      <c r="BE588" s="32">
        <v>43567.0</v>
      </c>
      <c r="BF588" s="30">
        <v>90.0</v>
      </c>
      <c r="BG588" s="30" t="s">
        <v>1979</v>
      </c>
      <c r="BH588" s="33" t="s">
        <v>1980</v>
      </c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FL588" s="36" t="s">
        <v>1390</v>
      </c>
      <c r="FM588" s="36" t="s">
        <v>382</v>
      </c>
    </row>
    <row r="589" ht="23.25" customHeight="1">
      <c r="A589" s="29">
        <v>44660.885384803245</v>
      </c>
      <c r="B589" s="30" t="s">
        <v>6</v>
      </c>
      <c r="C589" s="30" t="s">
        <v>13</v>
      </c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0" t="s">
        <v>1825</v>
      </c>
      <c r="AY589" s="30" t="s">
        <v>1826</v>
      </c>
      <c r="AZ589" s="30" t="s">
        <v>620</v>
      </c>
      <c r="BA589" s="30" t="s">
        <v>1981</v>
      </c>
      <c r="BB589" s="30">
        <v>4.0</v>
      </c>
      <c r="BC589" s="32">
        <v>44381.0</v>
      </c>
      <c r="BD589" s="32">
        <v>44320.0</v>
      </c>
      <c r="BE589" s="32">
        <v>44322.0</v>
      </c>
      <c r="BF589" s="30">
        <v>93.0</v>
      </c>
      <c r="BG589" s="30" t="s">
        <v>1879</v>
      </c>
      <c r="BH589" s="33" t="s">
        <v>1982</v>
      </c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FL589" s="36" t="s">
        <v>1829</v>
      </c>
      <c r="FM589" s="36" t="s">
        <v>260</v>
      </c>
    </row>
    <row r="590" ht="23.25" customHeight="1">
      <c r="A590" s="29">
        <v>44660.886830821764</v>
      </c>
      <c r="B590" s="30" t="s">
        <v>6</v>
      </c>
      <c r="C590" s="30" t="s">
        <v>13</v>
      </c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0" t="s">
        <v>1825</v>
      </c>
      <c r="AY590" s="30" t="s">
        <v>1826</v>
      </c>
      <c r="AZ590" s="30" t="s">
        <v>620</v>
      </c>
      <c r="BA590" s="30" t="s">
        <v>571</v>
      </c>
      <c r="BB590" s="30">
        <v>12.0</v>
      </c>
      <c r="BC590" s="32">
        <v>44394.0</v>
      </c>
      <c r="BD590" s="32">
        <v>44405.0</v>
      </c>
      <c r="BE590" s="32">
        <v>44406.0</v>
      </c>
      <c r="BF590" s="30">
        <v>89.0</v>
      </c>
      <c r="BG590" s="30" t="s">
        <v>1879</v>
      </c>
      <c r="BH590" s="33" t="s">
        <v>1983</v>
      </c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FL590" s="36" t="s">
        <v>1829</v>
      </c>
      <c r="FM590" s="36" t="s">
        <v>260</v>
      </c>
    </row>
    <row r="591" ht="23.25" customHeight="1">
      <c r="A591" s="29">
        <v>44660.888140428244</v>
      </c>
      <c r="B591" s="30" t="s">
        <v>6</v>
      </c>
      <c r="C591" s="30" t="s">
        <v>13</v>
      </c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0" t="s">
        <v>1825</v>
      </c>
      <c r="AY591" s="30" t="s">
        <v>1826</v>
      </c>
      <c r="AZ591" s="30" t="s">
        <v>620</v>
      </c>
      <c r="BA591" s="30" t="s">
        <v>351</v>
      </c>
      <c r="BB591" s="30">
        <v>4.0</v>
      </c>
      <c r="BC591" s="32">
        <v>44407.0</v>
      </c>
      <c r="BD591" s="32">
        <v>44384.0</v>
      </c>
      <c r="BE591" s="32">
        <v>44385.0</v>
      </c>
      <c r="BF591" s="30">
        <v>90.0</v>
      </c>
      <c r="BG591" s="30" t="s">
        <v>1879</v>
      </c>
      <c r="BH591" s="33" t="s">
        <v>1984</v>
      </c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FL591" s="36" t="s">
        <v>1829</v>
      </c>
      <c r="FM591" s="36" t="s">
        <v>260</v>
      </c>
    </row>
    <row r="592" ht="23.25" customHeight="1">
      <c r="A592" s="29">
        <v>44660.889437199075</v>
      </c>
      <c r="B592" s="30" t="s">
        <v>6</v>
      </c>
      <c r="C592" s="30" t="s">
        <v>13</v>
      </c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0" t="s">
        <v>1825</v>
      </c>
      <c r="AY592" s="30" t="s">
        <v>1826</v>
      </c>
      <c r="AZ592" s="30" t="s">
        <v>620</v>
      </c>
      <c r="BA592" s="30" t="s">
        <v>1985</v>
      </c>
      <c r="BB592" s="30">
        <v>6.0</v>
      </c>
      <c r="BC592" s="32">
        <v>44410.0</v>
      </c>
      <c r="BD592" s="32">
        <v>44422.0</v>
      </c>
      <c r="BE592" s="32">
        <v>44423.0</v>
      </c>
      <c r="BF592" s="30">
        <v>89.0</v>
      </c>
      <c r="BG592" s="30" t="s">
        <v>1879</v>
      </c>
      <c r="BH592" s="33" t="s">
        <v>1986</v>
      </c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FL592" s="36" t="s">
        <v>1829</v>
      </c>
      <c r="FM592" s="36" t="s">
        <v>260</v>
      </c>
    </row>
    <row r="593" ht="23.25" customHeight="1">
      <c r="A593" s="29">
        <v>44660.890260416665</v>
      </c>
      <c r="B593" s="30" t="s">
        <v>6</v>
      </c>
      <c r="C593" s="30" t="s">
        <v>12</v>
      </c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0" t="s">
        <v>1987</v>
      </c>
      <c r="AO593" s="30" t="s">
        <v>1988</v>
      </c>
      <c r="AP593" s="30" t="s">
        <v>309</v>
      </c>
      <c r="AQ593" s="30" t="s">
        <v>348</v>
      </c>
      <c r="AR593" s="32">
        <v>44470.0</v>
      </c>
      <c r="AS593" s="32">
        <v>44560.0</v>
      </c>
      <c r="AT593" s="30" t="s">
        <v>257</v>
      </c>
      <c r="AU593" s="30" t="s">
        <v>257</v>
      </c>
      <c r="AV593" s="30">
        <v>0.0</v>
      </c>
      <c r="AW593" s="33" t="s">
        <v>1989</v>
      </c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FL593" s="36" t="s">
        <v>1990</v>
      </c>
      <c r="FM593" s="36" t="s">
        <v>278</v>
      </c>
    </row>
    <row r="594" ht="23.25" customHeight="1">
      <c r="A594" s="29">
        <v>44660.89104108796</v>
      </c>
      <c r="B594" s="30" t="s">
        <v>6</v>
      </c>
      <c r="C594" s="30" t="s">
        <v>13</v>
      </c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0" t="s">
        <v>1825</v>
      </c>
      <c r="AY594" s="30" t="s">
        <v>1826</v>
      </c>
      <c r="AZ594" s="30" t="s">
        <v>620</v>
      </c>
      <c r="BA594" s="30" t="s">
        <v>667</v>
      </c>
      <c r="BB594" s="30">
        <v>5.0</v>
      </c>
      <c r="BC594" s="32">
        <v>44453.0</v>
      </c>
      <c r="BD594" s="32">
        <v>44455.0</v>
      </c>
      <c r="BE594" s="32">
        <v>44458.0</v>
      </c>
      <c r="BF594" s="30">
        <v>96.0</v>
      </c>
      <c r="BG594" s="30" t="s">
        <v>1879</v>
      </c>
      <c r="BH594" s="33" t="s">
        <v>1991</v>
      </c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FL594" s="36" t="s">
        <v>1829</v>
      </c>
      <c r="FM594" s="36" t="s">
        <v>260</v>
      </c>
    </row>
    <row r="595" ht="23.25" customHeight="1">
      <c r="A595" s="29">
        <v>44660.891583159726</v>
      </c>
      <c r="B595" s="30" t="s">
        <v>6</v>
      </c>
      <c r="C595" s="30" t="s">
        <v>13</v>
      </c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0" t="s">
        <v>1962</v>
      </c>
      <c r="AY595" s="30" t="s">
        <v>1963</v>
      </c>
      <c r="AZ595" s="30" t="s">
        <v>356</v>
      </c>
      <c r="BA595" s="30" t="s">
        <v>900</v>
      </c>
      <c r="BB595" s="30" t="s">
        <v>310</v>
      </c>
      <c r="BC595" s="32">
        <v>44236.0</v>
      </c>
      <c r="BD595" s="32">
        <v>44311.0</v>
      </c>
      <c r="BE595" s="32">
        <v>44309.0</v>
      </c>
      <c r="BF595" s="30">
        <v>98.0</v>
      </c>
      <c r="BG595" s="30" t="s">
        <v>924</v>
      </c>
      <c r="BH595" s="33" t="s">
        <v>1992</v>
      </c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FL595" s="36" t="s">
        <v>1338</v>
      </c>
      <c r="FM595" s="36" t="s">
        <v>260</v>
      </c>
    </row>
    <row r="596" ht="23.25" customHeight="1">
      <c r="A596" s="29">
        <v>44660.89201978009</v>
      </c>
      <c r="B596" s="30" t="s">
        <v>6</v>
      </c>
      <c r="C596" s="30" t="s">
        <v>27</v>
      </c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FL596" s="36" t="s">
        <v>1355</v>
      </c>
      <c r="FM596" s="36" t="s">
        <v>283</v>
      </c>
      <c r="GF596" s="36" t="s">
        <v>1349</v>
      </c>
      <c r="GG596" s="36" t="s">
        <v>1350</v>
      </c>
      <c r="GH596" s="36" t="s">
        <v>269</v>
      </c>
      <c r="GI596" s="37">
        <v>44748.0</v>
      </c>
      <c r="GJ596" s="38" t="s">
        <v>1993</v>
      </c>
      <c r="GK596" s="36" t="s">
        <v>1689</v>
      </c>
      <c r="GL596" s="36">
        <v>3.36</v>
      </c>
    </row>
    <row r="597" ht="23.25" customHeight="1">
      <c r="A597" s="29">
        <v>44660.89234</v>
      </c>
      <c r="B597" s="30" t="s">
        <v>6</v>
      </c>
      <c r="C597" s="30" t="s">
        <v>13</v>
      </c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0" t="s">
        <v>1825</v>
      </c>
      <c r="AY597" s="30" t="s">
        <v>1826</v>
      </c>
      <c r="AZ597" s="30" t="s">
        <v>620</v>
      </c>
      <c r="BA597" s="30" t="s">
        <v>571</v>
      </c>
      <c r="BB597" s="30">
        <v>5.0</v>
      </c>
      <c r="BC597" s="32">
        <v>44363.0</v>
      </c>
      <c r="BD597" s="32">
        <v>44366.0</v>
      </c>
      <c r="BE597" s="32">
        <v>44370.0</v>
      </c>
      <c r="BF597" s="30">
        <v>97.0</v>
      </c>
      <c r="BG597" s="30" t="s">
        <v>1879</v>
      </c>
      <c r="BH597" s="33" t="s">
        <v>1994</v>
      </c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FL597" s="36" t="s">
        <v>1829</v>
      </c>
      <c r="FM597" s="36" t="s">
        <v>260</v>
      </c>
    </row>
    <row r="598" ht="23.25" customHeight="1">
      <c r="A598" s="29">
        <v>44660.89380498843</v>
      </c>
      <c r="B598" s="30" t="s">
        <v>6</v>
      </c>
      <c r="C598" s="30" t="s">
        <v>27</v>
      </c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FL598" s="36" t="s">
        <v>1355</v>
      </c>
      <c r="FM598" s="36" t="s">
        <v>283</v>
      </c>
      <c r="GF598" s="36" t="s">
        <v>1349</v>
      </c>
      <c r="GG598" s="36" t="s">
        <v>1350</v>
      </c>
      <c r="GH598" s="36" t="s">
        <v>254</v>
      </c>
      <c r="GI598" s="37">
        <v>44762.0</v>
      </c>
      <c r="GJ598" s="38" t="s">
        <v>1995</v>
      </c>
      <c r="GK598" s="36" t="s">
        <v>1689</v>
      </c>
      <c r="GL598" s="36">
        <v>4.0</v>
      </c>
    </row>
    <row r="599" ht="23.25" customHeight="1">
      <c r="A599" s="29">
        <v>44660.89393417824</v>
      </c>
      <c r="B599" s="30" t="s">
        <v>6</v>
      </c>
      <c r="C599" s="30" t="s">
        <v>13</v>
      </c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0" t="s">
        <v>1987</v>
      </c>
      <c r="AY599" s="30" t="s">
        <v>1988</v>
      </c>
      <c r="AZ599" s="30" t="s">
        <v>344</v>
      </c>
      <c r="BA599" s="30" t="s">
        <v>345</v>
      </c>
      <c r="BB599" s="30" t="s">
        <v>310</v>
      </c>
      <c r="BC599" s="32">
        <v>43924.0</v>
      </c>
      <c r="BD599" s="32">
        <v>44714.0</v>
      </c>
      <c r="BE599" s="32">
        <v>43986.0</v>
      </c>
      <c r="BF599" s="30">
        <v>96.0</v>
      </c>
      <c r="BG599" s="30" t="s">
        <v>365</v>
      </c>
      <c r="BH599" s="33" t="s">
        <v>1996</v>
      </c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FL599" s="36" t="s">
        <v>1990</v>
      </c>
      <c r="FM599" s="36" t="s">
        <v>323</v>
      </c>
    </row>
    <row r="600" ht="23.25" customHeight="1">
      <c r="A600" s="29">
        <v>44660.89464396991</v>
      </c>
      <c r="B600" s="30" t="s">
        <v>6</v>
      </c>
      <c r="C600" s="30" t="s">
        <v>12</v>
      </c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0" t="s">
        <v>1825</v>
      </c>
      <c r="AO600" s="30" t="s">
        <v>1826</v>
      </c>
      <c r="AP600" s="30" t="s">
        <v>1997</v>
      </c>
      <c r="AQ600" s="30" t="s">
        <v>1998</v>
      </c>
      <c r="AR600" s="32">
        <v>44423.0</v>
      </c>
      <c r="AS600" s="32">
        <v>44536.0</v>
      </c>
      <c r="AT600" s="30" t="s">
        <v>257</v>
      </c>
      <c r="AU600" s="30" t="s">
        <v>257</v>
      </c>
      <c r="AV600" s="30">
        <v>0.0</v>
      </c>
      <c r="AW600" s="33" t="s">
        <v>1999</v>
      </c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FL600" s="36" t="s">
        <v>1829</v>
      </c>
      <c r="FM600" s="36" t="s">
        <v>260</v>
      </c>
    </row>
    <row r="601" ht="23.25" customHeight="1">
      <c r="A601" s="29">
        <v>44660.89661347222</v>
      </c>
      <c r="B601" s="30" t="s">
        <v>6</v>
      </c>
      <c r="C601" s="30" t="s">
        <v>13</v>
      </c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0" t="s">
        <v>1383</v>
      </c>
      <c r="AY601" s="30" t="s">
        <v>1384</v>
      </c>
      <c r="AZ601" s="30" t="s">
        <v>351</v>
      </c>
      <c r="BA601" s="30" t="s">
        <v>409</v>
      </c>
      <c r="BB601" s="30" t="s">
        <v>310</v>
      </c>
      <c r="BC601" s="32">
        <v>43587.0</v>
      </c>
      <c r="BD601" s="32">
        <v>43664.0</v>
      </c>
      <c r="BE601" s="32">
        <v>43676.0</v>
      </c>
      <c r="BF601" s="30">
        <v>89.0</v>
      </c>
      <c r="BG601" s="30" t="s">
        <v>1231</v>
      </c>
      <c r="BH601" s="33" t="s">
        <v>2000</v>
      </c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FL601" s="36" t="s">
        <v>1390</v>
      </c>
      <c r="FM601" s="36" t="s">
        <v>382</v>
      </c>
    </row>
    <row r="602" ht="23.25" customHeight="1">
      <c r="A602" s="29">
        <v>44660.901740347224</v>
      </c>
      <c r="B602" s="30" t="s">
        <v>6</v>
      </c>
      <c r="C602" s="30" t="s">
        <v>12</v>
      </c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0" t="s">
        <v>1349</v>
      </c>
      <c r="AO602" s="30" t="s">
        <v>1350</v>
      </c>
      <c r="AP602" s="30" t="s">
        <v>269</v>
      </c>
      <c r="AQ602" s="30" t="s">
        <v>310</v>
      </c>
      <c r="AR602" s="32">
        <v>44615.0</v>
      </c>
      <c r="AS602" s="32">
        <v>44680.0</v>
      </c>
      <c r="AT602" s="30" t="s">
        <v>257</v>
      </c>
      <c r="AU602" s="30" t="s">
        <v>257</v>
      </c>
      <c r="AV602" s="30">
        <v>0.0</v>
      </c>
      <c r="AW602" s="33" t="s">
        <v>2001</v>
      </c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FL602" s="36" t="s">
        <v>1355</v>
      </c>
      <c r="FM602" s="36" t="s">
        <v>260</v>
      </c>
    </row>
    <row r="603" ht="23.25" customHeight="1">
      <c r="A603" s="29">
        <v>44660.902330833334</v>
      </c>
      <c r="B603" s="30" t="s">
        <v>6</v>
      </c>
      <c r="C603" s="30" t="s">
        <v>14</v>
      </c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0" t="s">
        <v>1987</v>
      </c>
      <c r="BJ603" s="30" t="s">
        <v>1988</v>
      </c>
      <c r="BK603" s="30" t="s">
        <v>313</v>
      </c>
      <c r="BL603" s="30" t="s">
        <v>1288</v>
      </c>
      <c r="BM603" s="30" t="s">
        <v>437</v>
      </c>
      <c r="BN603" s="30">
        <v>1.0</v>
      </c>
      <c r="BO603" s="32">
        <v>44572.0</v>
      </c>
      <c r="BP603" s="32">
        <v>44572.0</v>
      </c>
      <c r="BQ603" s="30" t="s">
        <v>616</v>
      </c>
      <c r="BR603" s="30" t="s">
        <v>365</v>
      </c>
      <c r="BS603" s="30" t="s">
        <v>176</v>
      </c>
      <c r="BT603" s="30" t="s">
        <v>156</v>
      </c>
      <c r="BU603" s="31"/>
      <c r="BV603" s="33" t="s">
        <v>2002</v>
      </c>
      <c r="BW603" s="31"/>
      <c r="BX603" s="31"/>
      <c r="FL603" s="36" t="s">
        <v>1990</v>
      </c>
      <c r="FM603" s="36" t="s">
        <v>278</v>
      </c>
    </row>
    <row r="604" ht="23.25" customHeight="1">
      <c r="A604" s="29">
        <v>44660.904400949075</v>
      </c>
      <c r="B604" s="30" t="s">
        <v>6</v>
      </c>
      <c r="C604" s="30" t="s">
        <v>13</v>
      </c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0" t="s">
        <v>1987</v>
      </c>
      <c r="AY604" s="30" t="s">
        <v>1988</v>
      </c>
      <c r="AZ604" s="30" t="s">
        <v>2003</v>
      </c>
      <c r="BA604" s="30" t="s">
        <v>345</v>
      </c>
      <c r="BB604" s="30" t="s">
        <v>310</v>
      </c>
      <c r="BC604" s="32">
        <v>44531.0</v>
      </c>
      <c r="BD604" s="32">
        <v>44582.0</v>
      </c>
      <c r="BE604" s="32">
        <v>44585.0</v>
      </c>
      <c r="BF604" s="30">
        <v>96.0</v>
      </c>
      <c r="BG604" s="30" t="s">
        <v>365</v>
      </c>
      <c r="BH604" s="33" t="s">
        <v>2004</v>
      </c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FL604" s="36" t="s">
        <v>1990</v>
      </c>
      <c r="FM604" s="36" t="s">
        <v>323</v>
      </c>
    </row>
    <row r="605" ht="23.25" customHeight="1">
      <c r="A605" s="29">
        <v>44660.90460646991</v>
      </c>
      <c r="B605" s="30" t="s">
        <v>6</v>
      </c>
      <c r="C605" s="30" t="s">
        <v>13</v>
      </c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0" t="s">
        <v>1962</v>
      </c>
      <c r="AY605" s="30" t="s">
        <v>2005</v>
      </c>
      <c r="AZ605" s="30" t="s">
        <v>533</v>
      </c>
      <c r="BA605" s="30" t="s">
        <v>483</v>
      </c>
      <c r="BB605" s="30" t="s">
        <v>310</v>
      </c>
      <c r="BC605" s="32">
        <v>44174.0</v>
      </c>
      <c r="BD605" s="32">
        <v>44234.0</v>
      </c>
      <c r="BE605" s="32">
        <v>44233.0</v>
      </c>
      <c r="BF605" s="30">
        <v>100.0</v>
      </c>
      <c r="BG605" s="30" t="s">
        <v>2006</v>
      </c>
      <c r="BH605" s="33" t="s">
        <v>2007</v>
      </c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FL605" s="36" t="s">
        <v>1338</v>
      </c>
      <c r="FM605" s="36" t="s">
        <v>260</v>
      </c>
    </row>
    <row r="606" ht="23.25" customHeight="1">
      <c r="A606" s="29">
        <v>44660.907049016205</v>
      </c>
      <c r="B606" s="30" t="s">
        <v>6</v>
      </c>
      <c r="C606" s="30" t="s">
        <v>13</v>
      </c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0" t="s">
        <v>1962</v>
      </c>
      <c r="AY606" s="30" t="s">
        <v>1963</v>
      </c>
      <c r="AZ606" s="30" t="s">
        <v>2008</v>
      </c>
      <c r="BA606" s="30" t="s">
        <v>1386</v>
      </c>
      <c r="BB606" s="30" t="s">
        <v>495</v>
      </c>
      <c r="BC606" s="32">
        <v>43960.0</v>
      </c>
      <c r="BD606" s="32">
        <v>43995.0</v>
      </c>
      <c r="BE606" s="32">
        <v>43987.0</v>
      </c>
      <c r="BF606" s="30">
        <v>100.0</v>
      </c>
      <c r="BG606" s="30" t="s">
        <v>2009</v>
      </c>
      <c r="BH606" s="33" t="s">
        <v>2010</v>
      </c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FL606" s="36" t="s">
        <v>1338</v>
      </c>
      <c r="FM606" s="36" t="s">
        <v>260</v>
      </c>
    </row>
    <row r="607" ht="23.25" customHeight="1">
      <c r="A607" s="29">
        <v>44660.91015851852</v>
      </c>
      <c r="B607" s="30" t="s">
        <v>6</v>
      </c>
      <c r="C607" s="30" t="s">
        <v>13</v>
      </c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0" t="s">
        <v>1962</v>
      </c>
      <c r="AY607" s="30" t="s">
        <v>1963</v>
      </c>
      <c r="AZ607" s="30" t="s">
        <v>2011</v>
      </c>
      <c r="BA607" s="30" t="s">
        <v>1386</v>
      </c>
      <c r="BB607" s="30" t="s">
        <v>495</v>
      </c>
      <c r="BC607" s="32">
        <v>43956.0</v>
      </c>
      <c r="BD607" s="32">
        <v>43997.0</v>
      </c>
      <c r="BE607" s="32">
        <v>43991.0</v>
      </c>
      <c r="BF607" s="30">
        <v>100.0</v>
      </c>
      <c r="BG607" s="30" t="s">
        <v>2012</v>
      </c>
      <c r="BH607" s="33" t="s">
        <v>2013</v>
      </c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FL607" s="36" t="s">
        <v>1338</v>
      </c>
      <c r="FM607" s="36" t="s">
        <v>260</v>
      </c>
    </row>
    <row r="608" ht="23.25" customHeight="1">
      <c r="A608" s="29">
        <v>44660.910261516205</v>
      </c>
      <c r="B608" s="30" t="s">
        <v>6</v>
      </c>
      <c r="C608" s="30" t="s">
        <v>14</v>
      </c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0" t="s">
        <v>1383</v>
      </c>
      <c r="BJ608" s="30" t="s">
        <v>1384</v>
      </c>
      <c r="BK608" s="30" t="s">
        <v>159</v>
      </c>
      <c r="BL608" s="30" t="s">
        <v>1288</v>
      </c>
      <c r="BM608" s="30" t="s">
        <v>2014</v>
      </c>
      <c r="BN608" s="30">
        <v>3.0</v>
      </c>
      <c r="BO608" s="32">
        <v>44037.0</v>
      </c>
      <c r="BP608" s="32">
        <v>44039.0</v>
      </c>
      <c r="BQ608" s="30" t="s">
        <v>1045</v>
      </c>
      <c r="BR608" s="30" t="s">
        <v>1886</v>
      </c>
      <c r="BS608" s="30" t="s">
        <v>176</v>
      </c>
      <c r="BT608" s="30" t="s">
        <v>156</v>
      </c>
      <c r="BU608" s="31"/>
      <c r="BV608" s="33" t="s">
        <v>2015</v>
      </c>
      <c r="BW608" s="31"/>
      <c r="BX608" s="31"/>
      <c r="FL608" s="36" t="s">
        <v>1390</v>
      </c>
      <c r="FM608" s="36" t="s">
        <v>323</v>
      </c>
    </row>
    <row r="609" ht="23.25" customHeight="1">
      <c r="A609" s="29">
        <v>44660.912827314816</v>
      </c>
      <c r="B609" s="30" t="s">
        <v>6</v>
      </c>
      <c r="C609" s="30" t="s">
        <v>13</v>
      </c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0" t="s">
        <v>1349</v>
      </c>
      <c r="AY609" s="30" t="s">
        <v>1350</v>
      </c>
      <c r="AZ609" s="30" t="s">
        <v>351</v>
      </c>
      <c r="BA609" s="30" t="s">
        <v>337</v>
      </c>
      <c r="BB609" s="30" t="s">
        <v>378</v>
      </c>
      <c r="BC609" s="32">
        <v>43556.0</v>
      </c>
      <c r="BD609" s="32">
        <v>43676.0</v>
      </c>
      <c r="BE609" s="32">
        <v>43676.0</v>
      </c>
      <c r="BF609" s="30">
        <v>90.0</v>
      </c>
      <c r="BG609" s="30" t="s">
        <v>2016</v>
      </c>
      <c r="BH609" s="33" t="s">
        <v>2017</v>
      </c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FL609" s="36" t="s">
        <v>1355</v>
      </c>
      <c r="FM609" s="36" t="s">
        <v>382</v>
      </c>
    </row>
    <row r="610" ht="23.25" customHeight="1">
      <c r="A610" s="29">
        <v>44660.91321010416</v>
      </c>
      <c r="B610" s="30" t="s">
        <v>6</v>
      </c>
      <c r="C610" s="30" t="s">
        <v>27</v>
      </c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FL610" s="36" t="s">
        <v>1390</v>
      </c>
      <c r="FM610" s="36" t="s">
        <v>260</v>
      </c>
      <c r="GF610" s="36" t="s">
        <v>1383</v>
      </c>
      <c r="GG610" s="36" t="s">
        <v>1384</v>
      </c>
      <c r="GH610" s="36" t="s">
        <v>637</v>
      </c>
      <c r="GI610" s="37">
        <v>44656.0</v>
      </c>
      <c r="GJ610" s="38" t="s">
        <v>2018</v>
      </c>
      <c r="GK610" s="36" t="s">
        <v>1689</v>
      </c>
      <c r="GL610" s="36">
        <v>3.5</v>
      </c>
    </row>
    <row r="611" ht="23.25" customHeight="1">
      <c r="A611" s="29">
        <v>44660.913473622684</v>
      </c>
      <c r="B611" s="30" t="s">
        <v>6</v>
      </c>
      <c r="C611" s="30" t="s">
        <v>13</v>
      </c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0" t="s">
        <v>1962</v>
      </c>
      <c r="AY611" s="30" t="s">
        <v>1963</v>
      </c>
      <c r="AZ611" s="30" t="s">
        <v>2019</v>
      </c>
      <c r="BA611" s="30" t="s">
        <v>1386</v>
      </c>
      <c r="BB611" s="30" t="s">
        <v>495</v>
      </c>
      <c r="BC611" s="32">
        <v>43956.0</v>
      </c>
      <c r="BD611" s="32">
        <v>44012.0</v>
      </c>
      <c r="BE611" s="32">
        <v>44005.0</v>
      </c>
      <c r="BF611" s="30">
        <v>100.0</v>
      </c>
      <c r="BG611" s="30" t="s">
        <v>1375</v>
      </c>
      <c r="BH611" s="33" t="s">
        <v>2020</v>
      </c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FL611" s="36" t="s">
        <v>1338</v>
      </c>
      <c r="FM611" s="36" t="s">
        <v>260</v>
      </c>
    </row>
    <row r="612" ht="23.25" customHeight="1">
      <c r="A612" s="29">
        <v>44660.9166044213</v>
      </c>
      <c r="B612" s="30" t="s">
        <v>6</v>
      </c>
      <c r="C612" s="30" t="s">
        <v>13</v>
      </c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0" t="s">
        <v>1962</v>
      </c>
      <c r="AY612" s="30" t="s">
        <v>1963</v>
      </c>
      <c r="AZ612" s="30" t="s">
        <v>1753</v>
      </c>
      <c r="BA612" s="30" t="s">
        <v>1386</v>
      </c>
      <c r="BB612" s="30" t="s">
        <v>495</v>
      </c>
      <c r="BC612" s="32">
        <v>43960.0</v>
      </c>
      <c r="BD612" s="32">
        <v>43997.0</v>
      </c>
      <c r="BE612" s="32">
        <v>43991.0</v>
      </c>
      <c r="BF612" s="30">
        <v>100.0</v>
      </c>
      <c r="BG612" s="30" t="s">
        <v>1375</v>
      </c>
      <c r="BH612" s="33" t="s">
        <v>2021</v>
      </c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FL612" s="36" t="s">
        <v>1338</v>
      </c>
      <c r="FM612" s="36" t="s">
        <v>260</v>
      </c>
    </row>
    <row r="613" ht="23.25" customHeight="1">
      <c r="A613" s="29">
        <v>44660.91698715278</v>
      </c>
      <c r="B613" s="30" t="s">
        <v>6</v>
      </c>
      <c r="C613" s="30" t="s">
        <v>13</v>
      </c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0" t="s">
        <v>1349</v>
      </c>
      <c r="AY613" s="30" t="s">
        <v>1350</v>
      </c>
      <c r="AZ613" s="30" t="s">
        <v>981</v>
      </c>
      <c r="BA613" s="30" t="s">
        <v>337</v>
      </c>
      <c r="BB613" s="30" t="s">
        <v>450</v>
      </c>
      <c r="BC613" s="32">
        <v>43587.0</v>
      </c>
      <c r="BD613" s="32">
        <v>43699.0</v>
      </c>
      <c r="BE613" s="32">
        <v>43699.0</v>
      </c>
      <c r="BF613" s="30">
        <v>90.0</v>
      </c>
      <c r="BG613" s="30" t="s">
        <v>2016</v>
      </c>
      <c r="BH613" s="33" t="s">
        <v>2022</v>
      </c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FL613" s="36" t="s">
        <v>1355</v>
      </c>
      <c r="FM613" s="36" t="s">
        <v>382</v>
      </c>
    </row>
    <row r="614" ht="23.25" customHeight="1">
      <c r="A614" s="29">
        <v>44660.918197928244</v>
      </c>
      <c r="B614" s="30" t="s">
        <v>6</v>
      </c>
      <c r="C614" s="30" t="s">
        <v>13</v>
      </c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0" t="s">
        <v>1383</v>
      </c>
      <c r="AY614" s="30" t="s">
        <v>1384</v>
      </c>
      <c r="AZ614" s="30" t="s">
        <v>1976</v>
      </c>
      <c r="BA614" s="30" t="s">
        <v>1977</v>
      </c>
      <c r="BB614" s="30" t="s">
        <v>1311</v>
      </c>
      <c r="BC614" s="32">
        <v>43968.0</v>
      </c>
      <c r="BD614" s="32">
        <v>43975.0</v>
      </c>
      <c r="BE614" s="32">
        <v>43975.0</v>
      </c>
      <c r="BF614" s="30">
        <v>100.0</v>
      </c>
      <c r="BG614" s="30" t="s">
        <v>1388</v>
      </c>
      <c r="BH614" s="33" t="s">
        <v>2023</v>
      </c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FL614" s="36" t="s">
        <v>1390</v>
      </c>
      <c r="FM614" s="36" t="s">
        <v>323</v>
      </c>
    </row>
    <row r="615" ht="23.25" customHeight="1">
      <c r="A615" s="29">
        <v>44660.91874498843</v>
      </c>
      <c r="B615" s="30" t="s">
        <v>6</v>
      </c>
      <c r="C615" s="30" t="s">
        <v>13</v>
      </c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0" t="s">
        <v>1962</v>
      </c>
      <c r="AY615" s="30" t="s">
        <v>1963</v>
      </c>
      <c r="AZ615" s="30" t="s">
        <v>2024</v>
      </c>
      <c r="BA615" s="30" t="s">
        <v>1386</v>
      </c>
      <c r="BB615" s="30" t="s">
        <v>495</v>
      </c>
      <c r="BC615" s="32">
        <v>43899.0</v>
      </c>
      <c r="BD615" s="32">
        <v>43928.0</v>
      </c>
      <c r="BE615" s="32">
        <v>43927.0</v>
      </c>
      <c r="BF615" s="30">
        <v>100.0</v>
      </c>
      <c r="BG615" s="30" t="s">
        <v>2025</v>
      </c>
      <c r="BH615" s="33" t="s">
        <v>2026</v>
      </c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FL615" s="36" t="s">
        <v>1338</v>
      </c>
      <c r="FM615" s="36" t="s">
        <v>260</v>
      </c>
    </row>
    <row r="616" ht="23.25" customHeight="1">
      <c r="A616" s="29">
        <v>44660.92155825232</v>
      </c>
      <c r="B616" s="30" t="s">
        <v>6</v>
      </c>
      <c r="C616" s="30" t="s">
        <v>14</v>
      </c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0" t="s">
        <v>1349</v>
      </c>
      <c r="BJ616" s="30" t="s">
        <v>1350</v>
      </c>
      <c r="BK616" s="30" t="s">
        <v>159</v>
      </c>
      <c r="BL616" s="30" t="s">
        <v>1288</v>
      </c>
      <c r="BM616" s="30" t="s">
        <v>1930</v>
      </c>
      <c r="BN616" s="30">
        <v>3.0</v>
      </c>
      <c r="BO616" s="32">
        <v>44037.0</v>
      </c>
      <c r="BP616" s="32">
        <v>44039.0</v>
      </c>
      <c r="BQ616" s="30" t="s">
        <v>1045</v>
      </c>
      <c r="BR616" s="30" t="s">
        <v>1886</v>
      </c>
      <c r="BS616" s="30" t="s">
        <v>176</v>
      </c>
      <c r="BT616" s="30" t="s">
        <v>156</v>
      </c>
      <c r="BU616" s="31"/>
      <c r="BV616" s="33" t="s">
        <v>2027</v>
      </c>
      <c r="BW616" s="31"/>
      <c r="BX616" s="31"/>
      <c r="FL616" s="36" t="s">
        <v>1355</v>
      </c>
      <c r="FM616" s="36" t="s">
        <v>323</v>
      </c>
    </row>
    <row r="617" ht="23.25" customHeight="1">
      <c r="A617" s="29">
        <v>44660.921868634265</v>
      </c>
      <c r="B617" s="30" t="s">
        <v>6</v>
      </c>
      <c r="C617" s="30" t="s">
        <v>13</v>
      </c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0" t="s">
        <v>1962</v>
      </c>
      <c r="AY617" s="30" t="s">
        <v>1963</v>
      </c>
      <c r="AZ617" s="30" t="s">
        <v>2028</v>
      </c>
      <c r="BA617" s="30" t="s">
        <v>1386</v>
      </c>
      <c r="BB617" s="30" t="s">
        <v>495</v>
      </c>
      <c r="BC617" s="32">
        <v>43989.0</v>
      </c>
      <c r="BD617" s="32">
        <v>44025.0</v>
      </c>
      <c r="BE617" s="32">
        <v>44021.0</v>
      </c>
      <c r="BF617" s="30">
        <v>100.0</v>
      </c>
      <c r="BG617" s="30" t="s">
        <v>2029</v>
      </c>
      <c r="BH617" s="33" t="s">
        <v>2030</v>
      </c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FL617" s="36" t="s">
        <v>1338</v>
      </c>
      <c r="FM617" s="36" t="s">
        <v>260</v>
      </c>
    </row>
    <row r="618" ht="23.25" customHeight="1">
      <c r="A618" s="29">
        <v>44660.92405664352</v>
      </c>
      <c r="B618" s="30" t="s">
        <v>6</v>
      </c>
      <c r="C618" s="30" t="s">
        <v>13</v>
      </c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0" t="s">
        <v>1962</v>
      </c>
      <c r="AY618" s="30" t="s">
        <v>1963</v>
      </c>
      <c r="AZ618" s="30" t="s">
        <v>2031</v>
      </c>
      <c r="BA618" s="30" t="s">
        <v>1386</v>
      </c>
      <c r="BB618" s="30" t="s">
        <v>495</v>
      </c>
      <c r="BC618" s="32">
        <v>43988.0</v>
      </c>
      <c r="BD618" s="32">
        <v>44018.0</v>
      </c>
      <c r="BE618" s="32">
        <v>44016.0</v>
      </c>
      <c r="BF618" s="30">
        <v>100.0</v>
      </c>
      <c r="BG618" s="30" t="s">
        <v>2032</v>
      </c>
      <c r="BH618" s="33" t="s">
        <v>2033</v>
      </c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FL618" s="36" t="s">
        <v>1338</v>
      </c>
      <c r="FM618" s="36" t="s">
        <v>260</v>
      </c>
    </row>
    <row r="619" ht="23.25" customHeight="1">
      <c r="A619" s="29">
        <v>44660.9269961574</v>
      </c>
      <c r="B619" s="30" t="s">
        <v>6</v>
      </c>
      <c r="C619" s="30" t="s">
        <v>13</v>
      </c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0" t="s">
        <v>1962</v>
      </c>
      <c r="AY619" s="30" t="s">
        <v>1963</v>
      </c>
      <c r="AZ619" s="30" t="s">
        <v>2034</v>
      </c>
      <c r="BA619" s="30" t="s">
        <v>1386</v>
      </c>
      <c r="BB619" s="30" t="s">
        <v>495</v>
      </c>
      <c r="BC619" s="32">
        <v>43960.0</v>
      </c>
      <c r="BD619" s="32">
        <v>44011.0</v>
      </c>
      <c r="BE619" s="32">
        <v>44006.0</v>
      </c>
      <c r="BF619" s="30">
        <v>100.0</v>
      </c>
      <c r="BG619" s="30" t="s">
        <v>2035</v>
      </c>
      <c r="BH619" s="33" t="s">
        <v>2036</v>
      </c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FL619" s="36" t="s">
        <v>1338</v>
      </c>
      <c r="FM619" s="36" t="s">
        <v>260</v>
      </c>
    </row>
    <row r="620" ht="23.25" customHeight="1">
      <c r="A620" s="29">
        <v>44660.92952184028</v>
      </c>
      <c r="B620" s="30" t="s">
        <v>6</v>
      </c>
      <c r="C620" s="30" t="s">
        <v>13</v>
      </c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0" t="s">
        <v>1962</v>
      </c>
      <c r="AY620" s="30" t="s">
        <v>1963</v>
      </c>
      <c r="AZ620" s="30" t="s">
        <v>1351</v>
      </c>
      <c r="BA620" s="30" t="s">
        <v>1386</v>
      </c>
      <c r="BB620" s="30" t="s">
        <v>495</v>
      </c>
      <c r="BC620" s="32">
        <v>43925.0</v>
      </c>
      <c r="BD620" s="32">
        <v>43968.0</v>
      </c>
      <c r="BE620" s="32">
        <v>43960.0</v>
      </c>
      <c r="BF620" s="30">
        <v>100.0</v>
      </c>
      <c r="BG620" s="30" t="s">
        <v>2037</v>
      </c>
      <c r="BH620" s="33" t="s">
        <v>2038</v>
      </c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FL620" s="36" t="s">
        <v>1338</v>
      </c>
      <c r="FM620" s="36" t="s">
        <v>260</v>
      </c>
    </row>
    <row r="621" ht="23.25" customHeight="1">
      <c r="A621" s="29">
        <v>44660.93745366899</v>
      </c>
      <c r="B621" s="30" t="s">
        <v>6</v>
      </c>
      <c r="C621" s="30" t="s">
        <v>13</v>
      </c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0" t="s">
        <v>1962</v>
      </c>
      <c r="AY621" s="30" t="s">
        <v>1963</v>
      </c>
      <c r="AZ621" s="30" t="s">
        <v>899</v>
      </c>
      <c r="BA621" s="30" t="s">
        <v>900</v>
      </c>
      <c r="BB621" s="30" t="s">
        <v>2039</v>
      </c>
      <c r="BC621" s="32">
        <v>44469.0</v>
      </c>
      <c r="BD621" s="32">
        <v>44469.0</v>
      </c>
      <c r="BE621" s="32">
        <v>44469.0</v>
      </c>
      <c r="BF621" s="30">
        <v>100.0</v>
      </c>
      <c r="BG621" s="30" t="s">
        <v>901</v>
      </c>
      <c r="BH621" s="33" t="s">
        <v>2040</v>
      </c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FL621" s="36" t="s">
        <v>1338</v>
      </c>
      <c r="FM621" s="36" t="s">
        <v>260</v>
      </c>
    </row>
    <row r="622" ht="23.25" customHeight="1">
      <c r="A622" s="29">
        <v>44660.940019421294</v>
      </c>
      <c r="B622" s="30" t="s">
        <v>6</v>
      </c>
      <c r="C622" s="30" t="s">
        <v>13</v>
      </c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0" t="s">
        <v>1962</v>
      </c>
      <c r="AY622" s="30" t="s">
        <v>1963</v>
      </c>
      <c r="AZ622" s="30" t="s">
        <v>603</v>
      </c>
      <c r="BA622" s="30" t="s">
        <v>1869</v>
      </c>
      <c r="BB622" s="30" t="s">
        <v>495</v>
      </c>
      <c r="BC622" s="32">
        <v>44629.0</v>
      </c>
      <c r="BD622" s="32">
        <v>44658.0</v>
      </c>
      <c r="BE622" s="32">
        <v>44657.0</v>
      </c>
      <c r="BF622" s="30">
        <v>100.0</v>
      </c>
      <c r="BG622" s="30" t="s">
        <v>924</v>
      </c>
      <c r="BH622" s="33" t="s">
        <v>2041</v>
      </c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FL622" s="36" t="s">
        <v>1338</v>
      </c>
      <c r="FM622" s="36" t="s">
        <v>260</v>
      </c>
    </row>
    <row r="623" ht="23.25" customHeight="1">
      <c r="A623" s="29">
        <v>44660.945205578704</v>
      </c>
      <c r="B623" s="30" t="s">
        <v>6</v>
      </c>
      <c r="C623" s="30" t="s">
        <v>13</v>
      </c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0" t="s">
        <v>1962</v>
      </c>
      <c r="AY623" s="30" t="s">
        <v>1963</v>
      </c>
      <c r="AZ623" s="30" t="s">
        <v>437</v>
      </c>
      <c r="BA623" s="30" t="s">
        <v>2042</v>
      </c>
      <c r="BB623" s="30" t="s">
        <v>2043</v>
      </c>
      <c r="BC623" s="32">
        <v>44572.0</v>
      </c>
      <c r="BD623" s="32">
        <v>44572.0</v>
      </c>
      <c r="BE623" s="32">
        <v>44572.0</v>
      </c>
      <c r="BF623" s="30">
        <v>100.0</v>
      </c>
      <c r="BG623" s="30" t="s">
        <v>2044</v>
      </c>
      <c r="BH623" s="33" t="s">
        <v>2045</v>
      </c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FL623" s="36" t="s">
        <v>1338</v>
      </c>
      <c r="FM623" s="36" t="s">
        <v>260</v>
      </c>
    </row>
    <row r="624" ht="23.25" customHeight="1">
      <c r="A624" s="29">
        <v>44661.302714641206</v>
      </c>
      <c r="B624" s="30" t="s">
        <v>6</v>
      </c>
      <c r="C624" s="30" t="s">
        <v>13</v>
      </c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0" t="s">
        <v>2046</v>
      </c>
      <c r="AY624" s="30" t="s">
        <v>2047</v>
      </c>
      <c r="AZ624" s="30" t="s">
        <v>2048</v>
      </c>
      <c r="BA624" s="30" t="s">
        <v>345</v>
      </c>
      <c r="BB624" s="30" t="s">
        <v>310</v>
      </c>
      <c r="BC624" s="32">
        <v>44228.0</v>
      </c>
      <c r="BD624" s="32">
        <v>44286.0</v>
      </c>
      <c r="BE624" s="32">
        <v>44651.0</v>
      </c>
      <c r="BF624" s="30">
        <v>90.0</v>
      </c>
      <c r="BG624" s="30" t="s">
        <v>1031</v>
      </c>
      <c r="BH624" s="33" t="s">
        <v>2049</v>
      </c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FL624" s="36" t="s">
        <v>2050</v>
      </c>
      <c r="FM624" s="36" t="s">
        <v>260</v>
      </c>
    </row>
    <row r="625" ht="23.25" customHeight="1">
      <c r="A625" s="29">
        <v>44661.3448574537</v>
      </c>
      <c r="B625" s="30" t="s">
        <v>6</v>
      </c>
      <c r="C625" s="30" t="s">
        <v>13</v>
      </c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0" t="s">
        <v>2046</v>
      </c>
      <c r="AY625" s="30" t="s">
        <v>2047</v>
      </c>
      <c r="AZ625" s="30" t="s">
        <v>2051</v>
      </c>
      <c r="BA625" s="30" t="s">
        <v>377</v>
      </c>
      <c r="BB625" s="30" t="s">
        <v>348</v>
      </c>
      <c r="BC625" s="32">
        <v>43565.0</v>
      </c>
      <c r="BD625" s="32">
        <v>43630.0</v>
      </c>
      <c r="BE625" s="32">
        <v>43665.0</v>
      </c>
      <c r="BF625" s="30">
        <v>90.0</v>
      </c>
      <c r="BG625" s="30" t="s">
        <v>2052</v>
      </c>
      <c r="BH625" s="33" t="s">
        <v>2053</v>
      </c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FL625" s="36" t="s">
        <v>2050</v>
      </c>
      <c r="FM625" s="36" t="s">
        <v>260</v>
      </c>
    </row>
    <row r="626" ht="23.25" customHeight="1">
      <c r="A626" s="29">
        <v>44661.38423899305</v>
      </c>
      <c r="B626" s="30" t="s">
        <v>6</v>
      </c>
      <c r="C626" s="30" t="s">
        <v>13</v>
      </c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0" t="s">
        <v>2054</v>
      </c>
      <c r="AY626" s="30" t="s">
        <v>2055</v>
      </c>
      <c r="AZ626" s="30" t="s">
        <v>2056</v>
      </c>
      <c r="BA626" s="30" t="s">
        <v>2057</v>
      </c>
      <c r="BB626" s="30" t="s">
        <v>553</v>
      </c>
      <c r="BC626" s="32">
        <v>43292.0</v>
      </c>
      <c r="BD626" s="32">
        <v>43350.0</v>
      </c>
      <c r="BE626" s="32">
        <v>43391.0</v>
      </c>
      <c r="BF626" s="39">
        <v>0.7</v>
      </c>
      <c r="BG626" s="30" t="s">
        <v>2058</v>
      </c>
      <c r="BH626" s="33" t="s">
        <v>2059</v>
      </c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FL626" s="36" t="s">
        <v>2060</v>
      </c>
      <c r="FM626" s="36" t="s">
        <v>414</v>
      </c>
    </row>
    <row r="627" ht="23.25" customHeight="1">
      <c r="A627" s="29">
        <v>44661.38851754629</v>
      </c>
      <c r="B627" s="30" t="s">
        <v>6</v>
      </c>
      <c r="C627" s="30" t="s">
        <v>13</v>
      </c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0" t="s">
        <v>2054</v>
      </c>
      <c r="AY627" s="30" t="s">
        <v>2055</v>
      </c>
      <c r="AZ627" s="30" t="s">
        <v>1183</v>
      </c>
      <c r="BA627" s="30" t="s">
        <v>2061</v>
      </c>
      <c r="BB627" s="30" t="s">
        <v>1645</v>
      </c>
      <c r="BC627" s="32">
        <v>43526.0</v>
      </c>
      <c r="BD627" s="32">
        <v>43634.0</v>
      </c>
      <c r="BE627" s="32">
        <v>43655.0</v>
      </c>
      <c r="BF627" s="30" t="s">
        <v>2062</v>
      </c>
      <c r="BG627" s="30" t="s">
        <v>2063</v>
      </c>
      <c r="BH627" s="33" t="s">
        <v>2064</v>
      </c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FL627" s="36" t="s">
        <v>2060</v>
      </c>
      <c r="FM627" s="36" t="s">
        <v>555</v>
      </c>
    </row>
    <row r="628" ht="23.25" customHeight="1">
      <c r="A628" s="29">
        <v>44661.391712453704</v>
      </c>
      <c r="B628" s="30" t="s">
        <v>6</v>
      </c>
      <c r="C628" s="30" t="s">
        <v>13</v>
      </c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0" t="s">
        <v>2054</v>
      </c>
      <c r="AY628" s="30" t="s">
        <v>2055</v>
      </c>
      <c r="AZ628" s="30" t="s">
        <v>2065</v>
      </c>
      <c r="BA628" s="30" t="s">
        <v>2066</v>
      </c>
      <c r="BB628" s="30" t="s">
        <v>1645</v>
      </c>
      <c r="BC628" s="32">
        <v>43529.0</v>
      </c>
      <c r="BD628" s="32">
        <v>43627.0</v>
      </c>
      <c r="BE628" s="32">
        <v>43672.0</v>
      </c>
      <c r="BF628" s="30" t="s">
        <v>2062</v>
      </c>
      <c r="BG628" s="30" t="s">
        <v>2067</v>
      </c>
      <c r="BH628" s="33" t="s">
        <v>2068</v>
      </c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FL628" s="36" t="s">
        <v>2060</v>
      </c>
      <c r="FM628" s="36" t="s">
        <v>555</v>
      </c>
    </row>
    <row r="629" ht="23.25" customHeight="1">
      <c r="A629" s="29">
        <v>44661.39635837963</v>
      </c>
      <c r="B629" s="30" t="s">
        <v>6</v>
      </c>
      <c r="C629" s="30" t="s">
        <v>13</v>
      </c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0" t="s">
        <v>2054</v>
      </c>
      <c r="AY629" s="30" t="s">
        <v>2055</v>
      </c>
      <c r="AZ629" s="30" t="s">
        <v>2069</v>
      </c>
      <c r="BA629" s="30" t="s">
        <v>2070</v>
      </c>
      <c r="BB629" s="30" t="s">
        <v>507</v>
      </c>
      <c r="BC629" s="32">
        <v>44259.0</v>
      </c>
      <c r="BD629" s="32">
        <v>44332.0</v>
      </c>
      <c r="BE629" s="32">
        <v>43655.0</v>
      </c>
      <c r="BF629" s="30" t="s">
        <v>1633</v>
      </c>
      <c r="BG629" s="30" t="s">
        <v>2067</v>
      </c>
      <c r="BH629" s="33" t="s">
        <v>2071</v>
      </c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FL629" s="36" t="s">
        <v>2060</v>
      </c>
      <c r="FM629" s="36" t="s">
        <v>283</v>
      </c>
    </row>
    <row r="630" ht="23.25" customHeight="1">
      <c r="A630" s="29">
        <v>44661.398817719906</v>
      </c>
      <c r="B630" s="30" t="s">
        <v>6</v>
      </c>
      <c r="C630" s="30" t="s">
        <v>20</v>
      </c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DX630" s="36" t="s">
        <v>2054</v>
      </c>
      <c r="DY630" s="36" t="s">
        <v>2055</v>
      </c>
      <c r="DZ630" s="36" t="s">
        <v>159</v>
      </c>
      <c r="EA630" s="36" t="s">
        <v>2072</v>
      </c>
      <c r="EB630" s="37">
        <v>43979.0</v>
      </c>
      <c r="EC630" s="36" t="s">
        <v>2073</v>
      </c>
      <c r="ED630" s="38" t="s">
        <v>2074</v>
      </c>
      <c r="FL630" s="36" t="s">
        <v>2060</v>
      </c>
      <c r="FM630" s="36" t="s">
        <v>323</v>
      </c>
    </row>
    <row r="631" ht="23.25" customHeight="1">
      <c r="A631" s="29">
        <v>44661.4031809375</v>
      </c>
      <c r="B631" s="30" t="s">
        <v>6</v>
      </c>
      <c r="C631" s="30" t="s">
        <v>14</v>
      </c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0" t="s">
        <v>2054</v>
      </c>
      <c r="BJ631" s="30" t="s">
        <v>2055</v>
      </c>
      <c r="BK631" s="30" t="s">
        <v>150</v>
      </c>
      <c r="BL631" s="30" t="s">
        <v>1288</v>
      </c>
      <c r="BM631" s="30" t="s">
        <v>813</v>
      </c>
      <c r="BN631" s="30">
        <v>2.0</v>
      </c>
      <c r="BO631" s="32">
        <v>43505.0</v>
      </c>
      <c r="BP631" s="32">
        <v>43506.0</v>
      </c>
      <c r="BQ631" s="30" t="s">
        <v>2075</v>
      </c>
      <c r="BR631" s="30" t="s">
        <v>631</v>
      </c>
      <c r="BS631" s="30" t="s">
        <v>276</v>
      </c>
      <c r="BT631" s="30" t="s">
        <v>632</v>
      </c>
      <c r="BU631" s="30">
        <v>150.0</v>
      </c>
      <c r="BV631" s="33" t="s">
        <v>2076</v>
      </c>
      <c r="BW631" s="31"/>
      <c r="BX631" s="31"/>
      <c r="FL631" s="36" t="s">
        <v>2060</v>
      </c>
      <c r="FM631" s="36" t="s">
        <v>382</v>
      </c>
    </row>
    <row r="632" ht="23.25" customHeight="1">
      <c r="A632" s="29">
        <v>44661.40640546296</v>
      </c>
      <c r="B632" s="30" t="s">
        <v>6</v>
      </c>
      <c r="C632" s="30" t="s">
        <v>14</v>
      </c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0" t="s">
        <v>2054</v>
      </c>
      <c r="BJ632" s="30" t="s">
        <v>2055</v>
      </c>
      <c r="BK632" s="30" t="s">
        <v>313</v>
      </c>
      <c r="BL632" s="30" t="s">
        <v>1288</v>
      </c>
      <c r="BM632" s="30" t="s">
        <v>2077</v>
      </c>
      <c r="BN632" s="30">
        <v>2.0</v>
      </c>
      <c r="BO632" s="32">
        <v>44513.0</v>
      </c>
      <c r="BP632" s="32">
        <v>44514.0</v>
      </c>
      <c r="BQ632" s="30" t="s">
        <v>2078</v>
      </c>
      <c r="BR632" s="30" t="s">
        <v>631</v>
      </c>
      <c r="BS632" s="30" t="s">
        <v>276</v>
      </c>
      <c r="BT632" s="30" t="s">
        <v>632</v>
      </c>
      <c r="BU632" s="30">
        <v>200.0</v>
      </c>
      <c r="BV632" s="33" t="s">
        <v>2079</v>
      </c>
      <c r="BW632" s="31"/>
      <c r="BX632" s="31"/>
      <c r="FL632" s="36" t="s">
        <v>2060</v>
      </c>
      <c r="FM632" s="36" t="s">
        <v>278</v>
      </c>
    </row>
    <row r="633" ht="23.25" customHeight="1">
      <c r="A633" s="29">
        <v>44661.44062385417</v>
      </c>
      <c r="B633" s="30" t="s">
        <v>8</v>
      </c>
      <c r="C633" s="30" t="s">
        <v>13</v>
      </c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0" t="s">
        <v>2080</v>
      </c>
      <c r="AY633" s="30" t="s">
        <v>2081</v>
      </c>
      <c r="AZ633" s="30" t="s">
        <v>790</v>
      </c>
      <c r="BA633" s="30" t="s">
        <v>1386</v>
      </c>
      <c r="BB633" s="30" t="s">
        <v>450</v>
      </c>
      <c r="BC633" s="32">
        <v>44532.0</v>
      </c>
      <c r="BD633" s="32">
        <v>44229.0</v>
      </c>
      <c r="BE633" s="32">
        <v>44228.0</v>
      </c>
      <c r="BF633" s="30" t="s">
        <v>1804</v>
      </c>
      <c r="BG633" s="30" t="s">
        <v>2082</v>
      </c>
      <c r="BH633" s="33" t="s">
        <v>2083</v>
      </c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FL633" s="36" t="s">
        <v>2084</v>
      </c>
      <c r="FM633" s="36" t="s">
        <v>323</v>
      </c>
    </row>
    <row r="634" ht="23.25" customHeight="1">
      <c r="A634" s="29">
        <v>44661.468977384255</v>
      </c>
      <c r="B634" s="30" t="s">
        <v>6</v>
      </c>
      <c r="C634" s="30" t="s">
        <v>13</v>
      </c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0" t="s">
        <v>2085</v>
      </c>
      <c r="AY634" s="30" t="s">
        <v>2086</v>
      </c>
      <c r="AZ634" s="30" t="s">
        <v>1174</v>
      </c>
      <c r="BA634" s="30" t="s">
        <v>309</v>
      </c>
      <c r="BB634" s="30" t="s">
        <v>310</v>
      </c>
      <c r="BC634" s="32">
        <v>44510.0</v>
      </c>
      <c r="BD634" s="32">
        <v>44571.0</v>
      </c>
      <c r="BE634" s="32">
        <v>44571.0</v>
      </c>
      <c r="BF634" s="34" t="s">
        <v>2087</v>
      </c>
      <c r="BG634" s="30" t="s">
        <v>2088</v>
      </c>
      <c r="BH634" s="33" t="s">
        <v>2089</v>
      </c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FL634" s="36" t="s">
        <v>2090</v>
      </c>
      <c r="FM634" s="36" t="s">
        <v>260</v>
      </c>
    </row>
    <row r="635" ht="23.25" customHeight="1">
      <c r="A635" s="29">
        <v>44661.47471895833</v>
      </c>
      <c r="B635" s="30" t="s">
        <v>6</v>
      </c>
      <c r="C635" s="30" t="s">
        <v>12</v>
      </c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0" t="s">
        <v>2085</v>
      </c>
      <c r="AO635" s="30" t="s">
        <v>2086</v>
      </c>
      <c r="AP635" s="30" t="s">
        <v>2091</v>
      </c>
      <c r="AQ635" s="30" t="s">
        <v>378</v>
      </c>
      <c r="AR635" s="32">
        <v>44621.0</v>
      </c>
      <c r="AS635" s="32">
        <v>44742.0</v>
      </c>
      <c r="AT635" s="30" t="s">
        <v>256</v>
      </c>
      <c r="AU635" s="30" t="s">
        <v>257</v>
      </c>
      <c r="AV635" s="30">
        <v>10000.0</v>
      </c>
      <c r="AW635" s="33" t="s">
        <v>2092</v>
      </c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FL635" s="36" t="s">
        <v>2090</v>
      </c>
      <c r="FM635" s="36" t="s">
        <v>260</v>
      </c>
    </row>
    <row r="636" ht="23.25" customHeight="1">
      <c r="A636" s="29">
        <v>44661.47641827546</v>
      </c>
      <c r="B636" s="30" t="s">
        <v>6</v>
      </c>
      <c r="C636" s="30" t="s">
        <v>12</v>
      </c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0" t="s">
        <v>2093</v>
      </c>
      <c r="AO636" s="30" t="s">
        <v>2086</v>
      </c>
      <c r="AP636" s="30" t="s">
        <v>2094</v>
      </c>
      <c r="AQ636" s="30" t="s">
        <v>450</v>
      </c>
      <c r="AR636" s="32">
        <v>44470.0</v>
      </c>
      <c r="AS636" s="32">
        <v>44561.0</v>
      </c>
      <c r="AT636" s="30" t="s">
        <v>257</v>
      </c>
      <c r="AU636" s="30" t="s">
        <v>257</v>
      </c>
      <c r="AV636" s="30">
        <v>0.0</v>
      </c>
      <c r="AW636" s="33" t="s">
        <v>2095</v>
      </c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FL636" s="36" t="s">
        <v>2090</v>
      </c>
      <c r="FM636" s="36" t="s">
        <v>260</v>
      </c>
    </row>
    <row r="637" ht="23.25" customHeight="1">
      <c r="A637" s="29">
        <v>44661.48131185185</v>
      </c>
      <c r="B637" s="30" t="s">
        <v>6</v>
      </c>
      <c r="C637" s="30" t="s">
        <v>13</v>
      </c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0" t="s">
        <v>2085</v>
      </c>
      <c r="AY637" s="30" t="s">
        <v>2086</v>
      </c>
      <c r="AZ637" s="30" t="s">
        <v>2096</v>
      </c>
      <c r="BA637" s="30" t="s">
        <v>900</v>
      </c>
      <c r="BB637" s="30" t="s">
        <v>495</v>
      </c>
      <c r="BC637" s="32">
        <v>44075.0</v>
      </c>
      <c r="BD637" s="32">
        <v>44105.0</v>
      </c>
      <c r="BE637" s="32">
        <v>44107.0</v>
      </c>
      <c r="BF637" s="39">
        <v>0.85</v>
      </c>
      <c r="BG637" s="30" t="s">
        <v>2088</v>
      </c>
      <c r="BH637" s="33" t="s">
        <v>2097</v>
      </c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FL637" s="36" t="s">
        <v>2090</v>
      </c>
      <c r="FM637" s="36" t="s">
        <v>260</v>
      </c>
    </row>
    <row r="638" ht="23.25" customHeight="1">
      <c r="A638" s="29">
        <v>44661.48305445602</v>
      </c>
      <c r="B638" s="30" t="s">
        <v>6</v>
      </c>
      <c r="C638" s="30" t="s">
        <v>13</v>
      </c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0" t="s">
        <v>2085</v>
      </c>
      <c r="AY638" s="30" t="s">
        <v>2086</v>
      </c>
      <c r="AZ638" s="30" t="s">
        <v>2098</v>
      </c>
      <c r="BA638" s="30" t="s">
        <v>2099</v>
      </c>
      <c r="BB638" s="30" t="s">
        <v>310</v>
      </c>
      <c r="BC638" s="32">
        <v>44418.0</v>
      </c>
      <c r="BD638" s="32">
        <v>44479.0</v>
      </c>
      <c r="BE638" s="32">
        <v>44479.0</v>
      </c>
      <c r="BF638" s="39">
        <v>0.9</v>
      </c>
      <c r="BG638" s="30" t="s">
        <v>2088</v>
      </c>
      <c r="BH638" s="33" t="s">
        <v>2100</v>
      </c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FL638" s="36" t="s">
        <v>2090</v>
      </c>
      <c r="FM638" s="36" t="s">
        <v>260</v>
      </c>
    </row>
    <row r="639" ht="23.25" customHeight="1">
      <c r="A639" s="29">
        <v>44661.63155539352</v>
      </c>
      <c r="B639" s="30" t="s">
        <v>6</v>
      </c>
      <c r="C639" s="30" t="s">
        <v>13</v>
      </c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0" t="s">
        <v>2046</v>
      </c>
      <c r="AY639" s="30" t="s">
        <v>2047</v>
      </c>
      <c r="AZ639" s="30" t="s">
        <v>2101</v>
      </c>
      <c r="BA639" s="30" t="s">
        <v>377</v>
      </c>
      <c r="BB639" s="30" t="s">
        <v>450</v>
      </c>
      <c r="BC639" s="32">
        <v>44245.0</v>
      </c>
      <c r="BD639" s="32">
        <v>44334.0</v>
      </c>
      <c r="BE639" s="32">
        <v>44356.0</v>
      </c>
      <c r="BF639" s="30">
        <v>92.0</v>
      </c>
      <c r="BG639" s="30" t="s">
        <v>1031</v>
      </c>
      <c r="BH639" s="33" t="s">
        <v>2102</v>
      </c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FL639" s="36" t="s">
        <v>2050</v>
      </c>
      <c r="FM639" s="36" t="s">
        <v>260</v>
      </c>
    </row>
    <row r="640" ht="23.25" customHeight="1">
      <c r="A640" s="29">
        <v>44661.63533539352</v>
      </c>
      <c r="B640" s="30" t="s">
        <v>6</v>
      </c>
      <c r="C640" s="30" t="s">
        <v>20</v>
      </c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DX640" s="36" t="s">
        <v>2046</v>
      </c>
      <c r="DY640" s="36" t="s">
        <v>2047</v>
      </c>
      <c r="DZ640" s="36" t="s">
        <v>171</v>
      </c>
      <c r="EA640" s="36" t="s">
        <v>2103</v>
      </c>
      <c r="EB640" s="37">
        <v>44301.0</v>
      </c>
      <c r="EC640" s="36" t="s">
        <v>985</v>
      </c>
      <c r="ED640" s="38" t="s">
        <v>2104</v>
      </c>
      <c r="FL640" s="36" t="s">
        <v>2050</v>
      </c>
      <c r="FM640" s="36" t="s">
        <v>260</v>
      </c>
    </row>
    <row r="641" ht="23.25" customHeight="1">
      <c r="A641" s="29">
        <v>44661.637579814815</v>
      </c>
      <c r="B641" s="30" t="s">
        <v>6</v>
      </c>
      <c r="C641" s="30" t="s">
        <v>27</v>
      </c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FL641" s="36" t="s">
        <v>2050</v>
      </c>
      <c r="FM641" s="36" t="s">
        <v>260</v>
      </c>
      <c r="GF641" s="36" t="s">
        <v>2046</v>
      </c>
      <c r="GG641" s="36" t="s">
        <v>2047</v>
      </c>
      <c r="GH641" s="36" t="s">
        <v>637</v>
      </c>
      <c r="GI641" s="37">
        <v>44743.0</v>
      </c>
      <c r="GJ641" s="38" t="s">
        <v>2105</v>
      </c>
      <c r="GK641" s="36" t="s">
        <v>2106</v>
      </c>
      <c r="GL641" s="36" t="s">
        <v>988</v>
      </c>
    </row>
    <row r="642" ht="23.25" customHeight="1">
      <c r="A642" s="29">
        <v>44661.64102127315</v>
      </c>
      <c r="B642" s="30" t="s">
        <v>6</v>
      </c>
      <c r="C642" s="30" t="s">
        <v>12</v>
      </c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0" t="s">
        <v>2046</v>
      </c>
      <c r="AO642" s="30" t="s">
        <v>2047</v>
      </c>
      <c r="AP642" s="30" t="s">
        <v>637</v>
      </c>
      <c r="AQ642" s="30" t="s">
        <v>450</v>
      </c>
      <c r="AR642" s="32">
        <v>44634.0</v>
      </c>
      <c r="AS642" s="32">
        <v>44726.0</v>
      </c>
      <c r="AT642" s="30" t="s">
        <v>257</v>
      </c>
      <c r="AU642" s="30" t="s">
        <v>257</v>
      </c>
      <c r="AV642" s="30">
        <v>0.0</v>
      </c>
      <c r="AW642" s="33" t="s">
        <v>2107</v>
      </c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FL642" s="36" t="s">
        <v>2050</v>
      </c>
      <c r="FM642" s="36" t="s">
        <v>260</v>
      </c>
    </row>
    <row r="643" ht="23.25" customHeight="1">
      <c r="A643" s="29">
        <v>44661.64261214121</v>
      </c>
      <c r="B643" s="30" t="s">
        <v>6</v>
      </c>
      <c r="C643" s="30" t="s">
        <v>13</v>
      </c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0" t="s">
        <v>2108</v>
      </c>
      <c r="AY643" s="30" t="s">
        <v>2109</v>
      </c>
      <c r="AZ643" s="30" t="s">
        <v>499</v>
      </c>
      <c r="BA643" s="30" t="s">
        <v>582</v>
      </c>
      <c r="BB643" s="30" t="s">
        <v>495</v>
      </c>
      <c r="BC643" s="32">
        <v>44512.0</v>
      </c>
      <c r="BD643" s="32">
        <v>44542.0</v>
      </c>
      <c r="BE643" s="32">
        <v>44542.0</v>
      </c>
      <c r="BF643" s="39">
        <v>100.0</v>
      </c>
      <c r="BG643" s="30" t="s">
        <v>583</v>
      </c>
      <c r="BH643" s="33" t="s">
        <v>2110</v>
      </c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FL643" s="36" t="s">
        <v>2111</v>
      </c>
      <c r="FM643" s="36" t="s">
        <v>323</v>
      </c>
    </row>
    <row r="644" ht="23.25" customHeight="1">
      <c r="A644" s="29">
        <v>44661.6455531713</v>
      </c>
      <c r="B644" s="30" t="s">
        <v>6</v>
      </c>
      <c r="C644" s="30" t="s">
        <v>27</v>
      </c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FL644" s="36" t="s">
        <v>2050</v>
      </c>
      <c r="FM644" s="36" t="s">
        <v>260</v>
      </c>
      <c r="GF644" s="36" t="s">
        <v>2046</v>
      </c>
      <c r="GG644" s="36" t="s">
        <v>2047</v>
      </c>
      <c r="GH644" s="36" t="s">
        <v>254</v>
      </c>
      <c r="GI644" s="37">
        <v>44743.0</v>
      </c>
      <c r="GJ644" s="38" t="s">
        <v>2112</v>
      </c>
      <c r="GK644" s="36" t="s">
        <v>2106</v>
      </c>
      <c r="GL644" s="36" t="s">
        <v>1518</v>
      </c>
    </row>
    <row r="645" ht="23.25" customHeight="1">
      <c r="A645" s="29">
        <v>44661.6499746412</v>
      </c>
      <c r="B645" s="30" t="s">
        <v>6</v>
      </c>
      <c r="C645" s="30" t="s">
        <v>13</v>
      </c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0" t="s">
        <v>2113</v>
      </c>
      <c r="AY645" s="30" t="s">
        <v>2109</v>
      </c>
      <c r="AZ645" s="30" t="s">
        <v>669</v>
      </c>
      <c r="BA645" s="30" t="s">
        <v>2114</v>
      </c>
      <c r="BB645" s="30" t="s">
        <v>495</v>
      </c>
      <c r="BC645" s="32">
        <v>44512.0</v>
      </c>
      <c r="BD645" s="32">
        <v>44542.0</v>
      </c>
      <c r="BE645" s="32">
        <v>44542.0</v>
      </c>
      <c r="BF645" s="39">
        <v>100.0</v>
      </c>
      <c r="BG645" s="30" t="s">
        <v>583</v>
      </c>
      <c r="BH645" s="33" t="s">
        <v>2115</v>
      </c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FL645" s="36" t="s">
        <v>2111</v>
      </c>
      <c r="FM645" s="36" t="s">
        <v>278</v>
      </c>
    </row>
    <row r="646" ht="23.25" customHeight="1">
      <c r="A646" s="29">
        <v>44661.66318071759</v>
      </c>
      <c r="B646" s="30" t="s">
        <v>6</v>
      </c>
      <c r="C646" s="30" t="s">
        <v>13</v>
      </c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0" t="s">
        <v>2113</v>
      </c>
      <c r="AY646" s="30" t="s">
        <v>2109</v>
      </c>
      <c r="AZ646" s="30" t="s">
        <v>1351</v>
      </c>
      <c r="BA646" s="30" t="s">
        <v>1386</v>
      </c>
      <c r="BB646" s="30" t="s">
        <v>2116</v>
      </c>
      <c r="BC646" s="32">
        <v>43921.0</v>
      </c>
      <c r="BD646" s="32">
        <v>43951.0</v>
      </c>
      <c r="BE646" s="32">
        <v>43951.0</v>
      </c>
      <c r="BF646" s="39">
        <v>920.0</v>
      </c>
      <c r="BG646" s="30" t="s">
        <v>1353</v>
      </c>
      <c r="BH646" s="33" t="s">
        <v>2117</v>
      </c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FL646" s="36" t="s">
        <v>2111</v>
      </c>
      <c r="FM646" s="36" t="s">
        <v>323</v>
      </c>
    </row>
    <row r="647" ht="23.25" customHeight="1">
      <c r="A647" s="29">
        <v>44661.67372651621</v>
      </c>
      <c r="B647" s="30" t="s">
        <v>6</v>
      </c>
      <c r="C647" s="30" t="s">
        <v>13</v>
      </c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0" t="s">
        <v>2113</v>
      </c>
      <c r="AY647" s="30" t="s">
        <v>2109</v>
      </c>
      <c r="AZ647" s="30" t="s">
        <v>2118</v>
      </c>
      <c r="BA647" s="30" t="s">
        <v>2119</v>
      </c>
      <c r="BB647" s="30" t="s">
        <v>2120</v>
      </c>
      <c r="BC647" s="32">
        <v>43694.0</v>
      </c>
      <c r="BD647" s="32">
        <v>43695.0</v>
      </c>
      <c r="BE647" s="32">
        <v>43695.0</v>
      </c>
      <c r="BF647" s="30" t="s">
        <v>2121</v>
      </c>
      <c r="BG647" s="30" t="s">
        <v>1380</v>
      </c>
      <c r="BH647" s="33" t="s">
        <v>2122</v>
      </c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FL647" s="36" t="s">
        <v>2111</v>
      </c>
      <c r="FM647" s="36" t="s">
        <v>555</v>
      </c>
    </row>
    <row r="648" ht="23.25" customHeight="1">
      <c r="A648" s="29">
        <v>44661.67936425926</v>
      </c>
      <c r="B648" s="30" t="s">
        <v>6</v>
      </c>
      <c r="C648" s="30" t="s">
        <v>14</v>
      </c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0" t="s">
        <v>2123</v>
      </c>
      <c r="BJ648" s="30" t="s">
        <v>2124</v>
      </c>
      <c r="BK648" s="30" t="s">
        <v>171</v>
      </c>
      <c r="BL648" s="30" t="s">
        <v>1288</v>
      </c>
      <c r="BM648" s="30" t="s">
        <v>2125</v>
      </c>
      <c r="BN648" s="30">
        <v>6.0</v>
      </c>
      <c r="BO648" s="32">
        <v>44382.0</v>
      </c>
      <c r="BP648" s="32">
        <v>44387.0</v>
      </c>
      <c r="BQ648" s="30" t="s">
        <v>2126</v>
      </c>
      <c r="BR648" s="30" t="s">
        <v>2127</v>
      </c>
      <c r="BS648" s="30" t="s">
        <v>176</v>
      </c>
      <c r="BT648" s="30" t="s">
        <v>156</v>
      </c>
      <c r="BU648" s="31"/>
      <c r="BV648" s="33" t="s">
        <v>2128</v>
      </c>
      <c r="BW648" s="31"/>
      <c r="BX648" s="31"/>
      <c r="FL648" s="36" t="s">
        <v>2129</v>
      </c>
      <c r="FM648" s="36" t="s">
        <v>260</v>
      </c>
    </row>
    <row r="649" ht="23.25" customHeight="1">
      <c r="A649" s="29">
        <v>44661.681819641206</v>
      </c>
      <c r="B649" s="30" t="s">
        <v>6</v>
      </c>
      <c r="C649" s="30" t="s">
        <v>13</v>
      </c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0" t="s">
        <v>2113</v>
      </c>
      <c r="AY649" s="30" t="s">
        <v>2109</v>
      </c>
      <c r="AZ649" s="30" t="s">
        <v>1976</v>
      </c>
      <c r="BA649" s="30" t="s">
        <v>1977</v>
      </c>
      <c r="BB649" s="30" t="s">
        <v>196</v>
      </c>
      <c r="BC649" s="32">
        <v>43976.0</v>
      </c>
      <c r="BD649" s="32">
        <v>43976.0</v>
      </c>
      <c r="BE649" s="32">
        <v>43976.0</v>
      </c>
      <c r="BF649" s="39">
        <v>1.0</v>
      </c>
      <c r="BG649" s="30" t="s">
        <v>1380</v>
      </c>
      <c r="BH649" s="33" t="s">
        <v>2130</v>
      </c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FL649" s="36" t="s">
        <v>2111</v>
      </c>
      <c r="FM649" s="36" t="s">
        <v>323</v>
      </c>
    </row>
    <row r="650" ht="23.25" customHeight="1">
      <c r="A650" s="29">
        <v>44661.68640453704</v>
      </c>
      <c r="B650" s="30" t="s">
        <v>6</v>
      </c>
      <c r="C650" s="30" t="s">
        <v>12</v>
      </c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0" t="s">
        <v>2123</v>
      </c>
      <c r="AO650" s="30" t="s">
        <v>2124</v>
      </c>
      <c r="AP650" s="30" t="s">
        <v>2131</v>
      </c>
      <c r="AQ650" s="30" t="s">
        <v>450</v>
      </c>
      <c r="AR650" s="32">
        <v>44470.0</v>
      </c>
      <c r="AS650" s="32">
        <v>44561.0</v>
      </c>
      <c r="AT650" s="30" t="s">
        <v>257</v>
      </c>
      <c r="AU650" s="30" t="s">
        <v>257</v>
      </c>
      <c r="AV650" s="30">
        <v>0.0</v>
      </c>
      <c r="AW650" s="33" t="s">
        <v>2132</v>
      </c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FL650" s="36" t="s">
        <v>2129</v>
      </c>
      <c r="FM650" s="36" t="s">
        <v>260</v>
      </c>
    </row>
    <row r="651" ht="23.25" customHeight="1">
      <c r="A651" s="29">
        <v>44661.68724798611</v>
      </c>
      <c r="B651" s="30" t="s">
        <v>6</v>
      </c>
      <c r="C651" s="30" t="s">
        <v>27</v>
      </c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FL651" s="36" t="s">
        <v>2129</v>
      </c>
      <c r="FM651" s="36" t="s">
        <v>260</v>
      </c>
      <c r="GF651" s="36" t="s">
        <v>2123</v>
      </c>
      <c r="GG651" s="36" t="s">
        <v>2124</v>
      </c>
      <c r="GH651" s="36" t="s">
        <v>637</v>
      </c>
      <c r="GI651" s="37">
        <v>44641.0</v>
      </c>
      <c r="GJ651" s="38" t="s">
        <v>2133</v>
      </c>
      <c r="GK651" s="36" t="s">
        <v>2134</v>
      </c>
      <c r="GL651" s="36">
        <v>3.5</v>
      </c>
    </row>
    <row r="652" ht="23.25" customHeight="1">
      <c r="A652" s="29">
        <v>44661.68752071759</v>
      </c>
      <c r="B652" s="30" t="s">
        <v>6</v>
      </c>
      <c r="C652" s="30" t="s">
        <v>13</v>
      </c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0" t="s">
        <v>2113</v>
      </c>
      <c r="AY652" s="30" t="s">
        <v>2109</v>
      </c>
      <c r="AZ652" s="30" t="s">
        <v>2135</v>
      </c>
      <c r="BA652" s="30" t="s">
        <v>2136</v>
      </c>
      <c r="BB652" s="30" t="s">
        <v>2137</v>
      </c>
      <c r="BC652" s="32">
        <v>43896.0</v>
      </c>
      <c r="BD652" s="32">
        <v>43896.0</v>
      </c>
      <c r="BE652" s="32">
        <v>43896.0</v>
      </c>
      <c r="BF652" s="39">
        <v>0.95</v>
      </c>
      <c r="BG652" s="30" t="s">
        <v>1380</v>
      </c>
      <c r="BH652" s="33" t="s">
        <v>2138</v>
      </c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FL652" s="36" t="s">
        <v>2111</v>
      </c>
      <c r="FM652" s="36" t="s">
        <v>323</v>
      </c>
    </row>
    <row r="653" ht="23.25" customHeight="1">
      <c r="A653" s="29">
        <v>44661.69330677083</v>
      </c>
      <c r="B653" s="30" t="s">
        <v>6</v>
      </c>
      <c r="C653" s="30" t="s">
        <v>13</v>
      </c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0" t="s">
        <v>2113</v>
      </c>
      <c r="AY653" s="30" t="s">
        <v>2109</v>
      </c>
      <c r="AZ653" s="30" t="s">
        <v>1074</v>
      </c>
      <c r="BA653" s="30" t="s">
        <v>2139</v>
      </c>
      <c r="BB653" s="30" t="s">
        <v>659</v>
      </c>
      <c r="BC653" s="32">
        <v>43979.0</v>
      </c>
      <c r="BD653" s="32">
        <v>44709.0</v>
      </c>
      <c r="BE653" s="32">
        <v>43979.0</v>
      </c>
      <c r="BF653" s="39">
        <v>0.92</v>
      </c>
      <c r="BG653" s="30" t="s">
        <v>1380</v>
      </c>
      <c r="BH653" s="33" t="s">
        <v>2140</v>
      </c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FL653" s="36" t="s">
        <v>2111</v>
      </c>
      <c r="FM653" s="36" t="s">
        <v>323</v>
      </c>
    </row>
    <row r="654" ht="23.25" customHeight="1">
      <c r="A654" s="29">
        <v>44661.71062873842</v>
      </c>
      <c r="B654" s="30" t="s">
        <v>6</v>
      </c>
      <c r="C654" s="30" t="s">
        <v>13</v>
      </c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0" t="s">
        <v>2113</v>
      </c>
      <c r="AY654" s="30" t="s">
        <v>2109</v>
      </c>
      <c r="AZ654" s="30" t="s">
        <v>351</v>
      </c>
      <c r="BA654" s="30" t="s">
        <v>409</v>
      </c>
      <c r="BB654" s="30" t="s">
        <v>310</v>
      </c>
      <c r="BC654" s="32">
        <v>43587.0</v>
      </c>
      <c r="BD654" s="32">
        <v>43664.0</v>
      </c>
      <c r="BE654" s="32">
        <v>43676.0</v>
      </c>
      <c r="BF654" s="39">
        <v>0.89</v>
      </c>
      <c r="BG654" s="34" t="s">
        <v>2141</v>
      </c>
      <c r="BH654" s="33" t="s">
        <v>2142</v>
      </c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FL654" s="36" t="s">
        <v>2111</v>
      </c>
      <c r="FM654" s="36" t="s">
        <v>382</v>
      </c>
    </row>
    <row r="655" ht="23.25" customHeight="1">
      <c r="A655" s="29">
        <v>44661.719370694445</v>
      </c>
      <c r="B655" s="30" t="s">
        <v>6</v>
      </c>
      <c r="C655" s="30" t="s">
        <v>13</v>
      </c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0" t="s">
        <v>2143</v>
      </c>
      <c r="AY655" s="30" t="s">
        <v>2109</v>
      </c>
      <c r="AZ655" s="30" t="s">
        <v>981</v>
      </c>
      <c r="BA655" s="30" t="s">
        <v>337</v>
      </c>
      <c r="BB655" s="30" t="s">
        <v>378</v>
      </c>
      <c r="BC655" s="32">
        <v>43472.0</v>
      </c>
      <c r="BD655" s="32">
        <v>43563.0</v>
      </c>
      <c r="BE655" s="32">
        <v>43567.0</v>
      </c>
      <c r="BF655" s="39">
        <v>90.0</v>
      </c>
      <c r="BG655" s="30" t="s">
        <v>1979</v>
      </c>
      <c r="BH655" s="33" t="s">
        <v>2144</v>
      </c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FL655" s="36" t="s">
        <v>2111</v>
      </c>
      <c r="FM655" s="36" t="s">
        <v>382</v>
      </c>
    </row>
    <row r="656" ht="23.25" customHeight="1">
      <c r="A656" s="29">
        <v>44661.76957305556</v>
      </c>
      <c r="B656" s="30" t="s">
        <v>6</v>
      </c>
      <c r="C656" s="30" t="s">
        <v>13</v>
      </c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0" t="s">
        <v>2145</v>
      </c>
      <c r="AY656" s="30" t="s">
        <v>2146</v>
      </c>
      <c r="AZ656" s="30" t="s">
        <v>2147</v>
      </c>
      <c r="BA656" s="30" t="s">
        <v>2148</v>
      </c>
      <c r="BB656" s="30" t="s">
        <v>495</v>
      </c>
      <c r="BC656" s="32">
        <v>43554.0</v>
      </c>
      <c r="BD656" s="32">
        <v>43585.0</v>
      </c>
      <c r="BE656" s="32">
        <v>43584.0</v>
      </c>
      <c r="BF656" s="30">
        <v>96.0</v>
      </c>
      <c r="BG656" s="30" t="s">
        <v>768</v>
      </c>
      <c r="BH656" s="33" t="s">
        <v>2149</v>
      </c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FL656" s="36" t="s">
        <v>2150</v>
      </c>
      <c r="FM656" s="36" t="s">
        <v>260</v>
      </c>
    </row>
    <row r="657" ht="23.25" customHeight="1">
      <c r="A657" s="29">
        <v>44661.770289884254</v>
      </c>
      <c r="B657" s="30" t="s">
        <v>7</v>
      </c>
      <c r="C657" s="30" t="s">
        <v>12</v>
      </c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0" t="s">
        <v>2151</v>
      </c>
      <c r="AO657" s="30" t="s">
        <v>2152</v>
      </c>
      <c r="AP657" s="30" t="s">
        <v>443</v>
      </c>
      <c r="AQ657" s="30" t="s">
        <v>450</v>
      </c>
      <c r="AR657" s="32">
        <v>44479.0</v>
      </c>
      <c r="AS657" s="32">
        <v>44540.0</v>
      </c>
      <c r="AT657" s="30" t="s">
        <v>257</v>
      </c>
      <c r="AU657" s="30" t="s">
        <v>257</v>
      </c>
      <c r="AV657" s="30">
        <v>0.0</v>
      </c>
      <c r="AW657" s="33" t="s">
        <v>2153</v>
      </c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FL657" s="36" t="s">
        <v>2154</v>
      </c>
      <c r="FM657" s="36" t="s">
        <v>283</v>
      </c>
    </row>
    <row r="658" ht="23.25" customHeight="1">
      <c r="A658" s="29">
        <v>44661.771695787036</v>
      </c>
      <c r="B658" s="30" t="s">
        <v>6</v>
      </c>
      <c r="C658" s="30" t="s">
        <v>13</v>
      </c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0" t="s">
        <v>2145</v>
      </c>
      <c r="AY658" s="30" t="s">
        <v>2146</v>
      </c>
      <c r="AZ658" s="30" t="s">
        <v>2155</v>
      </c>
      <c r="BA658" s="30" t="s">
        <v>2148</v>
      </c>
      <c r="BB658" s="30" t="s">
        <v>495</v>
      </c>
      <c r="BC658" s="32">
        <v>44312.0</v>
      </c>
      <c r="BD658" s="32">
        <v>44312.0</v>
      </c>
      <c r="BE658" s="32">
        <v>44311.0</v>
      </c>
      <c r="BF658" s="30">
        <v>91.0</v>
      </c>
      <c r="BG658" s="30" t="s">
        <v>1270</v>
      </c>
      <c r="BH658" s="33" t="s">
        <v>2156</v>
      </c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FL658" s="36" t="s">
        <v>2150</v>
      </c>
      <c r="FM658" s="36" t="s">
        <v>260</v>
      </c>
    </row>
    <row r="659" ht="23.25" customHeight="1">
      <c r="A659" s="29">
        <v>44661.77348667824</v>
      </c>
      <c r="B659" s="30" t="s">
        <v>6</v>
      </c>
      <c r="C659" s="30" t="s">
        <v>13</v>
      </c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0" t="s">
        <v>2145</v>
      </c>
      <c r="AY659" s="30" t="s">
        <v>2146</v>
      </c>
      <c r="AZ659" s="30" t="s">
        <v>1263</v>
      </c>
      <c r="BA659" s="30" t="s">
        <v>2148</v>
      </c>
      <c r="BB659" s="30" t="s">
        <v>495</v>
      </c>
      <c r="BC659" s="32">
        <v>44348.0</v>
      </c>
      <c r="BD659" s="32">
        <v>44378.0</v>
      </c>
      <c r="BE659" s="32">
        <v>44377.0</v>
      </c>
      <c r="BF659" s="30">
        <v>93.0</v>
      </c>
      <c r="BG659" s="30" t="s">
        <v>1270</v>
      </c>
      <c r="BH659" s="33" t="s">
        <v>2157</v>
      </c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FL659" s="36" t="s">
        <v>2150</v>
      </c>
      <c r="FM659" s="36" t="s">
        <v>260</v>
      </c>
    </row>
    <row r="660" ht="23.25" customHeight="1">
      <c r="A660" s="29">
        <v>44661.774875601855</v>
      </c>
      <c r="B660" s="30" t="s">
        <v>6</v>
      </c>
      <c r="C660" s="30" t="s">
        <v>13</v>
      </c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0" t="s">
        <v>2145</v>
      </c>
      <c r="AY660" s="30" t="s">
        <v>2146</v>
      </c>
      <c r="AZ660" s="30" t="s">
        <v>2158</v>
      </c>
      <c r="BA660" s="30" t="s">
        <v>2148</v>
      </c>
      <c r="BB660" s="30" t="s">
        <v>495</v>
      </c>
      <c r="BC660" s="32">
        <v>44422.0</v>
      </c>
      <c r="BD660" s="32">
        <v>44453.0</v>
      </c>
      <c r="BE660" s="32">
        <v>44452.0</v>
      </c>
      <c r="BF660" s="30">
        <v>94.0</v>
      </c>
      <c r="BG660" s="30" t="s">
        <v>1270</v>
      </c>
      <c r="BH660" s="33" t="s">
        <v>2159</v>
      </c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FL660" s="36" t="s">
        <v>2150</v>
      </c>
      <c r="FM660" s="36" t="s">
        <v>260</v>
      </c>
    </row>
    <row r="661" ht="23.25" customHeight="1">
      <c r="A661" s="29">
        <v>44661.77623289352</v>
      </c>
      <c r="B661" s="30" t="s">
        <v>6</v>
      </c>
      <c r="C661" s="30" t="s">
        <v>13</v>
      </c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0" t="s">
        <v>2145</v>
      </c>
      <c r="AY661" s="30" t="s">
        <v>2146</v>
      </c>
      <c r="AZ661" s="30" t="s">
        <v>2069</v>
      </c>
      <c r="BA661" s="30" t="s">
        <v>2148</v>
      </c>
      <c r="BB661" s="30" t="s">
        <v>495</v>
      </c>
      <c r="BC661" s="32">
        <v>44355.0</v>
      </c>
      <c r="BD661" s="32">
        <v>44385.0</v>
      </c>
      <c r="BE661" s="32">
        <v>44384.0</v>
      </c>
      <c r="BF661" s="30">
        <v>95.0</v>
      </c>
      <c r="BG661" s="30" t="s">
        <v>1270</v>
      </c>
      <c r="BH661" s="33" t="s">
        <v>2160</v>
      </c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FL661" s="36" t="s">
        <v>2150</v>
      </c>
      <c r="FM661" s="36" t="s">
        <v>260</v>
      </c>
    </row>
    <row r="662" ht="23.25" customHeight="1">
      <c r="A662" s="29">
        <v>44661.77760534722</v>
      </c>
      <c r="B662" s="30" t="s">
        <v>6</v>
      </c>
      <c r="C662" s="30" t="s">
        <v>13</v>
      </c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0" t="s">
        <v>2145</v>
      </c>
      <c r="AY662" s="30" t="s">
        <v>2146</v>
      </c>
      <c r="AZ662" s="30" t="s">
        <v>1193</v>
      </c>
      <c r="BA662" s="30" t="s">
        <v>2148</v>
      </c>
      <c r="BB662" s="30" t="s">
        <v>495</v>
      </c>
      <c r="BC662" s="32">
        <v>43646.0</v>
      </c>
      <c r="BD662" s="32">
        <v>44407.0</v>
      </c>
      <c r="BE662" s="32">
        <v>44406.0</v>
      </c>
      <c r="BF662" s="30">
        <v>95.0</v>
      </c>
      <c r="BG662" s="30" t="s">
        <v>2161</v>
      </c>
      <c r="BH662" s="33" t="s">
        <v>2162</v>
      </c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FL662" s="36" t="s">
        <v>2150</v>
      </c>
      <c r="FM662" s="36" t="s">
        <v>260</v>
      </c>
    </row>
    <row r="663" ht="23.25" customHeight="1">
      <c r="A663" s="29">
        <v>44661.77883596065</v>
      </c>
      <c r="B663" s="30" t="s">
        <v>6</v>
      </c>
      <c r="C663" s="30" t="s">
        <v>13</v>
      </c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0" t="s">
        <v>2145</v>
      </c>
      <c r="AY663" s="30" t="s">
        <v>2146</v>
      </c>
      <c r="AZ663" s="30" t="s">
        <v>2163</v>
      </c>
      <c r="BA663" s="30" t="s">
        <v>2148</v>
      </c>
      <c r="BB663" s="30" t="s">
        <v>495</v>
      </c>
      <c r="BC663" s="32">
        <v>44316.0</v>
      </c>
      <c r="BD663" s="32">
        <v>44346.0</v>
      </c>
      <c r="BE663" s="32">
        <v>44345.0</v>
      </c>
      <c r="BF663" s="30">
        <v>93.0</v>
      </c>
      <c r="BG663" s="30" t="s">
        <v>2161</v>
      </c>
      <c r="BH663" s="33" t="s">
        <v>2164</v>
      </c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FL663" s="36" t="s">
        <v>2150</v>
      </c>
      <c r="FM663" s="36" t="s">
        <v>260</v>
      </c>
    </row>
    <row r="664" ht="23.25" customHeight="1">
      <c r="A664" s="29">
        <v>44661.780077256946</v>
      </c>
      <c r="B664" s="30" t="s">
        <v>6</v>
      </c>
      <c r="C664" s="30" t="s">
        <v>13</v>
      </c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0" t="s">
        <v>2145</v>
      </c>
      <c r="AY664" s="30" t="s">
        <v>2146</v>
      </c>
      <c r="AZ664" s="30" t="s">
        <v>1221</v>
      </c>
      <c r="BA664" s="30" t="s">
        <v>2165</v>
      </c>
      <c r="BB664" s="30" t="s">
        <v>495</v>
      </c>
      <c r="BC664" s="32">
        <v>44371.0</v>
      </c>
      <c r="BD664" s="32">
        <v>44401.0</v>
      </c>
      <c r="BE664" s="32">
        <v>44400.0</v>
      </c>
      <c r="BF664" s="30">
        <v>92.0</v>
      </c>
      <c r="BG664" s="30" t="s">
        <v>2161</v>
      </c>
      <c r="BH664" s="33" t="s">
        <v>2166</v>
      </c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FL664" s="36" t="s">
        <v>2150</v>
      </c>
      <c r="FM664" s="36" t="s">
        <v>260</v>
      </c>
    </row>
    <row r="665" ht="23.25" customHeight="1">
      <c r="A665" s="29">
        <v>44661.78388739583</v>
      </c>
      <c r="B665" s="30" t="s">
        <v>6</v>
      </c>
      <c r="C665" s="30" t="s">
        <v>13</v>
      </c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0" t="s">
        <v>2145</v>
      </c>
      <c r="AY665" s="30" t="s">
        <v>2146</v>
      </c>
      <c r="AZ665" s="30" t="s">
        <v>2167</v>
      </c>
      <c r="BA665" s="30" t="s">
        <v>2168</v>
      </c>
      <c r="BB665" s="30" t="s">
        <v>495</v>
      </c>
      <c r="BC665" s="32">
        <v>44095.0</v>
      </c>
      <c r="BD665" s="32">
        <v>44125.0</v>
      </c>
      <c r="BE665" s="32">
        <v>44123.0</v>
      </c>
      <c r="BF665" s="30">
        <v>85.0</v>
      </c>
      <c r="BG665" s="30" t="s">
        <v>2169</v>
      </c>
      <c r="BH665" s="33" t="s">
        <v>2170</v>
      </c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FL665" s="36" t="s">
        <v>2150</v>
      </c>
      <c r="FM665" s="36" t="s">
        <v>260</v>
      </c>
    </row>
    <row r="666" ht="23.25" customHeight="1">
      <c r="A666" s="29">
        <v>44661.78507546296</v>
      </c>
      <c r="B666" s="30" t="s">
        <v>7</v>
      </c>
      <c r="C666" s="30" t="s">
        <v>13</v>
      </c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0" t="s">
        <v>2151</v>
      </c>
      <c r="AY666" s="30" t="s">
        <v>2152</v>
      </c>
      <c r="AZ666" s="30" t="s">
        <v>1753</v>
      </c>
      <c r="BA666" s="30" t="s">
        <v>1088</v>
      </c>
      <c r="BB666" s="30" t="s">
        <v>2171</v>
      </c>
      <c r="BC666" s="32">
        <v>43895.0</v>
      </c>
      <c r="BD666" s="32">
        <v>44676.0</v>
      </c>
      <c r="BE666" s="32">
        <v>44676.0</v>
      </c>
      <c r="BF666" s="40">
        <v>0.9908</v>
      </c>
      <c r="BG666" s="30" t="s">
        <v>2172</v>
      </c>
      <c r="BH666" s="33" t="s">
        <v>2173</v>
      </c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FL666" s="36" t="s">
        <v>2154</v>
      </c>
      <c r="FM666" s="36" t="s">
        <v>283</v>
      </c>
    </row>
    <row r="667" ht="23.25" customHeight="1">
      <c r="A667" s="29">
        <v>44661.78592819444</v>
      </c>
      <c r="B667" s="30" t="s">
        <v>6</v>
      </c>
      <c r="C667" s="30" t="s">
        <v>14</v>
      </c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0" t="s">
        <v>2174</v>
      </c>
      <c r="BJ667" s="30" t="s">
        <v>2146</v>
      </c>
      <c r="BK667" s="30" t="s">
        <v>159</v>
      </c>
      <c r="BL667" s="30" t="s">
        <v>172</v>
      </c>
      <c r="BM667" s="30" t="s">
        <v>2175</v>
      </c>
      <c r="BN667" s="30">
        <v>2.0</v>
      </c>
      <c r="BO667" s="32">
        <v>43694.0</v>
      </c>
      <c r="BP667" s="32">
        <v>43696.0</v>
      </c>
      <c r="BQ667" s="30" t="s">
        <v>2176</v>
      </c>
      <c r="BR667" s="30" t="s">
        <v>2177</v>
      </c>
      <c r="BS667" s="30" t="s">
        <v>276</v>
      </c>
      <c r="BT667" s="30" t="s">
        <v>156</v>
      </c>
      <c r="BU667" s="31"/>
      <c r="BV667" s="33" t="s">
        <v>2178</v>
      </c>
      <c r="BW667" s="31"/>
      <c r="BX667" s="31"/>
      <c r="FL667" s="36" t="s">
        <v>2150</v>
      </c>
      <c r="FM667" s="36" t="s">
        <v>260</v>
      </c>
    </row>
    <row r="668" ht="23.25" customHeight="1">
      <c r="A668" s="29">
        <v>44661.78738430556</v>
      </c>
      <c r="B668" s="30" t="s">
        <v>6</v>
      </c>
      <c r="C668" s="30" t="s">
        <v>12</v>
      </c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0" t="s">
        <v>2179</v>
      </c>
      <c r="AO668" s="30" t="s">
        <v>2146</v>
      </c>
      <c r="AP668" s="30" t="s">
        <v>2180</v>
      </c>
      <c r="AQ668" s="30" t="s">
        <v>378</v>
      </c>
      <c r="AR668" s="32">
        <v>44621.0</v>
      </c>
      <c r="AS668" s="32">
        <v>44742.0</v>
      </c>
      <c r="AT668" s="30" t="s">
        <v>256</v>
      </c>
      <c r="AU668" s="30" t="s">
        <v>257</v>
      </c>
      <c r="AV668" s="30">
        <v>0.0</v>
      </c>
      <c r="AW668" s="33" t="s">
        <v>2181</v>
      </c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FL668" s="36" t="s">
        <v>2150</v>
      </c>
      <c r="FM668" s="36" t="s">
        <v>260</v>
      </c>
    </row>
    <row r="669" ht="23.25" customHeight="1">
      <c r="A669" s="29">
        <v>44661.79616215278</v>
      </c>
      <c r="B669" s="30" t="s">
        <v>6</v>
      </c>
      <c r="C669" s="30" t="s">
        <v>27</v>
      </c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FL669" s="36" t="s">
        <v>2182</v>
      </c>
      <c r="FM669" s="36" t="s">
        <v>260</v>
      </c>
      <c r="GF669" s="36" t="s">
        <v>2183</v>
      </c>
      <c r="GG669" s="36" t="s">
        <v>2184</v>
      </c>
      <c r="GH669" s="36" t="s">
        <v>269</v>
      </c>
      <c r="GI669" s="37">
        <v>44717.0</v>
      </c>
      <c r="GJ669" s="38" t="s">
        <v>2185</v>
      </c>
      <c r="GK669" s="36" t="s">
        <v>656</v>
      </c>
      <c r="GL669" s="36" t="s">
        <v>2186</v>
      </c>
    </row>
    <row r="670" ht="23.25" customHeight="1">
      <c r="A670" s="29">
        <v>44661.81115432871</v>
      </c>
      <c r="B670" s="30" t="s">
        <v>6</v>
      </c>
      <c r="C670" s="30" t="s">
        <v>23</v>
      </c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FG670" s="36" t="s">
        <v>2187</v>
      </c>
      <c r="FH670" s="36" t="s">
        <v>2188</v>
      </c>
      <c r="FI670" s="36" t="s">
        <v>2189</v>
      </c>
      <c r="FJ670" s="37">
        <v>44636.0</v>
      </c>
      <c r="FK670" s="38" t="s">
        <v>2190</v>
      </c>
      <c r="FL670" s="36" t="s">
        <v>2191</v>
      </c>
      <c r="FM670" s="36" t="s">
        <v>260</v>
      </c>
    </row>
    <row r="671" ht="23.25" customHeight="1">
      <c r="A671" s="29">
        <v>44661.81191831018</v>
      </c>
      <c r="B671" s="30" t="s">
        <v>6</v>
      </c>
      <c r="C671" s="30" t="s">
        <v>13</v>
      </c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0" t="s">
        <v>2192</v>
      </c>
      <c r="AY671" s="30" t="s">
        <v>2193</v>
      </c>
      <c r="AZ671" s="30" t="s">
        <v>2194</v>
      </c>
      <c r="BA671" s="30" t="s">
        <v>1386</v>
      </c>
      <c r="BB671" s="30" t="s">
        <v>310</v>
      </c>
      <c r="BC671" s="32">
        <v>43553.0</v>
      </c>
      <c r="BD671" s="32">
        <v>43610.0</v>
      </c>
      <c r="BE671" s="32">
        <v>43614.0</v>
      </c>
      <c r="BF671" s="30">
        <v>100.0</v>
      </c>
      <c r="BG671" s="30" t="s">
        <v>1353</v>
      </c>
      <c r="BH671" s="33" t="s">
        <v>2195</v>
      </c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FL671" s="36" t="s">
        <v>2196</v>
      </c>
      <c r="FM671" s="36" t="s">
        <v>260</v>
      </c>
    </row>
    <row r="672" ht="23.25" customHeight="1">
      <c r="A672" s="29">
        <v>44661.81548101852</v>
      </c>
      <c r="B672" s="30" t="s">
        <v>6</v>
      </c>
      <c r="C672" s="30" t="s">
        <v>13</v>
      </c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0" t="s">
        <v>2187</v>
      </c>
      <c r="AY672" s="30" t="s">
        <v>2188</v>
      </c>
      <c r="AZ672" s="30" t="s">
        <v>2197</v>
      </c>
      <c r="BA672" s="30" t="s">
        <v>2198</v>
      </c>
      <c r="BB672" s="30" t="s">
        <v>1391</v>
      </c>
      <c r="BC672" s="32">
        <v>44373.0</v>
      </c>
      <c r="BD672" s="32">
        <v>44403.0</v>
      </c>
      <c r="BE672" s="32">
        <v>44403.0</v>
      </c>
      <c r="BF672" s="39">
        <v>0.95</v>
      </c>
      <c r="BG672" s="30" t="s">
        <v>1231</v>
      </c>
      <c r="BH672" s="33" t="s">
        <v>2199</v>
      </c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FL672" s="36" t="s">
        <v>2191</v>
      </c>
      <c r="FM672" s="36" t="s">
        <v>260</v>
      </c>
    </row>
    <row r="673" ht="23.25" customHeight="1">
      <c r="A673" s="29">
        <v>44661.81750630787</v>
      </c>
      <c r="B673" s="30" t="s">
        <v>6</v>
      </c>
      <c r="C673" s="20" t="s">
        <v>15</v>
      </c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0" t="s">
        <v>2187</v>
      </c>
      <c r="BX673" s="30" t="s">
        <v>2188</v>
      </c>
      <c r="BZ673" s="36" t="s">
        <v>171</v>
      </c>
      <c r="CA673" s="36" t="s">
        <v>2200</v>
      </c>
      <c r="CB673" s="36" t="s">
        <v>456</v>
      </c>
      <c r="CC673" s="36" t="s">
        <v>444</v>
      </c>
      <c r="CD673" s="37">
        <v>44216.0</v>
      </c>
      <c r="CE673" s="37">
        <v>44288.0</v>
      </c>
      <c r="CF673" s="36">
        <v>89.0</v>
      </c>
      <c r="CG673" s="38" t="s">
        <v>2201</v>
      </c>
      <c r="FL673" s="36" t="s">
        <v>2191</v>
      </c>
      <c r="FM673" s="36" t="s">
        <v>260</v>
      </c>
    </row>
    <row r="674" ht="23.25" customHeight="1">
      <c r="A674" s="29">
        <v>44661.818750798615</v>
      </c>
      <c r="B674" s="30" t="s">
        <v>6</v>
      </c>
      <c r="C674" s="30" t="s">
        <v>20</v>
      </c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DX674" s="36" t="s">
        <v>2187</v>
      </c>
      <c r="DY674" s="36" t="s">
        <v>2188</v>
      </c>
      <c r="DZ674" s="36" t="s">
        <v>159</v>
      </c>
      <c r="EA674" s="36" t="s">
        <v>2202</v>
      </c>
      <c r="EB674" s="37">
        <v>43717.0</v>
      </c>
      <c r="EC674" s="36" t="s">
        <v>2203</v>
      </c>
      <c r="ED674" s="38" t="s">
        <v>2204</v>
      </c>
      <c r="FL674" s="36" t="s">
        <v>2191</v>
      </c>
      <c r="FM674" s="36" t="s">
        <v>260</v>
      </c>
    </row>
    <row r="675" ht="23.25" customHeight="1">
      <c r="A675" s="29">
        <v>44661.81907914352</v>
      </c>
      <c r="B675" s="30" t="s">
        <v>6</v>
      </c>
      <c r="C675" s="30" t="s">
        <v>20</v>
      </c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DX675" s="36" t="s">
        <v>2205</v>
      </c>
      <c r="DY675" s="36" t="s">
        <v>2206</v>
      </c>
      <c r="DZ675" s="36" t="s">
        <v>313</v>
      </c>
      <c r="EA675" s="36" t="s">
        <v>2207</v>
      </c>
      <c r="EB675" s="37">
        <v>44628.0</v>
      </c>
      <c r="EC675" s="36" t="s">
        <v>2208</v>
      </c>
      <c r="ED675" s="38" t="s">
        <v>2209</v>
      </c>
      <c r="FL675" s="36" t="s">
        <v>2210</v>
      </c>
      <c r="FM675" s="36" t="s">
        <v>260</v>
      </c>
    </row>
    <row r="676" ht="23.25" customHeight="1">
      <c r="A676" s="29">
        <v>44661.82127601852</v>
      </c>
      <c r="B676" s="30" t="s">
        <v>6</v>
      </c>
      <c r="C676" s="30" t="s">
        <v>14</v>
      </c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0" t="s">
        <v>2187</v>
      </c>
      <c r="BJ676" s="30" t="s">
        <v>2188</v>
      </c>
      <c r="BK676" s="30" t="s">
        <v>159</v>
      </c>
      <c r="BL676" s="30" t="s">
        <v>1288</v>
      </c>
      <c r="BM676" s="30" t="s">
        <v>2211</v>
      </c>
      <c r="BN676" s="30">
        <v>3.0</v>
      </c>
      <c r="BO676" s="32">
        <v>43881.0</v>
      </c>
      <c r="BP676" s="32">
        <v>43883.0</v>
      </c>
      <c r="BQ676" s="30" t="s">
        <v>2212</v>
      </c>
      <c r="BR676" s="30" t="s">
        <v>2213</v>
      </c>
      <c r="BS676" s="30" t="s">
        <v>276</v>
      </c>
      <c r="BT676" s="30" t="s">
        <v>156</v>
      </c>
      <c r="BU676" s="31"/>
      <c r="BV676" s="33" t="s">
        <v>2214</v>
      </c>
      <c r="BW676" s="31"/>
      <c r="BX676" s="31"/>
      <c r="FL676" s="36" t="s">
        <v>2191</v>
      </c>
      <c r="FM676" s="36" t="s">
        <v>260</v>
      </c>
    </row>
    <row r="677" ht="23.25" customHeight="1">
      <c r="A677" s="29">
        <v>44661.82152329861</v>
      </c>
      <c r="B677" s="30" t="s">
        <v>6</v>
      </c>
      <c r="C677" s="30" t="s">
        <v>12</v>
      </c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0" t="s">
        <v>2205</v>
      </c>
      <c r="AO677" s="30" t="s">
        <v>2206</v>
      </c>
      <c r="AP677" s="30" t="s">
        <v>2215</v>
      </c>
      <c r="AQ677" s="30" t="s">
        <v>450</v>
      </c>
      <c r="AR677" s="32">
        <v>44197.0</v>
      </c>
      <c r="AS677" s="32">
        <v>44286.0</v>
      </c>
      <c r="AT677" s="30" t="s">
        <v>257</v>
      </c>
      <c r="AU677" s="30" t="s">
        <v>257</v>
      </c>
      <c r="AV677" s="30">
        <v>0.0</v>
      </c>
      <c r="AW677" s="33" t="s">
        <v>2216</v>
      </c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FL677" s="36" t="s">
        <v>2210</v>
      </c>
      <c r="FM677" s="36" t="s">
        <v>260</v>
      </c>
    </row>
    <row r="678" ht="23.25" customHeight="1">
      <c r="A678" s="29">
        <v>44661.82227851852</v>
      </c>
      <c r="B678" s="30" t="s">
        <v>6</v>
      </c>
      <c r="C678" s="30" t="s">
        <v>13</v>
      </c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0" t="s">
        <v>2192</v>
      </c>
      <c r="AY678" s="30" t="s">
        <v>2193</v>
      </c>
      <c r="AZ678" s="30" t="s">
        <v>2217</v>
      </c>
      <c r="BA678" s="30" t="s">
        <v>1386</v>
      </c>
      <c r="BB678" s="30" t="s">
        <v>310</v>
      </c>
      <c r="BC678" s="32">
        <v>43915.0</v>
      </c>
      <c r="BD678" s="32">
        <v>43976.0</v>
      </c>
      <c r="BE678" s="32">
        <v>43980.0</v>
      </c>
      <c r="BF678" s="30">
        <v>100.0</v>
      </c>
      <c r="BG678" s="30" t="s">
        <v>1353</v>
      </c>
      <c r="BH678" s="33" t="s">
        <v>2218</v>
      </c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FL678" s="36" t="s">
        <v>2196</v>
      </c>
      <c r="FM678" s="36" t="s">
        <v>323</v>
      </c>
    </row>
    <row r="679" ht="23.25" customHeight="1">
      <c r="A679" s="29">
        <v>44661.82235663194</v>
      </c>
      <c r="B679" s="30" t="s">
        <v>6</v>
      </c>
      <c r="C679" s="30" t="s">
        <v>20</v>
      </c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DX679" s="36" t="s">
        <v>374</v>
      </c>
      <c r="DY679" s="36" t="s">
        <v>375</v>
      </c>
      <c r="DZ679" s="36" t="s">
        <v>171</v>
      </c>
      <c r="EA679" s="36" t="s">
        <v>2219</v>
      </c>
      <c r="EB679" s="37">
        <v>44128.0</v>
      </c>
      <c r="EC679" s="36" t="s">
        <v>2220</v>
      </c>
      <c r="ED679" s="38" t="s">
        <v>2221</v>
      </c>
      <c r="FL679" s="36" t="s">
        <v>381</v>
      </c>
      <c r="FM679" s="36" t="s">
        <v>341</v>
      </c>
    </row>
    <row r="680" ht="23.25" customHeight="1">
      <c r="A680" s="29">
        <v>44661.82360318287</v>
      </c>
      <c r="B680" s="30" t="s">
        <v>6</v>
      </c>
      <c r="C680" s="30" t="s">
        <v>13</v>
      </c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0" t="s">
        <v>2205</v>
      </c>
      <c r="AY680" s="30" t="s">
        <v>2206</v>
      </c>
      <c r="AZ680" s="30" t="s">
        <v>2222</v>
      </c>
      <c r="BA680" s="30" t="s">
        <v>1238</v>
      </c>
      <c r="BB680" s="30">
        <v>1.0</v>
      </c>
      <c r="BC680" s="32">
        <v>43345.0</v>
      </c>
      <c r="BD680" s="32">
        <v>43372.0</v>
      </c>
      <c r="BE680" s="32">
        <v>43373.0</v>
      </c>
      <c r="BF680" s="30">
        <v>0.0</v>
      </c>
      <c r="BG680" s="30" t="s">
        <v>365</v>
      </c>
      <c r="BH680" s="33" t="s">
        <v>2223</v>
      </c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FL680" s="36" t="s">
        <v>2210</v>
      </c>
      <c r="FM680" s="36" t="s">
        <v>260</v>
      </c>
    </row>
    <row r="681" ht="23.25" customHeight="1">
      <c r="A681" s="29">
        <v>44661.82548947917</v>
      </c>
      <c r="B681" s="30" t="s">
        <v>8</v>
      </c>
      <c r="C681" s="30" t="s">
        <v>12</v>
      </c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0" t="s">
        <v>2224</v>
      </c>
      <c r="AO681" s="30" t="s">
        <v>2225</v>
      </c>
      <c r="AP681" s="30" t="s">
        <v>1838</v>
      </c>
      <c r="AQ681" s="30" t="s">
        <v>310</v>
      </c>
      <c r="AR681" s="32">
        <v>44470.0</v>
      </c>
      <c r="AS681" s="32">
        <v>44561.0</v>
      </c>
      <c r="AT681" s="30" t="s">
        <v>257</v>
      </c>
      <c r="AU681" s="30" t="s">
        <v>257</v>
      </c>
      <c r="AV681" s="30">
        <v>0.0</v>
      </c>
      <c r="AW681" s="33" t="s">
        <v>2226</v>
      </c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FL681" s="36" t="s">
        <v>2227</v>
      </c>
      <c r="FM681" s="36" t="s">
        <v>555</v>
      </c>
    </row>
    <row r="682" ht="23.25" customHeight="1">
      <c r="A682" s="29">
        <v>44661.82585068287</v>
      </c>
      <c r="B682" s="30" t="s">
        <v>6</v>
      </c>
      <c r="C682" s="30" t="s">
        <v>14</v>
      </c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0" t="s">
        <v>2205</v>
      </c>
      <c r="BJ682" s="30" t="s">
        <v>2206</v>
      </c>
      <c r="BK682" s="30" t="s">
        <v>171</v>
      </c>
      <c r="BL682" s="30" t="s">
        <v>1288</v>
      </c>
      <c r="BM682" s="30" t="s">
        <v>2228</v>
      </c>
      <c r="BN682" s="30">
        <v>2.0</v>
      </c>
      <c r="BO682" s="32">
        <v>44073.0</v>
      </c>
      <c r="BP682" s="32">
        <v>44074.0</v>
      </c>
      <c r="BQ682" s="30" t="s">
        <v>2229</v>
      </c>
      <c r="BR682" s="30" t="s">
        <v>365</v>
      </c>
      <c r="BS682" s="30" t="s">
        <v>176</v>
      </c>
      <c r="BT682" s="30" t="s">
        <v>156</v>
      </c>
      <c r="BU682" s="31"/>
      <c r="BV682" s="33" t="s">
        <v>2230</v>
      </c>
      <c r="BW682" s="31"/>
      <c r="BX682" s="31"/>
      <c r="FL682" s="36" t="s">
        <v>2210</v>
      </c>
      <c r="FM682" s="36" t="s">
        <v>260</v>
      </c>
    </row>
    <row r="683" ht="23.25" customHeight="1">
      <c r="A683" s="29">
        <v>44661.82607879629</v>
      </c>
      <c r="B683" s="30" t="s">
        <v>6</v>
      </c>
      <c r="C683" s="30" t="s">
        <v>13</v>
      </c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0" t="s">
        <v>2192</v>
      </c>
      <c r="AY683" s="30" t="s">
        <v>2193</v>
      </c>
      <c r="AZ683" s="30" t="s">
        <v>2231</v>
      </c>
      <c r="BA683" s="30" t="s">
        <v>409</v>
      </c>
      <c r="BB683" s="30" t="s">
        <v>378</v>
      </c>
      <c r="BC683" s="32">
        <v>43647.0</v>
      </c>
      <c r="BD683" s="32">
        <v>43681.0</v>
      </c>
      <c r="BE683" s="32">
        <v>43803.0</v>
      </c>
      <c r="BF683" s="30">
        <v>90.0</v>
      </c>
      <c r="BG683" s="30" t="s">
        <v>1957</v>
      </c>
      <c r="BH683" s="33" t="s">
        <v>2232</v>
      </c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FL683" s="36" t="s">
        <v>2196</v>
      </c>
      <c r="FM683" s="36" t="s">
        <v>382</v>
      </c>
    </row>
    <row r="684" ht="23.25" customHeight="1">
      <c r="A684" s="29">
        <v>44661.82900165509</v>
      </c>
      <c r="B684" s="30" t="s">
        <v>6</v>
      </c>
      <c r="C684" s="30" t="s">
        <v>13</v>
      </c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0" t="s">
        <v>2192</v>
      </c>
      <c r="AY684" s="30" t="s">
        <v>2193</v>
      </c>
      <c r="AZ684" s="30" t="s">
        <v>2233</v>
      </c>
      <c r="BA684" s="30" t="s">
        <v>409</v>
      </c>
      <c r="BB684" s="30" t="s">
        <v>378</v>
      </c>
      <c r="BC684" s="32">
        <v>43501.0</v>
      </c>
      <c r="BD684" s="32">
        <v>43603.0</v>
      </c>
      <c r="BE684" s="32">
        <v>43623.0</v>
      </c>
      <c r="BF684" s="30">
        <v>89.0</v>
      </c>
      <c r="BG684" s="30" t="s">
        <v>1957</v>
      </c>
      <c r="BH684" s="33" t="s">
        <v>2234</v>
      </c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FL684" s="36" t="s">
        <v>2196</v>
      </c>
      <c r="FM684" s="36" t="s">
        <v>382</v>
      </c>
    </row>
    <row r="685" ht="23.25" customHeight="1">
      <c r="A685" s="29">
        <v>44661.82924200231</v>
      </c>
      <c r="B685" s="30" t="s">
        <v>6</v>
      </c>
      <c r="C685" s="30" t="s">
        <v>13</v>
      </c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0" t="s">
        <v>2187</v>
      </c>
      <c r="AY685" s="30" t="s">
        <v>2188</v>
      </c>
      <c r="AZ685" s="30" t="s">
        <v>1263</v>
      </c>
      <c r="BA685" s="30" t="s">
        <v>377</v>
      </c>
      <c r="BB685" s="30" t="s">
        <v>495</v>
      </c>
      <c r="BC685" s="32">
        <v>43933.0</v>
      </c>
      <c r="BD685" s="32">
        <v>43963.0</v>
      </c>
      <c r="BE685" s="32">
        <v>43965.0</v>
      </c>
      <c r="BF685" s="30">
        <v>92.0</v>
      </c>
      <c r="BG685" s="30" t="s">
        <v>2235</v>
      </c>
      <c r="BH685" s="33" t="s">
        <v>2236</v>
      </c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FL685" s="36" t="s">
        <v>2191</v>
      </c>
      <c r="FM685" s="36" t="s">
        <v>341</v>
      </c>
    </row>
    <row r="686" ht="23.25" customHeight="1">
      <c r="A686" s="29">
        <v>44661.82951105324</v>
      </c>
      <c r="B686" s="30" t="s">
        <v>6</v>
      </c>
      <c r="C686" s="30" t="s">
        <v>12</v>
      </c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0" t="s">
        <v>2205</v>
      </c>
      <c r="AO686" s="30" t="s">
        <v>2206</v>
      </c>
      <c r="AP686" s="30" t="s">
        <v>2237</v>
      </c>
      <c r="AQ686" s="30">
        <v>6.0</v>
      </c>
      <c r="AR686" s="32">
        <v>44123.0</v>
      </c>
      <c r="AS686" s="32">
        <v>44305.0</v>
      </c>
      <c r="AT686" s="30" t="s">
        <v>257</v>
      </c>
      <c r="AU686" s="30" t="s">
        <v>257</v>
      </c>
      <c r="AV686" s="30">
        <v>0.0</v>
      </c>
      <c r="AW686" s="33" t="s">
        <v>2238</v>
      </c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FL686" s="36" t="s">
        <v>2210</v>
      </c>
      <c r="FM686" s="36" t="s">
        <v>260</v>
      </c>
    </row>
    <row r="687" ht="23.25" customHeight="1">
      <c r="A687" s="29">
        <v>44661.83048130787</v>
      </c>
      <c r="B687" s="30" t="s">
        <v>6</v>
      </c>
      <c r="C687" s="30" t="s">
        <v>20</v>
      </c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DX687" s="36" t="s">
        <v>2187</v>
      </c>
      <c r="DY687" s="36" t="s">
        <v>2188</v>
      </c>
      <c r="DZ687" s="36" t="s">
        <v>313</v>
      </c>
      <c r="EA687" s="36" t="s">
        <v>2239</v>
      </c>
      <c r="EB687" s="37">
        <v>44492.0</v>
      </c>
      <c r="EC687" s="36" t="s">
        <v>2220</v>
      </c>
      <c r="ED687" s="38" t="s">
        <v>2240</v>
      </c>
      <c r="FL687" s="36" t="s">
        <v>2191</v>
      </c>
      <c r="FM687" s="36" t="s">
        <v>260</v>
      </c>
    </row>
    <row r="688" ht="23.25" customHeight="1">
      <c r="A688" s="29">
        <v>44661.831177789354</v>
      </c>
      <c r="B688" s="30" t="s">
        <v>6</v>
      </c>
      <c r="C688" s="30" t="s">
        <v>13</v>
      </c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0" t="s">
        <v>2241</v>
      </c>
      <c r="AY688" s="30" t="s">
        <v>2188</v>
      </c>
      <c r="AZ688" s="30" t="s">
        <v>2242</v>
      </c>
      <c r="BA688" s="30" t="s">
        <v>377</v>
      </c>
      <c r="BB688" s="30" t="s">
        <v>495</v>
      </c>
      <c r="BC688" s="32">
        <v>43847.0</v>
      </c>
      <c r="BD688" s="32">
        <v>43907.0</v>
      </c>
      <c r="BE688" s="32">
        <v>43879.0</v>
      </c>
      <c r="BF688" s="30">
        <v>94.0</v>
      </c>
      <c r="BG688" s="30" t="s">
        <v>2235</v>
      </c>
      <c r="BH688" s="33" t="s">
        <v>2243</v>
      </c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FL688" s="36" t="s">
        <v>2191</v>
      </c>
      <c r="FM688" s="36" t="s">
        <v>323</v>
      </c>
    </row>
    <row r="689" ht="23.25" customHeight="1">
      <c r="A689" s="29">
        <v>44661.83166755787</v>
      </c>
      <c r="B689" s="30" t="s">
        <v>6</v>
      </c>
      <c r="C689" s="30" t="s">
        <v>14</v>
      </c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0" t="s">
        <v>2244</v>
      </c>
      <c r="BJ689" s="30" t="s">
        <v>2245</v>
      </c>
      <c r="BK689" s="30" t="s">
        <v>171</v>
      </c>
      <c r="BL689" s="30" t="s">
        <v>172</v>
      </c>
      <c r="BM689" s="30" t="s">
        <v>2246</v>
      </c>
      <c r="BN689" s="30">
        <v>1.0</v>
      </c>
      <c r="BO689" s="32">
        <v>43970.0</v>
      </c>
      <c r="BP689" s="32">
        <v>43970.0</v>
      </c>
      <c r="BQ689" s="30" t="s">
        <v>2247</v>
      </c>
      <c r="BR689" s="30" t="s">
        <v>2248</v>
      </c>
      <c r="BS689" s="30" t="s">
        <v>176</v>
      </c>
      <c r="BT689" s="30" t="s">
        <v>156</v>
      </c>
      <c r="BU689" s="31"/>
      <c r="BV689" s="33" t="s">
        <v>2249</v>
      </c>
      <c r="BW689" s="31"/>
      <c r="BX689" s="31"/>
      <c r="FL689" s="36" t="s">
        <v>2210</v>
      </c>
      <c r="FM689" s="36" t="s">
        <v>260</v>
      </c>
    </row>
    <row r="690" ht="23.25" customHeight="1">
      <c r="A690" s="29">
        <v>44661.83239384259</v>
      </c>
      <c r="B690" s="30" t="s">
        <v>6</v>
      </c>
      <c r="C690" s="30" t="s">
        <v>12</v>
      </c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0" t="s">
        <v>2187</v>
      </c>
      <c r="AO690" s="30" t="s">
        <v>2188</v>
      </c>
      <c r="AP690" s="30" t="s">
        <v>2250</v>
      </c>
      <c r="AQ690" s="30" t="s">
        <v>1786</v>
      </c>
      <c r="AR690" s="32">
        <v>44490.0</v>
      </c>
      <c r="AS690" s="32">
        <v>44561.0</v>
      </c>
      <c r="AT690" s="30" t="s">
        <v>257</v>
      </c>
      <c r="AU690" s="30" t="s">
        <v>257</v>
      </c>
      <c r="AV690" s="30">
        <v>0.0</v>
      </c>
      <c r="AW690" s="33" t="s">
        <v>2251</v>
      </c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FL690" s="36" t="s">
        <v>2191</v>
      </c>
      <c r="FM690" s="36" t="s">
        <v>260</v>
      </c>
    </row>
    <row r="691" ht="23.25" customHeight="1">
      <c r="A691" s="29">
        <v>44661.83284320602</v>
      </c>
      <c r="B691" s="30" t="s">
        <v>6</v>
      </c>
      <c r="C691" s="30" t="s">
        <v>14</v>
      </c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0" t="s">
        <v>2192</v>
      </c>
      <c r="BJ691" s="30" t="s">
        <v>2193</v>
      </c>
      <c r="BK691" s="30" t="s">
        <v>159</v>
      </c>
      <c r="BL691" s="30" t="s">
        <v>1288</v>
      </c>
      <c r="BM691" s="30" t="s">
        <v>2014</v>
      </c>
      <c r="BN691" s="30">
        <v>3.0</v>
      </c>
      <c r="BO691" s="32">
        <v>44037.0</v>
      </c>
      <c r="BP691" s="32">
        <v>44040.0</v>
      </c>
      <c r="BQ691" s="30" t="s">
        <v>1045</v>
      </c>
      <c r="BR691" s="30" t="s">
        <v>1886</v>
      </c>
      <c r="BS691" s="30" t="s">
        <v>176</v>
      </c>
      <c r="BT691" s="30" t="s">
        <v>156</v>
      </c>
      <c r="BU691" s="31"/>
      <c r="BV691" s="33" t="s">
        <v>2252</v>
      </c>
      <c r="BW691" s="31"/>
      <c r="BX691" s="31"/>
      <c r="FL691" s="36" t="s">
        <v>2253</v>
      </c>
      <c r="FM691" s="36" t="s">
        <v>323</v>
      </c>
    </row>
    <row r="692" ht="23.25" customHeight="1">
      <c r="A692" s="29">
        <v>44661.833246759255</v>
      </c>
      <c r="B692" s="30" t="s">
        <v>6</v>
      </c>
      <c r="C692" s="30" t="s">
        <v>13</v>
      </c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0" t="s">
        <v>2241</v>
      </c>
      <c r="AY692" s="30" t="s">
        <v>2188</v>
      </c>
      <c r="AZ692" s="30" t="s">
        <v>1193</v>
      </c>
      <c r="BA692" s="30" t="s">
        <v>377</v>
      </c>
      <c r="BB692" s="30" t="s">
        <v>495</v>
      </c>
      <c r="BC692" s="32">
        <v>43645.0</v>
      </c>
      <c r="BD692" s="32">
        <v>43675.0</v>
      </c>
      <c r="BE692" s="32">
        <v>43676.0</v>
      </c>
      <c r="BF692" s="30">
        <v>93.0</v>
      </c>
      <c r="BG692" s="30" t="s">
        <v>379</v>
      </c>
      <c r="BH692" s="33" t="s">
        <v>2254</v>
      </c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FL692" s="36" t="s">
        <v>2191</v>
      </c>
      <c r="FM692" s="36" t="s">
        <v>555</v>
      </c>
    </row>
    <row r="693" ht="23.25" customHeight="1">
      <c r="A693" s="29">
        <v>44661.83455506944</v>
      </c>
      <c r="B693" s="30" t="s">
        <v>6</v>
      </c>
      <c r="C693" s="30" t="s">
        <v>13</v>
      </c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0" t="s">
        <v>2187</v>
      </c>
      <c r="AY693" s="30" t="s">
        <v>2188</v>
      </c>
      <c r="AZ693" s="30" t="s">
        <v>2255</v>
      </c>
      <c r="BA693" s="30" t="s">
        <v>2256</v>
      </c>
      <c r="BB693" s="30" t="s">
        <v>2257</v>
      </c>
      <c r="BC693" s="32">
        <v>44540.0</v>
      </c>
      <c r="BD693" s="32">
        <v>44566.0</v>
      </c>
      <c r="BE693" s="32">
        <v>44658.0</v>
      </c>
      <c r="BF693" s="30">
        <v>95.0</v>
      </c>
      <c r="BG693" s="30" t="s">
        <v>1231</v>
      </c>
      <c r="BH693" s="33" t="s">
        <v>2258</v>
      </c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FL693" s="36" t="s">
        <v>2191</v>
      </c>
      <c r="FM693" s="36" t="s">
        <v>260</v>
      </c>
    </row>
    <row r="694" ht="23.25" customHeight="1">
      <c r="A694" s="29">
        <v>44661.83541127315</v>
      </c>
      <c r="B694" s="30" t="s">
        <v>6</v>
      </c>
      <c r="C694" s="30" t="s">
        <v>14</v>
      </c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0" t="s">
        <v>2205</v>
      </c>
      <c r="BJ694" s="30" t="s">
        <v>2206</v>
      </c>
      <c r="BK694" s="30" t="s">
        <v>171</v>
      </c>
      <c r="BL694" s="30" t="s">
        <v>172</v>
      </c>
      <c r="BM694" s="30" t="s">
        <v>2259</v>
      </c>
      <c r="BN694" s="30">
        <v>1.0</v>
      </c>
      <c r="BO694" s="32">
        <v>43972.0</v>
      </c>
      <c r="BP694" s="32">
        <v>43972.0</v>
      </c>
      <c r="BQ694" s="30" t="s">
        <v>2260</v>
      </c>
      <c r="BR694" s="30" t="s">
        <v>2248</v>
      </c>
      <c r="BS694" s="30" t="s">
        <v>176</v>
      </c>
      <c r="BT694" s="30" t="s">
        <v>156</v>
      </c>
      <c r="BU694" s="31"/>
      <c r="BV694" s="33" t="s">
        <v>2261</v>
      </c>
      <c r="BW694" s="31"/>
      <c r="BX694" s="31"/>
      <c r="FL694" s="36" t="s">
        <v>2210</v>
      </c>
      <c r="FM694" s="36" t="s">
        <v>260</v>
      </c>
    </row>
    <row r="695" ht="23.25" customHeight="1">
      <c r="A695" s="29">
        <v>44661.83546320602</v>
      </c>
      <c r="B695" s="30" t="s">
        <v>6</v>
      </c>
      <c r="C695" s="30" t="s">
        <v>13</v>
      </c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0" t="s">
        <v>2241</v>
      </c>
      <c r="AY695" s="30" t="s">
        <v>2188</v>
      </c>
      <c r="AZ695" s="30" t="s">
        <v>2262</v>
      </c>
      <c r="BA695" s="30" t="s">
        <v>1434</v>
      </c>
      <c r="BB695" s="30" t="s">
        <v>495</v>
      </c>
      <c r="BC695" s="32">
        <v>43586.0</v>
      </c>
      <c r="BD695" s="32">
        <v>43617.0</v>
      </c>
      <c r="BE695" s="32">
        <v>43618.0</v>
      </c>
      <c r="BF695" s="30">
        <v>95.0</v>
      </c>
      <c r="BG695" s="30" t="s">
        <v>2263</v>
      </c>
      <c r="BH695" s="33" t="s">
        <v>2264</v>
      </c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FL695" s="36" t="s">
        <v>2191</v>
      </c>
      <c r="FM695" s="36" t="s">
        <v>555</v>
      </c>
    </row>
    <row r="696" ht="23.25" customHeight="1">
      <c r="A696" s="29">
        <v>44661.836151180556</v>
      </c>
      <c r="B696" s="30" t="s">
        <v>6</v>
      </c>
      <c r="C696" s="30" t="s">
        <v>13</v>
      </c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0" t="s">
        <v>2187</v>
      </c>
      <c r="AY696" s="30" t="s">
        <v>2188</v>
      </c>
      <c r="AZ696" s="30" t="s">
        <v>1174</v>
      </c>
      <c r="BA696" s="30" t="s">
        <v>2256</v>
      </c>
      <c r="BB696" s="30" t="s">
        <v>2265</v>
      </c>
      <c r="BC696" s="32">
        <v>44511.0</v>
      </c>
      <c r="BD696" s="32">
        <v>44538.0</v>
      </c>
      <c r="BE696" s="32">
        <v>44542.0</v>
      </c>
      <c r="BF696" s="30">
        <v>96.0</v>
      </c>
      <c r="BG696" s="30" t="s">
        <v>1231</v>
      </c>
      <c r="BH696" s="33" t="s">
        <v>2266</v>
      </c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FL696" s="36" t="s">
        <v>2191</v>
      </c>
      <c r="FM696" s="36" t="s">
        <v>260</v>
      </c>
    </row>
    <row r="697" ht="23.25" customHeight="1">
      <c r="A697" s="29">
        <v>44661.83736310185</v>
      </c>
      <c r="B697" s="30" t="s">
        <v>6</v>
      </c>
      <c r="C697" s="30" t="s">
        <v>13</v>
      </c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0" t="s">
        <v>2241</v>
      </c>
      <c r="AY697" s="30" t="s">
        <v>2188</v>
      </c>
      <c r="AZ697" s="30" t="s">
        <v>2267</v>
      </c>
      <c r="BA697" s="30" t="s">
        <v>377</v>
      </c>
      <c r="BB697" s="30" t="s">
        <v>495</v>
      </c>
      <c r="BC697" s="32">
        <v>44337.0</v>
      </c>
      <c r="BD697" s="32">
        <v>44368.0</v>
      </c>
      <c r="BE697" s="32">
        <v>44369.0</v>
      </c>
      <c r="BF697" s="30">
        <v>95.0</v>
      </c>
      <c r="BG697" s="30" t="s">
        <v>2263</v>
      </c>
      <c r="BH697" s="33" t="s">
        <v>2268</v>
      </c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FL697" s="36" t="s">
        <v>2191</v>
      </c>
      <c r="FM697" s="36" t="s">
        <v>283</v>
      </c>
    </row>
    <row r="698" ht="23.25" customHeight="1">
      <c r="A698" s="29">
        <v>44661.83886427083</v>
      </c>
      <c r="B698" s="30" t="s">
        <v>6</v>
      </c>
      <c r="C698" s="30" t="s">
        <v>14</v>
      </c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0" t="s">
        <v>2205</v>
      </c>
      <c r="BJ698" s="30" t="s">
        <v>2206</v>
      </c>
      <c r="BK698" s="30" t="s">
        <v>159</v>
      </c>
      <c r="BL698" s="30" t="s">
        <v>1288</v>
      </c>
      <c r="BM698" s="30" t="s">
        <v>2269</v>
      </c>
      <c r="BN698" s="30">
        <v>2.0</v>
      </c>
      <c r="BO698" s="32">
        <v>43694.0</v>
      </c>
      <c r="BP698" s="32">
        <v>43695.0</v>
      </c>
      <c r="BQ698" s="30" t="s">
        <v>1499</v>
      </c>
      <c r="BR698" s="30" t="s">
        <v>2248</v>
      </c>
      <c r="BS698" s="30" t="s">
        <v>176</v>
      </c>
      <c r="BT698" s="30" t="s">
        <v>632</v>
      </c>
      <c r="BU698" s="31"/>
      <c r="BV698" s="33" t="s">
        <v>2270</v>
      </c>
      <c r="BW698" s="31"/>
      <c r="BX698" s="31"/>
      <c r="FL698" s="36" t="s">
        <v>2210</v>
      </c>
      <c r="FM698" s="36" t="s">
        <v>260</v>
      </c>
    </row>
    <row r="699" ht="23.25" customHeight="1">
      <c r="A699" s="29">
        <v>44661.83913978009</v>
      </c>
      <c r="B699" s="30" t="s">
        <v>6</v>
      </c>
      <c r="C699" s="30" t="s">
        <v>13</v>
      </c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0" t="s">
        <v>2241</v>
      </c>
      <c r="AY699" s="30" t="s">
        <v>2188</v>
      </c>
      <c r="AZ699" s="30" t="s">
        <v>2271</v>
      </c>
      <c r="BA699" s="30" t="s">
        <v>1434</v>
      </c>
      <c r="BB699" s="30" t="s">
        <v>495</v>
      </c>
      <c r="BC699" s="32">
        <v>44303.0</v>
      </c>
      <c r="BD699" s="32">
        <v>44333.0</v>
      </c>
      <c r="BE699" s="32">
        <v>44334.0</v>
      </c>
      <c r="BF699" s="30">
        <v>96.0</v>
      </c>
      <c r="BG699" s="30" t="s">
        <v>2272</v>
      </c>
      <c r="BH699" s="33" t="s">
        <v>2273</v>
      </c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FL699" s="36" t="s">
        <v>2191</v>
      </c>
      <c r="FM699" s="36" t="s">
        <v>283</v>
      </c>
    </row>
    <row r="700" ht="23.25" customHeight="1">
      <c r="A700" s="29">
        <v>44661.83952814815</v>
      </c>
      <c r="B700" s="30" t="s">
        <v>6</v>
      </c>
      <c r="C700" s="30" t="s">
        <v>20</v>
      </c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DX700" s="36" t="s">
        <v>2187</v>
      </c>
      <c r="DY700" s="36" t="s">
        <v>2188</v>
      </c>
      <c r="DZ700" s="36" t="s">
        <v>171</v>
      </c>
      <c r="EA700" s="36" t="s">
        <v>2274</v>
      </c>
      <c r="EB700" s="37">
        <v>44519.0</v>
      </c>
      <c r="EC700" s="36" t="s">
        <v>2275</v>
      </c>
      <c r="ED700" s="38" t="s">
        <v>2276</v>
      </c>
      <c r="FL700" s="36" t="s">
        <v>2191</v>
      </c>
      <c r="FM700" s="36" t="s">
        <v>260</v>
      </c>
    </row>
    <row r="701" ht="23.25" customHeight="1">
      <c r="A701" s="29">
        <v>44661.84041068287</v>
      </c>
      <c r="B701" s="30" t="s">
        <v>8</v>
      </c>
      <c r="C701" s="30" t="s">
        <v>12</v>
      </c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0" t="s">
        <v>2277</v>
      </c>
      <c r="AO701" s="30" t="s">
        <v>2278</v>
      </c>
      <c r="AP701" s="30" t="s">
        <v>2131</v>
      </c>
      <c r="AQ701" s="30" t="s">
        <v>507</v>
      </c>
      <c r="AR701" s="32">
        <v>44470.0</v>
      </c>
      <c r="AS701" s="32">
        <v>44531.0</v>
      </c>
      <c r="AT701" s="30" t="s">
        <v>257</v>
      </c>
      <c r="AU701" s="30" t="s">
        <v>257</v>
      </c>
      <c r="AV701" s="30">
        <v>0.0</v>
      </c>
      <c r="AW701" s="33" t="s">
        <v>2279</v>
      </c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FL701" s="36" t="s">
        <v>2280</v>
      </c>
      <c r="FM701" s="36" t="s">
        <v>555</v>
      </c>
    </row>
    <row r="702" ht="23.25" customHeight="1">
      <c r="A702" s="29">
        <v>44661.84051195602</v>
      </c>
      <c r="B702" s="30" t="s">
        <v>6</v>
      </c>
      <c r="C702" s="30" t="s">
        <v>20</v>
      </c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DX702" s="36" t="s">
        <v>2205</v>
      </c>
      <c r="DY702" s="36" t="s">
        <v>2206</v>
      </c>
      <c r="DZ702" s="36" t="s">
        <v>150</v>
      </c>
      <c r="EA702" s="36" t="s">
        <v>2281</v>
      </c>
      <c r="EB702" s="37">
        <v>43525.0</v>
      </c>
      <c r="EC702" s="36" t="s">
        <v>2208</v>
      </c>
      <c r="ED702" s="38" t="s">
        <v>2282</v>
      </c>
      <c r="FL702" s="36" t="s">
        <v>2210</v>
      </c>
      <c r="FM702" s="36" t="s">
        <v>260</v>
      </c>
    </row>
    <row r="703" ht="23.25" customHeight="1">
      <c r="A703" s="29">
        <v>44661.84113954861</v>
      </c>
      <c r="B703" s="30" t="s">
        <v>6</v>
      </c>
      <c r="C703" s="30" t="s">
        <v>13</v>
      </c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0" t="s">
        <v>2241</v>
      </c>
      <c r="AY703" s="30" t="s">
        <v>2188</v>
      </c>
      <c r="AZ703" s="30" t="s">
        <v>2283</v>
      </c>
      <c r="BA703" s="30" t="s">
        <v>377</v>
      </c>
      <c r="BB703" s="30" t="s">
        <v>1258</v>
      </c>
      <c r="BC703" s="32">
        <v>44186.0</v>
      </c>
      <c r="BD703" s="32">
        <v>44217.0</v>
      </c>
      <c r="BE703" s="32">
        <v>44218.0</v>
      </c>
      <c r="BF703" s="30">
        <v>96.0</v>
      </c>
      <c r="BG703" s="30" t="s">
        <v>2263</v>
      </c>
      <c r="BH703" s="33" t="s">
        <v>2284</v>
      </c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FL703" s="36" t="s">
        <v>2191</v>
      </c>
      <c r="FM703" s="36" t="s">
        <v>283</v>
      </c>
    </row>
    <row r="704" ht="23.25" customHeight="1">
      <c r="A704" s="29">
        <v>44661.84237315972</v>
      </c>
      <c r="B704" s="30" t="s">
        <v>6</v>
      </c>
      <c r="C704" s="30" t="s">
        <v>20</v>
      </c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DX704" s="36" t="s">
        <v>2205</v>
      </c>
      <c r="DY704" s="36" t="s">
        <v>2206</v>
      </c>
      <c r="DZ704" s="36" t="s">
        <v>150</v>
      </c>
      <c r="EA704" s="36" t="s">
        <v>2285</v>
      </c>
      <c r="EB704" s="37">
        <v>43358.0</v>
      </c>
      <c r="EC704" s="36" t="s">
        <v>2208</v>
      </c>
      <c r="ED704" s="38" t="s">
        <v>2286</v>
      </c>
      <c r="FL704" s="36" t="s">
        <v>2210</v>
      </c>
      <c r="FM704" s="36" t="s">
        <v>260</v>
      </c>
    </row>
    <row r="705" ht="23.25" customHeight="1">
      <c r="A705" s="29">
        <v>44661.84358035879</v>
      </c>
      <c r="B705" s="30" t="s">
        <v>6</v>
      </c>
      <c r="C705" s="30" t="s">
        <v>13</v>
      </c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0" t="s">
        <v>2241</v>
      </c>
      <c r="AY705" s="30" t="s">
        <v>2188</v>
      </c>
      <c r="AZ705" s="30" t="s">
        <v>2287</v>
      </c>
      <c r="BA705" s="30" t="s">
        <v>1434</v>
      </c>
      <c r="BB705" s="30" t="s">
        <v>882</v>
      </c>
      <c r="BC705" s="32">
        <v>43957.0</v>
      </c>
      <c r="BD705" s="32">
        <v>43988.0</v>
      </c>
      <c r="BE705" s="32">
        <v>43989.0</v>
      </c>
      <c r="BF705" s="30">
        <v>92.0</v>
      </c>
      <c r="BG705" s="30" t="s">
        <v>2263</v>
      </c>
      <c r="BH705" s="33" t="s">
        <v>2288</v>
      </c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FL705" s="36" t="s">
        <v>2191</v>
      </c>
      <c r="FM705" s="36" t="s">
        <v>341</v>
      </c>
    </row>
    <row r="706" ht="23.25" customHeight="1">
      <c r="A706" s="29">
        <v>44661.84382938658</v>
      </c>
      <c r="B706" s="30" t="s">
        <v>6</v>
      </c>
      <c r="C706" s="30" t="s">
        <v>20</v>
      </c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DX706" s="36" t="s">
        <v>2187</v>
      </c>
      <c r="DY706" s="36" t="s">
        <v>2188</v>
      </c>
      <c r="DZ706" s="36" t="s">
        <v>150</v>
      </c>
      <c r="EA706" s="36" t="s">
        <v>2289</v>
      </c>
      <c r="EB706" s="37">
        <v>43757.0</v>
      </c>
      <c r="EC706" s="36" t="s">
        <v>2220</v>
      </c>
      <c r="ED706" s="38" t="s">
        <v>2290</v>
      </c>
      <c r="FL706" s="36" t="s">
        <v>2191</v>
      </c>
      <c r="FM706" s="36" t="s">
        <v>260</v>
      </c>
    </row>
    <row r="707" ht="23.25" customHeight="1">
      <c r="A707" s="29">
        <v>44661.84393342593</v>
      </c>
      <c r="B707" s="30" t="s">
        <v>6</v>
      </c>
      <c r="C707" s="30" t="s">
        <v>14</v>
      </c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0" t="s">
        <v>2205</v>
      </c>
      <c r="BJ707" s="30" t="s">
        <v>2206</v>
      </c>
      <c r="BK707" s="30" t="s">
        <v>150</v>
      </c>
      <c r="BL707" s="30" t="s">
        <v>1288</v>
      </c>
      <c r="BM707" s="30" t="s">
        <v>2291</v>
      </c>
      <c r="BN707" s="30">
        <v>2.0</v>
      </c>
      <c r="BO707" s="32">
        <v>43505.0</v>
      </c>
      <c r="BP707" s="32">
        <v>43506.0</v>
      </c>
      <c r="BQ707" s="30" t="s">
        <v>2208</v>
      </c>
      <c r="BR707" s="30" t="s">
        <v>2292</v>
      </c>
      <c r="BS707" s="30" t="s">
        <v>276</v>
      </c>
      <c r="BT707" s="30" t="s">
        <v>632</v>
      </c>
      <c r="BU707" s="31"/>
      <c r="BV707" s="33" t="s">
        <v>2293</v>
      </c>
      <c r="BW707" s="31"/>
      <c r="BX707" s="31"/>
      <c r="FL707" s="36" t="s">
        <v>2210</v>
      </c>
      <c r="FM707" s="36" t="s">
        <v>260</v>
      </c>
    </row>
    <row r="708" ht="23.25" customHeight="1">
      <c r="A708" s="29">
        <v>44661.84524480324</v>
      </c>
      <c r="B708" s="30" t="s">
        <v>6</v>
      </c>
      <c r="C708" s="30" t="s">
        <v>20</v>
      </c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DX708" s="36" t="s">
        <v>2187</v>
      </c>
      <c r="DY708" s="36" t="s">
        <v>2188</v>
      </c>
      <c r="DZ708" s="36" t="s">
        <v>171</v>
      </c>
      <c r="EA708" s="36" t="s">
        <v>2294</v>
      </c>
      <c r="EB708" s="37">
        <v>44128.0</v>
      </c>
      <c r="EC708" s="36" t="s">
        <v>2220</v>
      </c>
      <c r="ED708" s="38" t="s">
        <v>2295</v>
      </c>
      <c r="FL708" s="36" t="s">
        <v>2191</v>
      </c>
      <c r="FM708" s="36" t="s">
        <v>260</v>
      </c>
    </row>
    <row r="709" ht="23.25" customHeight="1">
      <c r="A709" s="29">
        <v>44661.84581841435</v>
      </c>
      <c r="B709" s="30" t="s">
        <v>6</v>
      </c>
      <c r="C709" s="30" t="s">
        <v>20</v>
      </c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DX709" s="36" t="s">
        <v>2205</v>
      </c>
      <c r="DY709" s="36" t="s">
        <v>2206</v>
      </c>
      <c r="DZ709" s="36" t="s">
        <v>159</v>
      </c>
      <c r="EA709" s="36" t="s">
        <v>2296</v>
      </c>
      <c r="EB709" s="37">
        <v>43532.0</v>
      </c>
      <c r="EC709" s="36" t="s">
        <v>2208</v>
      </c>
      <c r="ED709" s="38" t="s">
        <v>2297</v>
      </c>
      <c r="FL709" s="36" t="s">
        <v>2210</v>
      </c>
      <c r="FM709" s="36" t="s">
        <v>260</v>
      </c>
    </row>
    <row r="710" ht="23.25" customHeight="1">
      <c r="A710" s="29">
        <v>44661.84647668981</v>
      </c>
      <c r="B710" s="30" t="s">
        <v>6</v>
      </c>
      <c r="C710" s="30" t="s">
        <v>13</v>
      </c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0" t="s">
        <v>2241</v>
      </c>
      <c r="AY710" s="30" t="s">
        <v>2188</v>
      </c>
      <c r="AZ710" s="30" t="s">
        <v>2298</v>
      </c>
      <c r="BA710" s="30" t="s">
        <v>1434</v>
      </c>
      <c r="BB710" s="30" t="s">
        <v>882</v>
      </c>
      <c r="BC710" s="32">
        <v>43989.0</v>
      </c>
      <c r="BD710" s="32">
        <v>44019.0</v>
      </c>
      <c r="BE710" s="32">
        <v>44020.0</v>
      </c>
      <c r="BF710" s="30">
        <v>95.0</v>
      </c>
      <c r="BG710" s="30" t="s">
        <v>379</v>
      </c>
      <c r="BH710" s="33" t="s">
        <v>2299</v>
      </c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FL710" s="36" t="s">
        <v>2191</v>
      </c>
      <c r="FM710" s="36" t="s">
        <v>341</v>
      </c>
    </row>
    <row r="711" ht="23.25" customHeight="1">
      <c r="A711" s="29">
        <v>44661.84693050926</v>
      </c>
      <c r="B711" s="30" t="s">
        <v>6</v>
      </c>
      <c r="C711" s="30" t="s">
        <v>14</v>
      </c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0" t="s">
        <v>2187</v>
      </c>
      <c r="BJ711" s="30" t="s">
        <v>2188</v>
      </c>
      <c r="BK711" s="30" t="s">
        <v>171</v>
      </c>
      <c r="BL711" s="30" t="s">
        <v>1288</v>
      </c>
      <c r="BM711" s="30" t="s">
        <v>2300</v>
      </c>
      <c r="BN711" s="30">
        <v>5.0</v>
      </c>
      <c r="BO711" s="32">
        <v>44092.0</v>
      </c>
      <c r="BP711" s="32">
        <v>44462.0</v>
      </c>
      <c r="BQ711" s="30" t="s">
        <v>2301</v>
      </c>
      <c r="BR711" s="30" t="s">
        <v>2213</v>
      </c>
      <c r="BS711" s="30" t="s">
        <v>176</v>
      </c>
      <c r="BT711" s="30" t="s">
        <v>156</v>
      </c>
      <c r="BU711" s="31"/>
      <c r="BV711" s="33" t="s">
        <v>2302</v>
      </c>
      <c r="BW711" s="31"/>
      <c r="BX711" s="31"/>
      <c r="FL711" s="36" t="s">
        <v>2191</v>
      </c>
      <c r="FM711" s="36" t="s">
        <v>260</v>
      </c>
    </row>
    <row r="712" ht="23.25" customHeight="1">
      <c r="A712" s="29">
        <v>44661.84822833333</v>
      </c>
      <c r="B712" s="30" t="s">
        <v>6</v>
      </c>
      <c r="C712" s="30" t="s">
        <v>20</v>
      </c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DX712" s="36" t="s">
        <v>2187</v>
      </c>
      <c r="DY712" s="36" t="s">
        <v>2188</v>
      </c>
      <c r="DZ712" s="36" t="s">
        <v>159</v>
      </c>
      <c r="EA712" s="36" t="s">
        <v>2303</v>
      </c>
      <c r="EB712" s="37">
        <v>43937.0</v>
      </c>
      <c r="EC712" s="36" t="s">
        <v>2304</v>
      </c>
      <c r="ED712" s="38" t="s">
        <v>2305</v>
      </c>
      <c r="FL712" s="36" t="s">
        <v>2191</v>
      </c>
      <c r="FM712" s="36" t="s">
        <v>260</v>
      </c>
    </row>
    <row r="713" ht="23.25" customHeight="1">
      <c r="A713" s="29">
        <v>44661.851909398145</v>
      </c>
      <c r="B713" s="30" t="s">
        <v>6</v>
      </c>
      <c r="C713" s="30" t="s">
        <v>13</v>
      </c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0" t="s">
        <v>747</v>
      </c>
      <c r="AY713" s="30" t="s">
        <v>748</v>
      </c>
      <c r="AZ713" s="30" t="s">
        <v>1946</v>
      </c>
      <c r="BA713" s="30" t="s">
        <v>409</v>
      </c>
      <c r="BB713" s="30" t="s">
        <v>417</v>
      </c>
      <c r="BC713" s="32">
        <v>43835.0</v>
      </c>
      <c r="BD713" s="32">
        <v>43895.0</v>
      </c>
      <c r="BE713" s="32">
        <v>43920.0</v>
      </c>
      <c r="BF713" s="39">
        <v>0.9</v>
      </c>
      <c r="BG713" s="30" t="s">
        <v>1957</v>
      </c>
      <c r="BH713" s="33" t="s">
        <v>2306</v>
      </c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FL713" s="36" t="s">
        <v>751</v>
      </c>
      <c r="FM713" s="36" t="s">
        <v>260</v>
      </c>
    </row>
    <row r="714" ht="23.25" customHeight="1">
      <c r="A714" s="29">
        <v>44661.85472682871</v>
      </c>
      <c r="B714" s="30" t="s">
        <v>6</v>
      </c>
      <c r="C714" s="30" t="s">
        <v>13</v>
      </c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0" t="s">
        <v>757</v>
      </c>
      <c r="AY714" s="30" t="s">
        <v>748</v>
      </c>
      <c r="AZ714" s="30" t="s">
        <v>351</v>
      </c>
      <c r="BA714" s="30" t="s">
        <v>377</v>
      </c>
      <c r="BB714" s="30" t="s">
        <v>417</v>
      </c>
      <c r="BC714" s="32">
        <v>43590.0</v>
      </c>
      <c r="BD714" s="32">
        <v>43651.0</v>
      </c>
      <c r="BE714" s="32">
        <v>43666.0</v>
      </c>
      <c r="BF714" s="39">
        <v>0.9</v>
      </c>
      <c r="BG714" s="30" t="s">
        <v>2307</v>
      </c>
      <c r="BH714" s="33" t="s">
        <v>2308</v>
      </c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FL714" s="36" t="s">
        <v>751</v>
      </c>
      <c r="FM714" s="36" t="s">
        <v>260</v>
      </c>
    </row>
    <row r="715" ht="23.25" customHeight="1">
      <c r="A715" s="29">
        <v>44661.85979207176</v>
      </c>
      <c r="B715" s="30" t="s">
        <v>6</v>
      </c>
      <c r="C715" s="30" t="s">
        <v>13</v>
      </c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0" t="s">
        <v>747</v>
      </c>
      <c r="AY715" s="30" t="s">
        <v>748</v>
      </c>
      <c r="AZ715" s="30" t="s">
        <v>1263</v>
      </c>
      <c r="BA715" s="30" t="s">
        <v>377</v>
      </c>
      <c r="BB715" s="30" t="s">
        <v>410</v>
      </c>
      <c r="BC715" s="32">
        <v>43933.0</v>
      </c>
      <c r="BD715" s="32">
        <v>43963.0</v>
      </c>
      <c r="BE715" s="32">
        <v>43965.0</v>
      </c>
      <c r="BF715" s="39">
        <v>90.0</v>
      </c>
      <c r="BG715" s="30" t="s">
        <v>2309</v>
      </c>
      <c r="BH715" s="33" t="s">
        <v>2310</v>
      </c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FL715" s="36" t="s">
        <v>751</v>
      </c>
      <c r="FM715" s="36" t="s">
        <v>260</v>
      </c>
    </row>
    <row r="716" ht="23.25" customHeight="1">
      <c r="A716" s="29">
        <v>44661.86289645833</v>
      </c>
      <c r="B716" s="30" t="s">
        <v>6</v>
      </c>
      <c r="C716" s="30" t="s">
        <v>13</v>
      </c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0" t="s">
        <v>747</v>
      </c>
      <c r="AY716" s="30" t="s">
        <v>748</v>
      </c>
      <c r="AZ716" s="30" t="s">
        <v>2311</v>
      </c>
      <c r="BA716" s="30" t="s">
        <v>377</v>
      </c>
      <c r="BB716" s="30" t="s">
        <v>410</v>
      </c>
      <c r="BC716" s="32">
        <v>43957.0</v>
      </c>
      <c r="BD716" s="32">
        <v>43988.0</v>
      </c>
      <c r="BE716" s="32">
        <v>43989.0</v>
      </c>
      <c r="BF716" s="39">
        <v>90.0</v>
      </c>
      <c r="BG716" s="30" t="s">
        <v>2309</v>
      </c>
      <c r="BH716" s="33" t="s">
        <v>2312</v>
      </c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FL716" s="36" t="s">
        <v>751</v>
      </c>
      <c r="FM716" s="36" t="s">
        <v>260</v>
      </c>
    </row>
    <row r="717" ht="23.25" customHeight="1">
      <c r="A717" s="29">
        <v>44661.863454907405</v>
      </c>
      <c r="B717" s="30" t="s">
        <v>6</v>
      </c>
      <c r="C717" s="30" t="s">
        <v>13</v>
      </c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0" t="s">
        <v>2241</v>
      </c>
      <c r="AY717" s="30" t="s">
        <v>2188</v>
      </c>
      <c r="AZ717" s="30" t="s">
        <v>2069</v>
      </c>
      <c r="BA717" s="30" t="s">
        <v>1434</v>
      </c>
      <c r="BB717" s="30" t="s">
        <v>495</v>
      </c>
      <c r="BC717" s="32">
        <v>44348.0</v>
      </c>
      <c r="BD717" s="32">
        <v>44378.0</v>
      </c>
      <c r="BE717" s="32">
        <v>44379.0</v>
      </c>
      <c r="BF717" s="30">
        <v>96.0</v>
      </c>
      <c r="BG717" s="30" t="s">
        <v>2263</v>
      </c>
      <c r="BH717" s="33" t="s">
        <v>2313</v>
      </c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FL717" s="36" t="s">
        <v>2191</v>
      </c>
      <c r="FM717" s="36" t="s">
        <v>283</v>
      </c>
    </row>
    <row r="718" ht="23.25" customHeight="1">
      <c r="A718" s="29">
        <v>44661.86466237268</v>
      </c>
      <c r="B718" s="30" t="s">
        <v>6</v>
      </c>
      <c r="C718" s="30" t="s">
        <v>13</v>
      </c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0" t="s">
        <v>747</v>
      </c>
      <c r="AY718" s="30" t="s">
        <v>748</v>
      </c>
      <c r="AZ718" s="30" t="s">
        <v>2314</v>
      </c>
      <c r="BA718" s="30" t="s">
        <v>377</v>
      </c>
      <c r="BB718" s="30" t="s">
        <v>410</v>
      </c>
      <c r="BC718" s="32" t="s">
        <v>2315</v>
      </c>
      <c r="BD718" s="32">
        <v>44019.0</v>
      </c>
      <c r="BE718" s="32">
        <v>44020.0</v>
      </c>
      <c r="BF718" s="39">
        <v>90.0</v>
      </c>
      <c r="BG718" s="30" t="s">
        <v>2309</v>
      </c>
      <c r="BH718" s="33" t="s">
        <v>2316</v>
      </c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FL718" s="36" t="s">
        <v>751</v>
      </c>
      <c r="FM718" s="36" t="s">
        <v>260</v>
      </c>
    </row>
    <row r="719" ht="23.25" customHeight="1">
      <c r="A719" s="29">
        <v>44661.86512379629</v>
      </c>
      <c r="B719" s="30" t="s">
        <v>8</v>
      </c>
      <c r="C719" s="30" t="s">
        <v>12</v>
      </c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0" t="s">
        <v>2317</v>
      </c>
      <c r="AO719" s="30" t="s">
        <v>2318</v>
      </c>
      <c r="AP719" s="30" t="s">
        <v>2319</v>
      </c>
      <c r="AQ719" s="30" t="s">
        <v>507</v>
      </c>
      <c r="AR719" s="32">
        <v>44483.0</v>
      </c>
      <c r="AS719" s="32">
        <v>44561.0</v>
      </c>
      <c r="AT719" s="30" t="s">
        <v>257</v>
      </c>
      <c r="AU719" s="30" t="s">
        <v>257</v>
      </c>
      <c r="AV719" s="30">
        <v>0.0</v>
      </c>
      <c r="AW719" s="33" t="s">
        <v>2320</v>
      </c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FL719" s="36" t="s">
        <v>2321</v>
      </c>
      <c r="FM719" s="36" t="s">
        <v>323</v>
      </c>
    </row>
    <row r="720" ht="23.25" customHeight="1">
      <c r="A720" s="29">
        <v>44661.86574890046</v>
      </c>
      <c r="B720" s="30" t="s">
        <v>6</v>
      </c>
      <c r="C720" s="30" t="s">
        <v>13</v>
      </c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0" t="s">
        <v>2241</v>
      </c>
      <c r="AY720" s="30" t="s">
        <v>2188</v>
      </c>
      <c r="AZ720" s="30" t="s">
        <v>2322</v>
      </c>
      <c r="BA720" s="30" t="s">
        <v>377</v>
      </c>
      <c r="BB720" s="30" t="s">
        <v>882</v>
      </c>
      <c r="BC720" s="32">
        <v>43931.0</v>
      </c>
      <c r="BD720" s="32">
        <v>43961.0</v>
      </c>
      <c r="BE720" s="32">
        <v>44327.0</v>
      </c>
      <c r="BF720" s="30">
        <v>95.0</v>
      </c>
      <c r="BG720" s="30" t="s">
        <v>379</v>
      </c>
      <c r="BH720" s="33" t="s">
        <v>2323</v>
      </c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FL720" s="36" t="s">
        <v>2191</v>
      </c>
      <c r="FM720" s="36" t="s">
        <v>341</v>
      </c>
    </row>
    <row r="721" ht="23.25" customHeight="1">
      <c r="A721" s="29">
        <v>44661.867298854166</v>
      </c>
      <c r="B721" s="30" t="s">
        <v>6</v>
      </c>
      <c r="C721" s="30" t="s">
        <v>13</v>
      </c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0" t="s">
        <v>747</v>
      </c>
      <c r="AY721" s="30" t="s">
        <v>748</v>
      </c>
      <c r="AZ721" s="30" t="s">
        <v>502</v>
      </c>
      <c r="BA721" s="30" t="s">
        <v>377</v>
      </c>
      <c r="BB721" s="30" t="s">
        <v>410</v>
      </c>
      <c r="BC721" s="32">
        <v>44328.0</v>
      </c>
      <c r="BD721" s="32">
        <v>44330.0</v>
      </c>
      <c r="BE721" s="32">
        <v>44331.0</v>
      </c>
      <c r="BF721" s="39">
        <v>90.0</v>
      </c>
      <c r="BG721" s="30" t="s">
        <v>2309</v>
      </c>
      <c r="BH721" s="33" t="s">
        <v>2324</v>
      </c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FL721" s="36" t="s">
        <v>751</v>
      </c>
      <c r="FM721" s="36" t="s">
        <v>260</v>
      </c>
    </row>
    <row r="722" ht="23.25" customHeight="1">
      <c r="A722" s="29">
        <v>44661.86885200231</v>
      </c>
      <c r="B722" s="30" t="s">
        <v>6</v>
      </c>
      <c r="C722" s="30" t="s">
        <v>13</v>
      </c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0" t="s">
        <v>747</v>
      </c>
      <c r="AY722" s="30" t="s">
        <v>748</v>
      </c>
      <c r="AZ722" s="30" t="s">
        <v>356</v>
      </c>
      <c r="BA722" s="30" t="s">
        <v>377</v>
      </c>
      <c r="BB722" s="30" t="s">
        <v>410</v>
      </c>
      <c r="BC722" s="32">
        <v>44383.0</v>
      </c>
      <c r="BD722" s="32">
        <v>44384.0</v>
      </c>
      <c r="BE722" s="32">
        <v>44387.0</v>
      </c>
      <c r="BF722" s="39">
        <v>90.0</v>
      </c>
      <c r="BG722" s="30" t="s">
        <v>2309</v>
      </c>
      <c r="BH722" s="33" t="s">
        <v>2325</v>
      </c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FL722" s="36" t="s">
        <v>751</v>
      </c>
      <c r="FM722" s="36" t="s">
        <v>260</v>
      </c>
    </row>
    <row r="723" ht="23.25" customHeight="1">
      <c r="A723" s="29">
        <v>44661.87099983796</v>
      </c>
      <c r="B723" s="30" t="s">
        <v>6</v>
      </c>
      <c r="C723" s="30" t="s">
        <v>13</v>
      </c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0" t="s">
        <v>747</v>
      </c>
      <c r="AY723" s="30" t="s">
        <v>748</v>
      </c>
      <c r="AZ723" s="30" t="s">
        <v>2326</v>
      </c>
      <c r="BA723" s="30" t="s">
        <v>377</v>
      </c>
      <c r="BB723" s="30" t="s">
        <v>417</v>
      </c>
      <c r="BC723" s="32">
        <v>43988.0</v>
      </c>
      <c r="BD723" s="32">
        <v>44050.0</v>
      </c>
      <c r="BE723" s="32">
        <v>44054.0</v>
      </c>
      <c r="BF723" s="39">
        <v>90.0</v>
      </c>
      <c r="BG723" s="30" t="s">
        <v>2309</v>
      </c>
      <c r="BH723" s="33" t="s">
        <v>2327</v>
      </c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FL723" s="36" t="s">
        <v>751</v>
      </c>
      <c r="FM723" s="36" t="s">
        <v>260</v>
      </c>
    </row>
    <row r="724" ht="23.25" customHeight="1">
      <c r="A724" s="29">
        <v>44661.871495011575</v>
      </c>
      <c r="B724" s="30" t="s">
        <v>6</v>
      </c>
      <c r="C724" s="30" t="s">
        <v>12</v>
      </c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0" t="s">
        <v>299</v>
      </c>
      <c r="AO724" s="30" t="s">
        <v>300</v>
      </c>
      <c r="AP724" s="30" t="s">
        <v>878</v>
      </c>
      <c r="AQ724" s="30" t="s">
        <v>2328</v>
      </c>
      <c r="AR724" s="32">
        <v>44645.0</v>
      </c>
      <c r="AS724" s="32">
        <v>44661.0</v>
      </c>
      <c r="AT724" s="30" t="s">
        <v>257</v>
      </c>
      <c r="AU724" s="30" t="s">
        <v>257</v>
      </c>
      <c r="AV724" s="30">
        <v>0.0</v>
      </c>
      <c r="AW724" s="33" t="s">
        <v>2329</v>
      </c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FL724" s="36" t="s">
        <v>303</v>
      </c>
      <c r="FM724" s="36" t="s">
        <v>260</v>
      </c>
    </row>
    <row r="725" ht="23.25" customHeight="1">
      <c r="A725" s="29">
        <v>44661.87432436342</v>
      </c>
      <c r="B725" s="30" t="s">
        <v>8</v>
      </c>
      <c r="C725" s="30" t="s">
        <v>13</v>
      </c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0" t="s">
        <v>2317</v>
      </c>
      <c r="AY725" s="30" t="s">
        <v>2318</v>
      </c>
      <c r="AZ725" s="30" t="s">
        <v>2330</v>
      </c>
      <c r="BA725" s="30" t="s">
        <v>337</v>
      </c>
      <c r="BB725" s="30" t="s">
        <v>507</v>
      </c>
      <c r="BC725" s="32">
        <v>44695.0</v>
      </c>
      <c r="BD725" s="32">
        <v>44388.0</v>
      </c>
      <c r="BE725" s="32">
        <v>44388.0</v>
      </c>
      <c r="BF725" s="39">
        <v>0.94</v>
      </c>
      <c r="BG725" s="30" t="s">
        <v>2331</v>
      </c>
      <c r="BH725" s="33" t="s">
        <v>2332</v>
      </c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FL725" s="36" t="s">
        <v>2321</v>
      </c>
      <c r="FM725" s="36" t="s">
        <v>323</v>
      </c>
    </row>
    <row r="726" ht="23.25" customHeight="1">
      <c r="A726" s="29">
        <v>44661.879286875</v>
      </c>
      <c r="B726" s="30" t="s">
        <v>8</v>
      </c>
      <c r="C726" s="30" t="s">
        <v>13</v>
      </c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0" t="s">
        <v>2333</v>
      </c>
      <c r="AY726" s="30" t="s">
        <v>2318</v>
      </c>
      <c r="AZ726" s="30" t="s">
        <v>2334</v>
      </c>
      <c r="BA726" s="30" t="s">
        <v>337</v>
      </c>
      <c r="BB726" s="30" t="s">
        <v>2335</v>
      </c>
      <c r="BC726" s="32">
        <v>44488.0</v>
      </c>
      <c r="BD726" s="32">
        <v>44651.0</v>
      </c>
      <c r="BE726" s="32">
        <v>44651.0</v>
      </c>
      <c r="BF726" s="39">
        <v>0.9</v>
      </c>
      <c r="BG726" s="30" t="s">
        <v>2336</v>
      </c>
      <c r="BH726" s="33" t="s">
        <v>2337</v>
      </c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FL726" s="36" t="s">
        <v>2321</v>
      </c>
      <c r="FM726" s="36" t="s">
        <v>323</v>
      </c>
    </row>
    <row r="727" ht="23.25" customHeight="1">
      <c r="A727" s="29">
        <v>44661.88107328703</v>
      </c>
      <c r="B727" s="30" t="s">
        <v>6</v>
      </c>
      <c r="C727" s="30" t="s">
        <v>13</v>
      </c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0" t="s">
        <v>1813</v>
      </c>
      <c r="AY727" s="30" t="s">
        <v>1814</v>
      </c>
      <c r="AZ727" s="30" t="s">
        <v>2338</v>
      </c>
      <c r="BA727" s="30" t="s">
        <v>600</v>
      </c>
      <c r="BB727" s="30" t="s">
        <v>2339</v>
      </c>
      <c r="BC727" s="32">
        <v>44354.0</v>
      </c>
      <c r="BD727" s="32">
        <v>44738.0</v>
      </c>
      <c r="BE727" s="32">
        <v>44372.0</v>
      </c>
      <c r="BF727" s="30" t="s">
        <v>523</v>
      </c>
      <c r="BG727" s="30" t="s">
        <v>523</v>
      </c>
      <c r="BH727" s="33" t="s">
        <v>2340</v>
      </c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FL727" s="36" t="s">
        <v>1819</v>
      </c>
      <c r="FM727" s="36" t="s">
        <v>260</v>
      </c>
    </row>
    <row r="728" ht="23.25" customHeight="1">
      <c r="A728" s="29">
        <v>44661.88776802083</v>
      </c>
      <c r="B728" s="30" t="s">
        <v>8</v>
      </c>
      <c r="C728" s="30" t="s">
        <v>14</v>
      </c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0" t="s">
        <v>2333</v>
      </c>
      <c r="BJ728" s="30" t="s">
        <v>2318</v>
      </c>
      <c r="BK728" s="30" t="s">
        <v>313</v>
      </c>
      <c r="BL728" s="30" t="s">
        <v>1288</v>
      </c>
      <c r="BM728" s="30" t="s">
        <v>2341</v>
      </c>
      <c r="BN728" s="30">
        <v>2.0</v>
      </c>
      <c r="BO728" s="32">
        <v>44639.0</v>
      </c>
      <c r="BP728" s="32">
        <v>44640.0</v>
      </c>
      <c r="BQ728" s="30" t="s">
        <v>2342</v>
      </c>
      <c r="BR728" s="30" t="s">
        <v>2343</v>
      </c>
      <c r="BS728" s="30" t="s">
        <v>276</v>
      </c>
      <c r="BT728" s="30" t="s">
        <v>632</v>
      </c>
      <c r="BU728" s="30">
        <v>300.0</v>
      </c>
      <c r="BV728" s="33" t="s">
        <v>2344</v>
      </c>
      <c r="BW728" s="31"/>
      <c r="BX728" s="31"/>
      <c r="FL728" s="36" t="s">
        <v>2321</v>
      </c>
      <c r="FM728" s="36" t="s">
        <v>323</v>
      </c>
    </row>
    <row r="729" ht="23.25" customHeight="1">
      <c r="A729" s="29">
        <v>44661.88966366898</v>
      </c>
      <c r="B729" s="30" t="s">
        <v>6</v>
      </c>
      <c r="C729" s="30" t="s">
        <v>13</v>
      </c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0" t="s">
        <v>2345</v>
      </c>
      <c r="AY729" s="30" t="s">
        <v>1814</v>
      </c>
      <c r="AZ729" s="30" t="s">
        <v>2346</v>
      </c>
      <c r="BA729" s="30" t="s">
        <v>377</v>
      </c>
      <c r="BB729" s="30" t="s">
        <v>475</v>
      </c>
      <c r="BC729" s="32">
        <v>44677.0</v>
      </c>
      <c r="BD729" s="32">
        <v>43672.0</v>
      </c>
      <c r="BE729" s="32">
        <v>43672.0</v>
      </c>
      <c r="BF729" s="30" t="s">
        <v>523</v>
      </c>
      <c r="BG729" s="30" t="s">
        <v>559</v>
      </c>
      <c r="BH729" s="33" t="s">
        <v>2347</v>
      </c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FL729" s="36" t="s">
        <v>1819</v>
      </c>
      <c r="FM729" s="36" t="s">
        <v>260</v>
      </c>
    </row>
    <row r="730" ht="23.25" customHeight="1">
      <c r="A730" s="29">
        <v>44661.89297597222</v>
      </c>
      <c r="B730" s="30" t="s">
        <v>8</v>
      </c>
      <c r="C730" s="30" t="s">
        <v>14</v>
      </c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0" t="s">
        <v>2333</v>
      </c>
      <c r="BJ730" s="30" t="s">
        <v>2318</v>
      </c>
      <c r="BK730" s="30" t="s">
        <v>313</v>
      </c>
      <c r="BL730" s="30" t="s">
        <v>1288</v>
      </c>
      <c r="BM730" s="30" t="s">
        <v>2348</v>
      </c>
      <c r="BN730" s="30">
        <v>1.0</v>
      </c>
      <c r="BO730" s="32">
        <v>44626.0</v>
      </c>
      <c r="BP730" s="32">
        <v>44626.0</v>
      </c>
      <c r="BQ730" s="30" t="s">
        <v>2349</v>
      </c>
      <c r="BR730" s="30" t="s">
        <v>2350</v>
      </c>
      <c r="BS730" s="30" t="s">
        <v>176</v>
      </c>
      <c r="BT730" s="30" t="s">
        <v>632</v>
      </c>
      <c r="BU730" s="30">
        <v>70.0</v>
      </c>
      <c r="BV730" s="33" t="s">
        <v>2351</v>
      </c>
      <c r="BW730" s="31"/>
      <c r="BX730" s="31"/>
      <c r="FL730" s="36" t="s">
        <v>2321</v>
      </c>
      <c r="FM730" s="36" t="s">
        <v>323</v>
      </c>
    </row>
    <row r="731" ht="23.25" customHeight="1">
      <c r="A731" s="29">
        <v>44661.89477969907</v>
      </c>
      <c r="B731" s="30" t="s">
        <v>8</v>
      </c>
      <c r="C731" s="30" t="s">
        <v>12</v>
      </c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0" t="s">
        <v>2352</v>
      </c>
      <c r="AO731" s="30" t="s">
        <v>2353</v>
      </c>
      <c r="AP731" s="30" t="s">
        <v>2354</v>
      </c>
      <c r="AQ731" s="30" t="s">
        <v>1420</v>
      </c>
      <c r="AR731" s="32">
        <v>44470.0</v>
      </c>
      <c r="AS731" s="32">
        <v>44531.0</v>
      </c>
      <c r="AT731" s="30" t="s">
        <v>257</v>
      </c>
      <c r="AU731" s="30" t="s">
        <v>257</v>
      </c>
      <c r="AV731" s="30">
        <v>0.0</v>
      </c>
      <c r="AW731" s="33" t="s">
        <v>2355</v>
      </c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FL731" s="36" t="s">
        <v>2356</v>
      </c>
      <c r="FM731" s="36" t="s">
        <v>323</v>
      </c>
    </row>
    <row r="732" ht="23.25" customHeight="1">
      <c r="A732" s="29">
        <v>44661.89636746528</v>
      </c>
      <c r="B732" s="30" t="s">
        <v>8</v>
      </c>
      <c r="C732" s="30" t="s">
        <v>12</v>
      </c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0" t="s">
        <v>2357</v>
      </c>
      <c r="AO732" s="30" t="s">
        <v>2358</v>
      </c>
      <c r="AP732" s="30" t="s">
        <v>2131</v>
      </c>
      <c r="AQ732" s="30" t="s">
        <v>2359</v>
      </c>
      <c r="AR732" s="32">
        <v>44835.0</v>
      </c>
      <c r="AS732" s="32">
        <v>44926.0</v>
      </c>
      <c r="AT732" s="30" t="s">
        <v>257</v>
      </c>
      <c r="AU732" s="30" t="s">
        <v>257</v>
      </c>
      <c r="AV732" s="30">
        <v>0.0</v>
      </c>
      <c r="AW732" s="33" t="s">
        <v>2360</v>
      </c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FL732" s="36" t="s">
        <v>2361</v>
      </c>
      <c r="FM732" s="36" t="s">
        <v>555</v>
      </c>
    </row>
    <row r="733" ht="23.25" customHeight="1">
      <c r="A733" s="29">
        <v>44661.90182122686</v>
      </c>
      <c r="B733" s="30" t="s">
        <v>8</v>
      </c>
      <c r="C733" s="30" t="s">
        <v>12</v>
      </c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0" t="s">
        <v>2357</v>
      </c>
      <c r="AO733" s="30" t="s">
        <v>2358</v>
      </c>
      <c r="AP733" s="30" t="s">
        <v>2131</v>
      </c>
      <c r="AQ733" s="30" t="s">
        <v>348</v>
      </c>
      <c r="AR733" s="32">
        <v>44470.0</v>
      </c>
      <c r="AS733" s="32">
        <v>44561.0</v>
      </c>
      <c r="AT733" s="30" t="s">
        <v>257</v>
      </c>
      <c r="AU733" s="30" t="s">
        <v>257</v>
      </c>
      <c r="AV733" s="30">
        <v>0.0</v>
      </c>
      <c r="AW733" s="33" t="s">
        <v>2362</v>
      </c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FL733" s="36" t="s">
        <v>2361</v>
      </c>
      <c r="FM733" s="36" t="s">
        <v>555</v>
      </c>
    </row>
    <row r="734" ht="23.25" customHeight="1">
      <c r="A734" s="29">
        <v>44661.90204185185</v>
      </c>
      <c r="B734" s="30" t="s">
        <v>8</v>
      </c>
      <c r="C734" s="30" t="s">
        <v>12</v>
      </c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0" t="s">
        <v>2363</v>
      </c>
      <c r="AO734" s="30" t="s">
        <v>2364</v>
      </c>
      <c r="AP734" s="30" t="s">
        <v>2131</v>
      </c>
      <c r="AQ734" s="30" t="s">
        <v>310</v>
      </c>
      <c r="AR734" s="32">
        <v>44470.0</v>
      </c>
      <c r="AS734" s="32">
        <v>44561.0</v>
      </c>
      <c r="AT734" s="30" t="s">
        <v>257</v>
      </c>
      <c r="AU734" s="30" t="s">
        <v>257</v>
      </c>
      <c r="AV734" s="30">
        <v>0.0</v>
      </c>
      <c r="AW734" s="33" t="s">
        <v>2365</v>
      </c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FL734" s="36" t="s">
        <v>2366</v>
      </c>
      <c r="FM734" s="36" t="s">
        <v>555</v>
      </c>
    </row>
    <row r="735" ht="23.25" customHeight="1">
      <c r="A735" s="29">
        <v>44661.90711252315</v>
      </c>
      <c r="B735" s="30" t="s">
        <v>8</v>
      </c>
      <c r="C735" s="30" t="s">
        <v>13</v>
      </c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0" t="s">
        <v>2277</v>
      </c>
      <c r="AY735" s="30" t="s">
        <v>2278</v>
      </c>
      <c r="AZ735" s="30" t="s">
        <v>2367</v>
      </c>
      <c r="BA735" s="30" t="s">
        <v>377</v>
      </c>
      <c r="BB735" s="30" t="s">
        <v>507</v>
      </c>
      <c r="BC735" s="32">
        <v>44481.0</v>
      </c>
      <c r="BD735" s="32">
        <v>44573.0</v>
      </c>
      <c r="BE735" s="32">
        <v>44573.0</v>
      </c>
      <c r="BF735" s="39">
        <v>0.9</v>
      </c>
      <c r="BG735" s="30" t="s">
        <v>2368</v>
      </c>
      <c r="BH735" s="33" t="s">
        <v>2369</v>
      </c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FL735" s="36" t="s">
        <v>2280</v>
      </c>
      <c r="FM735" s="36" t="s">
        <v>323</v>
      </c>
    </row>
    <row r="736" ht="23.25" customHeight="1">
      <c r="A736" s="29">
        <v>44661.912809918984</v>
      </c>
      <c r="B736" s="30" t="s">
        <v>8</v>
      </c>
      <c r="C736" s="30" t="s">
        <v>13</v>
      </c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0" t="s">
        <v>2370</v>
      </c>
      <c r="AY736" s="30" t="s">
        <v>2371</v>
      </c>
      <c r="AZ736" s="30" t="s">
        <v>2372</v>
      </c>
      <c r="BA736" s="30" t="s">
        <v>377</v>
      </c>
      <c r="BB736" s="30" t="s">
        <v>507</v>
      </c>
      <c r="BC736" s="32">
        <v>44481.0</v>
      </c>
      <c r="BD736" s="32">
        <v>44573.0</v>
      </c>
      <c r="BE736" s="32">
        <v>44573.0</v>
      </c>
      <c r="BF736" s="39">
        <v>0.9</v>
      </c>
      <c r="BG736" s="30" t="s">
        <v>2373</v>
      </c>
      <c r="BH736" s="33" t="s">
        <v>2374</v>
      </c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FL736" s="36" t="s">
        <v>2375</v>
      </c>
      <c r="FM736" s="36" t="s">
        <v>382</v>
      </c>
    </row>
    <row r="737" ht="23.25" customHeight="1">
      <c r="A737" s="29">
        <v>44661.91810837963</v>
      </c>
      <c r="B737" s="30" t="s">
        <v>6</v>
      </c>
      <c r="C737" s="20" t="s">
        <v>15</v>
      </c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0" t="s">
        <v>2376</v>
      </c>
      <c r="BX737" s="30" t="s">
        <v>2377</v>
      </c>
      <c r="BZ737" s="36" t="s">
        <v>150</v>
      </c>
      <c r="CA737" s="36" t="s">
        <v>2378</v>
      </c>
      <c r="CB737" s="36" t="s">
        <v>456</v>
      </c>
      <c r="CC737" s="36" t="s">
        <v>553</v>
      </c>
      <c r="CD737" s="37">
        <v>43282.0</v>
      </c>
      <c r="CE737" s="37">
        <v>43342.0</v>
      </c>
      <c r="CF737" s="36">
        <v>40.0</v>
      </c>
      <c r="CG737" s="38" t="s">
        <v>2379</v>
      </c>
      <c r="FL737" s="36" t="s">
        <v>2380</v>
      </c>
      <c r="FM737" s="36" t="s">
        <v>414</v>
      </c>
    </row>
    <row r="738" ht="23.25" customHeight="1">
      <c r="A738" s="29">
        <v>44661.92113221065</v>
      </c>
      <c r="B738" s="30" t="s">
        <v>6</v>
      </c>
      <c r="C738" s="30" t="s">
        <v>20</v>
      </c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DX738" s="36" t="s">
        <v>2381</v>
      </c>
      <c r="DY738" s="36" t="s">
        <v>2377</v>
      </c>
      <c r="DZ738" s="36" t="s">
        <v>150</v>
      </c>
      <c r="EA738" s="36" t="s">
        <v>2382</v>
      </c>
      <c r="EB738" s="37">
        <v>43527.0</v>
      </c>
      <c r="EC738" s="36" t="s">
        <v>2212</v>
      </c>
      <c r="ED738" s="38" t="s">
        <v>2383</v>
      </c>
      <c r="FL738" s="36" t="s">
        <v>2380</v>
      </c>
      <c r="FM738" s="36" t="s">
        <v>382</v>
      </c>
    </row>
    <row r="739" ht="23.25" customHeight="1">
      <c r="A739" s="29">
        <v>44661.92434174768</v>
      </c>
      <c r="B739" s="30" t="s">
        <v>6</v>
      </c>
      <c r="C739" s="30" t="s">
        <v>14</v>
      </c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0" t="s">
        <v>2381</v>
      </c>
      <c r="BJ739" s="30" t="s">
        <v>2377</v>
      </c>
      <c r="BK739" s="30" t="s">
        <v>159</v>
      </c>
      <c r="BL739" s="30" t="s">
        <v>1288</v>
      </c>
      <c r="BM739" s="30" t="s">
        <v>1131</v>
      </c>
      <c r="BN739" s="30">
        <v>2.0</v>
      </c>
      <c r="BO739" s="32">
        <v>43541.0</v>
      </c>
      <c r="BP739" s="32">
        <v>43542.0</v>
      </c>
      <c r="BQ739" s="30" t="s">
        <v>1766</v>
      </c>
      <c r="BR739" s="30" t="s">
        <v>1133</v>
      </c>
      <c r="BS739" s="30" t="s">
        <v>176</v>
      </c>
      <c r="BT739" s="30" t="s">
        <v>632</v>
      </c>
      <c r="BU739" s="30">
        <v>1000.0</v>
      </c>
      <c r="BV739" s="33" t="s">
        <v>2384</v>
      </c>
      <c r="BW739" s="31"/>
      <c r="BX739" s="31"/>
      <c r="FL739" s="36" t="s">
        <v>2380</v>
      </c>
      <c r="FM739" s="36" t="s">
        <v>555</v>
      </c>
    </row>
    <row r="740" ht="23.25" customHeight="1">
      <c r="A740" s="29">
        <v>44661.926293240744</v>
      </c>
      <c r="B740" s="30" t="s">
        <v>6</v>
      </c>
      <c r="C740" s="30" t="s">
        <v>20</v>
      </c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DX740" s="36" t="s">
        <v>2385</v>
      </c>
      <c r="DY740" s="36" t="s">
        <v>2377</v>
      </c>
      <c r="DZ740" s="36" t="s">
        <v>159</v>
      </c>
      <c r="EA740" s="36" t="s">
        <v>2386</v>
      </c>
      <c r="EB740" s="37">
        <v>43717.0</v>
      </c>
      <c r="EC740" s="36" t="s">
        <v>2387</v>
      </c>
      <c r="ED740" s="38" t="s">
        <v>2388</v>
      </c>
      <c r="FL740" s="36" t="s">
        <v>2380</v>
      </c>
      <c r="FM740" s="36" t="s">
        <v>555</v>
      </c>
    </row>
    <row r="741" ht="23.25" customHeight="1">
      <c r="A741" s="29">
        <v>44661.92914037037</v>
      </c>
      <c r="B741" s="30" t="s">
        <v>6</v>
      </c>
      <c r="C741" s="30" t="s">
        <v>20</v>
      </c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DX741" s="36" t="s">
        <v>2381</v>
      </c>
      <c r="DY741" s="36" t="s">
        <v>2377</v>
      </c>
      <c r="DZ741" s="36" t="s">
        <v>313</v>
      </c>
      <c r="EA741" s="36" t="s">
        <v>2389</v>
      </c>
      <c r="EB741" s="37">
        <v>44424.0</v>
      </c>
      <c r="EC741" s="36" t="s">
        <v>2390</v>
      </c>
      <c r="ED741" s="38" t="s">
        <v>2391</v>
      </c>
      <c r="FL741" s="36" t="s">
        <v>2380</v>
      </c>
      <c r="FM741" s="36" t="s">
        <v>278</v>
      </c>
    </row>
    <row r="742" ht="23.25" customHeight="1">
      <c r="A742" s="29">
        <v>44661.930991076384</v>
      </c>
      <c r="B742" s="30" t="s">
        <v>6</v>
      </c>
      <c r="C742" s="30" t="s">
        <v>20</v>
      </c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DX742" s="36" t="s">
        <v>2381</v>
      </c>
      <c r="DY742" s="36" t="s">
        <v>2377</v>
      </c>
      <c r="DZ742" s="36" t="s">
        <v>313</v>
      </c>
      <c r="EA742" s="36" t="s">
        <v>2392</v>
      </c>
      <c r="EB742" s="37">
        <v>44474.0</v>
      </c>
      <c r="EC742" s="36" t="s">
        <v>2393</v>
      </c>
      <c r="ED742" s="38" t="s">
        <v>2394</v>
      </c>
      <c r="FL742" s="36" t="s">
        <v>2380</v>
      </c>
      <c r="FM742" s="36" t="s">
        <v>278</v>
      </c>
    </row>
    <row r="743" ht="23.25" customHeight="1">
      <c r="A743" s="29">
        <v>44661.9321575</v>
      </c>
      <c r="B743" s="30" t="s">
        <v>6</v>
      </c>
      <c r="C743" s="30" t="s">
        <v>20</v>
      </c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DX743" s="36" t="s">
        <v>2381</v>
      </c>
      <c r="DY743" s="36" t="s">
        <v>2377</v>
      </c>
      <c r="DZ743" s="36" t="s">
        <v>313</v>
      </c>
      <c r="EA743" s="36" t="s">
        <v>2395</v>
      </c>
      <c r="EB743" s="37">
        <v>44529.0</v>
      </c>
      <c r="EC743" s="36" t="s">
        <v>1820</v>
      </c>
      <c r="ED743" s="38" t="s">
        <v>2396</v>
      </c>
      <c r="FL743" s="36" t="s">
        <v>2380</v>
      </c>
      <c r="FM743" s="36" t="s">
        <v>278</v>
      </c>
    </row>
    <row r="744" ht="23.25" customHeight="1">
      <c r="A744" s="29">
        <v>44661.93335317129</v>
      </c>
      <c r="B744" s="30" t="s">
        <v>6</v>
      </c>
      <c r="C744" s="30" t="s">
        <v>27</v>
      </c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FL744" s="36" t="s">
        <v>2182</v>
      </c>
      <c r="FM744" s="36" t="s">
        <v>260</v>
      </c>
      <c r="GF744" s="36" t="s">
        <v>2183</v>
      </c>
      <c r="GG744" s="36" t="s">
        <v>2184</v>
      </c>
      <c r="GH744" s="36" t="s">
        <v>2397</v>
      </c>
      <c r="GI744" s="37">
        <v>44727.0</v>
      </c>
      <c r="GJ744" s="38" t="s">
        <v>2398</v>
      </c>
      <c r="GK744" s="36" t="s">
        <v>987</v>
      </c>
      <c r="GL744" s="36" t="s">
        <v>2399</v>
      </c>
    </row>
    <row r="745" ht="23.25" customHeight="1">
      <c r="A745" s="29">
        <v>44661.933569189816</v>
      </c>
      <c r="B745" s="30" t="s">
        <v>6</v>
      </c>
      <c r="C745" s="30" t="s">
        <v>20</v>
      </c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DX745" s="36" t="s">
        <v>2381</v>
      </c>
      <c r="DY745" s="36" t="s">
        <v>2377</v>
      </c>
      <c r="DZ745" s="36" t="s">
        <v>313</v>
      </c>
      <c r="EA745" s="36" t="s">
        <v>2395</v>
      </c>
      <c r="EB745" s="37">
        <v>44530.0</v>
      </c>
      <c r="EC745" s="36" t="s">
        <v>1820</v>
      </c>
      <c r="ED745" s="38" t="s">
        <v>2400</v>
      </c>
      <c r="FL745" s="36" t="s">
        <v>2380</v>
      </c>
      <c r="FM745" s="36" t="s">
        <v>278</v>
      </c>
    </row>
    <row r="746" ht="23.25" customHeight="1">
      <c r="A746" s="29">
        <v>44661.9347921875</v>
      </c>
      <c r="B746" s="30" t="s">
        <v>6</v>
      </c>
      <c r="C746" s="30" t="s">
        <v>20</v>
      </c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DX746" s="36" t="s">
        <v>2381</v>
      </c>
      <c r="DY746" s="36" t="s">
        <v>2377</v>
      </c>
      <c r="DZ746" s="36" t="s">
        <v>313</v>
      </c>
      <c r="EA746" s="36" t="s">
        <v>2401</v>
      </c>
      <c r="EB746" s="37">
        <v>44624.0</v>
      </c>
      <c r="EC746" s="36" t="s">
        <v>2402</v>
      </c>
      <c r="ED746" s="38" t="s">
        <v>2403</v>
      </c>
      <c r="FL746" s="36" t="s">
        <v>2380</v>
      </c>
      <c r="FM746" s="36" t="s">
        <v>260</v>
      </c>
    </row>
    <row r="747" ht="23.25" customHeight="1">
      <c r="A747" s="29">
        <v>44661.935968935184</v>
      </c>
      <c r="B747" s="30" t="s">
        <v>6</v>
      </c>
      <c r="C747" s="30" t="s">
        <v>12</v>
      </c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0" t="s">
        <v>2183</v>
      </c>
      <c r="AO747" s="30" t="s">
        <v>2184</v>
      </c>
      <c r="AP747" s="30" t="s">
        <v>582</v>
      </c>
      <c r="AQ747" s="30" t="s">
        <v>450</v>
      </c>
      <c r="AR747" s="32">
        <v>44470.0</v>
      </c>
      <c r="AS747" s="32">
        <v>44542.0</v>
      </c>
      <c r="AT747" s="30" t="s">
        <v>257</v>
      </c>
      <c r="AU747" s="30" t="s">
        <v>257</v>
      </c>
      <c r="AV747" s="30">
        <v>0.0</v>
      </c>
      <c r="AW747" s="33" t="s">
        <v>2404</v>
      </c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FL747" s="36" t="s">
        <v>2182</v>
      </c>
      <c r="FM747" s="36" t="s">
        <v>260</v>
      </c>
    </row>
    <row r="748" ht="23.25" customHeight="1">
      <c r="A748" s="29">
        <v>44661.9384341088</v>
      </c>
      <c r="B748" s="30" t="s">
        <v>6</v>
      </c>
      <c r="C748" s="30" t="s">
        <v>20</v>
      </c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DX748" s="36" t="s">
        <v>2381</v>
      </c>
      <c r="DY748" s="36" t="s">
        <v>2377</v>
      </c>
      <c r="DZ748" s="36" t="s">
        <v>171</v>
      </c>
      <c r="EA748" s="36" t="s">
        <v>2405</v>
      </c>
      <c r="EB748" s="37">
        <v>44128.0</v>
      </c>
      <c r="EC748" s="36" t="s">
        <v>2220</v>
      </c>
      <c r="ED748" s="38" t="s">
        <v>2406</v>
      </c>
      <c r="FL748" s="36" t="s">
        <v>2380</v>
      </c>
      <c r="FM748" s="36" t="s">
        <v>341</v>
      </c>
    </row>
    <row r="749" ht="23.25" customHeight="1">
      <c r="A749" s="29">
        <v>44661.93971798611</v>
      </c>
      <c r="B749" s="30" t="s">
        <v>6</v>
      </c>
      <c r="C749" s="30" t="s">
        <v>13</v>
      </c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0" t="s">
        <v>2183</v>
      </c>
      <c r="AY749" s="30" t="s">
        <v>2184</v>
      </c>
      <c r="AZ749" s="30" t="s">
        <v>2407</v>
      </c>
      <c r="BA749" s="30" t="s">
        <v>1452</v>
      </c>
      <c r="BB749" s="30" t="s">
        <v>2408</v>
      </c>
      <c r="BC749" s="32">
        <v>43990.0</v>
      </c>
      <c r="BD749" s="32">
        <v>44001.0</v>
      </c>
      <c r="BE749" s="32">
        <v>44668.0</v>
      </c>
      <c r="BF749" s="30">
        <v>94.0</v>
      </c>
      <c r="BG749" s="30" t="s">
        <v>2409</v>
      </c>
      <c r="BH749" s="33" t="s">
        <v>2410</v>
      </c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FL749" s="36" t="s">
        <v>2182</v>
      </c>
      <c r="FM749" s="36" t="s">
        <v>260</v>
      </c>
    </row>
    <row r="750" ht="23.25" customHeight="1">
      <c r="A750" s="29">
        <v>44661.94217958333</v>
      </c>
      <c r="B750" s="30" t="s">
        <v>6</v>
      </c>
      <c r="C750" s="30" t="s">
        <v>13</v>
      </c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0" t="s">
        <v>2183</v>
      </c>
      <c r="AY750" s="30" t="s">
        <v>2184</v>
      </c>
      <c r="AZ750" s="30" t="s">
        <v>2411</v>
      </c>
      <c r="BA750" s="30" t="s">
        <v>345</v>
      </c>
      <c r="BB750" s="30" t="s">
        <v>2412</v>
      </c>
      <c r="BC750" s="32">
        <v>43966.0</v>
      </c>
      <c r="BD750" s="32">
        <v>43976.0</v>
      </c>
      <c r="BE750" s="32">
        <v>43974.0</v>
      </c>
      <c r="BF750" s="30">
        <v>96.0</v>
      </c>
      <c r="BG750" s="30" t="s">
        <v>2413</v>
      </c>
      <c r="BH750" s="33" t="s">
        <v>2414</v>
      </c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FL750" s="36" t="s">
        <v>2182</v>
      </c>
      <c r="FM750" s="36" t="s">
        <v>260</v>
      </c>
    </row>
    <row r="751" ht="23.25" customHeight="1">
      <c r="A751" s="29">
        <v>44661.943149976854</v>
      </c>
      <c r="B751" s="30" t="s">
        <v>6</v>
      </c>
      <c r="C751" s="30" t="s">
        <v>20</v>
      </c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DX751" s="36" t="s">
        <v>2381</v>
      </c>
      <c r="DY751" s="36" t="s">
        <v>2377</v>
      </c>
      <c r="DZ751" s="36" t="s">
        <v>159</v>
      </c>
      <c r="EA751" s="36" t="s">
        <v>2415</v>
      </c>
      <c r="EB751" s="37">
        <v>43924.0</v>
      </c>
      <c r="EC751" s="36" t="s">
        <v>2416</v>
      </c>
      <c r="ED751" s="38" t="s">
        <v>2417</v>
      </c>
      <c r="FL751" s="36" t="s">
        <v>2380</v>
      </c>
      <c r="FM751" s="36" t="s">
        <v>341</v>
      </c>
    </row>
    <row r="752" ht="23.25" customHeight="1">
      <c r="A752" s="29">
        <v>44661.94513729167</v>
      </c>
      <c r="B752" s="30" t="s">
        <v>6</v>
      </c>
      <c r="C752" s="30" t="s">
        <v>14</v>
      </c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0" t="s">
        <v>2183</v>
      </c>
      <c r="BJ752" s="30" t="s">
        <v>2184</v>
      </c>
      <c r="BK752" s="30" t="s">
        <v>150</v>
      </c>
      <c r="BL752" s="30" t="s">
        <v>1288</v>
      </c>
      <c r="BM752" s="30" t="s">
        <v>2418</v>
      </c>
      <c r="BN752" s="30">
        <v>2.0</v>
      </c>
      <c r="BO752" s="32">
        <v>43505.0</v>
      </c>
      <c r="BP752" s="32">
        <v>43506.0</v>
      </c>
      <c r="BQ752" s="30" t="s">
        <v>1478</v>
      </c>
      <c r="BR752" s="30" t="s">
        <v>2419</v>
      </c>
      <c r="BS752" s="30" t="s">
        <v>276</v>
      </c>
      <c r="BT752" s="30" t="s">
        <v>632</v>
      </c>
      <c r="BU752" s="30">
        <v>200.0</v>
      </c>
      <c r="BV752" s="33" t="s">
        <v>2420</v>
      </c>
      <c r="BW752" s="31"/>
      <c r="BX752" s="31"/>
      <c r="FL752" s="36" t="s">
        <v>2182</v>
      </c>
      <c r="FM752" s="36" t="s">
        <v>382</v>
      </c>
    </row>
    <row r="753" ht="23.25" customHeight="1">
      <c r="A753" s="29">
        <v>44661.947182627315</v>
      </c>
      <c r="B753" s="30" t="s">
        <v>6</v>
      </c>
      <c r="C753" s="30" t="s">
        <v>12</v>
      </c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0" t="s">
        <v>2381</v>
      </c>
      <c r="AO753" s="30" t="s">
        <v>2377</v>
      </c>
      <c r="AP753" s="30" t="s">
        <v>2421</v>
      </c>
      <c r="AQ753" s="30" t="s">
        <v>444</v>
      </c>
      <c r="AR753" s="32">
        <v>44469.0</v>
      </c>
      <c r="AS753" s="32">
        <v>44530.0</v>
      </c>
      <c r="AT753" s="30" t="s">
        <v>257</v>
      </c>
      <c r="AU753" s="30" t="s">
        <v>257</v>
      </c>
      <c r="AV753" s="30">
        <v>0.0</v>
      </c>
      <c r="AW753" s="33" t="s">
        <v>2422</v>
      </c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FL753" s="36" t="s">
        <v>2380</v>
      </c>
      <c r="FM753" s="36" t="s">
        <v>278</v>
      </c>
    </row>
    <row r="754" ht="23.25" customHeight="1">
      <c r="A754" s="29">
        <v>44661.94770469907</v>
      </c>
      <c r="B754" s="30" t="s">
        <v>6</v>
      </c>
      <c r="C754" s="30" t="s">
        <v>13</v>
      </c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0" t="s">
        <v>2345</v>
      </c>
      <c r="AY754" s="30" t="s">
        <v>1814</v>
      </c>
      <c r="AZ754" s="30" t="s">
        <v>981</v>
      </c>
      <c r="BA754" s="30" t="s">
        <v>377</v>
      </c>
      <c r="BB754" s="30" t="s">
        <v>553</v>
      </c>
      <c r="BC754" s="32">
        <v>43581.0</v>
      </c>
      <c r="BD754" s="32">
        <v>43672.0</v>
      </c>
      <c r="BE754" s="32">
        <v>43672.0</v>
      </c>
      <c r="BF754" s="30" t="s">
        <v>523</v>
      </c>
      <c r="BG754" s="30" t="s">
        <v>2423</v>
      </c>
      <c r="BH754" s="33" t="s">
        <v>2424</v>
      </c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FL754" s="36" t="s">
        <v>1819</v>
      </c>
      <c r="FM754" s="36" t="s">
        <v>260</v>
      </c>
    </row>
    <row r="755" ht="23.25" customHeight="1">
      <c r="A755" s="29">
        <v>44661.94825429398</v>
      </c>
      <c r="B755" s="30" t="s">
        <v>6</v>
      </c>
      <c r="C755" s="30" t="s">
        <v>13</v>
      </c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0" t="s">
        <v>2183</v>
      </c>
      <c r="AY755" s="30" t="s">
        <v>2184</v>
      </c>
      <c r="AZ755" s="30" t="s">
        <v>351</v>
      </c>
      <c r="BA755" s="30" t="s">
        <v>337</v>
      </c>
      <c r="BB755" s="30" t="s">
        <v>2425</v>
      </c>
      <c r="BC755" s="32">
        <v>43647.0</v>
      </c>
      <c r="BD755" s="32">
        <v>43677.0</v>
      </c>
      <c r="BE755" s="32">
        <v>43675.0</v>
      </c>
      <c r="BF755" s="30">
        <v>100.0</v>
      </c>
      <c r="BG755" s="30" t="s">
        <v>525</v>
      </c>
      <c r="BH755" s="33" t="s">
        <v>2426</v>
      </c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FL755" s="36" t="s">
        <v>2182</v>
      </c>
      <c r="FM755" s="36" t="s">
        <v>323</v>
      </c>
    </row>
    <row r="756" ht="23.25" customHeight="1">
      <c r="A756" s="29">
        <v>44661.9499040625</v>
      </c>
      <c r="B756" s="30" t="s">
        <v>6</v>
      </c>
      <c r="C756" s="30" t="s">
        <v>13</v>
      </c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0" t="s">
        <v>2345</v>
      </c>
      <c r="AY756" s="30" t="s">
        <v>1814</v>
      </c>
      <c r="AZ756" s="30" t="s">
        <v>856</v>
      </c>
      <c r="BA756" s="30" t="s">
        <v>377</v>
      </c>
      <c r="BB756" s="30" t="s">
        <v>378</v>
      </c>
      <c r="BC756" s="32">
        <v>43633.0</v>
      </c>
      <c r="BD756" s="32">
        <v>43755.0</v>
      </c>
      <c r="BE756" s="32">
        <v>43755.0</v>
      </c>
      <c r="BF756" s="30" t="s">
        <v>523</v>
      </c>
      <c r="BG756" s="30" t="s">
        <v>857</v>
      </c>
      <c r="BH756" s="33" t="s">
        <v>2427</v>
      </c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FL756" s="36" t="s">
        <v>1819</v>
      </c>
      <c r="FM756" s="36" t="s">
        <v>260</v>
      </c>
    </row>
    <row r="757" ht="23.25" customHeight="1">
      <c r="A757" s="29">
        <v>44661.949948124995</v>
      </c>
      <c r="B757" s="30" t="s">
        <v>6</v>
      </c>
      <c r="C757" s="30" t="s">
        <v>20</v>
      </c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DX757" s="36" t="s">
        <v>2381</v>
      </c>
      <c r="DY757" s="36" t="s">
        <v>2377</v>
      </c>
      <c r="DZ757" s="36" t="s">
        <v>171</v>
      </c>
      <c r="EA757" s="36" t="s">
        <v>2428</v>
      </c>
      <c r="EB757" s="37">
        <v>44171.0</v>
      </c>
      <c r="EC757" s="36" t="s">
        <v>1642</v>
      </c>
      <c r="ED757" s="38" t="s">
        <v>2429</v>
      </c>
      <c r="FL757" s="36" t="s">
        <v>2380</v>
      </c>
      <c r="FM757" s="36" t="s">
        <v>341</v>
      </c>
    </row>
    <row r="758" ht="23.25" customHeight="1">
      <c r="A758" s="29">
        <v>44661.951369814815</v>
      </c>
      <c r="B758" s="30" t="s">
        <v>6</v>
      </c>
      <c r="C758" s="30" t="s">
        <v>27</v>
      </c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FL758" s="36" t="s">
        <v>2380</v>
      </c>
      <c r="FM758" s="36" t="s">
        <v>260</v>
      </c>
      <c r="GF758" s="36" t="s">
        <v>2381</v>
      </c>
      <c r="GG758" s="36" t="s">
        <v>2377</v>
      </c>
      <c r="GH758" s="36" t="s">
        <v>2430</v>
      </c>
      <c r="GI758" s="37">
        <v>44743.0</v>
      </c>
      <c r="GJ758" s="38" t="s">
        <v>2431</v>
      </c>
      <c r="GK758" s="36" t="s">
        <v>2432</v>
      </c>
      <c r="GL758" s="36" t="s">
        <v>2433</v>
      </c>
    </row>
    <row r="759" ht="23.25" customHeight="1">
      <c r="A759" s="29">
        <v>44661.95169108796</v>
      </c>
      <c r="B759" s="30" t="s">
        <v>6</v>
      </c>
      <c r="C759" s="30" t="s">
        <v>14</v>
      </c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0" t="s">
        <v>2183</v>
      </c>
      <c r="BJ759" s="30" t="s">
        <v>2184</v>
      </c>
      <c r="BK759" s="30" t="s">
        <v>171</v>
      </c>
      <c r="BL759" s="30" t="s">
        <v>1288</v>
      </c>
      <c r="BM759" s="30" t="s">
        <v>2434</v>
      </c>
      <c r="BN759" s="30">
        <v>5.0</v>
      </c>
      <c r="BO759" s="32">
        <v>44382.0</v>
      </c>
      <c r="BP759" s="32">
        <v>44387.0</v>
      </c>
      <c r="BQ759" s="30" t="s">
        <v>2435</v>
      </c>
      <c r="BR759" s="30" t="s">
        <v>2436</v>
      </c>
      <c r="BS759" s="30" t="s">
        <v>276</v>
      </c>
      <c r="BT759" s="30" t="s">
        <v>156</v>
      </c>
      <c r="BU759" s="30">
        <v>0.0</v>
      </c>
      <c r="BV759" s="33" t="s">
        <v>2437</v>
      </c>
      <c r="BW759" s="31"/>
      <c r="BX759" s="31"/>
      <c r="FL759" s="36" t="s">
        <v>2182</v>
      </c>
      <c r="FM759" s="36" t="s">
        <v>283</v>
      </c>
    </row>
    <row r="760" ht="23.25" customHeight="1">
      <c r="A760" s="29">
        <v>44661.95248569445</v>
      </c>
      <c r="B760" s="30" t="s">
        <v>6</v>
      </c>
      <c r="C760" s="30" t="s">
        <v>13</v>
      </c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0" t="s">
        <v>2345</v>
      </c>
      <c r="AY760" s="30" t="s">
        <v>1814</v>
      </c>
      <c r="AZ760" s="30" t="s">
        <v>786</v>
      </c>
      <c r="BA760" s="30" t="s">
        <v>377</v>
      </c>
      <c r="BB760" s="30" t="s">
        <v>378</v>
      </c>
      <c r="BC760" s="32">
        <v>43818.0</v>
      </c>
      <c r="BD760" s="32">
        <v>43940.0</v>
      </c>
      <c r="BE760" s="32">
        <v>43940.0</v>
      </c>
      <c r="BF760" s="30" t="s">
        <v>523</v>
      </c>
      <c r="BG760" s="30" t="s">
        <v>2438</v>
      </c>
      <c r="BH760" s="33" t="s">
        <v>2439</v>
      </c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FL760" s="36" t="s">
        <v>1819</v>
      </c>
      <c r="FM760" s="36" t="s">
        <v>260</v>
      </c>
    </row>
    <row r="761" ht="23.25" customHeight="1">
      <c r="A761" s="29">
        <v>44661.95462685185</v>
      </c>
      <c r="B761" s="30" t="s">
        <v>6</v>
      </c>
      <c r="C761" s="30" t="s">
        <v>13</v>
      </c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0" t="s">
        <v>2345</v>
      </c>
      <c r="AY761" s="30" t="s">
        <v>1814</v>
      </c>
      <c r="AZ761" s="30" t="s">
        <v>347</v>
      </c>
      <c r="BA761" s="30" t="s">
        <v>409</v>
      </c>
      <c r="BB761" s="30" t="s">
        <v>882</v>
      </c>
      <c r="BC761" s="32">
        <v>44353.0</v>
      </c>
      <c r="BD761" s="32">
        <v>44383.0</v>
      </c>
      <c r="BE761" s="32">
        <v>44383.0</v>
      </c>
      <c r="BF761" s="30" t="s">
        <v>523</v>
      </c>
      <c r="BG761" s="30" t="s">
        <v>924</v>
      </c>
      <c r="BH761" s="33" t="s">
        <v>2440</v>
      </c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FL761" s="36" t="s">
        <v>1819</v>
      </c>
      <c r="FM761" s="36" t="s">
        <v>260</v>
      </c>
    </row>
    <row r="762" ht="23.25" customHeight="1">
      <c r="A762" s="29">
        <v>44661.95475109953</v>
      </c>
      <c r="B762" s="30" t="s">
        <v>6</v>
      </c>
      <c r="C762" s="30" t="s">
        <v>14</v>
      </c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0" t="s">
        <v>2183</v>
      </c>
      <c r="BJ762" s="30" t="s">
        <v>2184</v>
      </c>
      <c r="BK762" s="30" t="s">
        <v>159</v>
      </c>
      <c r="BL762" s="30" t="s">
        <v>1288</v>
      </c>
      <c r="BM762" s="30" t="s">
        <v>2441</v>
      </c>
      <c r="BN762" s="30">
        <v>1.0</v>
      </c>
      <c r="BO762" s="32">
        <v>44008.0</v>
      </c>
      <c r="BP762" s="32">
        <v>44008.0</v>
      </c>
      <c r="BQ762" s="30" t="s">
        <v>2442</v>
      </c>
      <c r="BR762" s="30" t="s">
        <v>2443</v>
      </c>
      <c r="BS762" s="30" t="s">
        <v>155</v>
      </c>
      <c r="BT762" s="30" t="s">
        <v>156</v>
      </c>
      <c r="BU762" s="30">
        <v>0.0</v>
      </c>
      <c r="BV762" s="33" t="s">
        <v>2444</v>
      </c>
      <c r="BW762" s="31"/>
      <c r="BX762" s="31"/>
      <c r="FL762" s="36" t="s">
        <v>2182</v>
      </c>
      <c r="FM762" s="36" t="s">
        <v>283</v>
      </c>
    </row>
    <row r="763" ht="23.25" customHeight="1">
      <c r="A763" s="29">
        <v>44661.95792560185</v>
      </c>
      <c r="B763" s="30" t="s">
        <v>6</v>
      </c>
      <c r="C763" s="30" t="s">
        <v>14</v>
      </c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0" t="s">
        <v>2183</v>
      </c>
      <c r="BJ763" s="30" t="s">
        <v>2184</v>
      </c>
      <c r="BK763" s="30" t="s">
        <v>313</v>
      </c>
      <c r="BL763" s="30" t="s">
        <v>735</v>
      </c>
      <c r="BM763" s="30" t="s">
        <v>2042</v>
      </c>
      <c r="BN763" s="30">
        <v>1.0</v>
      </c>
      <c r="BO763" s="32">
        <v>44567.0</v>
      </c>
      <c r="BP763" s="32">
        <v>44567.0</v>
      </c>
      <c r="BQ763" s="30" t="s">
        <v>1478</v>
      </c>
      <c r="BR763" s="30" t="s">
        <v>2445</v>
      </c>
      <c r="BS763" s="30" t="s">
        <v>176</v>
      </c>
      <c r="BT763" s="30" t="s">
        <v>156</v>
      </c>
      <c r="BU763" s="30">
        <v>0.0</v>
      </c>
      <c r="BV763" s="33" t="s">
        <v>2446</v>
      </c>
      <c r="BW763" s="31"/>
      <c r="BX763" s="31"/>
      <c r="FL763" s="36" t="s">
        <v>2182</v>
      </c>
      <c r="FM763" s="36" t="s">
        <v>278</v>
      </c>
    </row>
    <row r="764" ht="23.25" customHeight="1">
      <c r="A764" s="29">
        <v>44661.96089446759</v>
      </c>
      <c r="B764" s="30" t="s">
        <v>6</v>
      </c>
      <c r="C764" s="30" t="s">
        <v>14</v>
      </c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0" t="s">
        <v>2345</v>
      </c>
      <c r="BJ764" s="30" t="s">
        <v>1814</v>
      </c>
      <c r="BK764" s="30" t="s">
        <v>313</v>
      </c>
      <c r="BL764" s="30" t="s">
        <v>172</v>
      </c>
      <c r="BM764" s="30" t="s">
        <v>2447</v>
      </c>
      <c r="BN764" s="30">
        <v>1.0</v>
      </c>
      <c r="BO764" s="32">
        <v>44567.0</v>
      </c>
      <c r="BP764" s="32">
        <v>44567.0</v>
      </c>
      <c r="BQ764" s="30" t="s">
        <v>2448</v>
      </c>
      <c r="BR764" s="30" t="s">
        <v>631</v>
      </c>
      <c r="BS764" s="30" t="s">
        <v>176</v>
      </c>
      <c r="BT764" s="30" t="s">
        <v>156</v>
      </c>
      <c r="BU764" s="31"/>
      <c r="BV764" s="33" t="s">
        <v>2449</v>
      </c>
      <c r="BW764" s="31"/>
      <c r="BX764" s="31"/>
      <c r="FL764" s="36" t="s">
        <v>1819</v>
      </c>
      <c r="FM764" s="36" t="s">
        <v>260</v>
      </c>
    </row>
    <row r="765" ht="23.25" customHeight="1">
      <c r="A765" s="29">
        <v>44661.96153021991</v>
      </c>
      <c r="B765" s="30" t="s">
        <v>6</v>
      </c>
      <c r="C765" s="30" t="s">
        <v>14</v>
      </c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0" t="s">
        <v>2183</v>
      </c>
      <c r="BJ765" s="30" t="s">
        <v>2184</v>
      </c>
      <c r="BK765" s="30" t="s">
        <v>171</v>
      </c>
      <c r="BL765" s="30" t="s">
        <v>172</v>
      </c>
      <c r="BM765" s="30" t="s">
        <v>2450</v>
      </c>
      <c r="BN765" s="30">
        <v>2.0</v>
      </c>
      <c r="BO765" s="32">
        <v>44003.0</v>
      </c>
      <c r="BP765" s="32">
        <v>44003.0</v>
      </c>
      <c r="BQ765" s="30" t="s">
        <v>2451</v>
      </c>
      <c r="BR765" s="30" t="s">
        <v>2452</v>
      </c>
      <c r="BS765" s="30" t="s">
        <v>176</v>
      </c>
      <c r="BT765" s="30" t="s">
        <v>156</v>
      </c>
      <c r="BU765" s="30">
        <v>0.0</v>
      </c>
      <c r="BV765" s="33" t="s">
        <v>2453</v>
      </c>
      <c r="BW765" s="31"/>
      <c r="BX765" s="31"/>
      <c r="FL765" s="36" t="s">
        <v>2182</v>
      </c>
      <c r="FM765" s="36" t="s">
        <v>283</v>
      </c>
    </row>
    <row r="766" ht="23.25" customHeight="1">
      <c r="A766" s="29">
        <v>44661.965466319445</v>
      </c>
      <c r="B766" s="30" t="s">
        <v>6</v>
      </c>
      <c r="C766" s="30" t="s">
        <v>13</v>
      </c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0" t="s">
        <v>2183</v>
      </c>
      <c r="AY766" s="30" t="s">
        <v>2184</v>
      </c>
      <c r="AZ766" s="30" t="s">
        <v>2454</v>
      </c>
      <c r="BA766" s="30" t="s">
        <v>985</v>
      </c>
      <c r="BB766" s="30" t="s">
        <v>196</v>
      </c>
      <c r="BC766" s="32">
        <v>44446.0</v>
      </c>
      <c r="BD766" s="32">
        <v>44446.0</v>
      </c>
      <c r="BE766" s="32">
        <v>44446.0</v>
      </c>
      <c r="BF766" s="30">
        <v>95.0</v>
      </c>
      <c r="BG766" s="30" t="s">
        <v>2455</v>
      </c>
      <c r="BH766" s="33" t="s">
        <v>2456</v>
      </c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FL766" s="36" t="s">
        <v>2182</v>
      </c>
      <c r="FM766" s="36" t="s">
        <v>278</v>
      </c>
    </row>
    <row r="767" ht="23.25" customHeight="1">
      <c r="A767" s="29">
        <v>44661.96627085649</v>
      </c>
      <c r="B767" s="30" t="s">
        <v>6</v>
      </c>
      <c r="C767" s="30" t="s">
        <v>13</v>
      </c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0" t="s">
        <v>2345</v>
      </c>
      <c r="AY767" s="30" t="s">
        <v>1814</v>
      </c>
      <c r="AZ767" s="30" t="s">
        <v>2457</v>
      </c>
      <c r="BA767" s="30" t="s">
        <v>2458</v>
      </c>
      <c r="BB767" s="30" t="s">
        <v>882</v>
      </c>
      <c r="BC767" s="32">
        <v>44089.0</v>
      </c>
      <c r="BD767" s="32">
        <v>44058.0</v>
      </c>
      <c r="BE767" s="32">
        <v>44089.0</v>
      </c>
      <c r="BF767" s="30" t="s">
        <v>523</v>
      </c>
      <c r="BG767" s="30" t="s">
        <v>523</v>
      </c>
      <c r="BH767" s="33" t="s">
        <v>2459</v>
      </c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FL767" s="36" t="s">
        <v>1819</v>
      </c>
      <c r="FM767" s="36" t="s">
        <v>260</v>
      </c>
    </row>
    <row r="768" ht="23.25" customHeight="1">
      <c r="A768" s="29">
        <v>44661.969973969906</v>
      </c>
      <c r="B768" s="30" t="s">
        <v>6</v>
      </c>
      <c r="C768" s="30" t="s">
        <v>13</v>
      </c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0" t="s">
        <v>2345</v>
      </c>
      <c r="AY768" s="30" t="s">
        <v>1814</v>
      </c>
      <c r="AZ768" s="30" t="s">
        <v>2460</v>
      </c>
      <c r="BA768" s="30" t="s">
        <v>345</v>
      </c>
      <c r="BB768" s="30" t="s">
        <v>973</v>
      </c>
      <c r="BC768" s="32">
        <v>43963.0</v>
      </c>
      <c r="BD768" s="32">
        <v>44014.0</v>
      </c>
      <c r="BE768" s="32">
        <v>44014.0</v>
      </c>
      <c r="BF768" s="30" t="s">
        <v>523</v>
      </c>
      <c r="BG768" s="30" t="s">
        <v>523</v>
      </c>
      <c r="BH768" s="33" t="s">
        <v>2461</v>
      </c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FL768" s="36" t="s">
        <v>1819</v>
      </c>
      <c r="FM768" s="36" t="s">
        <v>260</v>
      </c>
    </row>
    <row r="769" ht="23.25" customHeight="1">
      <c r="A769" s="29">
        <v>44661.972461412035</v>
      </c>
      <c r="B769" s="30" t="s">
        <v>6</v>
      </c>
      <c r="C769" s="30" t="s">
        <v>12</v>
      </c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0" t="s">
        <v>2462</v>
      </c>
      <c r="AO769" s="30" t="s">
        <v>2463</v>
      </c>
      <c r="AP769" s="30" t="s">
        <v>2464</v>
      </c>
      <c r="AQ769" s="30" t="s">
        <v>2465</v>
      </c>
      <c r="AR769" s="32">
        <v>44580.0</v>
      </c>
      <c r="AS769" s="32">
        <v>44742.0</v>
      </c>
      <c r="AT769" s="30" t="s">
        <v>256</v>
      </c>
      <c r="AU769" s="30" t="s">
        <v>257</v>
      </c>
      <c r="AV769" s="30">
        <v>30000.0</v>
      </c>
      <c r="AW769" s="33" t="s">
        <v>2466</v>
      </c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FL769" s="36" t="s">
        <v>2467</v>
      </c>
      <c r="FM769" s="36" t="s">
        <v>260</v>
      </c>
    </row>
    <row r="770" ht="23.25" customHeight="1">
      <c r="A770" s="29">
        <v>44662.00033725695</v>
      </c>
      <c r="B770" s="30" t="s">
        <v>6</v>
      </c>
      <c r="C770" s="30" t="s">
        <v>27</v>
      </c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FL770" s="36" t="s">
        <v>2467</v>
      </c>
      <c r="FM770" s="36" t="s">
        <v>260</v>
      </c>
      <c r="GF770" s="36" t="s">
        <v>2462</v>
      </c>
      <c r="GG770" s="36" t="s">
        <v>2463</v>
      </c>
      <c r="GH770" s="36" t="s">
        <v>263</v>
      </c>
      <c r="GI770" s="37">
        <v>44578.0</v>
      </c>
      <c r="GJ770" s="38" t="s">
        <v>2468</v>
      </c>
      <c r="GK770" s="36" t="s">
        <v>1705</v>
      </c>
      <c r="GL770" s="36" t="s">
        <v>2469</v>
      </c>
    </row>
    <row r="771" ht="23.25" customHeight="1">
      <c r="A771" s="29">
        <v>44662.375923761574</v>
      </c>
      <c r="B771" s="30" t="s">
        <v>8</v>
      </c>
      <c r="C771" s="30" t="s">
        <v>13</v>
      </c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0" t="s">
        <v>2470</v>
      </c>
      <c r="AY771" s="30" t="s">
        <v>2471</v>
      </c>
      <c r="AZ771" s="30" t="s">
        <v>2472</v>
      </c>
      <c r="BA771" s="30" t="s">
        <v>377</v>
      </c>
      <c r="BB771" s="30" t="s">
        <v>507</v>
      </c>
      <c r="BC771" s="32">
        <v>44481.0</v>
      </c>
      <c r="BD771" s="32">
        <v>44573.0</v>
      </c>
      <c r="BE771" s="32">
        <v>44573.0</v>
      </c>
      <c r="BF771" s="39">
        <v>0.85</v>
      </c>
      <c r="BG771" s="30" t="s">
        <v>2473</v>
      </c>
      <c r="BH771" s="33" t="s">
        <v>2474</v>
      </c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FL771" s="36" t="s">
        <v>2475</v>
      </c>
      <c r="FM771" s="36" t="s">
        <v>555</v>
      </c>
    </row>
    <row r="772" ht="23.25" customHeight="1">
      <c r="A772" s="29">
        <v>44662.41146059027</v>
      </c>
      <c r="B772" s="30" t="s">
        <v>6</v>
      </c>
      <c r="C772" s="30" t="s">
        <v>13</v>
      </c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0" t="s">
        <v>2476</v>
      </c>
      <c r="AY772" s="30" t="s">
        <v>2477</v>
      </c>
      <c r="AZ772" s="30" t="s">
        <v>500</v>
      </c>
      <c r="BA772" s="30" t="s">
        <v>2250</v>
      </c>
      <c r="BB772" s="30" t="s">
        <v>1786</v>
      </c>
      <c r="BC772" s="32">
        <v>44479.0</v>
      </c>
      <c r="BD772" s="32">
        <v>44540.0</v>
      </c>
      <c r="BE772" s="32">
        <v>44541.0</v>
      </c>
      <c r="BF772" s="30">
        <v>100.0</v>
      </c>
      <c r="BG772" s="30" t="s">
        <v>2478</v>
      </c>
      <c r="BH772" s="33" t="s">
        <v>2479</v>
      </c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FL772" s="36" t="s">
        <v>2480</v>
      </c>
      <c r="FM772" s="36" t="s">
        <v>260</v>
      </c>
    </row>
    <row r="773" ht="23.25" customHeight="1">
      <c r="A773" s="29">
        <v>44662.41250322916</v>
      </c>
      <c r="B773" s="30" t="s">
        <v>6</v>
      </c>
      <c r="C773" s="30" t="s">
        <v>13</v>
      </c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0" t="s">
        <v>2481</v>
      </c>
      <c r="AY773" s="30" t="s">
        <v>2482</v>
      </c>
      <c r="AZ773" s="30" t="s">
        <v>2483</v>
      </c>
      <c r="BA773" s="30" t="s">
        <v>337</v>
      </c>
      <c r="BB773" s="30" t="s">
        <v>2484</v>
      </c>
      <c r="BC773" s="32">
        <v>43466.0</v>
      </c>
      <c r="BD773" s="32">
        <v>43657.0</v>
      </c>
      <c r="BE773" s="32">
        <v>43675.0</v>
      </c>
      <c r="BF773" s="30" t="s">
        <v>2485</v>
      </c>
      <c r="BG773" s="30" t="s">
        <v>559</v>
      </c>
      <c r="BH773" s="33" t="s">
        <v>2486</v>
      </c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FL773" s="36" t="s">
        <v>2487</v>
      </c>
      <c r="FM773" s="36" t="s">
        <v>260</v>
      </c>
    </row>
    <row r="774" ht="23.25" customHeight="1">
      <c r="A774" s="29">
        <v>44662.41419646991</v>
      </c>
      <c r="B774" s="30" t="s">
        <v>6</v>
      </c>
      <c r="C774" s="30" t="s">
        <v>13</v>
      </c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0" t="s">
        <v>2481</v>
      </c>
      <c r="AY774" s="30" t="s">
        <v>2482</v>
      </c>
      <c r="AZ774" s="30" t="s">
        <v>2488</v>
      </c>
      <c r="BA774" s="30" t="s">
        <v>337</v>
      </c>
      <c r="BB774" s="30" t="s">
        <v>2484</v>
      </c>
      <c r="BC774" s="32">
        <v>43525.0</v>
      </c>
      <c r="BD774" s="32">
        <v>43646.0</v>
      </c>
      <c r="BE774" s="32">
        <v>43675.0</v>
      </c>
      <c r="BF774" s="30" t="s">
        <v>2485</v>
      </c>
      <c r="BG774" s="30" t="s">
        <v>559</v>
      </c>
      <c r="BH774" s="33" t="s">
        <v>2489</v>
      </c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FL774" s="36" t="s">
        <v>2487</v>
      </c>
      <c r="FM774" s="36" t="s">
        <v>260</v>
      </c>
    </row>
    <row r="775" ht="23.25" customHeight="1">
      <c r="A775" s="29">
        <v>44662.41493857639</v>
      </c>
      <c r="B775" s="30" t="s">
        <v>6</v>
      </c>
      <c r="C775" s="30" t="s">
        <v>13</v>
      </c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0" t="s">
        <v>2476</v>
      </c>
      <c r="AY775" s="30" t="s">
        <v>2477</v>
      </c>
      <c r="AZ775" s="30" t="s">
        <v>2490</v>
      </c>
      <c r="BA775" s="30" t="s">
        <v>337</v>
      </c>
      <c r="BB775" s="30" t="s">
        <v>1076</v>
      </c>
      <c r="BC775" s="32">
        <v>44469.0</v>
      </c>
      <c r="BD775" s="32">
        <v>44469.0</v>
      </c>
      <c r="BE775" s="32">
        <v>44469.0</v>
      </c>
      <c r="BF775" s="30">
        <v>100.0</v>
      </c>
      <c r="BG775" s="30" t="s">
        <v>2478</v>
      </c>
      <c r="BH775" s="33" t="s">
        <v>2491</v>
      </c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FL775" s="36" t="s">
        <v>2480</v>
      </c>
      <c r="FM775" s="36" t="s">
        <v>260</v>
      </c>
    </row>
    <row r="776" ht="23.25" customHeight="1">
      <c r="A776" s="29">
        <v>44662.41592613426</v>
      </c>
      <c r="B776" s="30" t="s">
        <v>6</v>
      </c>
      <c r="C776" s="30" t="s">
        <v>13</v>
      </c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0" t="s">
        <v>2481</v>
      </c>
      <c r="AY776" s="30" t="s">
        <v>2482</v>
      </c>
      <c r="AZ776" s="30" t="s">
        <v>2492</v>
      </c>
      <c r="BA776" s="30" t="s">
        <v>2493</v>
      </c>
      <c r="BB776" s="30" t="s">
        <v>2484</v>
      </c>
      <c r="BC776" s="32">
        <v>44256.0</v>
      </c>
      <c r="BD776" s="32">
        <v>44377.0</v>
      </c>
      <c r="BE776" s="32">
        <v>44402.0</v>
      </c>
      <c r="BF776" s="30" t="s">
        <v>2485</v>
      </c>
      <c r="BG776" s="30" t="s">
        <v>559</v>
      </c>
      <c r="BH776" s="33" t="s">
        <v>2494</v>
      </c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FL776" s="36" t="s">
        <v>2487</v>
      </c>
      <c r="FM776" s="36" t="s">
        <v>260</v>
      </c>
    </row>
    <row r="777" ht="23.25" customHeight="1">
      <c r="A777" s="29">
        <v>44662.41773732639</v>
      </c>
      <c r="B777" s="30" t="s">
        <v>6</v>
      </c>
      <c r="C777" s="30" t="s">
        <v>13</v>
      </c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0" t="s">
        <v>2481</v>
      </c>
      <c r="AY777" s="30" t="s">
        <v>2482</v>
      </c>
      <c r="AZ777" s="30" t="s">
        <v>2495</v>
      </c>
      <c r="BA777" s="30" t="s">
        <v>2496</v>
      </c>
      <c r="BB777" s="30" t="s">
        <v>2497</v>
      </c>
      <c r="BC777" s="32">
        <v>44593.0</v>
      </c>
      <c r="BD777" s="32">
        <v>44622.0</v>
      </c>
      <c r="BE777" s="32">
        <v>44652.0</v>
      </c>
      <c r="BF777" s="30" t="s">
        <v>2485</v>
      </c>
      <c r="BG777" s="30" t="s">
        <v>523</v>
      </c>
      <c r="BH777" s="33" t="s">
        <v>2498</v>
      </c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FL777" s="36" t="s">
        <v>2487</v>
      </c>
      <c r="FM777" s="36" t="s">
        <v>260</v>
      </c>
    </row>
    <row r="778" ht="23.25" customHeight="1">
      <c r="A778" s="29">
        <v>44662.418831828705</v>
      </c>
      <c r="B778" s="30" t="s">
        <v>6</v>
      </c>
      <c r="C778" s="30" t="s">
        <v>13</v>
      </c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0" t="s">
        <v>2481</v>
      </c>
      <c r="AY778" s="30" t="s">
        <v>2482</v>
      </c>
      <c r="AZ778" s="30" t="s">
        <v>1723</v>
      </c>
      <c r="BA778" s="30" t="s">
        <v>2496</v>
      </c>
      <c r="BB778" s="30" t="s">
        <v>2497</v>
      </c>
      <c r="BC778" s="32">
        <v>44562.0</v>
      </c>
      <c r="BD778" s="32">
        <v>44591.0</v>
      </c>
      <c r="BE778" s="32">
        <v>44653.0</v>
      </c>
      <c r="BF778" s="30" t="s">
        <v>2485</v>
      </c>
      <c r="BG778" s="30" t="s">
        <v>523</v>
      </c>
      <c r="BH778" s="33" t="s">
        <v>2499</v>
      </c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FL778" s="36" t="s">
        <v>2487</v>
      </c>
      <c r="FM778" s="36" t="s">
        <v>260</v>
      </c>
    </row>
    <row r="779" ht="23.25" customHeight="1">
      <c r="A779" s="29">
        <v>44662.42031074074</v>
      </c>
      <c r="B779" s="30" t="s">
        <v>6</v>
      </c>
      <c r="C779" s="30" t="s">
        <v>13</v>
      </c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0" t="s">
        <v>2481</v>
      </c>
      <c r="AY779" s="30" t="s">
        <v>2482</v>
      </c>
      <c r="AZ779" s="30" t="s">
        <v>2500</v>
      </c>
      <c r="BA779" s="30" t="s">
        <v>2496</v>
      </c>
      <c r="BB779" s="30" t="s">
        <v>2501</v>
      </c>
      <c r="BC779" s="32">
        <v>43922.0</v>
      </c>
      <c r="BD779" s="32">
        <v>43936.0</v>
      </c>
      <c r="BE779" s="32">
        <v>44660.0</v>
      </c>
      <c r="BF779" s="30" t="s">
        <v>2485</v>
      </c>
      <c r="BG779" s="30" t="s">
        <v>523</v>
      </c>
      <c r="BH779" s="33" t="s">
        <v>2502</v>
      </c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FL779" s="36" t="s">
        <v>2487</v>
      </c>
      <c r="FM779" s="36" t="s">
        <v>260</v>
      </c>
    </row>
    <row r="780" ht="23.25" customHeight="1">
      <c r="A780" s="29">
        <v>44662.42205001158</v>
      </c>
      <c r="B780" s="30" t="s">
        <v>6</v>
      </c>
      <c r="C780" s="30" t="s">
        <v>13</v>
      </c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0" t="s">
        <v>2481</v>
      </c>
      <c r="AY780" s="30" t="s">
        <v>2482</v>
      </c>
      <c r="AZ780" s="30" t="s">
        <v>2503</v>
      </c>
      <c r="BA780" s="30" t="s">
        <v>2504</v>
      </c>
      <c r="BB780" s="30" t="s">
        <v>2505</v>
      </c>
      <c r="BC780" s="32">
        <v>44593.0</v>
      </c>
      <c r="BD780" s="32">
        <v>44653.0</v>
      </c>
      <c r="BE780" s="32">
        <v>44654.0</v>
      </c>
      <c r="BF780" s="30" t="s">
        <v>2485</v>
      </c>
      <c r="BG780" s="30" t="s">
        <v>523</v>
      </c>
      <c r="BH780" s="33" t="s">
        <v>2506</v>
      </c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FL780" s="36" t="s">
        <v>2487</v>
      </c>
      <c r="FM780" s="36" t="s">
        <v>260</v>
      </c>
    </row>
    <row r="781" ht="23.25" customHeight="1">
      <c r="A781" s="29">
        <v>44662.422067499996</v>
      </c>
      <c r="B781" s="30" t="s">
        <v>6</v>
      </c>
      <c r="C781" s="30" t="s">
        <v>12</v>
      </c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0" t="s">
        <v>2476</v>
      </c>
      <c r="AO781" s="30" t="s">
        <v>2477</v>
      </c>
      <c r="AP781" s="30" t="s">
        <v>2507</v>
      </c>
      <c r="AQ781" s="30" t="s">
        <v>503</v>
      </c>
      <c r="AR781" s="32">
        <v>44638.0</v>
      </c>
      <c r="AS781" s="32">
        <v>44730.0</v>
      </c>
      <c r="AT781" s="30" t="s">
        <v>257</v>
      </c>
      <c r="AU781" s="30" t="s">
        <v>257</v>
      </c>
      <c r="AV781" s="30">
        <v>0.0</v>
      </c>
      <c r="AW781" s="33" t="s">
        <v>2508</v>
      </c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FL781" s="36" t="s">
        <v>2480</v>
      </c>
      <c r="FM781" s="36" t="s">
        <v>260</v>
      </c>
    </row>
    <row r="782" ht="23.25" customHeight="1">
      <c r="A782" s="29">
        <v>44662.42513321759</v>
      </c>
      <c r="B782" s="30" t="s">
        <v>6</v>
      </c>
      <c r="C782" s="30" t="s">
        <v>12</v>
      </c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0" t="s">
        <v>2509</v>
      </c>
      <c r="AO782" s="30" t="s">
        <v>2510</v>
      </c>
      <c r="AP782" s="30" t="s">
        <v>2511</v>
      </c>
      <c r="AQ782" s="30" t="s">
        <v>378</v>
      </c>
      <c r="AR782" s="32">
        <v>44621.0</v>
      </c>
      <c r="AS782" s="32">
        <v>44742.0</v>
      </c>
      <c r="AT782" s="30" t="s">
        <v>256</v>
      </c>
      <c r="AU782" s="30" t="s">
        <v>257</v>
      </c>
      <c r="AV782" s="30">
        <v>0.0</v>
      </c>
      <c r="AW782" s="33" t="s">
        <v>2512</v>
      </c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FL782" s="36" t="s">
        <v>2513</v>
      </c>
      <c r="FM782" s="36" t="s">
        <v>260</v>
      </c>
    </row>
    <row r="783" ht="23.25" customHeight="1">
      <c r="A783" s="29">
        <v>44662.4257196875</v>
      </c>
      <c r="B783" s="30" t="s">
        <v>6</v>
      </c>
      <c r="C783" s="30" t="s">
        <v>14</v>
      </c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0" t="s">
        <v>2481</v>
      </c>
      <c r="BJ783" s="30" t="s">
        <v>2482</v>
      </c>
      <c r="BK783" s="30" t="s">
        <v>171</v>
      </c>
      <c r="BL783" s="30" t="s">
        <v>1288</v>
      </c>
      <c r="BM783" s="30" t="s">
        <v>2514</v>
      </c>
      <c r="BN783" s="30">
        <v>1.0</v>
      </c>
      <c r="BO783" s="32">
        <v>44008.0</v>
      </c>
      <c r="BP783" s="32">
        <v>44008.0</v>
      </c>
      <c r="BQ783" s="30" t="s">
        <v>2515</v>
      </c>
      <c r="BR783" s="30" t="s">
        <v>2516</v>
      </c>
      <c r="BS783" s="30" t="s">
        <v>155</v>
      </c>
      <c r="BT783" s="30" t="s">
        <v>156</v>
      </c>
      <c r="BU783" s="31"/>
      <c r="BV783" s="33" t="s">
        <v>2517</v>
      </c>
      <c r="BW783" s="31"/>
      <c r="BX783" s="31"/>
      <c r="FL783" s="36" t="s">
        <v>2487</v>
      </c>
      <c r="FM783" s="36" t="s">
        <v>260</v>
      </c>
    </row>
    <row r="784" ht="23.25" customHeight="1">
      <c r="A784" s="29">
        <v>44662.42736609954</v>
      </c>
      <c r="B784" s="30" t="s">
        <v>6</v>
      </c>
      <c r="C784" s="30" t="s">
        <v>20</v>
      </c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DX784" s="36" t="s">
        <v>2476</v>
      </c>
      <c r="DY784" s="36" t="s">
        <v>2477</v>
      </c>
      <c r="DZ784" s="36" t="s">
        <v>313</v>
      </c>
      <c r="EA784" s="36" t="s">
        <v>2518</v>
      </c>
      <c r="EB784" s="37">
        <v>44316.0</v>
      </c>
      <c r="EC784" s="36" t="s">
        <v>2519</v>
      </c>
      <c r="ED784" s="38" t="s">
        <v>2520</v>
      </c>
      <c r="FL784" s="36" t="s">
        <v>2480</v>
      </c>
      <c r="FM784" s="36" t="s">
        <v>260</v>
      </c>
    </row>
    <row r="785" ht="23.25" customHeight="1">
      <c r="A785" s="29">
        <v>44662.4289046875</v>
      </c>
      <c r="B785" s="30" t="s">
        <v>6</v>
      </c>
      <c r="C785" s="30" t="s">
        <v>14</v>
      </c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0" t="s">
        <v>2481</v>
      </c>
      <c r="BJ785" s="30" t="s">
        <v>2482</v>
      </c>
      <c r="BK785" s="30" t="s">
        <v>313</v>
      </c>
      <c r="BL785" s="30" t="s">
        <v>1288</v>
      </c>
      <c r="BM785" s="30" t="s">
        <v>2521</v>
      </c>
      <c r="BN785" s="30">
        <v>60.0</v>
      </c>
      <c r="BO785" s="32">
        <v>44511.0</v>
      </c>
      <c r="BP785" s="32">
        <v>44572.0</v>
      </c>
      <c r="BQ785" s="33" t="s">
        <v>2522</v>
      </c>
      <c r="BR785" s="30" t="s">
        <v>2523</v>
      </c>
      <c r="BS785" s="30" t="s">
        <v>176</v>
      </c>
      <c r="BT785" s="30" t="s">
        <v>632</v>
      </c>
      <c r="BU785" s="30">
        <v>1000.0</v>
      </c>
      <c r="BV785" s="33" t="s">
        <v>2524</v>
      </c>
      <c r="BW785" s="31"/>
      <c r="BX785" s="31"/>
      <c r="FL785" s="36" t="s">
        <v>2487</v>
      </c>
      <c r="FM785" s="36" t="s">
        <v>260</v>
      </c>
    </row>
    <row r="786" ht="23.25" customHeight="1">
      <c r="A786" s="29">
        <v>44662.42919377315</v>
      </c>
      <c r="B786" s="30" t="s">
        <v>6</v>
      </c>
      <c r="C786" s="30" t="s">
        <v>13</v>
      </c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0" t="s">
        <v>1557</v>
      </c>
      <c r="AY786" s="30" t="s">
        <v>1558</v>
      </c>
      <c r="AZ786" s="30" t="s">
        <v>2525</v>
      </c>
      <c r="BA786" s="30" t="s">
        <v>345</v>
      </c>
      <c r="BB786" s="30" t="s">
        <v>1335</v>
      </c>
      <c r="BC786" s="32">
        <v>43983.0</v>
      </c>
      <c r="BD786" s="32">
        <v>44056.0</v>
      </c>
      <c r="BE786" s="32">
        <v>44053.0</v>
      </c>
      <c r="BF786" s="30">
        <v>100.0</v>
      </c>
      <c r="BG786" s="30" t="s">
        <v>2526</v>
      </c>
      <c r="BH786" s="33" t="s">
        <v>2527</v>
      </c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FL786" s="36" t="s">
        <v>1563</v>
      </c>
      <c r="FM786" s="36" t="s">
        <v>260</v>
      </c>
    </row>
    <row r="787" ht="23.25" customHeight="1">
      <c r="A787" s="29">
        <v>44662.43062171296</v>
      </c>
      <c r="B787" s="30" t="s">
        <v>6</v>
      </c>
      <c r="C787" s="30" t="s">
        <v>14</v>
      </c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0" t="s">
        <v>2481</v>
      </c>
      <c r="BJ787" s="30" t="s">
        <v>2482</v>
      </c>
      <c r="BK787" s="30" t="s">
        <v>313</v>
      </c>
      <c r="BL787" s="30" t="s">
        <v>1288</v>
      </c>
      <c r="BM787" s="30" t="s">
        <v>2528</v>
      </c>
      <c r="BN787" s="30">
        <v>60.0</v>
      </c>
      <c r="BO787" s="32">
        <v>44511.0</v>
      </c>
      <c r="BP787" s="32">
        <v>44572.0</v>
      </c>
      <c r="BQ787" s="33" t="s">
        <v>2522</v>
      </c>
      <c r="BR787" s="30" t="s">
        <v>2523</v>
      </c>
      <c r="BS787" s="30" t="s">
        <v>176</v>
      </c>
      <c r="BT787" s="30" t="s">
        <v>632</v>
      </c>
      <c r="BU787" s="30">
        <v>1000.0</v>
      </c>
      <c r="BV787" s="33" t="s">
        <v>2529</v>
      </c>
      <c r="BW787" s="31"/>
      <c r="BX787" s="31"/>
      <c r="FL787" s="36" t="s">
        <v>2487</v>
      </c>
      <c r="FM787" s="36" t="s">
        <v>260</v>
      </c>
    </row>
    <row r="788" ht="23.25" customHeight="1">
      <c r="A788" s="29">
        <v>44662.43066560185</v>
      </c>
      <c r="B788" s="30" t="s">
        <v>6</v>
      </c>
      <c r="C788" s="30" t="s">
        <v>27</v>
      </c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FL788" s="36" t="s">
        <v>1829</v>
      </c>
      <c r="FM788" s="36" t="s">
        <v>260</v>
      </c>
      <c r="GF788" s="36" t="s">
        <v>1825</v>
      </c>
      <c r="GG788" s="36" t="s">
        <v>1826</v>
      </c>
      <c r="GH788" s="36" t="s">
        <v>2530</v>
      </c>
      <c r="GI788" s="37">
        <v>44641.0</v>
      </c>
      <c r="GJ788" s="38" t="s">
        <v>2531</v>
      </c>
      <c r="GK788" s="36" t="s">
        <v>2532</v>
      </c>
      <c r="GL788" s="36">
        <v>3.5</v>
      </c>
    </row>
    <row r="789" ht="23.25" customHeight="1">
      <c r="A789" s="29">
        <v>44662.43120121528</v>
      </c>
      <c r="B789" s="30" t="s">
        <v>6</v>
      </c>
      <c r="C789" s="30" t="s">
        <v>13</v>
      </c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0" t="s">
        <v>1557</v>
      </c>
      <c r="AY789" s="30" t="s">
        <v>1558</v>
      </c>
      <c r="AZ789" s="30" t="s">
        <v>2533</v>
      </c>
      <c r="BA789" s="30" t="s">
        <v>345</v>
      </c>
      <c r="BB789" s="30" t="s">
        <v>1335</v>
      </c>
      <c r="BC789" s="32">
        <v>43983.0</v>
      </c>
      <c r="BD789" s="32">
        <v>44051.0</v>
      </c>
      <c r="BE789" s="32">
        <v>44049.0</v>
      </c>
      <c r="BF789" s="30">
        <v>96.0</v>
      </c>
      <c r="BG789" s="30" t="s">
        <v>2526</v>
      </c>
      <c r="BH789" s="33" t="s">
        <v>2534</v>
      </c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FL789" s="36" t="s">
        <v>1563</v>
      </c>
      <c r="FM789" s="36" t="s">
        <v>260</v>
      </c>
    </row>
    <row r="790" ht="23.25" customHeight="1">
      <c r="A790" s="29">
        <v>44662.432340486106</v>
      </c>
      <c r="B790" s="30" t="s">
        <v>6</v>
      </c>
      <c r="C790" s="30" t="s">
        <v>27</v>
      </c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FL790" s="36" t="s">
        <v>1829</v>
      </c>
      <c r="FM790" s="36" t="s">
        <v>260</v>
      </c>
      <c r="GF790" s="36" t="s">
        <v>1825</v>
      </c>
      <c r="GG790" s="36" t="s">
        <v>1826</v>
      </c>
      <c r="GH790" s="36" t="s">
        <v>2530</v>
      </c>
      <c r="GI790" s="37">
        <v>44642.0</v>
      </c>
      <c r="GJ790" s="38" t="s">
        <v>2535</v>
      </c>
      <c r="GK790" s="36" t="s">
        <v>2532</v>
      </c>
      <c r="GL790" s="36">
        <v>3.6</v>
      </c>
    </row>
    <row r="791" ht="23.25" customHeight="1">
      <c r="A791" s="29">
        <v>44662.43407363426</v>
      </c>
      <c r="B791" s="30" t="s">
        <v>6</v>
      </c>
      <c r="C791" s="30" t="s">
        <v>13</v>
      </c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0" t="s">
        <v>1557</v>
      </c>
      <c r="AY791" s="30" t="s">
        <v>1558</v>
      </c>
      <c r="AZ791" s="30" t="s">
        <v>2536</v>
      </c>
      <c r="BA791" s="30" t="s">
        <v>377</v>
      </c>
      <c r="BB791" s="30" t="s">
        <v>1068</v>
      </c>
      <c r="BC791" s="32">
        <v>43526.0</v>
      </c>
      <c r="BD791" s="32">
        <v>43618.0</v>
      </c>
      <c r="BE791" s="32">
        <v>43618.0</v>
      </c>
      <c r="BF791" s="30">
        <v>80.0</v>
      </c>
      <c r="BG791" s="30" t="s">
        <v>1270</v>
      </c>
      <c r="BH791" s="33" t="s">
        <v>2537</v>
      </c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FL791" s="36" t="s">
        <v>1563</v>
      </c>
      <c r="FM791" s="36" t="s">
        <v>260</v>
      </c>
    </row>
    <row r="792" ht="23.25" customHeight="1">
      <c r="A792" s="29">
        <v>44662.43442452546</v>
      </c>
      <c r="B792" s="30" t="s">
        <v>6</v>
      </c>
      <c r="C792" s="30" t="s">
        <v>20</v>
      </c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DX792" s="36" t="s">
        <v>2538</v>
      </c>
      <c r="DY792" s="36" t="s">
        <v>2482</v>
      </c>
      <c r="DZ792" s="36" t="s">
        <v>171</v>
      </c>
      <c r="EA792" s="36" t="s">
        <v>2539</v>
      </c>
      <c r="EB792" s="37">
        <v>44530.0</v>
      </c>
      <c r="EC792" s="36" t="s">
        <v>2540</v>
      </c>
      <c r="ED792" s="38" t="s">
        <v>2541</v>
      </c>
      <c r="FL792" s="36" t="s">
        <v>2487</v>
      </c>
      <c r="FM792" s="36" t="s">
        <v>260</v>
      </c>
    </row>
    <row r="793" ht="23.25" customHeight="1">
      <c r="A793" s="29">
        <v>44662.4373646412</v>
      </c>
      <c r="B793" s="30" t="s">
        <v>6</v>
      </c>
      <c r="C793" s="30" t="s">
        <v>12</v>
      </c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0" t="s">
        <v>2542</v>
      </c>
      <c r="AO793" s="30" t="s">
        <v>2543</v>
      </c>
      <c r="AP793" s="30" t="s">
        <v>2544</v>
      </c>
      <c r="AQ793" s="30" t="s">
        <v>507</v>
      </c>
      <c r="AR793" s="32">
        <v>44470.0</v>
      </c>
      <c r="AS793" s="32">
        <v>44545.0</v>
      </c>
      <c r="AT793" s="30" t="s">
        <v>257</v>
      </c>
      <c r="AU793" s="30" t="s">
        <v>257</v>
      </c>
      <c r="AV793" s="30">
        <v>0.0</v>
      </c>
      <c r="AW793" s="33" t="s">
        <v>2545</v>
      </c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FL793" s="36" t="s">
        <v>2546</v>
      </c>
      <c r="FM793" s="36" t="s">
        <v>260</v>
      </c>
    </row>
    <row r="794" ht="23.25" customHeight="1">
      <c r="A794" s="29">
        <v>44662.437470185185</v>
      </c>
      <c r="B794" s="30" t="s">
        <v>6</v>
      </c>
      <c r="C794" s="30" t="s">
        <v>13</v>
      </c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0" t="s">
        <v>1557</v>
      </c>
      <c r="AY794" s="30" t="s">
        <v>1558</v>
      </c>
      <c r="AZ794" s="30" t="s">
        <v>2547</v>
      </c>
      <c r="BA794" s="30" t="s">
        <v>1434</v>
      </c>
      <c r="BB794" s="30" t="s">
        <v>310</v>
      </c>
      <c r="BC794" s="32">
        <v>43614.0</v>
      </c>
      <c r="BD794" s="32">
        <v>43677.0</v>
      </c>
      <c r="BE794" s="32">
        <v>43646.0</v>
      </c>
      <c r="BF794" s="30">
        <v>80.0</v>
      </c>
      <c r="BG794" s="30" t="s">
        <v>1270</v>
      </c>
      <c r="BH794" s="33" t="s">
        <v>2548</v>
      </c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FL794" s="36" t="s">
        <v>1563</v>
      </c>
      <c r="FM794" s="36" t="s">
        <v>260</v>
      </c>
    </row>
    <row r="795" ht="23.25" customHeight="1">
      <c r="A795" s="29">
        <v>44662.43834633102</v>
      </c>
      <c r="B795" s="30" t="s">
        <v>6</v>
      </c>
      <c r="C795" s="30" t="s">
        <v>14</v>
      </c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0" t="s">
        <v>2481</v>
      </c>
      <c r="BJ795" s="30" t="s">
        <v>2482</v>
      </c>
      <c r="BK795" s="30" t="s">
        <v>313</v>
      </c>
      <c r="BL795" s="30" t="s">
        <v>735</v>
      </c>
      <c r="BM795" s="30" t="s">
        <v>2549</v>
      </c>
      <c r="BN795" s="30">
        <v>1.0</v>
      </c>
      <c r="BO795" s="32">
        <v>44657.0</v>
      </c>
      <c r="BP795" s="32">
        <v>44657.0</v>
      </c>
      <c r="BQ795" s="30" t="s">
        <v>2550</v>
      </c>
      <c r="BR795" s="30" t="s">
        <v>523</v>
      </c>
      <c r="BS795" s="30" t="s">
        <v>176</v>
      </c>
      <c r="BT795" s="30" t="s">
        <v>156</v>
      </c>
      <c r="BU795" s="31"/>
      <c r="BV795" s="33" t="s">
        <v>2551</v>
      </c>
      <c r="BW795" s="31"/>
      <c r="BX795" s="31"/>
      <c r="FL795" s="36" t="s">
        <v>2487</v>
      </c>
      <c r="FM795" s="36" t="s">
        <v>260</v>
      </c>
    </row>
    <row r="796" ht="23.25" customHeight="1">
      <c r="A796" s="29">
        <v>44662.43907385417</v>
      </c>
      <c r="B796" s="30" t="s">
        <v>6</v>
      </c>
      <c r="C796" s="30" t="s">
        <v>13</v>
      </c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0" t="s">
        <v>1557</v>
      </c>
      <c r="AY796" s="30" t="s">
        <v>1558</v>
      </c>
      <c r="AZ796" s="30" t="s">
        <v>2552</v>
      </c>
      <c r="BA796" s="30" t="s">
        <v>377</v>
      </c>
      <c r="BB796" s="30" t="s">
        <v>1335</v>
      </c>
      <c r="BC796" s="32">
        <v>44318.0</v>
      </c>
      <c r="BD796" s="32">
        <v>44408.0</v>
      </c>
      <c r="BE796" s="32">
        <v>44408.0</v>
      </c>
      <c r="BF796" s="30">
        <v>90.0</v>
      </c>
      <c r="BG796" s="30" t="s">
        <v>2553</v>
      </c>
      <c r="BH796" s="33" t="s">
        <v>2554</v>
      </c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FL796" s="36" t="s">
        <v>1563</v>
      </c>
      <c r="FM796" s="36" t="s">
        <v>260</v>
      </c>
    </row>
    <row r="797" ht="23.25" customHeight="1">
      <c r="A797" s="29">
        <v>44662.44019731482</v>
      </c>
      <c r="B797" s="30" t="s">
        <v>6</v>
      </c>
      <c r="C797" s="30" t="s">
        <v>13</v>
      </c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0" t="s">
        <v>962</v>
      </c>
      <c r="AY797" s="30" t="s">
        <v>958</v>
      </c>
      <c r="AZ797" s="30" t="s">
        <v>719</v>
      </c>
      <c r="BA797" s="30" t="s">
        <v>900</v>
      </c>
      <c r="BB797" s="30" t="s">
        <v>2555</v>
      </c>
      <c r="BC797" s="32">
        <v>43466.0</v>
      </c>
      <c r="BD797" s="32">
        <v>43654.0</v>
      </c>
      <c r="BE797" s="32">
        <v>43654.0</v>
      </c>
      <c r="BF797" s="30">
        <v>98.0</v>
      </c>
      <c r="BG797" s="30" t="s">
        <v>842</v>
      </c>
      <c r="BH797" s="33" t="s">
        <v>2556</v>
      </c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FL797" s="36" t="s">
        <v>962</v>
      </c>
      <c r="FM797" s="36" t="s">
        <v>260</v>
      </c>
    </row>
    <row r="798" ht="23.25" customHeight="1">
      <c r="A798" s="29">
        <v>44662.44023274306</v>
      </c>
      <c r="B798" s="30" t="s">
        <v>6</v>
      </c>
      <c r="C798" s="30" t="s">
        <v>12</v>
      </c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0" t="s">
        <v>2557</v>
      </c>
      <c r="AO798" s="30" t="s">
        <v>1558</v>
      </c>
      <c r="AP798" s="30" t="s">
        <v>2558</v>
      </c>
      <c r="AQ798" s="30" t="s">
        <v>1068</v>
      </c>
      <c r="AR798" s="32">
        <v>44641.0</v>
      </c>
      <c r="AS798" s="32">
        <v>44713.0</v>
      </c>
      <c r="AT798" s="30" t="s">
        <v>256</v>
      </c>
      <c r="AU798" s="30" t="s">
        <v>257</v>
      </c>
      <c r="AV798" s="30">
        <v>5000.0</v>
      </c>
      <c r="AW798" s="33" t="s">
        <v>2559</v>
      </c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FL798" s="36" t="s">
        <v>1563</v>
      </c>
      <c r="FM798" s="36" t="s">
        <v>260</v>
      </c>
    </row>
    <row r="799" ht="23.25" customHeight="1">
      <c r="A799" s="29">
        <v>44662.44396260417</v>
      </c>
      <c r="B799" s="30" t="s">
        <v>6</v>
      </c>
      <c r="C799" s="30" t="s">
        <v>13</v>
      </c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0" t="s">
        <v>957</v>
      </c>
      <c r="AY799" s="30" t="s">
        <v>958</v>
      </c>
      <c r="AZ799" s="30" t="s">
        <v>351</v>
      </c>
      <c r="BA799" s="30" t="s">
        <v>900</v>
      </c>
      <c r="BB799" s="30" t="s">
        <v>495</v>
      </c>
      <c r="BC799" s="32">
        <v>43668.0</v>
      </c>
      <c r="BD799" s="32">
        <v>43699.0</v>
      </c>
      <c r="BE799" s="32">
        <v>43672.0</v>
      </c>
      <c r="BF799" s="30">
        <v>100.0</v>
      </c>
      <c r="BG799" s="30" t="s">
        <v>2560</v>
      </c>
      <c r="BH799" s="33" t="s">
        <v>2561</v>
      </c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FL799" s="36" t="s">
        <v>962</v>
      </c>
      <c r="FM799" s="36" t="s">
        <v>260</v>
      </c>
    </row>
    <row r="800" ht="23.25" customHeight="1">
      <c r="A800" s="29">
        <v>44662.44513071759</v>
      </c>
      <c r="B800" s="30" t="s">
        <v>6</v>
      </c>
      <c r="C800" s="30" t="s">
        <v>13</v>
      </c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0" t="s">
        <v>2542</v>
      </c>
      <c r="AY800" s="30" t="s">
        <v>2543</v>
      </c>
      <c r="AZ800" s="30" t="s">
        <v>1913</v>
      </c>
      <c r="BA800" s="30" t="s">
        <v>345</v>
      </c>
      <c r="BB800" s="30" t="s">
        <v>450</v>
      </c>
      <c r="BC800" s="32">
        <v>43952.0</v>
      </c>
      <c r="BD800" s="32">
        <v>44036.0</v>
      </c>
      <c r="BE800" s="32">
        <v>44675.0</v>
      </c>
      <c r="BF800" s="30">
        <v>80.0</v>
      </c>
      <c r="BG800" s="30" t="s">
        <v>2562</v>
      </c>
      <c r="BH800" s="33" t="s">
        <v>2563</v>
      </c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FL800" s="36" t="s">
        <v>2546</v>
      </c>
      <c r="FM800" s="36" t="s">
        <v>260</v>
      </c>
    </row>
    <row r="801" ht="23.25" customHeight="1">
      <c r="A801" s="29">
        <v>44662.44955318287</v>
      </c>
      <c r="B801" s="30" t="s">
        <v>6</v>
      </c>
      <c r="C801" s="30" t="s">
        <v>13</v>
      </c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0" t="s">
        <v>2564</v>
      </c>
      <c r="AY801" s="30" t="s">
        <v>2565</v>
      </c>
      <c r="AZ801" s="30" t="s">
        <v>2147</v>
      </c>
      <c r="BA801" s="30" t="s">
        <v>409</v>
      </c>
      <c r="BB801" s="30" t="s">
        <v>1311</v>
      </c>
      <c r="BC801" s="32">
        <v>43670.0</v>
      </c>
      <c r="BD801" s="32">
        <v>43676.0</v>
      </c>
      <c r="BE801" s="32">
        <v>43676.0</v>
      </c>
      <c r="BF801" s="30">
        <v>90.0</v>
      </c>
      <c r="BG801" s="30" t="s">
        <v>2566</v>
      </c>
      <c r="BH801" s="33" t="s">
        <v>2567</v>
      </c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FL801" s="36" t="s">
        <v>2568</v>
      </c>
      <c r="FM801" s="36" t="s">
        <v>260</v>
      </c>
    </row>
    <row r="802" ht="23.25" customHeight="1">
      <c r="A802" s="29">
        <v>44662.4516856713</v>
      </c>
      <c r="B802" s="30" t="s">
        <v>6</v>
      </c>
      <c r="C802" s="30" t="s">
        <v>13</v>
      </c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0" t="s">
        <v>2564</v>
      </c>
      <c r="AY802" s="30" t="s">
        <v>2565</v>
      </c>
      <c r="AZ802" s="30" t="s">
        <v>1700</v>
      </c>
      <c r="BA802" s="30" t="s">
        <v>377</v>
      </c>
      <c r="BB802" s="30" t="s">
        <v>1311</v>
      </c>
      <c r="BC802" s="32">
        <v>43670.0</v>
      </c>
      <c r="BD802" s="32">
        <v>43676.0</v>
      </c>
      <c r="BE802" s="32">
        <v>43676.0</v>
      </c>
      <c r="BF802" s="30">
        <v>90.0</v>
      </c>
      <c r="BG802" s="30" t="s">
        <v>2569</v>
      </c>
      <c r="BH802" s="33" t="s">
        <v>2570</v>
      </c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FL802" s="36" t="s">
        <v>2568</v>
      </c>
      <c r="FM802" s="36" t="s">
        <v>260</v>
      </c>
    </row>
    <row r="803" ht="23.25" customHeight="1">
      <c r="A803" s="29">
        <v>44662.45253634259</v>
      </c>
      <c r="B803" s="30" t="s">
        <v>6</v>
      </c>
      <c r="C803" s="30" t="s">
        <v>13</v>
      </c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0" t="s">
        <v>957</v>
      </c>
      <c r="AY803" s="30" t="s">
        <v>958</v>
      </c>
      <c r="AZ803" s="30" t="s">
        <v>2367</v>
      </c>
      <c r="BA803" s="30" t="s">
        <v>900</v>
      </c>
      <c r="BB803" s="30" t="s">
        <v>450</v>
      </c>
      <c r="BC803" s="32">
        <v>43831.0</v>
      </c>
      <c r="BD803" s="32">
        <v>43936.0</v>
      </c>
      <c r="BE803" s="32">
        <v>43936.0</v>
      </c>
      <c r="BF803" s="30">
        <v>98.0</v>
      </c>
      <c r="BG803" s="30" t="s">
        <v>2571</v>
      </c>
      <c r="BH803" s="33" t="s">
        <v>2572</v>
      </c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FL803" s="36" t="s">
        <v>962</v>
      </c>
      <c r="FM803" s="36" t="s">
        <v>260</v>
      </c>
    </row>
    <row r="804" ht="23.25" customHeight="1">
      <c r="A804" s="29">
        <v>44662.4535934375</v>
      </c>
      <c r="B804" s="30" t="s">
        <v>6</v>
      </c>
      <c r="C804" s="30" t="s">
        <v>13</v>
      </c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0" t="s">
        <v>2564</v>
      </c>
      <c r="AY804" s="30" t="s">
        <v>2565</v>
      </c>
      <c r="AZ804" s="30" t="s">
        <v>500</v>
      </c>
      <c r="BA804" s="30" t="s">
        <v>309</v>
      </c>
      <c r="BB804" s="30" t="s">
        <v>310</v>
      </c>
      <c r="BC804" s="32">
        <v>44482.0</v>
      </c>
      <c r="BD804" s="32">
        <v>44554.0</v>
      </c>
      <c r="BE804" s="32">
        <v>44554.0</v>
      </c>
      <c r="BF804" s="30">
        <v>90.0</v>
      </c>
      <c r="BG804" s="30" t="s">
        <v>2573</v>
      </c>
      <c r="BH804" s="33" t="s">
        <v>2574</v>
      </c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FL804" s="36" t="s">
        <v>2568</v>
      </c>
      <c r="FM804" s="36" t="s">
        <v>260</v>
      </c>
    </row>
    <row r="805" ht="23.25" customHeight="1">
      <c r="A805" s="29">
        <v>44662.45683190972</v>
      </c>
      <c r="B805" s="30" t="s">
        <v>6</v>
      </c>
      <c r="C805" s="30" t="s">
        <v>14</v>
      </c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0" t="s">
        <v>2564</v>
      </c>
      <c r="BJ805" s="30" t="s">
        <v>2565</v>
      </c>
      <c r="BK805" s="30" t="s">
        <v>159</v>
      </c>
      <c r="BL805" s="30" t="s">
        <v>1288</v>
      </c>
      <c r="BM805" s="30" t="s">
        <v>2575</v>
      </c>
      <c r="BN805" s="30">
        <v>2.0</v>
      </c>
      <c r="BO805" s="32">
        <v>43694.0</v>
      </c>
      <c r="BP805" s="32">
        <v>43695.0</v>
      </c>
      <c r="BQ805" s="30" t="s">
        <v>2576</v>
      </c>
      <c r="BR805" s="30" t="s">
        <v>759</v>
      </c>
      <c r="BS805" s="30" t="s">
        <v>176</v>
      </c>
      <c r="BT805" s="30" t="s">
        <v>632</v>
      </c>
      <c r="BU805" s="30">
        <v>1250.0</v>
      </c>
      <c r="BV805" s="33" t="s">
        <v>2577</v>
      </c>
      <c r="BW805" s="31"/>
      <c r="BX805" s="31"/>
      <c r="FL805" s="36" t="s">
        <v>2568</v>
      </c>
      <c r="FM805" s="36" t="s">
        <v>260</v>
      </c>
    </row>
    <row r="806" ht="23.25" customHeight="1">
      <c r="A806" s="29">
        <v>44662.458297164354</v>
      </c>
      <c r="B806" s="30" t="s">
        <v>6</v>
      </c>
      <c r="C806" s="30" t="s">
        <v>25</v>
      </c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FL806" s="36" t="s">
        <v>2568</v>
      </c>
      <c r="FM806" s="36" t="s">
        <v>260</v>
      </c>
      <c r="FT806" s="36" t="s">
        <v>2578</v>
      </c>
      <c r="FU806" s="36" t="s">
        <v>2565</v>
      </c>
      <c r="FV806" s="36" t="s">
        <v>2579</v>
      </c>
      <c r="FW806" s="37">
        <v>43663.0</v>
      </c>
      <c r="FX806" s="36" t="s">
        <v>2580</v>
      </c>
      <c r="FY806" s="38" t="s">
        <v>2581</v>
      </c>
    </row>
    <row r="807" ht="23.25" customHeight="1">
      <c r="A807" s="29">
        <v>44662.461212766204</v>
      </c>
      <c r="B807" s="30" t="s">
        <v>6</v>
      </c>
      <c r="C807" s="30" t="s">
        <v>27</v>
      </c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FL807" s="36" t="s">
        <v>2568</v>
      </c>
      <c r="FM807" s="36" t="s">
        <v>260</v>
      </c>
      <c r="GF807" s="36" t="s">
        <v>2578</v>
      </c>
      <c r="GG807" s="36" t="s">
        <v>2565</v>
      </c>
      <c r="GH807" s="36" t="s">
        <v>2582</v>
      </c>
      <c r="GI807" s="37">
        <v>44705.0</v>
      </c>
      <c r="GJ807" s="38" t="s">
        <v>2583</v>
      </c>
      <c r="GK807" s="36" t="s">
        <v>987</v>
      </c>
      <c r="GL807" s="36" t="s">
        <v>2584</v>
      </c>
    </row>
    <row r="808" ht="23.25" customHeight="1">
      <c r="A808" s="29">
        <v>44662.462786874996</v>
      </c>
      <c r="B808" s="30" t="s">
        <v>6</v>
      </c>
      <c r="C808" s="30" t="s">
        <v>13</v>
      </c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0" t="s">
        <v>467</v>
      </c>
      <c r="AY808" s="30" t="s">
        <v>468</v>
      </c>
      <c r="AZ808" s="30" t="s">
        <v>981</v>
      </c>
      <c r="BA808" s="30" t="s">
        <v>377</v>
      </c>
      <c r="BB808" s="30" t="s">
        <v>378</v>
      </c>
      <c r="BC808" s="32">
        <v>43571.0</v>
      </c>
      <c r="BD808" s="32">
        <v>43693.0</v>
      </c>
      <c r="BE808" s="32">
        <v>43693.0</v>
      </c>
      <c r="BF808" s="30" t="s">
        <v>472</v>
      </c>
      <c r="BG808" s="30" t="s">
        <v>2585</v>
      </c>
      <c r="BH808" s="33" t="s">
        <v>2586</v>
      </c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FL808" s="36" t="s">
        <v>474</v>
      </c>
      <c r="FM808" s="36" t="s">
        <v>260</v>
      </c>
    </row>
    <row r="809" ht="23.25" customHeight="1">
      <c r="A809" s="29">
        <v>44662.46613425926</v>
      </c>
      <c r="B809" s="30" t="s">
        <v>6</v>
      </c>
      <c r="C809" s="30" t="s">
        <v>13</v>
      </c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0" t="s">
        <v>467</v>
      </c>
      <c r="AY809" s="30" t="s">
        <v>468</v>
      </c>
      <c r="AZ809" s="30" t="s">
        <v>2547</v>
      </c>
      <c r="BA809" s="30" t="s">
        <v>1434</v>
      </c>
      <c r="BB809" s="30" t="s">
        <v>450</v>
      </c>
      <c r="BC809" s="32">
        <v>43581.0</v>
      </c>
      <c r="BD809" s="32">
        <v>43672.0</v>
      </c>
      <c r="BE809" s="32">
        <v>43672.0</v>
      </c>
      <c r="BF809" s="30" t="s">
        <v>472</v>
      </c>
      <c r="BG809" s="30" t="s">
        <v>497</v>
      </c>
      <c r="BH809" s="33" t="s">
        <v>2587</v>
      </c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FL809" s="36" t="s">
        <v>474</v>
      </c>
      <c r="FM809" s="36" t="s">
        <v>260</v>
      </c>
    </row>
    <row r="810" ht="23.25" customHeight="1">
      <c r="A810" s="29">
        <v>44662.46993091435</v>
      </c>
      <c r="B810" s="30" t="s">
        <v>6</v>
      </c>
      <c r="C810" s="30" t="s">
        <v>13</v>
      </c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0" t="s">
        <v>467</v>
      </c>
      <c r="AY810" s="30" t="s">
        <v>468</v>
      </c>
      <c r="AZ810" s="30" t="s">
        <v>2588</v>
      </c>
      <c r="BA810" s="30" t="s">
        <v>2589</v>
      </c>
      <c r="BB810" s="30" t="s">
        <v>196</v>
      </c>
      <c r="BC810" s="32">
        <v>44473.0</v>
      </c>
      <c r="BD810" s="32">
        <v>44473.0</v>
      </c>
      <c r="BE810" s="32">
        <v>44473.0</v>
      </c>
      <c r="BF810" s="30" t="s">
        <v>472</v>
      </c>
      <c r="BG810" s="30" t="s">
        <v>472</v>
      </c>
      <c r="BH810" s="33" t="s">
        <v>2590</v>
      </c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FL810" s="36" t="s">
        <v>474</v>
      </c>
      <c r="FM810" s="36" t="s">
        <v>260</v>
      </c>
    </row>
    <row r="811" ht="23.25" customHeight="1">
      <c r="A811" s="29">
        <v>44662.476222418976</v>
      </c>
      <c r="B811" s="30" t="s">
        <v>6</v>
      </c>
      <c r="C811" s="30" t="s">
        <v>12</v>
      </c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0" t="s">
        <v>467</v>
      </c>
      <c r="AO811" s="30" t="s">
        <v>468</v>
      </c>
      <c r="AP811" s="30" t="s">
        <v>2131</v>
      </c>
      <c r="AQ811" s="30" t="s">
        <v>507</v>
      </c>
      <c r="AR811" s="32">
        <v>44472.0</v>
      </c>
      <c r="AS811" s="32">
        <v>44557.0</v>
      </c>
      <c r="AT811" s="30" t="s">
        <v>257</v>
      </c>
      <c r="AU811" s="30" t="s">
        <v>257</v>
      </c>
      <c r="AV811" s="30">
        <v>0.0</v>
      </c>
      <c r="AW811" s="33" t="s">
        <v>2591</v>
      </c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FL811" s="36" t="s">
        <v>474</v>
      </c>
      <c r="FM811" s="36" t="s">
        <v>260</v>
      </c>
    </row>
    <row r="812" ht="23.25" customHeight="1">
      <c r="A812" s="29">
        <v>44662.47926399305</v>
      </c>
      <c r="B812" s="30" t="s">
        <v>6</v>
      </c>
      <c r="C812" s="30" t="s">
        <v>20</v>
      </c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DX812" s="36" t="s">
        <v>467</v>
      </c>
      <c r="DY812" s="36" t="s">
        <v>468</v>
      </c>
      <c r="DZ812" s="36" t="s">
        <v>150</v>
      </c>
      <c r="EA812" s="36" t="s">
        <v>2592</v>
      </c>
      <c r="EB812" s="37">
        <v>43532.0</v>
      </c>
      <c r="EC812" s="36" t="s">
        <v>2593</v>
      </c>
      <c r="ED812" s="38" t="s">
        <v>2594</v>
      </c>
      <c r="FL812" s="36" t="s">
        <v>474</v>
      </c>
      <c r="FM812" s="36" t="s">
        <v>260</v>
      </c>
    </row>
    <row r="813" ht="23.25" customHeight="1">
      <c r="A813" s="29">
        <v>44662.4816131713</v>
      </c>
      <c r="B813" s="30" t="s">
        <v>6</v>
      </c>
      <c r="C813" s="30" t="s">
        <v>13</v>
      </c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0" t="s">
        <v>467</v>
      </c>
      <c r="AY813" s="30" t="s">
        <v>468</v>
      </c>
      <c r="AZ813" s="30" t="s">
        <v>2525</v>
      </c>
      <c r="BA813" s="30" t="s">
        <v>2595</v>
      </c>
      <c r="BB813" s="30" t="s">
        <v>495</v>
      </c>
      <c r="BC813" s="32">
        <v>43525.0</v>
      </c>
      <c r="BD813" s="32">
        <v>43981.0</v>
      </c>
      <c r="BE813" s="32">
        <v>43921.0</v>
      </c>
      <c r="BF813" s="30" t="s">
        <v>472</v>
      </c>
      <c r="BG813" s="30" t="s">
        <v>472</v>
      </c>
      <c r="BH813" s="33" t="s">
        <v>2596</v>
      </c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FL813" s="36" t="s">
        <v>474</v>
      </c>
      <c r="FM813" s="36" t="s">
        <v>260</v>
      </c>
    </row>
    <row r="814" ht="23.25" customHeight="1">
      <c r="A814" s="29">
        <v>44662.48579497685</v>
      </c>
      <c r="B814" s="30" t="s">
        <v>6</v>
      </c>
      <c r="C814" s="30" t="s">
        <v>13</v>
      </c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0" t="s">
        <v>467</v>
      </c>
      <c r="AY814" s="30" t="s">
        <v>2597</v>
      </c>
      <c r="AZ814" s="30" t="s">
        <v>2598</v>
      </c>
      <c r="BA814" s="30" t="s">
        <v>2599</v>
      </c>
      <c r="BB814" s="30" t="s">
        <v>2600</v>
      </c>
      <c r="BC814" s="32">
        <v>44484.0</v>
      </c>
      <c r="BD814" s="32">
        <v>44486.0</v>
      </c>
      <c r="BE814" s="32">
        <v>44486.0</v>
      </c>
      <c r="BF814" s="30" t="s">
        <v>472</v>
      </c>
      <c r="BG814" s="30" t="s">
        <v>472</v>
      </c>
      <c r="BH814" s="33" t="s">
        <v>2601</v>
      </c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FL814" s="36" t="s">
        <v>474</v>
      </c>
      <c r="FM814" s="36" t="s">
        <v>260</v>
      </c>
    </row>
    <row r="815" ht="23.25" customHeight="1">
      <c r="A815" s="29">
        <v>44662.48850578704</v>
      </c>
      <c r="B815" s="30" t="s">
        <v>6</v>
      </c>
      <c r="C815" s="30" t="s">
        <v>13</v>
      </c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0" t="s">
        <v>467</v>
      </c>
      <c r="AY815" s="30" t="s">
        <v>468</v>
      </c>
      <c r="AZ815" s="30" t="s">
        <v>2602</v>
      </c>
      <c r="BA815" s="30" t="s">
        <v>2603</v>
      </c>
      <c r="BB815" s="30" t="s">
        <v>495</v>
      </c>
      <c r="BC815" s="32">
        <v>44593.0</v>
      </c>
      <c r="BD815" s="32">
        <v>44621.0</v>
      </c>
      <c r="BE815" s="32">
        <v>44641.0</v>
      </c>
      <c r="BF815" s="30" t="s">
        <v>2604</v>
      </c>
      <c r="BG815" s="30" t="s">
        <v>472</v>
      </c>
      <c r="BH815" s="33" t="s">
        <v>2605</v>
      </c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FL815" s="36" t="s">
        <v>474</v>
      </c>
      <c r="FM815" s="36" t="s">
        <v>260</v>
      </c>
    </row>
    <row r="816" ht="23.25" customHeight="1">
      <c r="A816" s="29">
        <v>44662.4909225</v>
      </c>
      <c r="B816" s="30" t="s">
        <v>6</v>
      </c>
      <c r="C816" s="30" t="s">
        <v>12</v>
      </c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0" t="s">
        <v>467</v>
      </c>
      <c r="AO816" s="30" t="s">
        <v>468</v>
      </c>
      <c r="AP816" s="30" t="s">
        <v>494</v>
      </c>
      <c r="AQ816" s="30" t="s">
        <v>495</v>
      </c>
      <c r="AR816" s="32">
        <v>44440.0</v>
      </c>
      <c r="AS816" s="32">
        <v>44472.0</v>
      </c>
      <c r="AT816" s="30" t="s">
        <v>257</v>
      </c>
      <c r="AU816" s="30" t="s">
        <v>257</v>
      </c>
      <c r="AV816" s="30">
        <v>0.0</v>
      </c>
      <c r="AW816" s="33" t="s">
        <v>2606</v>
      </c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FL816" s="36" t="s">
        <v>474</v>
      </c>
      <c r="FM816" s="36" t="s">
        <v>260</v>
      </c>
    </row>
    <row r="817" ht="23.25" customHeight="1">
      <c r="A817" s="29">
        <v>44662.49304671296</v>
      </c>
      <c r="B817" s="30" t="s">
        <v>6</v>
      </c>
      <c r="C817" s="30" t="s">
        <v>13</v>
      </c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0" t="s">
        <v>2607</v>
      </c>
      <c r="AY817" s="30" t="s">
        <v>2608</v>
      </c>
      <c r="AZ817" s="30" t="s">
        <v>2147</v>
      </c>
      <c r="BA817" s="30" t="s">
        <v>377</v>
      </c>
      <c r="BB817" s="30">
        <v>6.0</v>
      </c>
      <c r="BC817" s="32">
        <v>43498.0</v>
      </c>
      <c r="BD817" s="32">
        <v>43676.0</v>
      </c>
      <c r="BE817" s="32">
        <v>44681.0</v>
      </c>
      <c r="BF817" s="30">
        <v>90.0</v>
      </c>
      <c r="BG817" s="30" t="s">
        <v>1916</v>
      </c>
      <c r="BH817" s="33" t="s">
        <v>2609</v>
      </c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FL817" s="36" t="s">
        <v>2610</v>
      </c>
      <c r="FM817" s="36" t="s">
        <v>382</v>
      </c>
    </row>
    <row r="818" ht="23.25" customHeight="1">
      <c r="A818" s="29">
        <v>44662.49403724537</v>
      </c>
      <c r="B818" s="30" t="s">
        <v>6</v>
      </c>
      <c r="C818" s="30" t="s">
        <v>13</v>
      </c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0" t="s">
        <v>2611</v>
      </c>
      <c r="AY818" s="30" t="s">
        <v>2612</v>
      </c>
      <c r="AZ818" s="30" t="s">
        <v>2613</v>
      </c>
      <c r="BA818" s="30" t="s">
        <v>377</v>
      </c>
      <c r="BB818" s="30" t="s">
        <v>264</v>
      </c>
      <c r="BC818" s="32">
        <v>43501.0</v>
      </c>
      <c r="BD818" s="32">
        <v>43655.0</v>
      </c>
      <c r="BE818" s="32">
        <v>43655.0</v>
      </c>
      <c r="BF818" s="30">
        <v>100.0</v>
      </c>
      <c r="BG818" s="30" t="s">
        <v>1916</v>
      </c>
      <c r="BH818" s="33" t="s">
        <v>2614</v>
      </c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FL818" s="36" t="s">
        <v>2615</v>
      </c>
      <c r="FM818" s="36" t="s">
        <v>323</v>
      </c>
    </row>
    <row r="819" ht="23.25" customHeight="1">
      <c r="A819" s="29">
        <v>44662.49448076389</v>
      </c>
      <c r="B819" s="30" t="s">
        <v>6</v>
      </c>
      <c r="C819" s="30" t="s">
        <v>20</v>
      </c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DX819" s="36" t="s">
        <v>467</v>
      </c>
      <c r="DY819" s="36" t="s">
        <v>468</v>
      </c>
      <c r="DZ819" s="36" t="s">
        <v>171</v>
      </c>
      <c r="EA819" s="36" t="s">
        <v>2616</v>
      </c>
      <c r="EB819" s="37">
        <v>44104.0</v>
      </c>
      <c r="EC819" s="36" t="s">
        <v>2617</v>
      </c>
      <c r="ED819" s="38" t="s">
        <v>2618</v>
      </c>
      <c r="FL819" s="36" t="s">
        <v>474</v>
      </c>
      <c r="FM819" s="36" t="s">
        <v>260</v>
      </c>
    </row>
    <row r="820" ht="23.25" customHeight="1">
      <c r="A820" s="29">
        <v>44662.49479167824</v>
      </c>
      <c r="B820" s="30" t="s">
        <v>6</v>
      </c>
      <c r="C820" s="30" t="s">
        <v>13</v>
      </c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0" t="s">
        <v>2619</v>
      </c>
      <c r="AY820" s="30" t="s">
        <v>2620</v>
      </c>
      <c r="AZ820" s="30" t="s">
        <v>566</v>
      </c>
      <c r="BA820" s="30" t="s">
        <v>620</v>
      </c>
      <c r="BB820" s="30" t="s">
        <v>495</v>
      </c>
      <c r="BC820" s="32">
        <v>44348.0</v>
      </c>
      <c r="BD820" s="32">
        <v>44378.0</v>
      </c>
      <c r="BE820" s="32">
        <v>44378.0</v>
      </c>
      <c r="BF820" s="39">
        <v>0.95</v>
      </c>
      <c r="BG820" s="30" t="s">
        <v>497</v>
      </c>
      <c r="BH820" s="33" t="s">
        <v>2621</v>
      </c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FL820" s="36" t="s">
        <v>2622</v>
      </c>
      <c r="FM820" s="36" t="s">
        <v>414</v>
      </c>
    </row>
    <row r="821" ht="23.25" customHeight="1">
      <c r="A821" s="29">
        <v>44662.49670152778</v>
      </c>
      <c r="B821" s="30" t="s">
        <v>6</v>
      </c>
      <c r="C821" s="30" t="s">
        <v>13</v>
      </c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0" t="s">
        <v>2607</v>
      </c>
      <c r="AY821" s="30" t="s">
        <v>2608</v>
      </c>
      <c r="AZ821" s="30" t="s">
        <v>377</v>
      </c>
      <c r="BA821" s="30" t="s">
        <v>2547</v>
      </c>
      <c r="BB821" s="30" t="s">
        <v>2623</v>
      </c>
      <c r="BC821" s="32">
        <v>43573.0</v>
      </c>
      <c r="BD821" s="32">
        <v>43662.0</v>
      </c>
      <c r="BE821" s="32">
        <v>43665.0</v>
      </c>
      <c r="BF821" s="30">
        <v>90.0</v>
      </c>
      <c r="BG821" s="30" t="s">
        <v>1916</v>
      </c>
      <c r="BH821" s="33" t="s">
        <v>2624</v>
      </c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FL821" s="36" t="s">
        <v>2610</v>
      </c>
      <c r="FM821" s="36" t="s">
        <v>382</v>
      </c>
    </row>
    <row r="822" ht="23.25" customHeight="1">
      <c r="A822" s="29">
        <v>44662.49699324074</v>
      </c>
      <c r="B822" s="30" t="s">
        <v>6</v>
      </c>
      <c r="C822" s="30" t="s">
        <v>13</v>
      </c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0" t="s">
        <v>2625</v>
      </c>
      <c r="AY822" s="30" t="s">
        <v>2626</v>
      </c>
      <c r="AZ822" s="30" t="s">
        <v>981</v>
      </c>
      <c r="BA822" s="30" t="s">
        <v>620</v>
      </c>
      <c r="BB822" s="30" t="s">
        <v>495</v>
      </c>
      <c r="BC822" s="32">
        <v>43566.0</v>
      </c>
      <c r="BD822" s="32">
        <v>43585.0</v>
      </c>
      <c r="BE822" s="32">
        <v>43585.0</v>
      </c>
      <c r="BF822" s="30">
        <v>100.0</v>
      </c>
      <c r="BG822" s="30" t="s">
        <v>497</v>
      </c>
      <c r="BH822" s="33" t="s">
        <v>2627</v>
      </c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FL822" s="36" t="s">
        <v>2622</v>
      </c>
      <c r="FM822" s="36" t="s">
        <v>414</v>
      </c>
    </row>
    <row r="823" ht="23.25" customHeight="1">
      <c r="A823" s="29">
        <v>44662.497484189815</v>
      </c>
      <c r="B823" s="30" t="s">
        <v>6</v>
      </c>
      <c r="C823" s="30" t="s">
        <v>13</v>
      </c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0" t="s">
        <v>2611</v>
      </c>
      <c r="AY823" s="30" t="s">
        <v>2612</v>
      </c>
      <c r="AZ823" s="30" t="s">
        <v>2628</v>
      </c>
      <c r="BA823" s="30" t="s">
        <v>337</v>
      </c>
      <c r="BB823" s="30" t="s">
        <v>264</v>
      </c>
      <c r="BC823" s="32">
        <v>43501.0</v>
      </c>
      <c r="BD823" s="32">
        <v>43676.0</v>
      </c>
      <c r="BE823" s="32">
        <v>43676.0</v>
      </c>
      <c r="BF823" s="30">
        <v>100.0</v>
      </c>
      <c r="BG823" s="30" t="s">
        <v>1916</v>
      </c>
      <c r="BH823" s="33" t="s">
        <v>2629</v>
      </c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FL823" s="36" t="s">
        <v>2615</v>
      </c>
      <c r="FM823" s="36" t="s">
        <v>382</v>
      </c>
    </row>
    <row r="824" ht="23.25" customHeight="1">
      <c r="A824" s="29">
        <v>44662.49822388889</v>
      </c>
      <c r="B824" s="30" t="s">
        <v>8</v>
      </c>
      <c r="C824" s="30" t="s">
        <v>13</v>
      </c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0" t="s">
        <v>2630</v>
      </c>
      <c r="AY824" s="30" t="s">
        <v>2631</v>
      </c>
      <c r="AZ824" s="30" t="s">
        <v>2632</v>
      </c>
      <c r="BA824" s="30" t="s">
        <v>377</v>
      </c>
      <c r="BB824" s="30" t="s">
        <v>310</v>
      </c>
      <c r="BC824" s="32">
        <v>44378.0</v>
      </c>
      <c r="BD824" s="32">
        <v>44469.0</v>
      </c>
      <c r="BE824" s="32">
        <v>44464.0</v>
      </c>
      <c r="BF824" s="30">
        <v>96.0</v>
      </c>
      <c r="BG824" s="30" t="s">
        <v>2633</v>
      </c>
      <c r="BH824" s="33" t="s">
        <v>2634</v>
      </c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FL824" s="36" t="s">
        <v>2635</v>
      </c>
      <c r="FM824" s="36" t="s">
        <v>323</v>
      </c>
    </row>
    <row r="825" ht="23.25" customHeight="1">
      <c r="A825" s="29">
        <v>44662.499262083336</v>
      </c>
      <c r="B825" s="30" t="s">
        <v>6</v>
      </c>
      <c r="C825" s="30" t="s">
        <v>13</v>
      </c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0" t="s">
        <v>2636</v>
      </c>
      <c r="AY825" s="30" t="s">
        <v>2620</v>
      </c>
      <c r="AZ825" s="30" t="s">
        <v>2637</v>
      </c>
      <c r="BA825" s="30" t="s">
        <v>377</v>
      </c>
      <c r="BB825" s="30" t="s">
        <v>627</v>
      </c>
      <c r="BC825" s="32">
        <v>43641.0</v>
      </c>
      <c r="BD825" s="32">
        <v>43676.0</v>
      </c>
      <c r="BE825" s="32">
        <v>43676.0</v>
      </c>
      <c r="BF825" s="30">
        <v>95.0</v>
      </c>
      <c r="BG825" s="30" t="s">
        <v>497</v>
      </c>
      <c r="BH825" s="33" t="s">
        <v>2638</v>
      </c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FL825" s="36" t="s">
        <v>2622</v>
      </c>
      <c r="FM825" s="36" t="s">
        <v>323</v>
      </c>
    </row>
    <row r="826" ht="23.25" customHeight="1">
      <c r="A826" s="29">
        <v>44662.50164246528</v>
      </c>
      <c r="B826" s="30" t="s">
        <v>6</v>
      </c>
      <c r="C826" s="30" t="s">
        <v>13</v>
      </c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0" t="s">
        <v>2611</v>
      </c>
      <c r="AY826" s="30" t="s">
        <v>2612</v>
      </c>
      <c r="AZ826" s="30" t="s">
        <v>2639</v>
      </c>
      <c r="BA826" s="30" t="s">
        <v>337</v>
      </c>
      <c r="BB826" s="30" t="s">
        <v>417</v>
      </c>
      <c r="BC826" s="32">
        <v>44321.0</v>
      </c>
      <c r="BD826" s="32">
        <v>44387.0</v>
      </c>
      <c r="BE826" s="32">
        <v>44380.0</v>
      </c>
      <c r="BF826" s="30">
        <v>100.0</v>
      </c>
      <c r="BG826" s="30" t="s">
        <v>1916</v>
      </c>
      <c r="BH826" s="33" t="s">
        <v>2640</v>
      </c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FL826" s="36" t="s">
        <v>2615</v>
      </c>
      <c r="FM826" s="36" t="s">
        <v>341</v>
      </c>
    </row>
    <row r="827" ht="23.25" customHeight="1">
      <c r="A827" s="29">
        <v>44662.50220130787</v>
      </c>
      <c r="B827" s="30" t="s">
        <v>6</v>
      </c>
      <c r="C827" s="30" t="s">
        <v>12</v>
      </c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0" t="s">
        <v>2607</v>
      </c>
      <c r="AO827" s="30" t="s">
        <v>2608</v>
      </c>
      <c r="AP827" s="30" t="s">
        <v>579</v>
      </c>
      <c r="AQ827" s="30" t="s">
        <v>348</v>
      </c>
      <c r="AR827" s="32">
        <v>44533.0</v>
      </c>
      <c r="AS827" s="32">
        <v>44568.0</v>
      </c>
      <c r="AT827" s="30" t="s">
        <v>257</v>
      </c>
      <c r="AU827" s="30" t="s">
        <v>257</v>
      </c>
      <c r="AV827" s="30">
        <v>0.0</v>
      </c>
      <c r="AW827" s="33" t="s">
        <v>2641</v>
      </c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FL827" s="36" t="s">
        <v>2610</v>
      </c>
      <c r="FM827" s="36" t="s">
        <v>278</v>
      </c>
    </row>
    <row r="828" ht="23.25" customHeight="1">
      <c r="A828" s="29">
        <v>44662.503307499996</v>
      </c>
      <c r="B828" s="30" t="s">
        <v>6</v>
      </c>
      <c r="C828" s="30" t="s">
        <v>13</v>
      </c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0" t="s">
        <v>2625</v>
      </c>
      <c r="AY828" s="30" t="s">
        <v>2620</v>
      </c>
      <c r="AZ828" s="30" t="s">
        <v>2642</v>
      </c>
      <c r="BA828" s="30" t="s">
        <v>377</v>
      </c>
      <c r="BB828" s="30" t="s">
        <v>495</v>
      </c>
      <c r="BC828" s="32">
        <v>43955.0</v>
      </c>
      <c r="BD828" s="32">
        <v>43990.0</v>
      </c>
      <c r="BE828" s="32">
        <v>43990.0</v>
      </c>
      <c r="BF828" s="30">
        <v>100.0</v>
      </c>
      <c r="BG828" s="30" t="s">
        <v>583</v>
      </c>
      <c r="BH828" s="33" t="s">
        <v>2643</v>
      </c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FL828" s="36" t="s">
        <v>2622</v>
      </c>
      <c r="FM828" s="36" t="s">
        <v>341</v>
      </c>
    </row>
    <row r="829" ht="23.25" customHeight="1">
      <c r="A829" s="29">
        <v>44662.5054353125</v>
      </c>
      <c r="B829" s="30" t="s">
        <v>6</v>
      </c>
      <c r="C829" s="30" t="s">
        <v>13</v>
      </c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0" t="s">
        <v>2625</v>
      </c>
      <c r="AY829" s="30" t="s">
        <v>2620</v>
      </c>
      <c r="AZ829" s="30" t="s">
        <v>2644</v>
      </c>
      <c r="BA829" s="30" t="s">
        <v>377</v>
      </c>
      <c r="BB829" s="30" t="s">
        <v>495</v>
      </c>
      <c r="BC829" s="32">
        <v>43986.0</v>
      </c>
      <c r="BD829" s="32">
        <v>44024.0</v>
      </c>
      <c r="BE829" s="32">
        <v>44024.0</v>
      </c>
      <c r="BF829" s="30">
        <v>90.0</v>
      </c>
      <c r="BG829" s="30" t="s">
        <v>583</v>
      </c>
      <c r="BH829" s="33" t="s">
        <v>2645</v>
      </c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FL829" s="36" t="s">
        <v>2622</v>
      </c>
      <c r="FM829" s="36" t="s">
        <v>341</v>
      </c>
    </row>
    <row r="830" ht="23.25" customHeight="1">
      <c r="A830" s="29">
        <v>44662.50604883102</v>
      </c>
      <c r="B830" s="30" t="s">
        <v>8</v>
      </c>
      <c r="C830" s="30" t="s">
        <v>13</v>
      </c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0" t="s">
        <v>2630</v>
      </c>
      <c r="AY830" s="30" t="s">
        <v>2631</v>
      </c>
      <c r="AZ830" s="30" t="s">
        <v>2646</v>
      </c>
      <c r="BA830" s="30" t="s">
        <v>377</v>
      </c>
      <c r="BB830" s="30" t="s">
        <v>310</v>
      </c>
      <c r="BC830" s="32">
        <v>44470.0</v>
      </c>
      <c r="BD830" s="32">
        <v>44561.0</v>
      </c>
      <c r="BE830" s="32">
        <v>44556.0</v>
      </c>
      <c r="BF830" s="30">
        <v>97.0</v>
      </c>
      <c r="BG830" s="30" t="s">
        <v>2633</v>
      </c>
      <c r="BH830" s="33" t="s">
        <v>2647</v>
      </c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FL830" s="36" t="s">
        <v>2635</v>
      </c>
      <c r="FM830" s="36" t="s">
        <v>323</v>
      </c>
    </row>
    <row r="831" ht="23.25" customHeight="1">
      <c r="A831" s="29">
        <v>44662.50794805556</v>
      </c>
      <c r="B831" s="30" t="s">
        <v>6</v>
      </c>
      <c r="C831" s="30" t="s">
        <v>13</v>
      </c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0" t="s">
        <v>2636</v>
      </c>
      <c r="AY831" s="30" t="s">
        <v>2620</v>
      </c>
      <c r="AZ831" s="30" t="s">
        <v>347</v>
      </c>
      <c r="BA831" s="30" t="s">
        <v>377</v>
      </c>
      <c r="BB831" s="30" t="s">
        <v>495</v>
      </c>
      <c r="BC831" s="32">
        <v>43901.0</v>
      </c>
      <c r="BD831" s="32">
        <v>43946.0</v>
      </c>
      <c r="BE831" s="32">
        <v>43946.0</v>
      </c>
      <c r="BF831" s="30">
        <v>95.0</v>
      </c>
      <c r="BG831" s="30" t="s">
        <v>583</v>
      </c>
      <c r="BH831" s="33" t="s">
        <v>2648</v>
      </c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FL831" s="36" t="s">
        <v>2622</v>
      </c>
      <c r="FM831" s="36" t="s">
        <v>283</v>
      </c>
    </row>
    <row r="832" ht="23.25" customHeight="1">
      <c r="A832" s="29">
        <v>44662.50803909722</v>
      </c>
      <c r="B832" s="30" t="s">
        <v>8</v>
      </c>
      <c r="C832" s="30" t="s">
        <v>12</v>
      </c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0" t="s">
        <v>2630</v>
      </c>
      <c r="AO832" s="30" t="s">
        <v>2631</v>
      </c>
      <c r="AP832" s="30" t="s">
        <v>304</v>
      </c>
      <c r="AQ832" s="30" t="s">
        <v>310</v>
      </c>
      <c r="AR832" s="32">
        <v>44470.0</v>
      </c>
      <c r="AS832" s="32">
        <v>44561.0</v>
      </c>
      <c r="AT832" s="30" t="s">
        <v>257</v>
      </c>
      <c r="AU832" s="30" t="s">
        <v>257</v>
      </c>
      <c r="AV832" s="30">
        <v>0.0</v>
      </c>
      <c r="AW832" s="33" t="s">
        <v>2649</v>
      </c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FL832" s="36" t="s">
        <v>2635</v>
      </c>
      <c r="FM832" s="36" t="s">
        <v>323</v>
      </c>
    </row>
    <row r="833" ht="23.25" customHeight="1">
      <c r="A833" s="29">
        <v>44662.50982555556</v>
      </c>
      <c r="B833" s="30" t="s">
        <v>6</v>
      </c>
      <c r="C833" s="30" t="s">
        <v>12</v>
      </c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0" t="s">
        <v>2650</v>
      </c>
      <c r="AO833" s="30" t="s">
        <v>2651</v>
      </c>
      <c r="AP833" s="30" t="s">
        <v>1432</v>
      </c>
      <c r="AQ833" s="30" t="s">
        <v>310</v>
      </c>
      <c r="AR833" s="32">
        <v>44317.0</v>
      </c>
      <c r="AS833" s="32">
        <v>44377.0</v>
      </c>
      <c r="AT833" s="30" t="s">
        <v>257</v>
      </c>
      <c r="AU833" s="30" t="s">
        <v>256</v>
      </c>
      <c r="AV833" s="30">
        <v>5000.0</v>
      </c>
      <c r="AW833" s="33" t="s">
        <v>2652</v>
      </c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FL833" s="36" t="s">
        <v>2653</v>
      </c>
      <c r="FM833" s="36" t="s">
        <v>260</v>
      </c>
    </row>
    <row r="834" ht="23.25" customHeight="1">
      <c r="A834" s="29">
        <v>44662.51053467592</v>
      </c>
      <c r="B834" s="30" t="s">
        <v>6</v>
      </c>
      <c r="C834" s="30" t="s">
        <v>13</v>
      </c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0" t="s">
        <v>2654</v>
      </c>
      <c r="AY834" s="30" t="s">
        <v>2620</v>
      </c>
      <c r="AZ834" s="30" t="s">
        <v>442</v>
      </c>
      <c r="BA834" s="30" t="s">
        <v>309</v>
      </c>
      <c r="BB834" s="30" t="s">
        <v>507</v>
      </c>
      <c r="BC834" s="32">
        <v>44481.0</v>
      </c>
      <c r="BD834" s="32">
        <v>44541.0</v>
      </c>
      <c r="BE834" s="32">
        <v>44266.0</v>
      </c>
      <c r="BF834" s="30">
        <v>100.0</v>
      </c>
      <c r="BG834" s="30" t="s">
        <v>2655</v>
      </c>
      <c r="BH834" s="33" t="s">
        <v>2656</v>
      </c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FL834" s="36" t="s">
        <v>2622</v>
      </c>
      <c r="FM834" s="36" t="s">
        <v>278</v>
      </c>
    </row>
    <row r="835" ht="23.25" customHeight="1">
      <c r="A835" s="29">
        <v>44662.51212694445</v>
      </c>
      <c r="B835" s="30" t="s">
        <v>6</v>
      </c>
      <c r="C835" s="30" t="s">
        <v>13</v>
      </c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0" t="s">
        <v>2625</v>
      </c>
      <c r="AY835" s="30" t="s">
        <v>2620</v>
      </c>
      <c r="AZ835" s="30" t="s">
        <v>356</v>
      </c>
      <c r="BA835" s="30" t="s">
        <v>377</v>
      </c>
      <c r="BB835" s="30" t="s">
        <v>495</v>
      </c>
      <c r="BC835" s="32">
        <v>44293.0</v>
      </c>
      <c r="BD835" s="32">
        <v>44341.0</v>
      </c>
      <c r="BE835" s="32">
        <v>44341.0</v>
      </c>
      <c r="BF835" s="30">
        <v>100.0</v>
      </c>
      <c r="BG835" s="30" t="s">
        <v>2657</v>
      </c>
      <c r="BH835" s="33" t="s">
        <v>2658</v>
      </c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FL835" s="36" t="s">
        <v>2622</v>
      </c>
      <c r="FM835" s="36" t="s">
        <v>341</v>
      </c>
    </row>
    <row r="836" ht="23.25" customHeight="1">
      <c r="A836" s="29">
        <v>44662.51335112269</v>
      </c>
      <c r="B836" s="30" t="s">
        <v>6</v>
      </c>
      <c r="C836" s="30" t="s">
        <v>27</v>
      </c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FL836" s="36" t="s">
        <v>2653</v>
      </c>
      <c r="FM836" s="36" t="s">
        <v>260</v>
      </c>
      <c r="GF836" s="36" t="s">
        <v>2650</v>
      </c>
      <c r="GG836" s="36" t="s">
        <v>2651</v>
      </c>
      <c r="GH836" s="36" t="s">
        <v>637</v>
      </c>
      <c r="GI836" s="37">
        <v>44718.0</v>
      </c>
      <c r="GJ836" s="38" t="s">
        <v>2659</v>
      </c>
      <c r="GK836" s="36" t="s">
        <v>523</v>
      </c>
      <c r="GL836" s="36">
        <v>3.5</v>
      </c>
    </row>
    <row r="837" ht="23.25" customHeight="1">
      <c r="A837" s="29">
        <v>44662.51357001158</v>
      </c>
      <c r="B837" s="30" t="s">
        <v>6</v>
      </c>
      <c r="C837" s="30" t="s">
        <v>14</v>
      </c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0" t="s">
        <v>2607</v>
      </c>
      <c r="BJ837" s="30" t="s">
        <v>2608</v>
      </c>
      <c r="BK837" s="30" t="s">
        <v>159</v>
      </c>
      <c r="BL837" s="30" t="s">
        <v>1288</v>
      </c>
      <c r="BM837" s="30" t="s">
        <v>2660</v>
      </c>
      <c r="BN837" s="30">
        <v>2.0</v>
      </c>
      <c r="BO837" s="32">
        <v>43694.0</v>
      </c>
      <c r="BP837" s="32">
        <v>43695.0</v>
      </c>
      <c r="BQ837" s="30" t="s">
        <v>2661</v>
      </c>
      <c r="BR837" s="30" t="s">
        <v>2662</v>
      </c>
      <c r="BS837" s="30" t="s">
        <v>176</v>
      </c>
      <c r="BT837" s="30" t="s">
        <v>632</v>
      </c>
      <c r="BU837" s="31"/>
      <c r="BV837" s="33" t="s">
        <v>2663</v>
      </c>
      <c r="BW837" s="31"/>
      <c r="BX837" s="31"/>
      <c r="FL837" s="36" t="s">
        <v>2610</v>
      </c>
      <c r="FM837" s="36" t="s">
        <v>555</v>
      </c>
    </row>
    <row r="838" ht="23.25" customHeight="1">
      <c r="A838" s="29">
        <v>44662.51600283565</v>
      </c>
      <c r="B838" s="30" t="s">
        <v>8</v>
      </c>
      <c r="C838" s="30" t="s">
        <v>13</v>
      </c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0" t="s">
        <v>2664</v>
      </c>
      <c r="AY838" s="30" t="s">
        <v>2665</v>
      </c>
      <c r="AZ838" s="30" t="s">
        <v>2666</v>
      </c>
      <c r="BA838" s="30" t="s">
        <v>2667</v>
      </c>
      <c r="BB838" s="30" t="s">
        <v>507</v>
      </c>
      <c r="BC838" s="32">
        <v>44491.0</v>
      </c>
      <c r="BD838" s="32">
        <v>44561.0</v>
      </c>
      <c r="BE838" s="32">
        <v>44561.0</v>
      </c>
      <c r="BF838" s="30">
        <v>90.0</v>
      </c>
      <c r="BG838" s="30" t="s">
        <v>2668</v>
      </c>
      <c r="BH838" s="33" t="s">
        <v>2669</v>
      </c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FL838" s="36" t="s">
        <v>2670</v>
      </c>
      <c r="FM838" s="36" t="s">
        <v>323</v>
      </c>
    </row>
    <row r="839" ht="23.25" customHeight="1">
      <c r="A839" s="41">
        <v>44662.51639211805</v>
      </c>
      <c r="B839" s="42" t="s">
        <v>6</v>
      </c>
      <c r="C839" s="42" t="s">
        <v>20</v>
      </c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DX839" s="36" t="s">
        <v>2671</v>
      </c>
      <c r="DY839" s="36" t="s">
        <v>2620</v>
      </c>
      <c r="DZ839" s="36" t="s">
        <v>313</v>
      </c>
      <c r="EA839" s="36" t="s">
        <v>2672</v>
      </c>
      <c r="EB839" s="37">
        <v>44503.0</v>
      </c>
      <c r="EC839" s="36" t="s">
        <v>2673</v>
      </c>
      <c r="ED839" s="38" t="s">
        <v>2674</v>
      </c>
      <c r="FL839" s="36" t="s">
        <v>2622</v>
      </c>
      <c r="FM839" s="36" t="s">
        <v>283</v>
      </c>
    </row>
    <row r="840" ht="23.25" customHeight="1">
      <c r="A840" s="44">
        <v>44662.51806494213</v>
      </c>
      <c r="B840" s="45" t="s">
        <v>6</v>
      </c>
      <c r="C840" s="45" t="s">
        <v>13</v>
      </c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5" t="s">
        <v>2650</v>
      </c>
      <c r="AY840" s="45" t="s">
        <v>2651</v>
      </c>
      <c r="AZ840" s="45" t="s">
        <v>2675</v>
      </c>
      <c r="BA840" s="45" t="s">
        <v>2676</v>
      </c>
      <c r="BB840" s="45" t="s">
        <v>2677</v>
      </c>
      <c r="BC840" s="47">
        <v>44296.0</v>
      </c>
      <c r="BD840" s="47">
        <v>44661.0</v>
      </c>
      <c r="BE840" s="47">
        <v>44296.0</v>
      </c>
      <c r="BF840" s="48">
        <v>0.8</v>
      </c>
      <c r="BG840" s="45" t="s">
        <v>523</v>
      </c>
      <c r="BH840" s="49" t="s">
        <v>2678</v>
      </c>
      <c r="BI840" s="46"/>
      <c r="BJ840" s="46"/>
      <c r="BK840" s="46"/>
      <c r="BL840" s="46"/>
      <c r="BM840" s="46"/>
      <c r="BN840" s="46"/>
      <c r="BO840" s="46"/>
      <c r="BP840" s="46"/>
      <c r="BQ840" s="46"/>
      <c r="BR840" s="46"/>
      <c r="BS840" s="46"/>
      <c r="BT840" s="46"/>
      <c r="BU840" s="46"/>
      <c r="BV840" s="46"/>
      <c r="BW840" s="46"/>
      <c r="BX840" s="46"/>
      <c r="FL840" s="36" t="s">
        <v>2653</v>
      </c>
      <c r="FM840" s="36" t="s">
        <v>260</v>
      </c>
    </row>
    <row r="841" ht="23.25" customHeight="1">
      <c r="A841" s="44">
        <v>44662.51945546296</v>
      </c>
      <c r="B841" s="45" t="s">
        <v>6</v>
      </c>
      <c r="C841" s="45" t="s">
        <v>14</v>
      </c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  <c r="AY841" s="46"/>
      <c r="AZ841" s="46"/>
      <c r="BA841" s="46"/>
      <c r="BB841" s="46"/>
      <c r="BC841" s="46"/>
      <c r="BD841" s="46"/>
      <c r="BE841" s="46"/>
      <c r="BF841" s="46"/>
      <c r="BG841" s="46"/>
      <c r="BH841" s="46"/>
      <c r="BI841" s="45" t="s">
        <v>807</v>
      </c>
      <c r="BJ841" s="45" t="s">
        <v>808</v>
      </c>
      <c r="BK841" s="45" t="s">
        <v>150</v>
      </c>
      <c r="BL841" s="45" t="s">
        <v>1288</v>
      </c>
      <c r="BM841" s="45" t="s">
        <v>2679</v>
      </c>
      <c r="BN841" s="45">
        <v>2.0</v>
      </c>
      <c r="BO841" s="47">
        <v>43379.0</v>
      </c>
      <c r="BP841" s="47">
        <v>43380.0</v>
      </c>
      <c r="BQ841" s="45" t="s">
        <v>823</v>
      </c>
      <c r="BR841" s="45" t="s">
        <v>2680</v>
      </c>
      <c r="BS841" s="45" t="s">
        <v>276</v>
      </c>
      <c r="BT841" s="45" t="s">
        <v>156</v>
      </c>
      <c r="BU841" s="46"/>
      <c r="BV841" s="49" t="s">
        <v>2681</v>
      </c>
      <c r="BW841" s="46"/>
      <c r="BX841" s="46"/>
      <c r="FL841" s="36" t="s">
        <v>812</v>
      </c>
      <c r="FM841" s="36" t="s">
        <v>260</v>
      </c>
    </row>
    <row r="842" ht="23.25" customHeight="1">
      <c r="A842" s="44">
        <v>44662.519741400465</v>
      </c>
      <c r="B842" s="45" t="s">
        <v>6</v>
      </c>
      <c r="C842" s="45" t="s">
        <v>12</v>
      </c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5" t="s">
        <v>2636</v>
      </c>
      <c r="AO842" s="45" t="s">
        <v>2620</v>
      </c>
      <c r="AP842" s="45" t="s">
        <v>377</v>
      </c>
      <c r="AQ842" s="45" t="s">
        <v>264</v>
      </c>
      <c r="AR842" s="47">
        <v>44573.0</v>
      </c>
      <c r="AS842" s="47">
        <v>44730.0</v>
      </c>
      <c r="AT842" s="45" t="s">
        <v>256</v>
      </c>
      <c r="AU842" s="45" t="s">
        <v>257</v>
      </c>
      <c r="AV842" s="45">
        <v>0.0</v>
      </c>
      <c r="AW842" s="49" t="s">
        <v>2682</v>
      </c>
      <c r="AX842" s="46"/>
      <c r="AY842" s="46"/>
      <c r="AZ842" s="46"/>
      <c r="BA842" s="46"/>
      <c r="BB842" s="46"/>
      <c r="BC842" s="46"/>
      <c r="BD842" s="46"/>
      <c r="BE842" s="46"/>
      <c r="BF842" s="46"/>
      <c r="BG842" s="46"/>
      <c r="BH842" s="46"/>
      <c r="BI842" s="46"/>
      <c r="BJ842" s="46"/>
      <c r="BK842" s="46"/>
      <c r="BL842" s="46"/>
      <c r="BM842" s="46"/>
      <c r="BN842" s="46"/>
      <c r="BO842" s="46"/>
      <c r="BP842" s="46"/>
      <c r="BQ842" s="46"/>
      <c r="BR842" s="46"/>
      <c r="BS842" s="46"/>
      <c r="BT842" s="46"/>
      <c r="BU842" s="46"/>
      <c r="BV842" s="46"/>
      <c r="BW842" s="46"/>
      <c r="BX842" s="46"/>
      <c r="FL842" s="36" t="s">
        <v>2622</v>
      </c>
      <c r="FM842" s="36" t="s">
        <v>278</v>
      </c>
    </row>
    <row r="843" ht="23.25" customHeight="1">
      <c r="A843" s="44">
        <v>44662.52212929398</v>
      </c>
      <c r="B843" s="45" t="s">
        <v>6</v>
      </c>
      <c r="C843" s="45" t="s">
        <v>27</v>
      </c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  <c r="AY843" s="46"/>
      <c r="AZ843" s="46"/>
      <c r="BA843" s="46"/>
      <c r="BB843" s="46"/>
      <c r="BC843" s="46"/>
      <c r="BD843" s="46"/>
      <c r="BE843" s="46"/>
      <c r="BF843" s="46"/>
      <c r="BG843" s="46"/>
      <c r="BH843" s="46"/>
      <c r="BI843" s="46"/>
      <c r="BJ843" s="46"/>
      <c r="BK843" s="46"/>
      <c r="BL843" s="46"/>
      <c r="BM843" s="46"/>
      <c r="BN843" s="46"/>
      <c r="BO843" s="46"/>
      <c r="BP843" s="46"/>
      <c r="BQ843" s="46"/>
      <c r="BR843" s="46"/>
      <c r="BS843" s="46"/>
      <c r="BT843" s="46"/>
      <c r="BU843" s="46"/>
      <c r="BV843" s="46"/>
      <c r="BW843" s="46"/>
      <c r="BX843" s="46"/>
      <c r="FL843" s="36" t="s">
        <v>2683</v>
      </c>
      <c r="FM843" s="36" t="s">
        <v>323</v>
      </c>
      <c r="GF843" s="36" t="s">
        <v>2684</v>
      </c>
      <c r="GG843" s="36" t="s">
        <v>2685</v>
      </c>
      <c r="GH843" s="36" t="s">
        <v>254</v>
      </c>
      <c r="GI843" s="37">
        <v>44715.0</v>
      </c>
      <c r="GJ843" s="38" t="s">
        <v>2686</v>
      </c>
      <c r="GK843" s="36" t="s">
        <v>656</v>
      </c>
      <c r="GL843" s="36" t="s">
        <v>2687</v>
      </c>
    </row>
    <row r="844" ht="23.25" customHeight="1">
      <c r="A844" s="44">
        <v>44662.5221484838</v>
      </c>
      <c r="B844" s="45" t="s">
        <v>6</v>
      </c>
      <c r="C844" s="45" t="s">
        <v>13</v>
      </c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5" t="s">
        <v>2611</v>
      </c>
      <c r="AY844" s="45" t="s">
        <v>2612</v>
      </c>
      <c r="AZ844" s="45" t="s">
        <v>2688</v>
      </c>
      <c r="BA844" s="45" t="s">
        <v>1378</v>
      </c>
      <c r="BB844" s="45" t="s">
        <v>264</v>
      </c>
      <c r="BC844" s="47">
        <v>43872.0</v>
      </c>
      <c r="BD844" s="47">
        <v>44028.0</v>
      </c>
      <c r="BE844" s="47">
        <v>44025.0</v>
      </c>
      <c r="BF844" s="45">
        <v>100.0</v>
      </c>
      <c r="BG844" s="45" t="s">
        <v>2689</v>
      </c>
      <c r="BH844" s="49" t="s">
        <v>2690</v>
      </c>
      <c r="BI844" s="46"/>
      <c r="BJ844" s="46"/>
      <c r="BK844" s="46"/>
      <c r="BL844" s="46"/>
      <c r="BM844" s="46"/>
      <c r="BN844" s="46"/>
      <c r="BO844" s="46"/>
      <c r="BP844" s="46"/>
      <c r="BQ844" s="46"/>
      <c r="BR844" s="46"/>
      <c r="BS844" s="46"/>
      <c r="BT844" s="46"/>
      <c r="BU844" s="46"/>
      <c r="BV844" s="46"/>
      <c r="BW844" s="46"/>
      <c r="BX844" s="46"/>
      <c r="FL844" s="36" t="s">
        <v>2615</v>
      </c>
      <c r="FM844" s="36" t="s">
        <v>323</v>
      </c>
    </row>
    <row r="845" ht="23.25" customHeight="1">
      <c r="A845" s="44">
        <v>44662.52282875</v>
      </c>
      <c r="B845" s="45" t="s">
        <v>6</v>
      </c>
      <c r="C845" s="45" t="s">
        <v>13</v>
      </c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5" t="s">
        <v>807</v>
      </c>
      <c r="AY845" s="45" t="s">
        <v>808</v>
      </c>
      <c r="AZ845" s="45" t="s">
        <v>2691</v>
      </c>
      <c r="BA845" s="45" t="s">
        <v>377</v>
      </c>
      <c r="BB845" s="45" t="s">
        <v>2692</v>
      </c>
      <c r="BC845" s="47">
        <v>43159.0</v>
      </c>
      <c r="BD845" s="47">
        <v>43311.0</v>
      </c>
      <c r="BE845" s="47">
        <v>43311.0</v>
      </c>
      <c r="BF845" s="45">
        <v>98.0</v>
      </c>
      <c r="BG845" s="45" t="s">
        <v>2058</v>
      </c>
      <c r="BH845" s="49" t="s">
        <v>2693</v>
      </c>
      <c r="BI845" s="46"/>
      <c r="BJ845" s="46"/>
      <c r="BK845" s="46"/>
      <c r="BL845" s="46"/>
      <c r="BM845" s="46"/>
      <c r="BN845" s="46"/>
      <c r="BO845" s="46"/>
      <c r="BP845" s="46"/>
      <c r="BQ845" s="46"/>
      <c r="BR845" s="46"/>
      <c r="BS845" s="46"/>
      <c r="BT845" s="46"/>
      <c r="BU845" s="46"/>
      <c r="BV845" s="46"/>
      <c r="BW845" s="46"/>
      <c r="BX845" s="46"/>
      <c r="FL845" s="36" t="s">
        <v>812</v>
      </c>
      <c r="FM845" s="36" t="s">
        <v>260</v>
      </c>
    </row>
    <row r="846" ht="23.25" customHeight="1">
      <c r="A846" s="44">
        <v>44662.52427810185</v>
      </c>
      <c r="B846" s="45" t="s">
        <v>6</v>
      </c>
      <c r="C846" s="45" t="s">
        <v>13</v>
      </c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5" t="s">
        <v>807</v>
      </c>
      <c r="AY846" s="45" t="s">
        <v>808</v>
      </c>
      <c r="AZ846" s="45" t="s">
        <v>2694</v>
      </c>
      <c r="BA846" s="45" t="s">
        <v>2695</v>
      </c>
      <c r="BB846" s="45" t="s">
        <v>810</v>
      </c>
      <c r="BC846" s="47">
        <v>44562.0</v>
      </c>
      <c r="BD846" s="47">
        <v>44639.0</v>
      </c>
      <c r="BE846" s="47">
        <v>44621.0</v>
      </c>
      <c r="BF846" s="45">
        <v>90.0</v>
      </c>
      <c r="BG846" s="45" t="s">
        <v>523</v>
      </c>
      <c r="BH846" s="49" t="s">
        <v>2696</v>
      </c>
      <c r="BI846" s="46"/>
      <c r="BJ846" s="46"/>
      <c r="BK846" s="46"/>
      <c r="BL846" s="46"/>
      <c r="BM846" s="46"/>
      <c r="BN846" s="46"/>
      <c r="BO846" s="46"/>
      <c r="BP846" s="46"/>
      <c r="BQ846" s="46"/>
      <c r="BR846" s="46"/>
      <c r="BS846" s="46"/>
      <c r="BT846" s="46"/>
      <c r="BU846" s="46"/>
      <c r="BV846" s="46"/>
      <c r="BW846" s="46"/>
      <c r="BX846" s="46"/>
      <c r="FL846" s="36" t="s">
        <v>812</v>
      </c>
      <c r="FM846" s="36" t="s">
        <v>260</v>
      </c>
    </row>
    <row r="847" ht="23.25" customHeight="1">
      <c r="A847" s="44">
        <v>44662.5245528125</v>
      </c>
      <c r="B847" s="45" t="s">
        <v>6</v>
      </c>
      <c r="C847" s="45" t="s">
        <v>13</v>
      </c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5" t="s">
        <v>2611</v>
      </c>
      <c r="AY847" s="45" t="s">
        <v>2612</v>
      </c>
      <c r="AZ847" s="45" t="s">
        <v>2697</v>
      </c>
      <c r="BA847" s="45" t="s">
        <v>1378</v>
      </c>
      <c r="BB847" s="45" t="s">
        <v>410</v>
      </c>
      <c r="BC847" s="47">
        <v>44027.0</v>
      </c>
      <c r="BD847" s="47">
        <v>44058.0</v>
      </c>
      <c r="BE847" s="47">
        <v>44048.0</v>
      </c>
      <c r="BF847" s="45">
        <v>100.0</v>
      </c>
      <c r="BG847" s="45" t="s">
        <v>2526</v>
      </c>
      <c r="BH847" s="49" t="s">
        <v>2698</v>
      </c>
      <c r="BI847" s="46"/>
      <c r="BJ847" s="46"/>
      <c r="BK847" s="46"/>
      <c r="BL847" s="46"/>
      <c r="BM847" s="46"/>
      <c r="BN847" s="46"/>
      <c r="BO847" s="46"/>
      <c r="BP847" s="46"/>
      <c r="BQ847" s="46"/>
      <c r="BR847" s="46"/>
      <c r="BS847" s="46"/>
      <c r="BT847" s="46"/>
      <c r="BU847" s="46"/>
      <c r="BV847" s="46"/>
      <c r="BW847" s="46"/>
      <c r="BX847" s="46"/>
      <c r="FL847" s="36" t="s">
        <v>2615</v>
      </c>
      <c r="FM847" s="36" t="s">
        <v>323</v>
      </c>
    </row>
    <row r="848" ht="23.25" customHeight="1">
      <c r="A848" s="44">
        <v>44662.5264716088</v>
      </c>
      <c r="B848" s="45" t="s">
        <v>6</v>
      </c>
      <c r="C848" s="45" t="s">
        <v>13</v>
      </c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5" t="s">
        <v>2684</v>
      </c>
      <c r="AY848" s="45" t="s">
        <v>2685</v>
      </c>
      <c r="AZ848" s="45" t="s">
        <v>647</v>
      </c>
      <c r="BA848" s="45" t="s">
        <v>2699</v>
      </c>
      <c r="BB848" s="45" t="s">
        <v>659</v>
      </c>
      <c r="BC848" s="47">
        <v>44015.0</v>
      </c>
      <c r="BD848" s="47">
        <v>44015.0</v>
      </c>
      <c r="BE848" s="47">
        <v>44015.0</v>
      </c>
      <c r="BF848" s="45" t="s">
        <v>2700</v>
      </c>
      <c r="BG848" s="45" t="s">
        <v>2701</v>
      </c>
      <c r="BH848" s="49" t="s">
        <v>2702</v>
      </c>
      <c r="BI848" s="46"/>
      <c r="BJ848" s="46"/>
      <c r="BK848" s="46"/>
      <c r="BL848" s="46"/>
      <c r="BM848" s="46"/>
      <c r="BN848" s="46"/>
      <c r="BO848" s="46"/>
      <c r="BP848" s="46"/>
      <c r="BQ848" s="46"/>
      <c r="BR848" s="46"/>
      <c r="BS848" s="46"/>
      <c r="BT848" s="46"/>
      <c r="BU848" s="46"/>
      <c r="BV848" s="46"/>
      <c r="BW848" s="46"/>
      <c r="BX848" s="46"/>
      <c r="FL848" s="36" t="s">
        <v>2683</v>
      </c>
      <c r="FM848" s="36" t="s">
        <v>323</v>
      </c>
    </row>
    <row r="849" ht="23.25" customHeight="1">
      <c r="A849" s="44">
        <v>44662.527209837965</v>
      </c>
      <c r="B849" s="45" t="s">
        <v>6</v>
      </c>
      <c r="C849" s="45" t="s">
        <v>13</v>
      </c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5" t="s">
        <v>2611</v>
      </c>
      <c r="AY849" s="45" t="s">
        <v>2612</v>
      </c>
      <c r="AZ849" s="45" t="s">
        <v>2703</v>
      </c>
      <c r="BA849" s="45" t="s">
        <v>1378</v>
      </c>
      <c r="BB849" s="45" t="s">
        <v>495</v>
      </c>
      <c r="BC849" s="47">
        <v>44024.0</v>
      </c>
      <c r="BD849" s="47">
        <v>44055.0</v>
      </c>
      <c r="BE849" s="47">
        <v>44051.0</v>
      </c>
      <c r="BF849" s="45">
        <v>100.0</v>
      </c>
      <c r="BG849" s="45" t="s">
        <v>2526</v>
      </c>
      <c r="BH849" s="49" t="s">
        <v>2704</v>
      </c>
      <c r="BI849" s="46"/>
      <c r="BJ849" s="46"/>
      <c r="BK849" s="46"/>
      <c r="BL849" s="46"/>
      <c r="BM849" s="46"/>
      <c r="BN849" s="46"/>
      <c r="BO849" s="46"/>
      <c r="BP849" s="46"/>
      <c r="BQ849" s="46"/>
      <c r="BR849" s="46"/>
      <c r="BS849" s="46"/>
      <c r="BT849" s="46"/>
      <c r="BU849" s="46"/>
      <c r="BV849" s="46"/>
      <c r="BW849" s="46"/>
      <c r="BX849" s="46"/>
      <c r="FL849" s="36" t="s">
        <v>2615</v>
      </c>
      <c r="FM849" s="36" t="s">
        <v>323</v>
      </c>
    </row>
    <row r="850" ht="23.25" customHeight="1">
      <c r="A850" s="44">
        <v>44662.530894166666</v>
      </c>
      <c r="B850" s="45" t="s">
        <v>6</v>
      </c>
      <c r="C850" s="45" t="s">
        <v>13</v>
      </c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5" t="s">
        <v>2684</v>
      </c>
      <c r="AY850" s="45" t="s">
        <v>2685</v>
      </c>
      <c r="AZ850" s="45" t="s">
        <v>2705</v>
      </c>
      <c r="BA850" s="45" t="s">
        <v>2706</v>
      </c>
      <c r="BB850" s="45" t="s">
        <v>507</v>
      </c>
      <c r="BC850" s="47">
        <v>44487.0</v>
      </c>
      <c r="BD850" s="47">
        <v>44559.0</v>
      </c>
      <c r="BE850" s="47">
        <v>44569.0</v>
      </c>
      <c r="BF850" s="45" t="s">
        <v>2700</v>
      </c>
      <c r="BG850" s="45" t="s">
        <v>1055</v>
      </c>
      <c r="BH850" s="49" t="s">
        <v>2707</v>
      </c>
      <c r="BI850" s="46"/>
      <c r="BJ850" s="46"/>
      <c r="BK850" s="46"/>
      <c r="BL850" s="46"/>
      <c r="BM850" s="46"/>
      <c r="BN850" s="46"/>
      <c r="BO850" s="46"/>
      <c r="BP850" s="46"/>
      <c r="BQ850" s="46"/>
      <c r="BR850" s="46"/>
      <c r="BS850" s="46"/>
      <c r="BT850" s="46"/>
      <c r="BU850" s="46"/>
      <c r="BV850" s="46"/>
      <c r="BW850" s="46"/>
      <c r="BX850" s="46"/>
      <c r="FL850" s="36" t="s">
        <v>2683</v>
      </c>
      <c r="FM850" s="36" t="s">
        <v>278</v>
      </c>
    </row>
    <row r="851" ht="23.25" customHeight="1">
      <c r="A851" s="44">
        <v>44662.53417270833</v>
      </c>
      <c r="B851" s="45" t="s">
        <v>6</v>
      </c>
      <c r="C851" s="45" t="s">
        <v>12</v>
      </c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5" t="s">
        <v>2684</v>
      </c>
      <c r="AO851" s="45" t="s">
        <v>2685</v>
      </c>
      <c r="AP851" s="45" t="s">
        <v>2708</v>
      </c>
      <c r="AQ851" s="45" t="s">
        <v>310</v>
      </c>
      <c r="AR851" s="47">
        <v>43983.0</v>
      </c>
      <c r="AS851" s="47">
        <v>44038.0</v>
      </c>
      <c r="AT851" s="45" t="s">
        <v>257</v>
      </c>
      <c r="AU851" s="45" t="s">
        <v>256</v>
      </c>
      <c r="AV851" s="45">
        <v>1200.0</v>
      </c>
      <c r="AW851" s="49" t="s">
        <v>2709</v>
      </c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6"/>
      <c r="BI851" s="46"/>
      <c r="BJ851" s="46"/>
      <c r="BK851" s="46"/>
      <c r="BL851" s="46"/>
      <c r="BM851" s="46"/>
      <c r="BN851" s="46"/>
      <c r="BO851" s="46"/>
      <c r="BP851" s="46"/>
      <c r="BQ851" s="46"/>
      <c r="BR851" s="46"/>
      <c r="BS851" s="46"/>
      <c r="BT851" s="46"/>
      <c r="BU851" s="46"/>
      <c r="BV851" s="46"/>
      <c r="BW851" s="46"/>
      <c r="BX851" s="46"/>
      <c r="FL851" s="36" t="s">
        <v>2683</v>
      </c>
      <c r="FM851" s="36" t="s">
        <v>323</v>
      </c>
    </row>
    <row r="852" ht="23.25" customHeight="1">
      <c r="A852" s="44">
        <v>44662.537927708334</v>
      </c>
      <c r="B852" s="45" t="s">
        <v>6</v>
      </c>
      <c r="C852" s="45" t="s">
        <v>14</v>
      </c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6"/>
      <c r="BI852" s="45" t="s">
        <v>2684</v>
      </c>
      <c r="BJ852" s="45" t="s">
        <v>2685</v>
      </c>
      <c r="BK852" s="45" t="s">
        <v>171</v>
      </c>
      <c r="BL852" s="45" t="s">
        <v>1288</v>
      </c>
      <c r="BM852" s="45" t="s">
        <v>2710</v>
      </c>
      <c r="BN852" s="45">
        <v>2.0</v>
      </c>
      <c r="BO852" s="47">
        <v>44016.0</v>
      </c>
      <c r="BP852" s="47">
        <v>44017.0</v>
      </c>
      <c r="BQ852" s="45" t="s">
        <v>2711</v>
      </c>
      <c r="BR852" s="45" t="s">
        <v>1901</v>
      </c>
      <c r="BS852" s="45" t="s">
        <v>176</v>
      </c>
      <c r="BT852" s="45" t="s">
        <v>632</v>
      </c>
      <c r="BU852" s="45">
        <v>299.0</v>
      </c>
      <c r="BV852" s="49" t="s">
        <v>2712</v>
      </c>
      <c r="BW852" s="46"/>
      <c r="BX852" s="46"/>
      <c r="FL852" s="36" t="s">
        <v>2683</v>
      </c>
      <c r="FM852" s="36" t="s">
        <v>323</v>
      </c>
    </row>
    <row r="853" ht="23.25" customHeight="1">
      <c r="A853" s="44">
        <v>44662.53909207176</v>
      </c>
      <c r="B853" s="45" t="s">
        <v>8</v>
      </c>
      <c r="C853" s="45" t="s">
        <v>13</v>
      </c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5" t="s">
        <v>2713</v>
      </c>
      <c r="AY853" s="45" t="s">
        <v>2714</v>
      </c>
      <c r="AZ853" s="45" t="s">
        <v>2715</v>
      </c>
      <c r="BA853" s="45" t="s">
        <v>377</v>
      </c>
      <c r="BB853" s="45" t="s">
        <v>310</v>
      </c>
      <c r="BC853" s="47">
        <v>44378.0</v>
      </c>
      <c r="BD853" s="47">
        <v>44440.0</v>
      </c>
      <c r="BE853" s="47">
        <v>44464.0</v>
      </c>
      <c r="BF853" s="45">
        <v>95.0</v>
      </c>
      <c r="BG853" s="45" t="s">
        <v>2716</v>
      </c>
      <c r="BH853" s="49" t="s">
        <v>2717</v>
      </c>
      <c r="BI853" s="46"/>
      <c r="BJ853" s="46"/>
      <c r="BK853" s="46"/>
      <c r="BL853" s="46"/>
      <c r="BM853" s="46"/>
      <c r="BN853" s="46"/>
      <c r="BO853" s="46"/>
      <c r="BP853" s="46"/>
      <c r="BQ853" s="46"/>
      <c r="BR853" s="46"/>
      <c r="BS853" s="46"/>
      <c r="BT853" s="46"/>
      <c r="BU853" s="46"/>
      <c r="BV853" s="46"/>
      <c r="BW853" s="46"/>
      <c r="BX853" s="46"/>
      <c r="FL853" s="36" t="s">
        <v>2718</v>
      </c>
      <c r="FM853" s="36" t="s">
        <v>323</v>
      </c>
    </row>
    <row r="854" ht="23.25" customHeight="1">
      <c r="A854" s="44">
        <v>44662.53988121528</v>
      </c>
      <c r="B854" s="45" t="s">
        <v>8</v>
      </c>
      <c r="C854" s="45" t="s">
        <v>13</v>
      </c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5" t="s">
        <v>2719</v>
      </c>
      <c r="AY854" s="45" t="s">
        <v>2720</v>
      </c>
      <c r="AZ854" s="45" t="s">
        <v>856</v>
      </c>
      <c r="BA854" s="45" t="s">
        <v>337</v>
      </c>
      <c r="BB854" s="45" t="s">
        <v>310</v>
      </c>
      <c r="BC854" s="47">
        <v>44378.0</v>
      </c>
      <c r="BD854" s="47">
        <v>44467.0</v>
      </c>
      <c r="BE854" s="47">
        <v>44464.0</v>
      </c>
      <c r="BF854" s="45">
        <v>95.0</v>
      </c>
      <c r="BG854" s="45" t="s">
        <v>2721</v>
      </c>
      <c r="BH854" s="49" t="s">
        <v>2722</v>
      </c>
      <c r="BI854" s="46"/>
      <c r="BJ854" s="46"/>
      <c r="BK854" s="46"/>
      <c r="BL854" s="46"/>
      <c r="BM854" s="46"/>
      <c r="BN854" s="46"/>
      <c r="BO854" s="46"/>
      <c r="BP854" s="46"/>
      <c r="BQ854" s="46"/>
      <c r="BR854" s="46"/>
      <c r="BS854" s="46"/>
      <c r="BT854" s="46"/>
      <c r="BU854" s="46"/>
      <c r="BV854" s="46"/>
      <c r="BW854" s="46"/>
      <c r="BX854" s="46"/>
      <c r="FL854" s="36" t="s">
        <v>2723</v>
      </c>
      <c r="FM854" s="36" t="s">
        <v>323</v>
      </c>
    </row>
    <row r="855" ht="23.25" customHeight="1">
      <c r="A855" s="44">
        <v>44662.541470358796</v>
      </c>
      <c r="B855" s="45" t="s">
        <v>8</v>
      </c>
      <c r="C855" s="45" t="s">
        <v>13</v>
      </c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5" t="s">
        <v>2713</v>
      </c>
      <c r="AY855" s="45" t="s">
        <v>2714</v>
      </c>
      <c r="AZ855" s="45" t="s">
        <v>2724</v>
      </c>
      <c r="BA855" s="45" t="s">
        <v>377</v>
      </c>
      <c r="BB855" s="45" t="s">
        <v>310</v>
      </c>
      <c r="BC855" s="47">
        <v>44470.0</v>
      </c>
      <c r="BD855" s="47">
        <v>44531.0</v>
      </c>
      <c r="BE855" s="47">
        <v>44555.0</v>
      </c>
      <c r="BF855" s="45">
        <v>96.0</v>
      </c>
      <c r="BG855" s="45" t="s">
        <v>2716</v>
      </c>
      <c r="BH855" s="49" t="s">
        <v>2725</v>
      </c>
      <c r="BI855" s="46"/>
      <c r="BJ855" s="46"/>
      <c r="BK855" s="46"/>
      <c r="BL855" s="46"/>
      <c r="BM855" s="46"/>
      <c r="BN855" s="46"/>
      <c r="BO855" s="46"/>
      <c r="BP855" s="46"/>
      <c r="BQ855" s="46"/>
      <c r="BR855" s="46"/>
      <c r="BS855" s="46"/>
      <c r="BT855" s="46"/>
      <c r="BU855" s="46"/>
      <c r="BV855" s="46"/>
      <c r="BW855" s="46"/>
      <c r="BX855" s="46"/>
      <c r="FL855" s="36" t="s">
        <v>2718</v>
      </c>
      <c r="FM855" s="36" t="s">
        <v>323</v>
      </c>
    </row>
    <row r="856" ht="23.25" customHeight="1">
      <c r="A856" s="44">
        <v>44662.54220457176</v>
      </c>
      <c r="B856" s="45" t="s">
        <v>8</v>
      </c>
      <c r="C856" s="45" t="s">
        <v>14</v>
      </c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5" t="s">
        <v>2664</v>
      </c>
      <c r="BJ856" s="45" t="s">
        <v>2665</v>
      </c>
      <c r="BK856" s="45" t="s">
        <v>313</v>
      </c>
      <c r="BL856" s="45" t="s">
        <v>1288</v>
      </c>
      <c r="BM856" s="45" t="s">
        <v>2726</v>
      </c>
      <c r="BN856" s="45">
        <v>1.0</v>
      </c>
      <c r="BO856" s="47">
        <v>44626.0</v>
      </c>
      <c r="BP856" s="47">
        <v>44626.0</v>
      </c>
      <c r="BQ856" s="45" t="s">
        <v>2727</v>
      </c>
      <c r="BR856" s="45" t="s">
        <v>2728</v>
      </c>
      <c r="BS856" s="45" t="s">
        <v>176</v>
      </c>
      <c r="BT856" s="45" t="s">
        <v>632</v>
      </c>
      <c r="BU856" s="45">
        <v>70.0</v>
      </c>
      <c r="BV856" s="49" t="s">
        <v>2729</v>
      </c>
      <c r="BW856" s="46"/>
      <c r="BX856" s="46"/>
      <c r="FL856" s="36" t="s">
        <v>2670</v>
      </c>
      <c r="FM856" s="36" t="s">
        <v>323</v>
      </c>
    </row>
    <row r="857" ht="23.25" customHeight="1">
      <c r="A857" s="44">
        <v>44662.54317412037</v>
      </c>
      <c r="B857" s="45" t="s">
        <v>8</v>
      </c>
      <c r="C857" s="45" t="s">
        <v>12</v>
      </c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5" t="s">
        <v>2713</v>
      </c>
      <c r="AO857" s="45" t="s">
        <v>2714</v>
      </c>
      <c r="AP857" s="45" t="s">
        <v>304</v>
      </c>
      <c r="AQ857" s="45" t="s">
        <v>310</v>
      </c>
      <c r="AR857" s="47">
        <v>44662.0</v>
      </c>
      <c r="AS857" s="47">
        <v>44531.0</v>
      </c>
      <c r="AT857" s="45" t="s">
        <v>257</v>
      </c>
      <c r="AU857" s="45" t="s">
        <v>257</v>
      </c>
      <c r="AV857" s="45">
        <v>0.0</v>
      </c>
      <c r="AW857" s="49" t="s">
        <v>2730</v>
      </c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  <c r="BP857" s="46"/>
      <c r="BQ857" s="46"/>
      <c r="BR857" s="46"/>
      <c r="BS857" s="46"/>
      <c r="BT857" s="46"/>
      <c r="BU857" s="46"/>
      <c r="BV857" s="46"/>
      <c r="BW857" s="46"/>
      <c r="BX857" s="46"/>
      <c r="FL857" s="36" t="s">
        <v>2718</v>
      </c>
      <c r="FM857" s="36" t="s">
        <v>323</v>
      </c>
    </row>
    <row r="858" ht="23.25" customHeight="1">
      <c r="A858" s="44">
        <v>44662.54416045139</v>
      </c>
      <c r="B858" s="45" t="s">
        <v>8</v>
      </c>
      <c r="C858" s="45" t="s">
        <v>13</v>
      </c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5" t="s">
        <v>2731</v>
      </c>
      <c r="AY858" s="45" t="s">
        <v>2732</v>
      </c>
      <c r="AZ858" s="45" t="s">
        <v>856</v>
      </c>
      <c r="BA858" s="45" t="s">
        <v>377</v>
      </c>
      <c r="BB858" s="45" t="s">
        <v>310</v>
      </c>
      <c r="BC858" s="47">
        <v>44378.0</v>
      </c>
      <c r="BD858" s="47">
        <v>44469.0</v>
      </c>
      <c r="BE858" s="47">
        <v>44464.0</v>
      </c>
      <c r="BF858" s="45">
        <v>95.0</v>
      </c>
      <c r="BG858" s="45" t="s">
        <v>2633</v>
      </c>
      <c r="BH858" s="49" t="s">
        <v>2733</v>
      </c>
      <c r="BI858" s="46"/>
      <c r="BJ858" s="46"/>
      <c r="BK858" s="46"/>
      <c r="BL858" s="46"/>
      <c r="BM858" s="46"/>
      <c r="BN858" s="46"/>
      <c r="BO858" s="46"/>
      <c r="BP858" s="46"/>
      <c r="BQ858" s="46"/>
      <c r="BR858" s="46"/>
      <c r="BS858" s="46"/>
      <c r="BT858" s="46"/>
      <c r="BU858" s="46"/>
      <c r="BV858" s="46"/>
      <c r="BW858" s="46"/>
      <c r="BX858" s="46"/>
      <c r="FL858" s="36" t="s">
        <v>2734</v>
      </c>
      <c r="FM858" s="36" t="s">
        <v>323</v>
      </c>
    </row>
    <row r="859" ht="23.25" customHeight="1">
      <c r="A859" s="44">
        <v>44662.54417553241</v>
      </c>
      <c r="B859" s="45" t="s">
        <v>8</v>
      </c>
      <c r="C859" s="45" t="s">
        <v>14</v>
      </c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5" t="s">
        <v>2664</v>
      </c>
      <c r="BJ859" s="45" t="s">
        <v>2665</v>
      </c>
      <c r="BK859" s="45" t="s">
        <v>313</v>
      </c>
      <c r="BL859" s="45" t="s">
        <v>1288</v>
      </c>
      <c r="BM859" s="45" t="s">
        <v>2735</v>
      </c>
      <c r="BN859" s="45">
        <v>1.0</v>
      </c>
      <c r="BO859" s="47">
        <v>44619.0</v>
      </c>
      <c r="BP859" s="47">
        <v>44619.0</v>
      </c>
      <c r="BQ859" s="45" t="s">
        <v>2727</v>
      </c>
      <c r="BR859" s="45" t="s">
        <v>2728</v>
      </c>
      <c r="BS859" s="45" t="s">
        <v>176</v>
      </c>
      <c r="BT859" s="45" t="s">
        <v>156</v>
      </c>
      <c r="BU859" s="46"/>
      <c r="BV859" s="49" t="s">
        <v>2736</v>
      </c>
      <c r="BW859" s="46"/>
      <c r="BX859" s="46"/>
      <c r="FL859" s="36" t="s">
        <v>2670</v>
      </c>
      <c r="FM859" s="36" t="s">
        <v>323</v>
      </c>
    </row>
    <row r="860" ht="23.25" customHeight="1">
      <c r="A860" s="44">
        <v>44662.54433685185</v>
      </c>
      <c r="B860" s="45" t="s">
        <v>8</v>
      </c>
      <c r="C860" s="45" t="s">
        <v>13</v>
      </c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5" t="s">
        <v>2737</v>
      </c>
      <c r="AY860" s="45" t="s">
        <v>2738</v>
      </c>
      <c r="AZ860" s="45" t="s">
        <v>2715</v>
      </c>
      <c r="BA860" s="45" t="s">
        <v>337</v>
      </c>
      <c r="BB860" s="45" t="s">
        <v>320</v>
      </c>
      <c r="BC860" s="47">
        <v>44378.0</v>
      </c>
      <c r="BD860" s="47">
        <v>44440.0</v>
      </c>
      <c r="BE860" s="47">
        <v>44439.0</v>
      </c>
      <c r="BF860" s="45">
        <v>92.0</v>
      </c>
      <c r="BG860" s="45" t="s">
        <v>2739</v>
      </c>
      <c r="BH860" s="49" t="s">
        <v>2740</v>
      </c>
      <c r="BI860" s="46"/>
      <c r="BJ860" s="46"/>
      <c r="BK860" s="46"/>
      <c r="BL860" s="46"/>
      <c r="BM860" s="46"/>
      <c r="BN860" s="46"/>
      <c r="BO860" s="46"/>
      <c r="BP860" s="46"/>
      <c r="BQ860" s="46"/>
      <c r="BR860" s="46"/>
      <c r="BS860" s="46"/>
      <c r="BT860" s="46"/>
      <c r="BU860" s="46"/>
      <c r="BV860" s="46"/>
      <c r="BW860" s="46"/>
      <c r="BX860" s="46"/>
      <c r="FL860" s="36" t="s">
        <v>2741</v>
      </c>
      <c r="FM860" s="36" t="s">
        <v>323</v>
      </c>
    </row>
    <row r="861" ht="23.25" customHeight="1">
      <c r="A861" s="44">
        <v>44662.54525650463</v>
      </c>
      <c r="B861" s="45" t="s">
        <v>8</v>
      </c>
      <c r="C861" s="45" t="s">
        <v>13</v>
      </c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5" t="s">
        <v>2719</v>
      </c>
      <c r="AY861" s="45" t="s">
        <v>2720</v>
      </c>
      <c r="AZ861" s="45" t="s">
        <v>2334</v>
      </c>
      <c r="BA861" s="45" t="s">
        <v>377</v>
      </c>
      <c r="BB861" s="45" t="s">
        <v>310</v>
      </c>
      <c r="BC861" s="47">
        <v>44481.0</v>
      </c>
      <c r="BD861" s="47">
        <v>44551.0</v>
      </c>
      <c r="BE861" s="47">
        <v>44545.0</v>
      </c>
      <c r="BF861" s="45">
        <v>96.0</v>
      </c>
      <c r="BG861" s="45" t="s">
        <v>2721</v>
      </c>
      <c r="BH861" s="49" t="s">
        <v>2742</v>
      </c>
      <c r="BI861" s="46"/>
      <c r="BJ861" s="46"/>
      <c r="BK861" s="46"/>
      <c r="BL861" s="46"/>
      <c r="BM861" s="46"/>
      <c r="BN861" s="46"/>
      <c r="BO861" s="46"/>
      <c r="BP861" s="46"/>
      <c r="BQ861" s="46"/>
      <c r="BR861" s="46"/>
      <c r="BS861" s="46"/>
      <c r="BT861" s="46"/>
      <c r="BU861" s="46"/>
      <c r="BV861" s="46"/>
      <c r="BW861" s="46"/>
      <c r="BX861" s="46"/>
      <c r="FL861" s="36" t="s">
        <v>2723</v>
      </c>
      <c r="FM861" s="36" t="s">
        <v>323</v>
      </c>
    </row>
    <row r="862" ht="23.25" customHeight="1">
      <c r="A862" s="44">
        <v>44662.54640237268</v>
      </c>
      <c r="B862" s="45" t="s">
        <v>8</v>
      </c>
      <c r="C862" s="45" t="s">
        <v>13</v>
      </c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5" t="s">
        <v>2731</v>
      </c>
      <c r="AY862" s="45" t="s">
        <v>2732</v>
      </c>
      <c r="AZ862" s="45" t="s">
        <v>2367</v>
      </c>
      <c r="BA862" s="45" t="s">
        <v>377</v>
      </c>
      <c r="BB862" s="45" t="s">
        <v>310</v>
      </c>
      <c r="BC862" s="47">
        <v>44470.0</v>
      </c>
      <c r="BD862" s="47">
        <v>44530.0</v>
      </c>
      <c r="BE862" s="47">
        <v>44555.0</v>
      </c>
      <c r="BF862" s="45">
        <v>96.0</v>
      </c>
      <c r="BG862" s="45" t="s">
        <v>2633</v>
      </c>
      <c r="BH862" s="49" t="s">
        <v>2743</v>
      </c>
      <c r="BI862" s="46"/>
      <c r="BJ862" s="46"/>
      <c r="BK862" s="46"/>
      <c r="BL862" s="46"/>
      <c r="BM862" s="46"/>
      <c r="BN862" s="46"/>
      <c r="BO862" s="46"/>
      <c r="BP862" s="46"/>
      <c r="BQ862" s="46"/>
      <c r="BR862" s="46"/>
      <c r="BS862" s="46"/>
      <c r="BT862" s="46"/>
      <c r="BU862" s="46"/>
      <c r="BV862" s="46"/>
      <c r="BW862" s="46"/>
      <c r="BX862" s="46"/>
      <c r="FL862" s="36" t="s">
        <v>2734</v>
      </c>
      <c r="FM862" s="36" t="s">
        <v>323</v>
      </c>
    </row>
    <row r="863" ht="23.25" customHeight="1">
      <c r="A863" s="44">
        <v>44662.546716192126</v>
      </c>
      <c r="B863" s="45" t="s">
        <v>8</v>
      </c>
      <c r="C863" s="45" t="s">
        <v>12</v>
      </c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5" t="s">
        <v>2713</v>
      </c>
      <c r="AO863" s="45" t="s">
        <v>2714</v>
      </c>
      <c r="AP863" s="45" t="s">
        <v>2744</v>
      </c>
      <c r="AQ863" s="45" t="s">
        <v>348</v>
      </c>
      <c r="AR863" s="47">
        <v>44470.0</v>
      </c>
      <c r="AS863" s="47">
        <v>44531.0</v>
      </c>
      <c r="AT863" s="45" t="s">
        <v>257</v>
      </c>
      <c r="AU863" s="45" t="s">
        <v>257</v>
      </c>
      <c r="AV863" s="45">
        <v>0.0</v>
      </c>
      <c r="AW863" s="49" t="s">
        <v>2745</v>
      </c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6"/>
      <c r="BI863" s="46"/>
      <c r="BJ863" s="46"/>
      <c r="BK863" s="46"/>
      <c r="BL863" s="46"/>
      <c r="BM863" s="46"/>
      <c r="BN863" s="46"/>
      <c r="BO863" s="46"/>
      <c r="BP863" s="46"/>
      <c r="BQ863" s="46"/>
      <c r="BR863" s="46"/>
      <c r="BS863" s="46"/>
      <c r="BT863" s="46"/>
      <c r="BU863" s="46"/>
      <c r="BV863" s="46"/>
      <c r="BW863" s="46"/>
      <c r="BX863" s="46"/>
      <c r="FL863" s="36" t="s">
        <v>2718</v>
      </c>
      <c r="FM863" s="36" t="s">
        <v>555</v>
      </c>
    </row>
    <row r="864" ht="23.25" customHeight="1">
      <c r="A864" s="44">
        <v>44662.54700390046</v>
      </c>
      <c r="B864" s="45" t="s">
        <v>8</v>
      </c>
      <c r="C864" s="45" t="s">
        <v>12</v>
      </c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5" t="s">
        <v>2746</v>
      </c>
      <c r="AO864" s="45" t="s">
        <v>2747</v>
      </c>
      <c r="AP864" s="45" t="s">
        <v>2748</v>
      </c>
      <c r="AQ864" s="45" t="s">
        <v>348</v>
      </c>
      <c r="AR864" s="47">
        <v>44593.0</v>
      </c>
      <c r="AS864" s="47">
        <v>44655.0</v>
      </c>
      <c r="AT864" s="45" t="s">
        <v>257</v>
      </c>
      <c r="AU864" s="45" t="s">
        <v>257</v>
      </c>
      <c r="AV864" s="45">
        <v>0.0</v>
      </c>
      <c r="AW864" s="49" t="s">
        <v>2749</v>
      </c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  <c r="BP864" s="46"/>
      <c r="BQ864" s="46"/>
      <c r="BR864" s="46"/>
      <c r="BS864" s="46"/>
      <c r="BT864" s="46"/>
      <c r="BU864" s="46"/>
      <c r="BV864" s="46"/>
      <c r="BW864" s="46"/>
      <c r="BX864" s="46"/>
      <c r="FL864" s="36" t="s">
        <v>2750</v>
      </c>
      <c r="FM864" s="36" t="s">
        <v>323</v>
      </c>
    </row>
    <row r="865" ht="23.25" customHeight="1">
      <c r="A865" s="44">
        <v>44662.54714026621</v>
      </c>
      <c r="B865" s="45" t="s">
        <v>8</v>
      </c>
      <c r="C865" s="45" t="s">
        <v>12</v>
      </c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5" t="s">
        <v>2719</v>
      </c>
      <c r="AO865" s="45" t="s">
        <v>2720</v>
      </c>
      <c r="AP865" s="45" t="s">
        <v>2751</v>
      </c>
      <c r="AQ865" s="45" t="s">
        <v>310</v>
      </c>
      <c r="AR865" s="47">
        <v>44470.0</v>
      </c>
      <c r="AS865" s="47">
        <v>44557.0</v>
      </c>
      <c r="AT865" s="45" t="s">
        <v>257</v>
      </c>
      <c r="AU865" s="45" t="s">
        <v>257</v>
      </c>
      <c r="AV865" s="45">
        <v>0.0</v>
      </c>
      <c r="AW865" s="49" t="s">
        <v>2752</v>
      </c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  <c r="BP865" s="46"/>
      <c r="BQ865" s="46"/>
      <c r="BR865" s="46"/>
      <c r="BS865" s="46"/>
      <c r="BT865" s="46"/>
      <c r="BU865" s="46"/>
      <c r="BV865" s="46"/>
      <c r="BW865" s="46"/>
      <c r="BX865" s="46"/>
      <c r="FL865" s="36" t="s">
        <v>2723</v>
      </c>
      <c r="FM865" s="36" t="s">
        <v>323</v>
      </c>
    </row>
    <row r="866" ht="23.25" customHeight="1">
      <c r="A866" s="44">
        <v>44662.54716084491</v>
      </c>
      <c r="B866" s="45" t="s">
        <v>8</v>
      </c>
      <c r="C866" s="45" t="s">
        <v>12</v>
      </c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5" t="s">
        <v>2753</v>
      </c>
      <c r="AO866" s="45" t="s">
        <v>2738</v>
      </c>
      <c r="AP866" s="45" t="s">
        <v>304</v>
      </c>
      <c r="AQ866" s="45" t="s">
        <v>320</v>
      </c>
      <c r="AR866" s="47">
        <v>44470.0</v>
      </c>
      <c r="AS866" s="47">
        <v>44557.0</v>
      </c>
      <c r="AT866" s="45" t="s">
        <v>257</v>
      </c>
      <c r="AU866" s="45" t="s">
        <v>257</v>
      </c>
      <c r="AV866" s="45">
        <v>0.0</v>
      </c>
      <c r="AW866" s="49" t="s">
        <v>2754</v>
      </c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6"/>
      <c r="BI866" s="46"/>
      <c r="BJ866" s="46"/>
      <c r="BK866" s="46"/>
      <c r="BL866" s="46"/>
      <c r="BM866" s="46"/>
      <c r="BN866" s="46"/>
      <c r="BO866" s="46"/>
      <c r="BP866" s="46"/>
      <c r="BQ866" s="46"/>
      <c r="BR866" s="46"/>
      <c r="BS866" s="46"/>
      <c r="BT866" s="46"/>
      <c r="BU866" s="46"/>
      <c r="BV866" s="46"/>
      <c r="BW866" s="46"/>
      <c r="BX866" s="46"/>
      <c r="FL866" s="36" t="s">
        <v>2741</v>
      </c>
      <c r="FM866" s="36" t="s">
        <v>323</v>
      </c>
    </row>
    <row r="867" ht="23.25" customHeight="1">
      <c r="A867" s="44">
        <v>44662.54733376157</v>
      </c>
      <c r="B867" s="45" t="s">
        <v>8</v>
      </c>
      <c r="C867" s="45" t="s">
        <v>13</v>
      </c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5" t="s">
        <v>2664</v>
      </c>
      <c r="AY867" s="45" t="s">
        <v>2665</v>
      </c>
      <c r="AZ867" s="45" t="s">
        <v>2330</v>
      </c>
      <c r="BA867" s="45" t="s">
        <v>2755</v>
      </c>
      <c r="BB867" s="45" t="s">
        <v>1786</v>
      </c>
      <c r="BC867" s="47">
        <v>44330.0</v>
      </c>
      <c r="BD867" s="47">
        <v>44388.0</v>
      </c>
      <c r="BE867" s="47">
        <v>44388.0</v>
      </c>
      <c r="BF867" s="45">
        <v>90.0</v>
      </c>
      <c r="BG867" s="45" t="s">
        <v>2756</v>
      </c>
      <c r="BH867" s="49" t="s">
        <v>2757</v>
      </c>
      <c r="BI867" s="46"/>
      <c r="BJ867" s="46"/>
      <c r="BK867" s="46"/>
      <c r="BL867" s="46"/>
      <c r="BM867" s="46"/>
      <c r="BN867" s="46"/>
      <c r="BO867" s="46"/>
      <c r="BP867" s="46"/>
      <c r="BQ867" s="46"/>
      <c r="BR867" s="46"/>
      <c r="BS867" s="46"/>
      <c r="BT867" s="46"/>
      <c r="BU867" s="46"/>
      <c r="BV867" s="46"/>
      <c r="BW867" s="46"/>
      <c r="BX867" s="46"/>
      <c r="FL867" s="36" t="s">
        <v>2670</v>
      </c>
      <c r="FM867" s="36" t="s">
        <v>323</v>
      </c>
    </row>
    <row r="868" ht="23.25" customHeight="1">
      <c r="A868" s="44">
        <v>44662.5483994213</v>
      </c>
      <c r="B868" s="45" t="s">
        <v>8</v>
      </c>
      <c r="C868" s="45" t="s">
        <v>12</v>
      </c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5" t="s">
        <v>2731</v>
      </c>
      <c r="AO868" s="45" t="s">
        <v>2732</v>
      </c>
      <c r="AP868" s="45" t="s">
        <v>304</v>
      </c>
      <c r="AQ868" s="45" t="s">
        <v>310</v>
      </c>
      <c r="AR868" s="47">
        <v>44470.0</v>
      </c>
      <c r="AS868" s="47">
        <v>44561.0</v>
      </c>
      <c r="AT868" s="45" t="s">
        <v>257</v>
      </c>
      <c r="AU868" s="45" t="s">
        <v>257</v>
      </c>
      <c r="AV868" s="45">
        <v>0.0</v>
      </c>
      <c r="AW868" s="49" t="s">
        <v>2758</v>
      </c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6"/>
      <c r="BI868" s="46"/>
      <c r="BJ868" s="46"/>
      <c r="BK868" s="46"/>
      <c r="BL868" s="46"/>
      <c r="BM868" s="46"/>
      <c r="BN868" s="46"/>
      <c r="BO868" s="46"/>
      <c r="BP868" s="46"/>
      <c r="BQ868" s="46"/>
      <c r="BR868" s="46"/>
      <c r="BS868" s="46"/>
      <c r="BT868" s="46"/>
      <c r="BU868" s="46"/>
      <c r="BV868" s="46"/>
      <c r="BW868" s="46"/>
      <c r="BX868" s="46"/>
      <c r="FL868" s="36" t="s">
        <v>2734</v>
      </c>
      <c r="FM868" s="36" t="s">
        <v>323</v>
      </c>
    </row>
    <row r="869" ht="23.25" customHeight="1">
      <c r="A869" s="44">
        <v>44662.557792754626</v>
      </c>
      <c r="B869" s="45" t="s">
        <v>6</v>
      </c>
      <c r="C869" s="20" t="s">
        <v>15</v>
      </c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6"/>
      <c r="BI869" s="46"/>
      <c r="BJ869" s="46"/>
      <c r="BK869" s="46"/>
      <c r="BL869" s="46"/>
      <c r="BM869" s="46"/>
      <c r="BN869" s="46"/>
      <c r="BO869" s="46"/>
      <c r="BP869" s="46"/>
      <c r="BQ869" s="46"/>
      <c r="BR869" s="46"/>
      <c r="BS869" s="46"/>
      <c r="BT869" s="46"/>
      <c r="BU869" s="46"/>
      <c r="BV869" s="46"/>
      <c r="BW869" s="45" t="s">
        <v>2759</v>
      </c>
      <c r="BX869" s="45" t="s">
        <v>2760</v>
      </c>
      <c r="BZ869" s="36" t="s">
        <v>159</v>
      </c>
      <c r="CA869" s="36" t="s">
        <v>2761</v>
      </c>
      <c r="CB869" s="36" t="s">
        <v>456</v>
      </c>
      <c r="CC869" s="36" t="s">
        <v>310</v>
      </c>
      <c r="CD869" s="37">
        <v>43657.0</v>
      </c>
      <c r="CE869" s="37">
        <v>43720.0</v>
      </c>
      <c r="CF869" s="36">
        <v>67.0</v>
      </c>
      <c r="CG869" s="38" t="s">
        <v>2762</v>
      </c>
      <c r="FL869" s="36" t="s">
        <v>2763</v>
      </c>
      <c r="FM869" s="36" t="s">
        <v>555</v>
      </c>
    </row>
    <row r="870" ht="23.25" customHeight="1">
      <c r="A870" s="44">
        <v>44662.55947025463</v>
      </c>
      <c r="B870" s="45" t="s">
        <v>8</v>
      </c>
      <c r="C870" s="45" t="s">
        <v>12</v>
      </c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5" t="s">
        <v>2764</v>
      </c>
      <c r="AO870" s="45" t="s">
        <v>2765</v>
      </c>
      <c r="AP870" s="45" t="s">
        <v>2744</v>
      </c>
      <c r="AQ870" s="45" t="s">
        <v>1335</v>
      </c>
      <c r="AR870" s="47">
        <v>44470.0</v>
      </c>
      <c r="AS870" s="47">
        <v>44531.0</v>
      </c>
      <c r="AT870" s="45" t="s">
        <v>257</v>
      </c>
      <c r="AU870" s="45" t="s">
        <v>257</v>
      </c>
      <c r="AV870" s="45">
        <v>0.0</v>
      </c>
      <c r="AW870" s="49" t="s">
        <v>2766</v>
      </c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6"/>
      <c r="BI870" s="46"/>
      <c r="BJ870" s="46"/>
      <c r="BK870" s="46"/>
      <c r="BL870" s="46"/>
      <c r="BM870" s="46"/>
      <c r="BN870" s="46"/>
      <c r="BO870" s="46"/>
      <c r="BP870" s="46"/>
      <c r="BQ870" s="46"/>
      <c r="BR870" s="46"/>
      <c r="BS870" s="46"/>
      <c r="BT870" s="46"/>
      <c r="BU870" s="46"/>
      <c r="BV870" s="46"/>
      <c r="BW870" s="46"/>
      <c r="BX870" s="46"/>
      <c r="FL870" s="36" t="s">
        <v>2767</v>
      </c>
      <c r="FM870" s="36" t="s">
        <v>323</v>
      </c>
    </row>
    <row r="871" ht="23.25" customHeight="1">
      <c r="A871" s="44">
        <v>44662.55976671296</v>
      </c>
      <c r="B871" s="45" t="s">
        <v>6</v>
      </c>
      <c r="C871" s="45" t="s">
        <v>14</v>
      </c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6"/>
      <c r="BI871" s="45" t="s">
        <v>2768</v>
      </c>
      <c r="BJ871" s="45" t="s">
        <v>2769</v>
      </c>
      <c r="BK871" s="45" t="s">
        <v>150</v>
      </c>
      <c r="BL871" s="45" t="s">
        <v>1288</v>
      </c>
      <c r="BM871" s="45" t="s">
        <v>2770</v>
      </c>
      <c r="BN871" s="45">
        <v>2.0</v>
      </c>
      <c r="BO871" s="47">
        <v>43694.0</v>
      </c>
      <c r="BP871" s="47">
        <v>43695.0</v>
      </c>
      <c r="BQ871" s="45" t="s">
        <v>2711</v>
      </c>
      <c r="BR871" s="45" t="s">
        <v>2771</v>
      </c>
      <c r="BS871" s="45" t="s">
        <v>276</v>
      </c>
      <c r="BT871" s="45" t="s">
        <v>632</v>
      </c>
      <c r="BU871" s="45">
        <v>2500.0</v>
      </c>
      <c r="BV871" s="49" t="s">
        <v>2772</v>
      </c>
      <c r="BW871" s="46"/>
      <c r="BX871" s="46"/>
      <c r="FL871" s="36" t="s">
        <v>2773</v>
      </c>
      <c r="FM871" s="36" t="s">
        <v>260</v>
      </c>
    </row>
    <row r="872" ht="23.25" customHeight="1">
      <c r="A872" s="44">
        <v>44662.561892303245</v>
      </c>
      <c r="B872" s="45" t="s">
        <v>8</v>
      </c>
      <c r="C872" s="45" t="s">
        <v>12</v>
      </c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5" t="s">
        <v>2774</v>
      </c>
      <c r="AO872" s="45" t="s">
        <v>2775</v>
      </c>
      <c r="AP872" s="45" t="s">
        <v>1160</v>
      </c>
      <c r="AQ872" s="45" t="s">
        <v>2776</v>
      </c>
      <c r="AR872" s="47">
        <v>44481.0</v>
      </c>
      <c r="AS872" s="47">
        <v>44542.0</v>
      </c>
      <c r="AT872" s="45" t="s">
        <v>257</v>
      </c>
      <c r="AU872" s="45" t="s">
        <v>257</v>
      </c>
      <c r="AV872" s="45">
        <v>0.0</v>
      </c>
      <c r="AW872" s="49" t="s">
        <v>2777</v>
      </c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6"/>
      <c r="BI872" s="46"/>
      <c r="BJ872" s="46"/>
      <c r="BK872" s="46"/>
      <c r="BL872" s="46"/>
      <c r="BM872" s="46"/>
      <c r="BN872" s="46"/>
      <c r="BO872" s="46"/>
      <c r="BP872" s="46"/>
      <c r="BQ872" s="46"/>
      <c r="BR872" s="46"/>
      <c r="BS872" s="46"/>
      <c r="BT872" s="46"/>
      <c r="BU872" s="46"/>
      <c r="BV872" s="46"/>
      <c r="BW872" s="46"/>
      <c r="BX872" s="46"/>
      <c r="FL872" s="36" t="s">
        <v>2778</v>
      </c>
      <c r="FM872" s="36" t="s">
        <v>323</v>
      </c>
    </row>
    <row r="873" ht="23.25" customHeight="1">
      <c r="A873" s="44">
        <v>44662.56211611111</v>
      </c>
      <c r="B873" s="45" t="s">
        <v>6</v>
      </c>
      <c r="C873" s="45" t="s">
        <v>20</v>
      </c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  <c r="BP873" s="46"/>
      <c r="BQ873" s="46"/>
      <c r="BR873" s="46"/>
      <c r="BS873" s="46"/>
      <c r="BT873" s="46"/>
      <c r="BU873" s="46"/>
      <c r="BV873" s="46"/>
      <c r="BW873" s="46"/>
      <c r="BX873" s="46"/>
      <c r="DX873" s="36" t="s">
        <v>2779</v>
      </c>
      <c r="DY873" s="36" t="s">
        <v>2769</v>
      </c>
      <c r="DZ873" s="36" t="s">
        <v>2780</v>
      </c>
      <c r="EA873" s="36" t="s">
        <v>2781</v>
      </c>
      <c r="EB873" s="37">
        <v>43327.0</v>
      </c>
      <c r="EC873" s="36" t="s">
        <v>1743</v>
      </c>
      <c r="ED873" s="38" t="s">
        <v>2782</v>
      </c>
      <c r="FL873" s="36" t="s">
        <v>2773</v>
      </c>
      <c r="FM873" s="36" t="s">
        <v>260</v>
      </c>
    </row>
    <row r="874" ht="23.25" customHeight="1">
      <c r="A874" s="44">
        <v>44662.56326711805</v>
      </c>
      <c r="B874" s="45" t="s">
        <v>6</v>
      </c>
      <c r="C874" s="45" t="s">
        <v>13</v>
      </c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5" t="s">
        <v>2759</v>
      </c>
      <c r="AY874" s="45" t="s">
        <v>2760</v>
      </c>
      <c r="AZ874" s="45" t="s">
        <v>2783</v>
      </c>
      <c r="BA874" s="45" t="s">
        <v>377</v>
      </c>
      <c r="BB874" s="45" t="s">
        <v>2784</v>
      </c>
      <c r="BC874" s="47">
        <v>43624.0</v>
      </c>
      <c r="BD874" s="47">
        <v>43654.0</v>
      </c>
      <c r="BE874" s="47">
        <v>43686.0</v>
      </c>
      <c r="BF874" s="45">
        <v>90.0</v>
      </c>
      <c r="BG874" s="45" t="s">
        <v>2785</v>
      </c>
      <c r="BH874" s="49" t="s">
        <v>2786</v>
      </c>
      <c r="BI874" s="46"/>
      <c r="BJ874" s="46"/>
      <c r="BK874" s="46"/>
      <c r="BL874" s="46"/>
      <c r="BM874" s="46"/>
      <c r="BN874" s="46"/>
      <c r="BO874" s="46"/>
      <c r="BP874" s="46"/>
      <c r="BQ874" s="46"/>
      <c r="BR874" s="46"/>
      <c r="BS874" s="46"/>
      <c r="BT874" s="46"/>
      <c r="BU874" s="46"/>
      <c r="BV874" s="46"/>
      <c r="BW874" s="46"/>
      <c r="BX874" s="46"/>
      <c r="FL874" s="36" t="s">
        <v>2763</v>
      </c>
      <c r="FM874" s="36" t="s">
        <v>555</v>
      </c>
    </row>
    <row r="875" ht="23.25" customHeight="1">
      <c r="A875" s="44">
        <v>44662.566840694446</v>
      </c>
      <c r="B875" s="45" t="s">
        <v>6</v>
      </c>
      <c r="C875" s="45" t="s">
        <v>13</v>
      </c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5" t="s">
        <v>2759</v>
      </c>
      <c r="AY875" s="45" t="s">
        <v>2787</v>
      </c>
      <c r="AZ875" s="45" t="s">
        <v>2788</v>
      </c>
      <c r="BA875" s="45" t="s">
        <v>377</v>
      </c>
      <c r="BB875" s="45" t="s">
        <v>2784</v>
      </c>
      <c r="BC875" s="47">
        <v>43666.0</v>
      </c>
      <c r="BD875" s="47">
        <v>43672.0</v>
      </c>
      <c r="BE875" s="47">
        <v>43672.0</v>
      </c>
      <c r="BF875" s="45">
        <v>90.0</v>
      </c>
      <c r="BG875" s="45" t="s">
        <v>1201</v>
      </c>
      <c r="BH875" s="49" t="s">
        <v>2789</v>
      </c>
      <c r="BI875" s="46"/>
      <c r="BJ875" s="46"/>
      <c r="BK875" s="46"/>
      <c r="BL875" s="46"/>
      <c r="BM875" s="46"/>
      <c r="BN875" s="46"/>
      <c r="BO875" s="46"/>
      <c r="BP875" s="46"/>
      <c r="BQ875" s="46"/>
      <c r="BR875" s="46"/>
      <c r="BS875" s="46"/>
      <c r="BT875" s="46"/>
      <c r="BU875" s="46"/>
      <c r="BV875" s="46"/>
      <c r="BW875" s="46"/>
      <c r="BX875" s="46"/>
      <c r="FL875" s="36" t="s">
        <v>2763</v>
      </c>
      <c r="FM875" s="36" t="s">
        <v>555</v>
      </c>
    </row>
    <row r="876" ht="23.25" customHeight="1">
      <c r="A876" s="44">
        <v>44662.569601111114</v>
      </c>
      <c r="B876" s="45" t="s">
        <v>6</v>
      </c>
      <c r="C876" s="45" t="s">
        <v>13</v>
      </c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5" t="s">
        <v>2759</v>
      </c>
      <c r="AY876" s="45" t="s">
        <v>2787</v>
      </c>
      <c r="AZ876" s="45" t="s">
        <v>2790</v>
      </c>
      <c r="BA876" s="45" t="s">
        <v>377</v>
      </c>
      <c r="BB876" s="45" t="s">
        <v>2784</v>
      </c>
      <c r="BC876" s="47">
        <v>44355.0</v>
      </c>
      <c r="BD876" s="47">
        <v>44388.0</v>
      </c>
      <c r="BE876" s="47">
        <v>44388.0</v>
      </c>
      <c r="BF876" s="45">
        <v>90.0</v>
      </c>
      <c r="BG876" s="45" t="s">
        <v>339</v>
      </c>
      <c r="BH876" s="49" t="s">
        <v>2791</v>
      </c>
      <c r="BI876" s="46"/>
      <c r="BJ876" s="46"/>
      <c r="BK876" s="46"/>
      <c r="BL876" s="46"/>
      <c r="BM876" s="46"/>
      <c r="BN876" s="46"/>
      <c r="BO876" s="46"/>
      <c r="BP876" s="46"/>
      <c r="BQ876" s="46"/>
      <c r="BR876" s="46"/>
      <c r="BS876" s="46"/>
      <c r="BT876" s="46"/>
      <c r="BU876" s="46"/>
      <c r="BV876" s="46"/>
      <c r="BW876" s="46"/>
      <c r="BX876" s="46"/>
      <c r="FL876" s="36" t="s">
        <v>2763</v>
      </c>
      <c r="FM876" s="36" t="s">
        <v>278</v>
      </c>
    </row>
    <row r="877" ht="23.25" customHeight="1">
      <c r="A877" s="44">
        <v>44662.5718690162</v>
      </c>
      <c r="B877" s="45" t="s">
        <v>6</v>
      </c>
      <c r="C877" s="45" t="s">
        <v>13</v>
      </c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5" t="s">
        <v>2759</v>
      </c>
      <c r="AY877" s="45" t="s">
        <v>2792</v>
      </c>
      <c r="AZ877" s="45" t="s">
        <v>620</v>
      </c>
      <c r="BA877" s="45" t="s">
        <v>377</v>
      </c>
      <c r="BB877" s="45" t="s">
        <v>2784</v>
      </c>
      <c r="BC877" s="47">
        <v>44385.0</v>
      </c>
      <c r="BD877" s="47">
        <v>44388.0</v>
      </c>
      <c r="BE877" s="47">
        <v>44388.0</v>
      </c>
      <c r="BF877" s="45">
        <v>90.0</v>
      </c>
      <c r="BG877" s="45" t="s">
        <v>2793</v>
      </c>
      <c r="BH877" s="49" t="s">
        <v>2794</v>
      </c>
      <c r="BI877" s="46"/>
      <c r="BJ877" s="46"/>
      <c r="BK877" s="46"/>
      <c r="BL877" s="46"/>
      <c r="BM877" s="46"/>
      <c r="BN877" s="46"/>
      <c r="BO877" s="46"/>
      <c r="BP877" s="46"/>
      <c r="BQ877" s="46"/>
      <c r="BR877" s="46"/>
      <c r="BS877" s="46"/>
      <c r="BT877" s="46"/>
      <c r="BU877" s="46"/>
      <c r="BV877" s="46"/>
      <c r="BW877" s="46"/>
      <c r="BX877" s="46"/>
      <c r="FL877" s="36" t="s">
        <v>2763</v>
      </c>
      <c r="FM877" s="36" t="s">
        <v>278</v>
      </c>
    </row>
    <row r="878" ht="23.25" customHeight="1">
      <c r="A878" s="44">
        <v>44662.57188210648</v>
      </c>
      <c r="B878" s="45" t="s">
        <v>8</v>
      </c>
      <c r="C878" s="45" t="s">
        <v>13</v>
      </c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5" t="s">
        <v>2795</v>
      </c>
      <c r="AY878" s="45" t="s">
        <v>2765</v>
      </c>
      <c r="AZ878" s="45" t="s">
        <v>2796</v>
      </c>
      <c r="BA878" s="45" t="s">
        <v>1434</v>
      </c>
      <c r="BB878" s="45" t="s">
        <v>1335</v>
      </c>
      <c r="BC878" s="47">
        <v>44479.0</v>
      </c>
      <c r="BD878" s="47">
        <v>44542.0</v>
      </c>
      <c r="BE878" s="47">
        <v>44540.0</v>
      </c>
      <c r="BF878" s="45">
        <v>98.0</v>
      </c>
      <c r="BG878" s="45" t="s">
        <v>2797</v>
      </c>
      <c r="BH878" s="49" t="s">
        <v>2798</v>
      </c>
      <c r="BI878" s="46"/>
      <c r="BJ878" s="46"/>
      <c r="BK878" s="46"/>
      <c r="BL878" s="46"/>
      <c r="BM878" s="46"/>
      <c r="BN878" s="46"/>
      <c r="BO878" s="46"/>
      <c r="BP878" s="46"/>
      <c r="BQ878" s="46"/>
      <c r="BR878" s="46"/>
      <c r="BS878" s="46"/>
      <c r="BT878" s="46"/>
      <c r="BU878" s="46"/>
      <c r="BV878" s="46"/>
      <c r="BW878" s="46"/>
      <c r="BX878" s="46"/>
      <c r="FL878" s="36" t="s">
        <v>2767</v>
      </c>
      <c r="FM878" s="36" t="s">
        <v>323</v>
      </c>
    </row>
    <row r="879" ht="23.25" customHeight="1">
      <c r="A879" s="44">
        <v>44662.57517349537</v>
      </c>
      <c r="B879" s="45" t="s">
        <v>6</v>
      </c>
      <c r="C879" s="45" t="s">
        <v>20</v>
      </c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  <c r="BP879" s="46"/>
      <c r="BQ879" s="46"/>
      <c r="BR879" s="46"/>
      <c r="BS879" s="46"/>
      <c r="BT879" s="46"/>
      <c r="BU879" s="46"/>
      <c r="BV879" s="46"/>
      <c r="BW879" s="46"/>
      <c r="BX879" s="46"/>
      <c r="DX879" s="36" t="s">
        <v>2759</v>
      </c>
      <c r="DY879" s="36" t="s">
        <v>2792</v>
      </c>
      <c r="DZ879" s="36" t="s">
        <v>159</v>
      </c>
      <c r="EA879" s="36" t="s">
        <v>2799</v>
      </c>
      <c r="EB879" s="37">
        <v>43979.0</v>
      </c>
      <c r="EC879" s="36" t="s">
        <v>2800</v>
      </c>
      <c r="ED879" s="38" t="s">
        <v>2801</v>
      </c>
      <c r="FL879" s="36" t="s">
        <v>2763</v>
      </c>
      <c r="FM879" s="36" t="s">
        <v>341</v>
      </c>
    </row>
    <row r="880" ht="23.25" customHeight="1">
      <c r="A880" s="44">
        <v>44662.57743726852</v>
      </c>
      <c r="B880" s="45" t="s">
        <v>6</v>
      </c>
      <c r="C880" s="45" t="s">
        <v>13</v>
      </c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5" t="s">
        <v>2759</v>
      </c>
      <c r="AY880" s="45" t="s">
        <v>2760</v>
      </c>
      <c r="AZ880" s="45" t="s">
        <v>1439</v>
      </c>
      <c r="BA880" s="45" t="s">
        <v>878</v>
      </c>
      <c r="BB880" s="45" t="s">
        <v>2802</v>
      </c>
      <c r="BC880" s="47">
        <v>44647.0</v>
      </c>
      <c r="BD880" s="47">
        <v>44658.0</v>
      </c>
      <c r="BE880" s="47">
        <v>44658.0</v>
      </c>
      <c r="BF880" s="45">
        <v>90.0</v>
      </c>
      <c r="BG880" s="45" t="s">
        <v>2803</v>
      </c>
      <c r="BH880" s="49" t="s">
        <v>2804</v>
      </c>
      <c r="BI880" s="46"/>
      <c r="BJ880" s="46"/>
      <c r="BK880" s="46"/>
      <c r="BL880" s="46"/>
      <c r="BM880" s="46"/>
      <c r="BN880" s="46"/>
      <c r="BO880" s="46"/>
      <c r="BP880" s="46"/>
      <c r="BQ880" s="46"/>
      <c r="BR880" s="46"/>
      <c r="BS880" s="46"/>
      <c r="BT880" s="46"/>
      <c r="BU880" s="46"/>
      <c r="BV880" s="46"/>
      <c r="BW880" s="46"/>
      <c r="BX880" s="46"/>
      <c r="FL880" s="36" t="s">
        <v>2763</v>
      </c>
      <c r="FM880" s="36" t="s">
        <v>260</v>
      </c>
    </row>
    <row r="881" ht="23.25" customHeight="1">
      <c r="A881" s="44">
        <v>44662.597997777775</v>
      </c>
      <c r="B881" s="45" t="s">
        <v>6</v>
      </c>
      <c r="C881" s="45" t="s">
        <v>14</v>
      </c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6"/>
      <c r="BI881" s="45" t="s">
        <v>2759</v>
      </c>
      <c r="BJ881" s="45" t="s">
        <v>2760</v>
      </c>
      <c r="BK881" s="45" t="s">
        <v>159</v>
      </c>
      <c r="BL881" s="45" t="s">
        <v>1288</v>
      </c>
      <c r="BM881" s="45" t="s">
        <v>2805</v>
      </c>
      <c r="BN881" s="45">
        <v>2.0</v>
      </c>
      <c r="BO881" s="47">
        <v>43688.0</v>
      </c>
      <c r="BP881" s="47">
        <v>43689.0</v>
      </c>
      <c r="BQ881" s="45" t="s">
        <v>2806</v>
      </c>
      <c r="BR881" s="45" t="s">
        <v>2807</v>
      </c>
      <c r="BS881" s="45" t="s">
        <v>276</v>
      </c>
      <c r="BT881" s="45" t="s">
        <v>632</v>
      </c>
      <c r="BU881" s="45">
        <v>500.0</v>
      </c>
      <c r="BV881" s="49" t="s">
        <v>2808</v>
      </c>
      <c r="BW881" s="46"/>
      <c r="BX881" s="46"/>
      <c r="FL881" s="36" t="s">
        <v>2763</v>
      </c>
      <c r="FM881" s="36" t="s">
        <v>555</v>
      </c>
    </row>
    <row r="882" ht="23.25" customHeight="1">
      <c r="A882" s="44">
        <v>44662.603072962964</v>
      </c>
      <c r="B882" s="45" t="s">
        <v>6</v>
      </c>
      <c r="C882" s="45" t="s">
        <v>14</v>
      </c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6"/>
      <c r="BI882" s="45" t="s">
        <v>2759</v>
      </c>
      <c r="BJ882" s="45" t="s">
        <v>2760</v>
      </c>
      <c r="BK882" s="45" t="s">
        <v>159</v>
      </c>
      <c r="BL882" s="45" t="s">
        <v>1288</v>
      </c>
      <c r="BM882" s="45" t="s">
        <v>2809</v>
      </c>
      <c r="BN882" s="45">
        <v>2.0</v>
      </c>
      <c r="BO882" s="47">
        <v>43876.0</v>
      </c>
      <c r="BP882" s="47">
        <v>43877.0</v>
      </c>
      <c r="BQ882" s="45" t="s">
        <v>2810</v>
      </c>
      <c r="BR882" s="45" t="s">
        <v>2807</v>
      </c>
      <c r="BS882" s="45" t="s">
        <v>176</v>
      </c>
      <c r="BT882" s="45" t="s">
        <v>632</v>
      </c>
      <c r="BU882" s="45">
        <v>500.0</v>
      </c>
      <c r="BV882" s="49" t="s">
        <v>2811</v>
      </c>
      <c r="BW882" s="46"/>
      <c r="BX882" s="46"/>
      <c r="FL882" s="36" t="s">
        <v>2763</v>
      </c>
      <c r="FM882" s="36" t="s">
        <v>323</v>
      </c>
    </row>
    <row r="883" ht="23.25" customHeight="1">
      <c r="A883" s="44">
        <v>44662.60594439815</v>
      </c>
      <c r="B883" s="45" t="s">
        <v>8</v>
      </c>
      <c r="C883" s="45" t="s">
        <v>13</v>
      </c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5" t="s">
        <v>2812</v>
      </c>
      <c r="AY883" s="45" t="s">
        <v>2225</v>
      </c>
      <c r="AZ883" s="45" t="s">
        <v>2813</v>
      </c>
      <c r="BA883" s="45" t="s">
        <v>2814</v>
      </c>
      <c r="BB883" s="45" t="s">
        <v>310</v>
      </c>
      <c r="BC883" s="47">
        <v>44317.0</v>
      </c>
      <c r="BD883" s="47">
        <v>44305.0</v>
      </c>
      <c r="BE883" s="47">
        <v>44396.0</v>
      </c>
      <c r="BF883" s="45">
        <v>93.0</v>
      </c>
      <c r="BG883" s="45" t="s">
        <v>2815</v>
      </c>
      <c r="BH883" s="49" t="s">
        <v>2816</v>
      </c>
      <c r="BI883" s="46"/>
      <c r="BJ883" s="46"/>
      <c r="BK883" s="46"/>
      <c r="BL883" s="46"/>
      <c r="BM883" s="46"/>
      <c r="BN883" s="46"/>
      <c r="BO883" s="46"/>
      <c r="BP883" s="46"/>
      <c r="BQ883" s="46"/>
      <c r="BR883" s="46"/>
      <c r="BS883" s="46"/>
      <c r="BT883" s="46"/>
      <c r="BU883" s="46"/>
      <c r="BV883" s="46"/>
      <c r="BW883" s="46"/>
      <c r="BX883" s="46"/>
      <c r="FL883" s="36" t="s">
        <v>2227</v>
      </c>
      <c r="FM883" s="36" t="s">
        <v>555</v>
      </c>
    </row>
    <row r="884" ht="23.25" customHeight="1">
      <c r="A884" s="44">
        <v>44662.60715439815</v>
      </c>
      <c r="B884" s="45" t="s">
        <v>6</v>
      </c>
      <c r="C884" s="45" t="s">
        <v>13</v>
      </c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5" t="s">
        <v>2817</v>
      </c>
      <c r="AY884" s="45" t="s">
        <v>2818</v>
      </c>
      <c r="AZ884" s="45" t="s">
        <v>1183</v>
      </c>
      <c r="BA884" s="45" t="s">
        <v>2819</v>
      </c>
      <c r="BB884" s="45" t="s">
        <v>378</v>
      </c>
      <c r="BC884" s="47">
        <v>43647.0</v>
      </c>
      <c r="BD884" s="47">
        <v>43782.0</v>
      </c>
      <c r="BE884" s="47">
        <v>43803.0</v>
      </c>
      <c r="BF884" s="45">
        <v>92.0</v>
      </c>
      <c r="BG884" s="45" t="s">
        <v>2820</v>
      </c>
      <c r="BH884" s="49" t="s">
        <v>2821</v>
      </c>
      <c r="BI884" s="46"/>
      <c r="BJ884" s="46"/>
      <c r="BK884" s="46"/>
      <c r="BL884" s="46"/>
      <c r="BM884" s="46"/>
      <c r="BN884" s="46"/>
      <c r="BO884" s="46"/>
      <c r="BP884" s="46"/>
      <c r="BQ884" s="46"/>
      <c r="BR884" s="46"/>
      <c r="BS884" s="46"/>
      <c r="BT884" s="46"/>
      <c r="BU884" s="46"/>
      <c r="BV884" s="46"/>
      <c r="BW884" s="46"/>
      <c r="BX884" s="46"/>
      <c r="FL884" s="36" t="s">
        <v>2822</v>
      </c>
      <c r="FM884" s="36" t="s">
        <v>414</v>
      </c>
    </row>
    <row r="885" ht="23.25" customHeight="1">
      <c r="A885" s="44">
        <v>44662.61063447916</v>
      </c>
      <c r="B885" s="45" t="s">
        <v>6</v>
      </c>
      <c r="C885" s="45" t="s">
        <v>13</v>
      </c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5" t="s">
        <v>2817</v>
      </c>
      <c r="AY885" s="45" t="s">
        <v>2818</v>
      </c>
      <c r="AZ885" s="45" t="s">
        <v>1193</v>
      </c>
      <c r="BA885" s="45" t="s">
        <v>377</v>
      </c>
      <c r="BB885" s="45" t="s">
        <v>495</v>
      </c>
      <c r="BC885" s="47">
        <v>43629.0</v>
      </c>
      <c r="BD885" s="47">
        <v>43662.0</v>
      </c>
      <c r="BE885" s="47">
        <v>43676.0</v>
      </c>
      <c r="BF885" s="45">
        <v>100.0</v>
      </c>
      <c r="BG885" s="45" t="s">
        <v>2823</v>
      </c>
      <c r="BH885" s="49" t="s">
        <v>2824</v>
      </c>
      <c r="BI885" s="46"/>
      <c r="BJ885" s="46"/>
      <c r="BK885" s="46"/>
      <c r="BL885" s="46"/>
      <c r="BM885" s="46"/>
      <c r="BN885" s="46"/>
      <c r="BO885" s="46"/>
      <c r="BP885" s="46"/>
      <c r="BQ885" s="46"/>
      <c r="BR885" s="46"/>
      <c r="BS885" s="46"/>
      <c r="BT885" s="46"/>
      <c r="BU885" s="46"/>
      <c r="BV885" s="46"/>
      <c r="BW885" s="46"/>
      <c r="BX885" s="46"/>
      <c r="FL885" s="36" t="s">
        <v>2822</v>
      </c>
      <c r="FM885" s="36" t="s">
        <v>382</v>
      </c>
    </row>
    <row r="886" ht="23.25" customHeight="1">
      <c r="A886" s="44">
        <v>44662.61210189815</v>
      </c>
      <c r="B886" s="45" t="s">
        <v>8</v>
      </c>
      <c r="C886" s="45" t="s">
        <v>20</v>
      </c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6"/>
      <c r="BI886" s="46"/>
      <c r="BJ886" s="46"/>
      <c r="BK886" s="46"/>
      <c r="BL886" s="46"/>
      <c r="BM886" s="46"/>
      <c r="BN886" s="46"/>
      <c r="BO886" s="46"/>
      <c r="BP886" s="46"/>
      <c r="BQ886" s="46"/>
      <c r="BR886" s="46"/>
      <c r="BS886" s="46"/>
      <c r="BT886" s="46"/>
      <c r="BU886" s="46"/>
      <c r="BV886" s="46"/>
      <c r="BW886" s="46"/>
      <c r="BX886" s="46"/>
      <c r="DX886" s="36" t="s">
        <v>2812</v>
      </c>
      <c r="DY886" s="36" t="s">
        <v>2225</v>
      </c>
      <c r="DZ886" s="36" t="s">
        <v>313</v>
      </c>
      <c r="EA886" s="36" t="s">
        <v>2825</v>
      </c>
      <c r="EB886" s="37">
        <v>44602.0</v>
      </c>
      <c r="EC886" s="36" t="s">
        <v>2826</v>
      </c>
      <c r="ED886" s="38" t="s">
        <v>2827</v>
      </c>
      <c r="FL886" s="36" t="s">
        <v>2227</v>
      </c>
      <c r="FM886" s="36" t="s">
        <v>555</v>
      </c>
    </row>
    <row r="887" ht="23.25" customHeight="1">
      <c r="A887" s="44">
        <v>44662.61274561343</v>
      </c>
      <c r="B887" s="45" t="s">
        <v>7</v>
      </c>
      <c r="C887" s="45" t="s">
        <v>12</v>
      </c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5" t="s">
        <v>2828</v>
      </c>
      <c r="AO887" s="45" t="s">
        <v>2829</v>
      </c>
      <c r="AP887" s="45" t="s">
        <v>2830</v>
      </c>
      <c r="AQ887" s="45" t="s">
        <v>507</v>
      </c>
      <c r="AR887" s="47">
        <v>44492.0</v>
      </c>
      <c r="AS887" s="47">
        <v>44554.0</v>
      </c>
      <c r="AT887" s="45" t="s">
        <v>257</v>
      </c>
      <c r="AU887" s="45" t="s">
        <v>257</v>
      </c>
      <c r="AV887" s="45">
        <v>0.0</v>
      </c>
      <c r="AW887" s="49" t="s">
        <v>2831</v>
      </c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  <c r="BP887" s="46"/>
      <c r="BQ887" s="46"/>
      <c r="BR887" s="46"/>
      <c r="BS887" s="46"/>
      <c r="BT887" s="46"/>
      <c r="BU887" s="46"/>
      <c r="BV887" s="46"/>
      <c r="BW887" s="46"/>
      <c r="BX887" s="46"/>
      <c r="FL887" s="36" t="s">
        <v>2832</v>
      </c>
      <c r="FM887" s="36" t="s">
        <v>283</v>
      </c>
    </row>
    <row r="888" ht="23.25" customHeight="1">
      <c r="A888" s="44">
        <v>44662.612748831016</v>
      </c>
      <c r="B888" s="45" t="s">
        <v>7</v>
      </c>
      <c r="C888" s="45" t="s">
        <v>12</v>
      </c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5" t="s">
        <v>2833</v>
      </c>
      <c r="AO888" s="45" t="s">
        <v>2834</v>
      </c>
      <c r="AP888" s="45" t="s">
        <v>309</v>
      </c>
      <c r="AQ888" s="45" t="s">
        <v>507</v>
      </c>
      <c r="AR888" s="47">
        <v>44479.0</v>
      </c>
      <c r="AS888" s="47">
        <v>44573.0</v>
      </c>
      <c r="AT888" s="45" t="s">
        <v>257</v>
      </c>
      <c r="AU888" s="45" t="s">
        <v>257</v>
      </c>
      <c r="AV888" s="45">
        <v>0.0</v>
      </c>
      <c r="AW888" s="49" t="s">
        <v>2835</v>
      </c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6"/>
      <c r="BI888" s="46"/>
      <c r="BJ888" s="46"/>
      <c r="BK888" s="46"/>
      <c r="BL888" s="46"/>
      <c r="BM888" s="46"/>
      <c r="BN888" s="46"/>
      <c r="BO888" s="46"/>
      <c r="BP888" s="46"/>
      <c r="BQ888" s="46"/>
      <c r="BR888" s="46"/>
      <c r="BS888" s="46"/>
      <c r="BT888" s="46"/>
      <c r="BU888" s="46"/>
      <c r="BV888" s="46"/>
      <c r="BW888" s="46"/>
      <c r="BX888" s="46"/>
      <c r="FL888" s="36" t="s">
        <v>2836</v>
      </c>
      <c r="FM888" s="36" t="s">
        <v>283</v>
      </c>
    </row>
    <row r="889" ht="23.25" customHeight="1">
      <c r="A889" s="44">
        <v>44662.61298232639</v>
      </c>
      <c r="B889" s="45" t="s">
        <v>6</v>
      </c>
      <c r="C889" s="45" t="s">
        <v>13</v>
      </c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5" t="s">
        <v>2817</v>
      </c>
      <c r="AY889" s="45" t="s">
        <v>2818</v>
      </c>
      <c r="AZ889" s="45" t="s">
        <v>603</v>
      </c>
      <c r="BA889" s="45" t="s">
        <v>309</v>
      </c>
      <c r="BB889" s="45" t="s">
        <v>495</v>
      </c>
      <c r="BC889" s="47">
        <v>44627.0</v>
      </c>
      <c r="BD889" s="47">
        <v>44627.0</v>
      </c>
      <c r="BE889" s="47">
        <v>44658.0</v>
      </c>
      <c r="BF889" s="45">
        <v>100.0</v>
      </c>
      <c r="BG889" s="45" t="s">
        <v>2837</v>
      </c>
      <c r="BH889" s="49" t="s">
        <v>2838</v>
      </c>
      <c r="BI889" s="46"/>
      <c r="BJ889" s="46"/>
      <c r="BK889" s="46"/>
      <c r="BL889" s="46"/>
      <c r="BM889" s="46"/>
      <c r="BN889" s="46"/>
      <c r="BO889" s="46"/>
      <c r="BP889" s="46"/>
      <c r="BQ889" s="46"/>
      <c r="BR889" s="46"/>
      <c r="BS889" s="46"/>
      <c r="BT889" s="46"/>
      <c r="BU889" s="46"/>
      <c r="BV889" s="46"/>
      <c r="BW889" s="46"/>
      <c r="BX889" s="46"/>
      <c r="FL889" s="36" t="s">
        <v>2822</v>
      </c>
      <c r="FM889" s="36" t="s">
        <v>260</v>
      </c>
    </row>
    <row r="890" ht="23.25" customHeight="1">
      <c r="A890" s="44">
        <v>44662.61511366898</v>
      </c>
      <c r="B890" s="45" t="s">
        <v>8</v>
      </c>
      <c r="C890" s="45" t="s">
        <v>12</v>
      </c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5" t="s">
        <v>2839</v>
      </c>
      <c r="AO890" s="45" t="s">
        <v>2840</v>
      </c>
      <c r="AP890" s="45" t="s">
        <v>2131</v>
      </c>
      <c r="AQ890" s="45" t="s">
        <v>450</v>
      </c>
      <c r="AR890" s="47">
        <v>44470.0</v>
      </c>
      <c r="AS890" s="47">
        <v>44561.0</v>
      </c>
      <c r="AT890" s="45" t="s">
        <v>257</v>
      </c>
      <c r="AU890" s="45" t="s">
        <v>257</v>
      </c>
      <c r="AV890" s="45">
        <v>0.0</v>
      </c>
      <c r="AW890" s="49" t="s">
        <v>2841</v>
      </c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6"/>
      <c r="BI890" s="46"/>
      <c r="BJ890" s="46"/>
      <c r="BK890" s="46"/>
      <c r="BL890" s="46"/>
      <c r="BM890" s="46"/>
      <c r="BN890" s="46"/>
      <c r="BO890" s="46"/>
      <c r="BP890" s="46"/>
      <c r="BQ890" s="46"/>
      <c r="BR890" s="46"/>
      <c r="BS890" s="46"/>
      <c r="BT890" s="46"/>
      <c r="BU890" s="46"/>
      <c r="BV890" s="46"/>
      <c r="BW890" s="46"/>
      <c r="BX890" s="46"/>
      <c r="FL890" s="36" t="s">
        <v>2842</v>
      </c>
      <c r="FM890" s="36" t="s">
        <v>323</v>
      </c>
    </row>
    <row r="891" ht="23.25" customHeight="1">
      <c r="A891" s="44">
        <v>44662.61859592593</v>
      </c>
      <c r="B891" s="45" t="s">
        <v>8</v>
      </c>
      <c r="C891" s="45" t="s">
        <v>13</v>
      </c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  <c r="AP891" s="46"/>
      <c r="AQ891" s="46"/>
      <c r="AR891" s="46"/>
      <c r="AS891" s="46"/>
      <c r="AT891" s="46"/>
      <c r="AU891" s="46"/>
      <c r="AV891" s="46"/>
      <c r="AW891" s="46"/>
      <c r="AX891" s="45" t="s">
        <v>2812</v>
      </c>
      <c r="AY891" s="45" t="s">
        <v>2225</v>
      </c>
      <c r="AZ891" s="45" t="s">
        <v>2843</v>
      </c>
      <c r="BA891" s="45" t="s">
        <v>2844</v>
      </c>
      <c r="BB891" s="45" t="s">
        <v>882</v>
      </c>
      <c r="BC891" s="47">
        <v>44662.0</v>
      </c>
      <c r="BD891" s="47">
        <v>44350.0</v>
      </c>
      <c r="BE891" s="47">
        <v>44348.0</v>
      </c>
      <c r="BF891" s="45">
        <v>100.0</v>
      </c>
      <c r="BG891" s="45" t="s">
        <v>257</v>
      </c>
      <c r="BH891" s="49" t="s">
        <v>2845</v>
      </c>
      <c r="BI891" s="46"/>
      <c r="BJ891" s="46"/>
      <c r="BK891" s="46"/>
      <c r="BL891" s="46"/>
      <c r="BM891" s="46"/>
      <c r="BN891" s="46"/>
      <c r="BO891" s="46"/>
      <c r="BP891" s="46"/>
      <c r="BQ891" s="46"/>
      <c r="BR891" s="46"/>
      <c r="BS891" s="46"/>
      <c r="BT891" s="46"/>
      <c r="BU891" s="46"/>
      <c r="BV891" s="46"/>
      <c r="BW891" s="46"/>
      <c r="BX891" s="46"/>
      <c r="FL891" s="36" t="s">
        <v>2227</v>
      </c>
      <c r="FM891" s="36" t="s">
        <v>555</v>
      </c>
    </row>
    <row r="892" ht="23.25" customHeight="1">
      <c r="A892" s="44">
        <v>44662.61905011574</v>
      </c>
      <c r="B892" s="45" t="s">
        <v>8</v>
      </c>
      <c r="C892" s="45" t="s">
        <v>13</v>
      </c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5" t="s">
        <v>2846</v>
      </c>
      <c r="AY892" s="45" t="s">
        <v>2847</v>
      </c>
      <c r="AZ892" s="45" t="s">
        <v>2848</v>
      </c>
      <c r="BA892" s="45" t="s">
        <v>2849</v>
      </c>
      <c r="BB892" s="45" t="s">
        <v>310</v>
      </c>
      <c r="BC892" s="47">
        <v>44333.0</v>
      </c>
      <c r="BD892" s="47">
        <v>44759.0</v>
      </c>
      <c r="BE892" s="47">
        <v>44394.0</v>
      </c>
      <c r="BF892" s="48">
        <v>0.92</v>
      </c>
      <c r="BG892" s="45" t="s">
        <v>857</v>
      </c>
      <c r="BH892" s="49" t="s">
        <v>2850</v>
      </c>
      <c r="BI892" s="46"/>
      <c r="BJ892" s="46"/>
      <c r="BK892" s="46"/>
      <c r="BL892" s="46"/>
      <c r="BM892" s="46"/>
      <c r="BN892" s="46"/>
      <c r="BO892" s="46"/>
      <c r="BP892" s="46"/>
      <c r="BQ892" s="46"/>
      <c r="BR892" s="46"/>
      <c r="BS892" s="46"/>
      <c r="BT892" s="46"/>
      <c r="BU892" s="46"/>
      <c r="BV892" s="46"/>
      <c r="BW892" s="46"/>
      <c r="BX892" s="46"/>
      <c r="FL892" s="36" t="s">
        <v>2851</v>
      </c>
      <c r="FM892" s="36" t="s">
        <v>555</v>
      </c>
    </row>
    <row r="893" ht="23.25" customHeight="1">
      <c r="A893" s="44">
        <v>44662.621641053236</v>
      </c>
      <c r="B893" s="45" t="s">
        <v>8</v>
      </c>
      <c r="C893" s="45" t="s">
        <v>13</v>
      </c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  <c r="AP893" s="46"/>
      <c r="AQ893" s="46"/>
      <c r="AR893" s="46"/>
      <c r="AS893" s="46"/>
      <c r="AT893" s="46"/>
      <c r="AU893" s="46"/>
      <c r="AV893" s="46"/>
      <c r="AW893" s="46"/>
      <c r="AX893" s="45" t="s">
        <v>2839</v>
      </c>
      <c r="AY893" s="45" t="s">
        <v>2840</v>
      </c>
      <c r="AZ893" s="45" t="s">
        <v>856</v>
      </c>
      <c r="BA893" s="45" t="s">
        <v>377</v>
      </c>
      <c r="BB893" s="45" t="s">
        <v>310</v>
      </c>
      <c r="BC893" s="47">
        <v>44333.0</v>
      </c>
      <c r="BD893" s="47">
        <v>44396.0</v>
      </c>
      <c r="BE893" s="47">
        <v>44394.0</v>
      </c>
      <c r="BF893" s="48">
        <v>0.92</v>
      </c>
      <c r="BG893" s="45" t="s">
        <v>2852</v>
      </c>
      <c r="BH893" s="49" t="s">
        <v>2853</v>
      </c>
      <c r="BI893" s="46"/>
      <c r="BJ893" s="46"/>
      <c r="BK893" s="46"/>
      <c r="BL893" s="46"/>
      <c r="BM893" s="46"/>
      <c r="BN893" s="46"/>
      <c r="BO893" s="46"/>
      <c r="BP893" s="46"/>
      <c r="BQ893" s="46"/>
      <c r="BR893" s="46"/>
      <c r="BS893" s="46"/>
      <c r="BT893" s="46"/>
      <c r="BU893" s="46"/>
      <c r="BV893" s="46"/>
      <c r="BW893" s="46"/>
      <c r="BX893" s="46"/>
      <c r="FL893" s="36" t="s">
        <v>2842</v>
      </c>
      <c r="FM893" s="36" t="s">
        <v>323</v>
      </c>
    </row>
    <row r="894" ht="23.25" customHeight="1">
      <c r="A894" s="44">
        <v>44662.621994953704</v>
      </c>
      <c r="B894" s="45" t="s">
        <v>7</v>
      </c>
      <c r="C894" s="45" t="s">
        <v>12</v>
      </c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5" t="s">
        <v>2854</v>
      </c>
      <c r="AO894" s="45" t="s">
        <v>2855</v>
      </c>
      <c r="AP894" s="45" t="s">
        <v>309</v>
      </c>
      <c r="AQ894" s="45" t="s">
        <v>507</v>
      </c>
      <c r="AR894" s="47">
        <v>44481.0</v>
      </c>
      <c r="AS894" s="47">
        <v>44573.0</v>
      </c>
      <c r="AT894" s="45" t="s">
        <v>257</v>
      </c>
      <c r="AU894" s="45" t="s">
        <v>257</v>
      </c>
      <c r="AV894" s="45">
        <v>0.0</v>
      </c>
      <c r="AW894" s="49" t="s">
        <v>2856</v>
      </c>
      <c r="AX894" s="46"/>
      <c r="AY894" s="46"/>
      <c r="AZ894" s="46"/>
      <c r="BA894" s="46"/>
      <c r="BB894" s="46"/>
      <c r="BC894" s="46"/>
      <c r="BD894" s="46"/>
      <c r="BE894" s="46"/>
      <c r="BF894" s="46"/>
      <c r="BG894" s="46"/>
      <c r="BH894" s="46"/>
      <c r="BI894" s="46"/>
      <c r="BJ894" s="46"/>
      <c r="BK894" s="46"/>
      <c r="BL894" s="46"/>
      <c r="BM894" s="46"/>
      <c r="BN894" s="46"/>
      <c r="BO894" s="46"/>
      <c r="BP894" s="46"/>
      <c r="BQ894" s="46"/>
      <c r="BR894" s="46"/>
      <c r="BS894" s="46"/>
      <c r="BT894" s="46"/>
      <c r="BU894" s="46"/>
      <c r="BV894" s="46"/>
      <c r="BW894" s="46"/>
      <c r="BX894" s="46"/>
      <c r="FL894" s="36" t="s">
        <v>2857</v>
      </c>
      <c r="FM894" s="36" t="s">
        <v>341</v>
      </c>
    </row>
    <row r="895" ht="23.25" customHeight="1">
      <c r="A895" s="44">
        <v>44662.62304298611</v>
      </c>
      <c r="B895" s="45" t="s">
        <v>8</v>
      </c>
      <c r="C895" s="45" t="s">
        <v>13</v>
      </c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  <c r="AO895" s="46"/>
      <c r="AP895" s="46"/>
      <c r="AQ895" s="46"/>
      <c r="AR895" s="46"/>
      <c r="AS895" s="46"/>
      <c r="AT895" s="46"/>
      <c r="AU895" s="46"/>
      <c r="AV895" s="46"/>
      <c r="AW895" s="46"/>
      <c r="AX895" s="45" t="s">
        <v>2737</v>
      </c>
      <c r="AY895" s="45" t="s">
        <v>2738</v>
      </c>
      <c r="AZ895" s="45" t="s">
        <v>856</v>
      </c>
      <c r="BA895" s="45" t="s">
        <v>377</v>
      </c>
      <c r="BB895" s="45" t="s">
        <v>310</v>
      </c>
      <c r="BC895" s="47">
        <v>44378.0</v>
      </c>
      <c r="BD895" s="47">
        <v>44440.0</v>
      </c>
      <c r="BE895" s="47">
        <v>44439.0</v>
      </c>
      <c r="BF895" s="45">
        <v>95.0</v>
      </c>
      <c r="BG895" s="45" t="s">
        <v>2858</v>
      </c>
      <c r="BH895" s="49" t="s">
        <v>2859</v>
      </c>
      <c r="BI895" s="46"/>
      <c r="BJ895" s="46"/>
      <c r="BK895" s="46"/>
      <c r="BL895" s="46"/>
      <c r="BM895" s="46"/>
      <c r="BN895" s="46"/>
      <c r="BO895" s="46"/>
      <c r="BP895" s="46"/>
      <c r="BQ895" s="46"/>
      <c r="BR895" s="46"/>
      <c r="BS895" s="46"/>
      <c r="BT895" s="46"/>
      <c r="BU895" s="46"/>
      <c r="BV895" s="46"/>
      <c r="BW895" s="46"/>
      <c r="BX895" s="46"/>
      <c r="FL895" s="36" t="s">
        <v>2741</v>
      </c>
      <c r="FM895" s="36" t="s">
        <v>323</v>
      </c>
    </row>
    <row r="896" ht="23.25" customHeight="1">
      <c r="A896" s="44">
        <v>44662.62363164352</v>
      </c>
      <c r="B896" s="45" t="s">
        <v>7</v>
      </c>
      <c r="C896" s="45" t="s">
        <v>12</v>
      </c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5" t="s">
        <v>2860</v>
      </c>
      <c r="AO896" s="45" t="s">
        <v>2861</v>
      </c>
      <c r="AP896" s="45" t="s">
        <v>823</v>
      </c>
      <c r="AQ896" s="45" t="s">
        <v>882</v>
      </c>
      <c r="AR896" s="47">
        <v>44338.0</v>
      </c>
      <c r="AS896" s="47">
        <v>44367.0</v>
      </c>
      <c r="AT896" s="45" t="s">
        <v>257</v>
      </c>
      <c r="AU896" s="45" t="s">
        <v>257</v>
      </c>
      <c r="AV896" s="45">
        <v>0.0</v>
      </c>
      <c r="AW896" s="49" t="s">
        <v>2862</v>
      </c>
      <c r="AX896" s="46"/>
      <c r="AY896" s="46"/>
      <c r="AZ896" s="46"/>
      <c r="BA896" s="46"/>
      <c r="BB896" s="46"/>
      <c r="BC896" s="46"/>
      <c r="BD896" s="46"/>
      <c r="BE896" s="46"/>
      <c r="BF896" s="46"/>
      <c r="BG896" s="46"/>
      <c r="BH896" s="46"/>
      <c r="BI896" s="46"/>
      <c r="BJ896" s="46"/>
      <c r="BK896" s="46"/>
      <c r="BL896" s="46"/>
      <c r="BM896" s="46"/>
      <c r="BN896" s="46"/>
      <c r="BO896" s="46"/>
      <c r="BP896" s="46"/>
      <c r="BQ896" s="46"/>
      <c r="BR896" s="46"/>
      <c r="BS896" s="46"/>
      <c r="BT896" s="46"/>
      <c r="BU896" s="46"/>
      <c r="BV896" s="46"/>
      <c r="BW896" s="46"/>
      <c r="BX896" s="46"/>
      <c r="FL896" s="36" t="s">
        <v>2863</v>
      </c>
      <c r="FM896" s="36" t="s">
        <v>283</v>
      </c>
    </row>
    <row r="897" ht="23.25" customHeight="1">
      <c r="A897" s="44">
        <v>44662.624667199074</v>
      </c>
      <c r="B897" s="45" t="s">
        <v>7</v>
      </c>
      <c r="C897" s="45" t="s">
        <v>12</v>
      </c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5" t="s">
        <v>2864</v>
      </c>
      <c r="AO897" s="45" t="s">
        <v>2865</v>
      </c>
      <c r="AP897" s="45" t="s">
        <v>309</v>
      </c>
      <c r="AQ897" s="45" t="s">
        <v>507</v>
      </c>
      <c r="AR897" s="47">
        <v>44481.0</v>
      </c>
      <c r="AS897" s="47">
        <v>44573.0</v>
      </c>
      <c r="AT897" s="45" t="s">
        <v>257</v>
      </c>
      <c r="AU897" s="45" t="s">
        <v>257</v>
      </c>
      <c r="AV897" s="45">
        <v>0.0</v>
      </c>
      <c r="AW897" s="49" t="s">
        <v>2866</v>
      </c>
      <c r="AX897" s="46"/>
      <c r="AY897" s="46"/>
      <c r="AZ897" s="46"/>
      <c r="BA897" s="46"/>
      <c r="BB897" s="46"/>
      <c r="BC897" s="46"/>
      <c r="BD897" s="46"/>
      <c r="BE897" s="46"/>
      <c r="BF897" s="46"/>
      <c r="BG897" s="46"/>
      <c r="BH897" s="46"/>
      <c r="BI897" s="46"/>
      <c r="BJ897" s="46"/>
      <c r="BK897" s="46"/>
      <c r="BL897" s="46"/>
      <c r="BM897" s="46"/>
      <c r="BN897" s="46"/>
      <c r="BO897" s="46"/>
      <c r="BP897" s="46"/>
      <c r="BQ897" s="46"/>
      <c r="BR897" s="46"/>
      <c r="BS897" s="46"/>
      <c r="BT897" s="46"/>
      <c r="BU897" s="46"/>
      <c r="BV897" s="46"/>
      <c r="BW897" s="46"/>
      <c r="BX897" s="46"/>
      <c r="FL897" s="36" t="s">
        <v>2867</v>
      </c>
      <c r="FM897" s="36" t="s">
        <v>341</v>
      </c>
    </row>
    <row r="898" ht="23.25" customHeight="1">
      <c r="A898" s="44">
        <v>44662.624798784724</v>
      </c>
      <c r="B898" s="45" t="s">
        <v>7</v>
      </c>
      <c r="C898" s="45" t="s">
        <v>12</v>
      </c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5" t="s">
        <v>2868</v>
      </c>
      <c r="AO898" s="45" t="s">
        <v>2869</v>
      </c>
      <c r="AP898" s="45" t="s">
        <v>309</v>
      </c>
      <c r="AQ898" s="45" t="s">
        <v>1420</v>
      </c>
      <c r="AR898" s="47">
        <v>44481.0</v>
      </c>
      <c r="AS898" s="47">
        <v>44573.0</v>
      </c>
      <c r="AT898" s="45" t="s">
        <v>257</v>
      </c>
      <c r="AU898" s="45" t="s">
        <v>257</v>
      </c>
      <c r="AV898" s="45">
        <v>0.0</v>
      </c>
      <c r="AW898" s="49" t="s">
        <v>2870</v>
      </c>
      <c r="AX898" s="46"/>
      <c r="AY898" s="46"/>
      <c r="AZ898" s="46"/>
      <c r="BA898" s="46"/>
      <c r="BB898" s="46"/>
      <c r="BC898" s="46"/>
      <c r="BD898" s="46"/>
      <c r="BE898" s="46"/>
      <c r="BF898" s="46"/>
      <c r="BG898" s="46"/>
      <c r="BH898" s="46"/>
      <c r="BI898" s="46"/>
      <c r="BJ898" s="46"/>
      <c r="BK898" s="46"/>
      <c r="BL898" s="46"/>
      <c r="BM898" s="46"/>
      <c r="BN898" s="46"/>
      <c r="BO898" s="46"/>
      <c r="BP898" s="46"/>
      <c r="BQ898" s="46"/>
      <c r="BR898" s="46"/>
      <c r="BS898" s="46"/>
      <c r="BT898" s="46"/>
      <c r="BU898" s="46"/>
      <c r="BV898" s="46"/>
      <c r="BW898" s="46"/>
      <c r="BX898" s="46"/>
      <c r="FL898" s="36" t="s">
        <v>2871</v>
      </c>
      <c r="FM898" s="36" t="s">
        <v>341</v>
      </c>
    </row>
    <row r="899" ht="23.25" customHeight="1">
      <c r="A899" s="44">
        <v>44662.625159386575</v>
      </c>
      <c r="B899" s="45" t="s">
        <v>8</v>
      </c>
      <c r="C899" s="45" t="s">
        <v>12</v>
      </c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5" t="s">
        <v>2753</v>
      </c>
      <c r="AO899" s="45" t="s">
        <v>2738</v>
      </c>
      <c r="AP899" s="45" t="s">
        <v>878</v>
      </c>
      <c r="AQ899" s="45" t="s">
        <v>310</v>
      </c>
      <c r="AR899" s="47">
        <v>44105.0</v>
      </c>
      <c r="AS899" s="47">
        <v>44562.0</v>
      </c>
      <c r="AT899" s="45" t="s">
        <v>257</v>
      </c>
      <c r="AU899" s="45" t="s">
        <v>257</v>
      </c>
      <c r="AV899" s="45">
        <v>0.0</v>
      </c>
      <c r="AW899" s="49" t="s">
        <v>2872</v>
      </c>
      <c r="AX899" s="46"/>
      <c r="AY899" s="46"/>
      <c r="AZ899" s="46"/>
      <c r="BA899" s="46"/>
      <c r="BB899" s="46"/>
      <c r="BC899" s="46"/>
      <c r="BD899" s="46"/>
      <c r="BE899" s="46"/>
      <c r="BF899" s="46"/>
      <c r="BG899" s="46"/>
      <c r="BH899" s="46"/>
      <c r="BI899" s="46"/>
      <c r="BJ899" s="46"/>
      <c r="BK899" s="46"/>
      <c r="BL899" s="46"/>
      <c r="BM899" s="46"/>
      <c r="BN899" s="46"/>
      <c r="BO899" s="46"/>
      <c r="BP899" s="46"/>
      <c r="BQ899" s="46"/>
      <c r="BR899" s="46"/>
      <c r="BS899" s="46"/>
      <c r="BT899" s="46"/>
      <c r="BU899" s="46"/>
      <c r="BV899" s="46"/>
      <c r="BW899" s="46"/>
      <c r="BX899" s="46"/>
      <c r="FL899" s="36" t="s">
        <v>2741</v>
      </c>
      <c r="FM899" s="36" t="s">
        <v>323</v>
      </c>
    </row>
    <row r="900" ht="23.25" customHeight="1">
      <c r="A900" s="44">
        <v>44662.62579539352</v>
      </c>
      <c r="B900" s="45" t="s">
        <v>7</v>
      </c>
      <c r="C900" s="45" t="s">
        <v>12</v>
      </c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5" t="s">
        <v>2873</v>
      </c>
      <c r="AO900" s="45" t="s">
        <v>2874</v>
      </c>
      <c r="AP900" s="45" t="s">
        <v>309</v>
      </c>
      <c r="AQ900" s="45" t="s">
        <v>507</v>
      </c>
      <c r="AR900" s="47">
        <v>44480.0</v>
      </c>
      <c r="AS900" s="47">
        <v>44562.0</v>
      </c>
      <c r="AT900" s="45" t="s">
        <v>257</v>
      </c>
      <c r="AU900" s="45" t="s">
        <v>257</v>
      </c>
      <c r="AV900" s="45">
        <v>0.0</v>
      </c>
      <c r="AW900" s="49" t="s">
        <v>2875</v>
      </c>
      <c r="AX900" s="46"/>
      <c r="AY900" s="46"/>
      <c r="AZ900" s="46"/>
      <c r="BA900" s="46"/>
      <c r="BB900" s="46"/>
      <c r="BC900" s="46"/>
      <c r="BD900" s="46"/>
      <c r="BE900" s="46"/>
      <c r="BF900" s="46"/>
      <c r="BG900" s="46"/>
      <c r="BH900" s="46"/>
      <c r="BI900" s="46"/>
      <c r="BJ900" s="46"/>
      <c r="BK900" s="46"/>
      <c r="BL900" s="46"/>
      <c r="BM900" s="46"/>
      <c r="BN900" s="46"/>
      <c r="BO900" s="46"/>
      <c r="BP900" s="46"/>
      <c r="BQ900" s="46"/>
      <c r="BR900" s="46"/>
      <c r="BS900" s="46"/>
      <c r="BT900" s="46"/>
      <c r="BU900" s="46"/>
      <c r="BV900" s="46"/>
      <c r="BW900" s="46"/>
      <c r="BX900" s="46"/>
      <c r="FL900" s="36" t="s">
        <v>2876</v>
      </c>
      <c r="FM900" s="36" t="s">
        <v>341</v>
      </c>
    </row>
    <row r="901" ht="23.25" customHeight="1">
      <c r="A901" s="44">
        <v>44662.62725261574</v>
      </c>
      <c r="B901" s="45" t="s">
        <v>6</v>
      </c>
      <c r="C901" s="45" t="s">
        <v>12</v>
      </c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5" t="s">
        <v>2877</v>
      </c>
      <c r="AO901" s="45" t="s">
        <v>2878</v>
      </c>
      <c r="AP901" s="45" t="s">
        <v>2706</v>
      </c>
      <c r="AQ901" s="45" t="s">
        <v>450</v>
      </c>
      <c r="AR901" s="47">
        <v>44105.0</v>
      </c>
      <c r="AS901" s="47">
        <v>44561.0</v>
      </c>
      <c r="AT901" s="45" t="s">
        <v>257</v>
      </c>
      <c r="AU901" s="45" t="s">
        <v>257</v>
      </c>
      <c r="AV901" s="45">
        <v>0.0</v>
      </c>
      <c r="AW901" s="49" t="s">
        <v>2879</v>
      </c>
      <c r="AX901" s="46"/>
      <c r="AY901" s="46"/>
      <c r="AZ901" s="46"/>
      <c r="BA901" s="46"/>
      <c r="BB901" s="46"/>
      <c r="BC901" s="46"/>
      <c r="BD901" s="46"/>
      <c r="BE901" s="46"/>
      <c r="BF901" s="46"/>
      <c r="BG901" s="46"/>
      <c r="BH901" s="46"/>
      <c r="BI901" s="46"/>
      <c r="BJ901" s="46"/>
      <c r="BK901" s="46"/>
      <c r="BL901" s="46"/>
      <c r="BM901" s="46"/>
      <c r="BN901" s="46"/>
      <c r="BO901" s="46"/>
      <c r="BP901" s="46"/>
      <c r="BQ901" s="46"/>
      <c r="BR901" s="46"/>
      <c r="BS901" s="46"/>
      <c r="BT901" s="46"/>
      <c r="BU901" s="46"/>
      <c r="BV901" s="46"/>
      <c r="BW901" s="46"/>
      <c r="BX901" s="46"/>
      <c r="FL901" s="36" t="s">
        <v>2880</v>
      </c>
      <c r="FM901" s="36" t="s">
        <v>260</v>
      </c>
    </row>
    <row r="902" ht="23.25" customHeight="1">
      <c r="A902" s="44">
        <v>44662.62798075231</v>
      </c>
      <c r="B902" s="45" t="s">
        <v>8</v>
      </c>
      <c r="C902" s="45" t="s">
        <v>12</v>
      </c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5" t="s">
        <v>2881</v>
      </c>
      <c r="AO902" s="45" t="s">
        <v>2882</v>
      </c>
      <c r="AP902" s="45" t="s">
        <v>2751</v>
      </c>
      <c r="AQ902" s="45" t="s">
        <v>2883</v>
      </c>
      <c r="AR902" s="47">
        <v>44470.0</v>
      </c>
      <c r="AS902" s="47">
        <v>44531.0</v>
      </c>
      <c r="AT902" s="45" t="s">
        <v>257</v>
      </c>
      <c r="AU902" s="45" t="s">
        <v>257</v>
      </c>
      <c r="AV902" s="45">
        <v>0.0</v>
      </c>
      <c r="AW902" s="49" t="s">
        <v>2884</v>
      </c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  <c r="BP902" s="46"/>
      <c r="BQ902" s="46"/>
      <c r="BR902" s="46"/>
      <c r="BS902" s="46"/>
      <c r="BT902" s="46"/>
      <c r="BU902" s="46"/>
      <c r="BV902" s="46"/>
      <c r="BW902" s="46"/>
      <c r="BX902" s="46"/>
      <c r="FL902" s="36" t="s">
        <v>2885</v>
      </c>
      <c r="FM902" s="36" t="s">
        <v>323</v>
      </c>
    </row>
    <row r="903" ht="23.25" customHeight="1">
      <c r="A903" s="44">
        <v>44662.62867474537</v>
      </c>
      <c r="B903" s="45" t="s">
        <v>8</v>
      </c>
      <c r="C903" s="45" t="s">
        <v>13</v>
      </c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  <c r="AO903" s="46"/>
      <c r="AP903" s="46"/>
      <c r="AQ903" s="46"/>
      <c r="AR903" s="46"/>
      <c r="AS903" s="46"/>
      <c r="AT903" s="46"/>
      <c r="AU903" s="46"/>
      <c r="AV903" s="46"/>
      <c r="AW903" s="46"/>
      <c r="AX903" s="45" t="s">
        <v>2886</v>
      </c>
      <c r="AY903" s="45" t="s">
        <v>2840</v>
      </c>
      <c r="AZ903" s="45" t="s">
        <v>2887</v>
      </c>
      <c r="BA903" s="45" t="s">
        <v>377</v>
      </c>
      <c r="BB903" s="45" t="s">
        <v>310</v>
      </c>
      <c r="BC903" s="47">
        <v>44470.0</v>
      </c>
      <c r="BD903" s="47">
        <v>44561.0</v>
      </c>
      <c r="BE903" s="47">
        <v>44542.0</v>
      </c>
      <c r="BF903" s="45">
        <v>90.0</v>
      </c>
      <c r="BG903" s="45" t="s">
        <v>2888</v>
      </c>
      <c r="BH903" s="49" t="s">
        <v>2889</v>
      </c>
      <c r="BI903" s="46"/>
      <c r="BJ903" s="46"/>
      <c r="BK903" s="46"/>
      <c r="BL903" s="46"/>
      <c r="BM903" s="46"/>
      <c r="BN903" s="46"/>
      <c r="BO903" s="46"/>
      <c r="BP903" s="46"/>
      <c r="BQ903" s="46"/>
      <c r="BR903" s="46"/>
      <c r="BS903" s="46"/>
      <c r="BT903" s="46"/>
      <c r="BU903" s="46"/>
      <c r="BV903" s="46"/>
      <c r="BW903" s="46"/>
      <c r="BX903" s="46"/>
      <c r="FL903" s="36" t="s">
        <v>2842</v>
      </c>
      <c r="FM903" s="36" t="s">
        <v>323</v>
      </c>
    </row>
    <row r="904" ht="23.25" customHeight="1">
      <c r="A904" s="44">
        <v>44662.62924938658</v>
      </c>
      <c r="B904" s="45" t="s">
        <v>8</v>
      </c>
      <c r="C904" s="45" t="s">
        <v>13</v>
      </c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5" t="s">
        <v>2890</v>
      </c>
      <c r="AY904" s="45" t="s">
        <v>1287</v>
      </c>
      <c r="AZ904" s="45" t="s">
        <v>2891</v>
      </c>
      <c r="BA904" s="45" t="s">
        <v>2892</v>
      </c>
      <c r="BB904" s="45" t="s">
        <v>310</v>
      </c>
      <c r="BC904" s="47">
        <v>44353.0</v>
      </c>
      <c r="BD904" s="47">
        <v>44414.0</v>
      </c>
      <c r="BE904" s="47">
        <v>44779.0</v>
      </c>
      <c r="BF904" s="45">
        <v>96.0</v>
      </c>
      <c r="BG904" s="45" t="s">
        <v>2893</v>
      </c>
      <c r="BH904" s="49" t="s">
        <v>2894</v>
      </c>
      <c r="BI904" s="46"/>
      <c r="BJ904" s="46"/>
      <c r="BK904" s="46"/>
      <c r="BL904" s="46"/>
      <c r="BM904" s="46"/>
      <c r="BN904" s="46"/>
      <c r="BO904" s="46"/>
      <c r="BP904" s="46"/>
      <c r="BQ904" s="46"/>
      <c r="BR904" s="46"/>
      <c r="BS904" s="46"/>
      <c r="BT904" s="46"/>
      <c r="BU904" s="46"/>
      <c r="BV904" s="46"/>
      <c r="BW904" s="46"/>
      <c r="BX904" s="46"/>
      <c r="FL904" s="36" t="s">
        <v>1293</v>
      </c>
      <c r="FM904" s="36" t="s">
        <v>382</v>
      </c>
    </row>
    <row r="905" ht="23.25" customHeight="1">
      <c r="A905" s="44">
        <v>44662.62937340278</v>
      </c>
      <c r="B905" s="45" t="s">
        <v>8</v>
      </c>
      <c r="C905" s="45" t="s">
        <v>13</v>
      </c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  <c r="AK905" s="46"/>
      <c r="AL905" s="46"/>
      <c r="AM905" s="46"/>
      <c r="AN905" s="46"/>
      <c r="AO905" s="46"/>
      <c r="AP905" s="46"/>
      <c r="AQ905" s="46"/>
      <c r="AR905" s="46"/>
      <c r="AS905" s="46"/>
      <c r="AT905" s="46"/>
      <c r="AU905" s="46"/>
      <c r="AV905" s="46"/>
      <c r="AW905" s="46"/>
      <c r="AX905" s="45" t="s">
        <v>2895</v>
      </c>
      <c r="AY905" s="45" t="s">
        <v>2896</v>
      </c>
      <c r="AZ905" s="45" t="s">
        <v>856</v>
      </c>
      <c r="BA905" s="45" t="s">
        <v>377</v>
      </c>
      <c r="BB905" s="45" t="s">
        <v>348</v>
      </c>
      <c r="BC905" s="47">
        <v>44378.0</v>
      </c>
      <c r="BD905" s="47">
        <v>44440.0</v>
      </c>
      <c r="BE905" s="47">
        <v>44440.0</v>
      </c>
      <c r="BF905" s="45">
        <v>92.0</v>
      </c>
      <c r="BG905" s="45" t="s">
        <v>2897</v>
      </c>
      <c r="BH905" s="49" t="s">
        <v>2898</v>
      </c>
      <c r="BI905" s="46"/>
      <c r="BJ905" s="46"/>
      <c r="BK905" s="46"/>
      <c r="BL905" s="46"/>
      <c r="BM905" s="46"/>
      <c r="BN905" s="46"/>
      <c r="BO905" s="46"/>
      <c r="BP905" s="46"/>
      <c r="BQ905" s="46"/>
      <c r="BR905" s="46"/>
      <c r="BS905" s="46"/>
      <c r="BT905" s="46"/>
      <c r="BU905" s="46"/>
      <c r="BV905" s="46"/>
      <c r="BW905" s="46"/>
      <c r="BX905" s="46"/>
      <c r="FL905" s="36" t="s">
        <v>2899</v>
      </c>
      <c r="FM905" s="36" t="s">
        <v>323</v>
      </c>
    </row>
    <row r="906" ht="23.25" customHeight="1">
      <c r="A906" s="44">
        <v>44662.629719386576</v>
      </c>
      <c r="B906" s="45" t="s">
        <v>6</v>
      </c>
      <c r="C906" s="45" t="s">
        <v>14</v>
      </c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  <c r="BB906" s="46"/>
      <c r="BC906" s="46"/>
      <c r="BD906" s="46"/>
      <c r="BE906" s="46"/>
      <c r="BF906" s="46"/>
      <c r="BG906" s="46"/>
      <c r="BH906" s="46"/>
      <c r="BI906" s="45" t="s">
        <v>2877</v>
      </c>
      <c r="BJ906" s="45" t="s">
        <v>2878</v>
      </c>
      <c r="BK906" s="45" t="s">
        <v>313</v>
      </c>
      <c r="BL906" s="45" t="s">
        <v>735</v>
      </c>
      <c r="BM906" s="45" t="s">
        <v>2900</v>
      </c>
      <c r="BN906" s="45">
        <v>1.0</v>
      </c>
      <c r="BO906" s="47">
        <v>44567.0</v>
      </c>
      <c r="BP906" s="47">
        <v>44567.0</v>
      </c>
      <c r="BQ906" s="45" t="s">
        <v>2901</v>
      </c>
      <c r="BR906" s="45" t="s">
        <v>2902</v>
      </c>
      <c r="BS906" s="45" t="s">
        <v>176</v>
      </c>
      <c r="BT906" s="45" t="s">
        <v>156</v>
      </c>
      <c r="BU906" s="46"/>
      <c r="BV906" s="49" t="s">
        <v>2903</v>
      </c>
      <c r="BW906" s="46"/>
      <c r="BX906" s="46"/>
      <c r="FL906" s="36" t="s">
        <v>2880</v>
      </c>
      <c r="FM906" s="36" t="s">
        <v>260</v>
      </c>
    </row>
    <row r="907" ht="23.25" customHeight="1">
      <c r="A907" s="44">
        <v>44662.63116503472</v>
      </c>
      <c r="B907" s="45" t="s">
        <v>8</v>
      </c>
      <c r="C907" s="45" t="s">
        <v>13</v>
      </c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  <c r="AO907" s="46"/>
      <c r="AP907" s="46"/>
      <c r="AQ907" s="46"/>
      <c r="AR907" s="46"/>
      <c r="AS907" s="46"/>
      <c r="AT907" s="46"/>
      <c r="AU907" s="46"/>
      <c r="AV907" s="46"/>
      <c r="AW907" s="46"/>
      <c r="AX907" s="45" t="s">
        <v>2904</v>
      </c>
      <c r="AY907" s="45" t="s">
        <v>1295</v>
      </c>
      <c r="AZ907" s="45" t="s">
        <v>2905</v>
      </c>
      <c r="BA907" s="45" t="s">
        <v>1334</v>
      </c>
      <c r="BB907" s="45" t="s">
        <v>310</v>
      </c>
      <c r="BC907" s="47">
        <v>44353.0</v>
      </c>
      <c r="BD907" s="47">
        <v>44414.0</v>
      </c>
      <c r="BE907" s="47">
        <v>44414.0</v>
      </c>
      <c r="BF907" s="45">
        <v>95.0</v>
      </c>
      <c r="BG907" s="45" t="s">
        <v>2906</v>
      </c>
      <c r="BH907" s="49" t="s">
        <v>2907</v>
      </c>
      <c r="BI907" s="46"/>
      <c r="BJ907" s="46"/>
      <c r="BK907" s="46"/>
      <c r="BL907" s="46"/>
      <c r="BM907" s="46"/>
      <c r="BN907" s="46"/>
      <c r="BO907" s="46"/>
      <c r="BP907" s="46"/>
      <c r="BQ907" s="46"/>
      <c r="BR907" s="46"/>
      <c r="BS907" s="46"/>
      <c r="BT907" s="46"/>
      <c r="BU907" s="46"/>
      <c r="BV907" s="46"/>
      <c r="BW907" s="46"/>
      <c r="BX907" s="46"/>
      <c r="FL907" s="36" t="s">
        <v>1300</v>
      </c>
      <c r="FM907" s="36" t="s">
        <v>382</v>
      </c>
    </row>
    <row r="908" ht="23.25" customHeight="1">
      <c r="A908" s="44">
        <v>44662.631550300925</v>
      </c>
      <c r="B908" s="45" t="s">
        <v>8</v>
      </c>
      <c r="C908" s="45" t="s">
        <v>13</v>
      </c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5" t="s">
        <v>2908</v>
      </c>
      <c r="AY908" s="45" t="s">
        <v>2909</v>
      </c>
      <c r="AZ908" s="45" t="s">
        <v>2910</v>
      </c>
      <c r="BA908" s="45" t="s">
        <v>377</v>
      </c>
      <c r="BB908" s="45" t="s">
        <v>310</v>
      </c>
      <c r="BC908" s="47">
        <v>44353.0</v>
      </c>
      <c r="BD908" s="47">
        <v>44414.0</v>
      </c>
      <c r="BE908" s="47">
        <v>44414.0</v>
      </c>
      <c r="BF908" s="45">
        <v>96.0</v>
      </c>
      <c r="BG908" s="45" t="s">
        <v>2911</v>
      </c>
      <c r="BH908" s="49" t="s">
        <v>2912</v>
      </c>
      <c r="BI908" s="46"/>
      <c r="BJ908" s="46"/>
      <c r="BK908" s="46"/>
      <c r="BL908" s="46"/>
      <c r="BM908" s="46"/>
      <c r="BN908" s="46"/>
      <c r="BO908" s="46"/>
      <c r="BP908" s="46"/>
      <c r="BQ908" s="46"/>
      <c r="BR908" s="46"/>
      <c r="BS908" s="46"/>
      <c r="BT908" s="46"/>
      <c r="BU908" s="46"/>
      <c r="BV908" s="46"/>
      <c r="BW908" s="46"/>
      <c r="BX908" s="46"/>
      <c r="FL908" s="36" t="s">
        <v>2913</v>
      </c>
      <c r="FM908" s="36" t="s">
        <v>323</v>
      </c>
    </row>
    <row r="909" ht="23.25" customHeight="1">
      <c r="A909" s="44">
        <v>44662.633126099536</v>
      </c>
      <c r="B909" s="45" t="s">
        <v>7</v>
      </c>
      <c r="C909" s="45" t="s">
        <v>12</v>
      </c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5" t="s">
        <v>2914</v>
      </c>
      <c r="AO909" s="45" t="s">
        <v>2915</v>
      </c>
      <c r="AP909" s="45" t="s">
        <v>309</v>
      </c>
      <c r="AQ909" s="45" t="s">
        <v>507</v>
      </c>
      <c r="AR909" s="47">
        <v>44481.0</v>
      </c>
      <c r="AS909" s="47">
        <v>44573.0</v>
      </c>
      <c r="AT909" s="45" t="s">
        <v>257</v>
      </c>
      <c r="AU909" s="45" t="s">
        <v>257</v>
      </c>
      <c r="AV909" s="45">
        <v>0.0</v>
      </c>
      <c r="AW909" s="49" t="s">
        <v>2916</v>
      </c>
      <c r="AX909" s="46"/>
      <c r="AY909" s="46"/>
      <c r="AZ909" s="46"/>
      <c r="BA909" s="46"/>
      <c r="BB909" s="46"/>
      <c r="BC909" s="46"/>
      <c r="BD909" s="46"/>
      <c r="BE909" s="46"/>
      <c r="BF909" s="46"/>
      <c r="BG909" s="46"/>
      <c r="BH909" s="46"/>
      <c r="BI909" s="46"/>
      <c r="BJ909" s="46"/>
      <c r="BK909" s="46"/>
      <c r="BL909" s="46"/>
      <c r="BM909" s="46"/>
      <c r="BN909" s="46"/>
      <c r="BO909" s="46"/>
      <c r="BP909" s="46"/>
      <c r="BQ909" s="46"/>
      <c r="BR909" s="46"/>
      <c r="BS909" s="46"/>
      <c r="BT909" s="46"/>
      <c r="BU909" s="46"/>
      <c r="BV909" s="46"/>
      <c r="BW909" s="46"/>
      <c r="BX909" s="46"/>
      <c r="FL909" s="36" t="s">
        <v>2917</v>
      </c>
      <c r="FM909" s="36" t="s">
        <v>341</v>
      </c>
    </row>
    <row r="910" ht="23.25" customHeight="1">
      <c r="A910" s="44">
        <v>44662.63408321759</v>
      </c>
      <c r="B910" s="45" t="s">
        <v>6</v>
      </c>
      <c r="C910" s="45" t="s">
        <v>14</v>
      </c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  <c r="AY910" s="46"/>
      <c r="AZ910" s="46"/>
      <c r="BA910" s="46"/>
      <c r="BB910" s="46"/>
      <c r="BC910" s="46"/>
      <c r="BD910" s="46"/>
      <c r="BE910" s="46"/>
      <c r="BF910" s="46"/>
      <c r="BG910" s="46"/>
      <c r="BH910" s="46"/>
      <c r="BI910" s="45" t="s">
        <v>2877</v>
      </c>
      <c r="BJ910" s="45" t="s">
        <v>2878</v>
      </c>
      <c r="BK910" s="45" t="s">
        <v>313</v>
      </c>
      <c r="BL910" s="45" t="s">
        <v>1288</v>
      </c>
      <c r="BM910" s="45" t="s">
        <v>2918</v>
      </c>
      <c r="BN910" s="45">
        <v>3.0</v>
      </c>
      <c r="BO910" s="47">
        <v>44491.0</v>
      </c>
      <c r="BP910" s="47">
        <v>44493.0</v>
      </c>
      <c r="BQ910" s="45" t="s">
        <v>2919</v>
      </c>
      <c r="BR910" s="45" t="s">
        <v>1388</v>
      </c>
      <c r="BS910" s="45" t="s">
        <v>176</v>
      </c>
      <c r="BT910" s="45" t="s">
        <v>156</v>
      </c>
      <c r="BU910" s="46"/>
      <c r="BV910" s="49" t="s">
        <v>2920</v>
      </c>
      <c r="BW910" s="46"/>
      <c r="BX910" s="46"/>
      <c r="FL910" s="36" t="s">
        <v>2880</v>
      </c>
      <c r="FM910" s="36" t="s">
        <v>260</v>
      </c>
    </row>
    <row r="911" ht="23.25" customHeight="1">
      <c r="A911" s="44">
        <v>44662.63481390046</v>
      </c>
      <c r="B911" s="45" t="s">
        <v>8</v>
      </c>
      <c r="C911" s="45" t="s">
        <v>13</v>
      </c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5" t="s">
        <v>2921</v>
      </c>
      <c r="AY911" s="45" t="s">
        <v>2922</v>
      </c>
      <c r="AZ911" s="45" t="s">
        <v>2330</v>
      </c>
      <c r="BA911" s="45" t="s">
        <v>337</v>
      </c>
      <c r="BB911" s="45" t="s">
        <v>510</v>
      </c>
      <c r="BC911" s="47">
        <v>44378.0</v>
      </c>
      <c r="BD911" s="47">
        <v>44440.0</v>
      </c>
      <c r="BE911" s="47">
        <v>44440.0</v>
      </c>
      <c r="BF911" s="45">
        <v>95.0</v>
      </c>
      <c r="BG911" s="45" t="s">
        <v>2923</v>
      </c>
      <c r="BH911" s="49" t="s">
        <v>2924</v>
      </c>
      <c r="BI911" s="46"/>
      <c r="BJ911" s="46"/>
      <c r="BK911" s="46"/>
      <c r="BL911" s="46"/>
      <c r="BM911" s="46"/>
      <c r="BN911" s="46"/>
      <c r="BO911" s="46"/>
      <c r="BP911" s="46"/>
      <c r="BQ911" s="46"/>
      <c r="BR911" s="46"/>
      <c r="BS911" s="46"/>
      <c r="BT911" s="46"/>
      <c r="BU911" s="46"/>
      <c r="BV911" s="46"/>
      <c r="BW911" s="46"/>
      <c r="BX911" s="46"/>
      <c r="FL911" s="36" t="s">
        <v>2925</v>
      </c>
      <c r="FM911" s="36" t="s">
        <v>323</v>
      </c>
    </row>
    <row r="912" ht="23.25" customHeight="1">
      <c r="A912" s="44">
        <v>44662.635661493056</v>
      </c>
      <c r="B912" s="45" t="s">
        <v>8</v>
      </c>
      <c r="C912" s="45" t="s">
        <v>13</v>
      </c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5" t="s">
        <v>1286</v>
      </c>
      <c r="AY912" s="45" t="s">
        <v>1287</v>
      </c>
      <c r="AZ912" s="45" t="s">
        <v>2887</v>
      </c>
      <c r="BA912" s="45" t="s">
        <v>1334</v>
      </c>
      <c r="BB912" s="45" t="s">
        <v>1335</v>
      </c>
      <c r="BC912" s="47">
        <v>44596.0</v>
      </c>
      <c r="BD912" s="47">
        <v>44655.0</v>
      </c>
      <c r="BE912" s="47">
        <v>44654.0</v>
      </c>
      <c r="BF912" s="45" t="s">
        <v>2926</v>
      </c>
      <c r="BG912" s="45" t="s">
        <v>2927</v>
      </c>
      <c r="BH912" s="49" t="s">
        <v>2928</v>
      </c>
      <c r="BI912" s="46"/>
      <c r="BJ912" s="46"/>
      <c r="BK912" s="46"/>
      <c r="BL912" s="46"/>
      <c r="BM912" s="46"/>
      <c r="BN912" s="46"/>
      <c r="BO912" s="46"/>
      <c r="BP912" s="46"/>
      <c r="BQ912" s="46"/>
      <c r="BR912" s="46"/>
      <c r="BS912" s="46"/>
      <c r="BT912" s="46"/>
      <c r="BU912" s="46"/>
      <c r="BV912" s="46"/>
      <c r="BW912" s="46"/>
      <c r="BX912" s="46"/>
      <c r="FL912" s="36" t="s">
        <v>2929</v>
      </c>
      <c r="FM912" s="36" t="s">
        <v>555</v>
      </c>
    </row>
    <row r="913" ht="23.25" customHeight="1">
      <c r="A913" s="44">
        <v>44662.635744178246</v>
      </c>
      <c r="B913" s="45" t="s">
        <v>8</v>
      </c>
      <c r="C913" s="45" t="s">
        <v>13</v>
      </c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  <c r="AO913" s="46"/>
      <c r="AP913" s="46"/>
      <c r="AQ913" s="46"/>
      <c r="AR913" s="46"/>
      <c r="AS913" s="46"/>
      <c r="AT913" s="46"/>
      <c r="AU913" s="46"/>
      <c r="AV913" s="46"/>
      <c r="AW913" s="46"/>
      <c r="AX913" s="45" t="s">
        <v>2930</v>
      </c>
      <c r="AY913" s="45" t="s">
        <v>2931</v>
      </c>
      <c r="AZ913" s="45" t="s">
        <v>2910</v>
      </c>
      <c r="BA913" s="45" t="s">
        <v>2819</v>
      </c>
      <c r="BB913" s="45" t="s">
        <v>348</v>
      </c>
      <c r="BC913" s="47">
        <v>44353.0</v>
      </c>
      <c r="BD913" s="47">
        <v>44414.0</v>
      </c>
      <c r="BE913" s="47">
        <v>44414.0</v>
      </c>
      <c r="BF913" s="45">
        <v>95.0</v>
      </c>
      <c r="BG913" s="45" t="s">
        <v>2668</v>
      </c>
      <c r="BH913" s="49" t="s">
        <v>2932</v>
      </c>
      <c r="BI913" s="46"/>
      <c r="BJ913" s="46"/>
      <c r="BK913" s="46"/>
      <c r="BL913" s="46"/>
      <c r="BM913" s="46"/>
      <c r="BN913" s="46"/>
      <c r="BO913" s="46"/>
      <c r="BP913" s="46"/>
      <c r="BQ913" s="46"/>
      <c r="BR913" s="46"/>
      <c r="BS913" s="46"/>
      <c r="BT913" s="46"/>
      <c r="BU913" s="46"/>
      <c r="BV913" s="46"/>
      <c r="BW913" s="46"/>
      <c r="BX913" s="46"/>
      <c r="FL913" s="36" t="s">
        <v>2933</v>
      </c>
      <c r="FM913" s="36" t="s">
        <v>382</v>
      </c>
    </row>
    <row r="914" ht="23.25" customHeight="1">
      <c r="A914" s="44">
        <v>44662.63739962963</v>
      </c>
      <c r="B914" s="45" t="s">
        <v>6</v>
      </c>
      <c r="C914" s="45" t="s">
        <v>20</v>
      </c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/>
      <c r="BA914" s="46"/>
      <c r="BB914" s="46"/>
      <c r="BC914" s="46"/>
      <c r="BD914" s="46"/>
      <c r="BE914" s="46"/>
      <c r="BF914" s="46"/>
      <c r="BG914" s="46"/>
      <c r="BH914" s="46"/>
      <c r="BI914" s="46"/>
      <c r="BJ914" s="46"/>
      <c r="BK914" s="46"/>
      <c r="BL914" s="46"/>
      <c r="BM914" s="46"/>
      <c r="BN914" s="46"/>
      <c r="BO914" s="46"/>
      <c r="BP914" s="46"/>
      <c r="BQ914" s="46"/>
      <c r="BR914" s="46"/>
      <c r="BS914" s="46"/>
      <c r="BT914" s="46"/>
      <c r="BU914" s="46"/>
      <c r="BV914" s="46"/>
      <c r="BW914" s="46"/>
      <c r="BX914" s="46"/>
      <c r="DX914" s="36" t="s">
        <v>2817</v>
      </c>
      <c r="DY914" s="36" t="s">
        <v>2818</v>
      </c>
      <c r="DZ914" s="36" t="s">
        <v>313</v>
      </c>
      <c r="EA914" s="36" t="s">
        <v>2934</v>
      </c>
      <c r="EB914" s="37">
        <v>44549.0</v>
      </c>
      <c r="EC914" s="36" t="s">
        <v>2935</v>
      </c>
      <c r="ED914" s="38" t="s">
        <v>2936</v>
      </c>
      <c r="FL914" s="36" t="s">
        <v>2822</v>
      </c>
      <c r="FM914" s="36" t="s">
        <v>382</v>
      </c>
    </row>
    <row r="915" ht="23.25" customHeight="1">
      <c r="A915" s="44">
        <v>44662.63792770833</v>
      </c>
      <c r="B915" s="45" t="s">
        <v>8</v>
      </c>
      <c r="C915" s="45" t="s">
        <v>12</v>
      </c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5" t="s">
        <v>2895</v>
      </c>
      <c r="AO915" s="45" t="s">
        <v>2896</v>
      </c>
      <c r="AP915" s="45" t="s">
        <v>2751</v>
      </c>
      <c r="AQ915" s="45" t="s">
        <v>310</v>
      </c>
      <c r="AR915" s="47">
        <v>44470.0</v>
      </c>
      <c r="AS915" s="47">
        <v>44531.0</v>
      </c>
      <c r="AT915" s="45" t="s">
        <v>257</v>
      </c>
      <c r="AU915" s="45" t="s">
        <v>257</v>
      </c>
      <c r="AV915" s="45">
        <v>0.0</v>
      </c>
      <c r="AW915" s="49" t="s">
        <v>2937</v>
      </c>
      <c r="AX915" s="46"/>
      <c r="AY915" s="46"/>
      <c r="AZ915" s="46"/>
      <c r="BA915" s="46"/>
      <c r="BB915" s="46"/>
      <c r="BC915" s="46"/>
      <c r="BD915" s="46"/>
      <c r="BE915" s="46"/>
      <c r="BF915" s="46"/>
      <c r="BG915" s="46"/>
      <c r="BH915" s="46"/>
      <c r="BI915" s="46"/>
      <c r="BJ915" s="46"/>
      <c r="BK915" s="46"/>
      <c r="BL915" s="46"/>
      <c r="BM915" s="46"/>
      <c r="BN915" s="46"/>
      <c r="BO915" s="46"/>
      <c r="BP915" s="46"/>
      <c r="BQ915" s="46"/>
      <c r="BR915" s="46"/>
      <c r="BS915" s="46"/>
      <c r="BT915" s="46"/>
      <c r="BU915" s="46"/>
      <c r="BV915" s="46"/>
      <c r="BW915" s="46"/>
      <c r="BX915" s="46"/>
      <c r="FL915" s="36" t="s">
        <v>2899</v>
      </c>
      <c r="FM915" s="36" t="s">
        <v>323</v>
      </c>
    </row>
    <row r="916">
      <c r="A916" s="50">
        <v>44662.63921332176</v>
      </c>
      <c r="B916" s="36" t="s">
        <v>8</v>
      </c>
      <c r="C916" s="36" t="s">
        <v>13</v>
      </c>
      <c r="AX916" s="36" t="s">
        <v>2938</v>
      </c>
      <c r="AY916" s="36" t="s">
        <v>2931</v>
      </c>
      <c r="AZ916" s="36" t="s">
        <v>2939</v>
      </c>
      <c r="BA916" s="36" t="s">
        <v>2940</v>
      </c>
      <c r="BB916" s="36" t="s">
        <v>310</v>
      </c>
      <c r="BC916" s="37">
        <v>44494.0</v>
      </c>
      <c r="BD916" s="37">
        <v>44555.0</v>
      </c>
      <c r="BE916" s="37">
        <v>44555.0</v>
      </c>
      <c r="BF916" s="36" t="s">
        <v>2926</v>
      </c>
      <c r="BG916" s="36" t="s">
        <v>2941</v>
      </c>
      <c r="BH916" s="38" t="s">
        <v>2942</v>
      </c>
      <c r="FL916" s="36" t="s">
        <v>2933</v>
      </c>
      <c r="FM916" s="36" t="s">
        <v>555</v>
      </c>
    </row>
    <row r="917">
      <c r="A917" s="50">
        <v>44662.639345868054</v>
      </c>
      <c r="B917" s="36" t="s">
        <v>6</v>
      </c>
      <c r="C917" s="36" t="s">
        <v>20</v>
      </c>
      <c r="DX917" s="36" t="s">
        <v>2943</v>
      </c>
      <c r="DY917" s="36" t="s">
        <v>2818</v>
      </c>
      <c r="DZ917" s="36" t="s">
        <v>150</v>
      </c>
      <c r="EA917" s="36" t="s">
        <v>2944</v>
      </c>
      <c r="EB917" s="37">
        <v>43543.0</v>
      </c>
      <c r="EC917" s="36" t="s">
        <v>2945</v>
      </c>
      <c r="ED917" s="38" t="s">
        <v>2946</v>
      </c>
      <c r="FL917" s="36" t="s">
        <v>2822</v>
      </c>
      <c r="FM917" s="36" t="s">
        <v>382</v>
      </c>
    </row>
    <row r="918">
      <c r="A918" s="50">
        <v>44662.639484513886</v>
      </c>
      <c r="B918" s="36" t="s">
        <v>8</v>
      </c>
      <c r="C918" s="36" t="s">
        <v>13</v>
      </c>
      <c r="AX918" s="36" t="s">
        <v>2947</v>
      </c>
      <c r="AY918" s="36" t="s">
        <v>2948</v>
      </c>
      <c r="AZ918" s="36" t="s">
        <v>2949</v>
      </c>
      <c r="BA918" s="36" t="s">
        <v>337</v>
      </c>
      <c r="BB918" s="36" t="s">
        <v>320</v>
      </c>
      <c r="BC918" s="37">
        <v>44470.0</v>
      </c>
      <c r="BD918" s="37">
        <v>44530.0</v>
      </c>
      <c r="BE918" s="37">
        <v>44555.0</v>
      </c>
      <c r="BF918" s="36">
        <v>94.0</v>
      </c>
      <c r="BG918" s="36" t="s">
        <v>1870</v>
      </c>
      <c r="BH918" s="38" t="s">
        <v>2950</v>
      </c>
      <c r="FL918" s="36" t="s">
        <v>2951</v>
      </c>
      <c r="FM918" s="36" t="s">
        <v>323</v>
      </c>
    </row>
    <row r="919">
      <c r="A919" s="50">
        <v>44662.640048761576</v>
      </c>
      <c r="B919" s="36" t="s">
        <v>8</v>
      </c>
      <c r="C919" s="36" t="s">
        <v>13</v>
      </c>
      <c r="AX919" s="36" t="s">
        <v>2908</v>
      </c>
      <c r="AY919" s="36" t="s">
        <v>2909</v>
      </c>
      <c r="AZ919" s="36" t="s">
        <v>2952</v>
      </c>
      <c r="BA919" s="36" t="s">
        <v>2953</v>
      </c>
      <c r="BB919" s="36" t="s">
        <v>310</v>
      </c>
      <c r="BC919" s="37">
        <v>44494.0</v>
      </c>
      <c r="BD919" s="37">
        <v>44555.0</v>
      </c>
      <c r="BE919" s="37">
        <v>44555.0</v>
      </c>
      <c r="BF919" s="36" t="s">
        <v>2926</v>
      </c>
      <c r="BG919" s="36" t="s">
        <v>2911</v>
      </c>
      <c r="BH919" s="38" t="s">
        <v>2954</v>
      </c>
      <c r="FL919" s="36" t="s">
        <v>2913</v>
      </c>
      <c r="FM919" s="36" t="s">
        <v>555</v>
      </c>
    </row>
    <row r="920">
      <c r="A920" s="50">
        <v>44662.64006398148</v>
      </c>
      <c r="B920" s="36" t="s">
        <v>8</v>
      </c>
      <c r="C920" s="36" t="s">
        <v>12</v>
      </c>
      <c r="AN920" s="36" t="s">
        <v>2921</v>
      </c>
      <c r="AO920" s="36" t="s">
        <v>2922</v>
      </c>
      <c r="AP920" s="36" t="s">
        <v>2751</v>
      </c>
      <c r="AQ920" s="36" t="s">
        <v>510</v>
      </c>
      <c r="AR920" s="37">
        <v>44470.0</v>
      </c>
      <c r="AS920" s="37">
        <v>44531.0</v>
      </c>
      <c r="AT920" s="36" t="s">
        <v>257</v>
      </c>
      <c r="AU920" s="36" t="s">
        <v>257</v>
      </c>
      <c r="AV920" s="36">
        <v>0.0</v>
      </c>
      <c r="AW920" s="38" t="s">
        <v>2955</v>
      </c>
      <c r="FL920" s="36" t="s">
        <v>2925</v>
      </c>
      <c r="FM920" s="36" t="s">
        <v>323</v>
      </c>
    </row>
    <row r="921">
      <c r="A921" s="50">
        <v>44662.64108486111</v>
      </c>
      <c r="B921" s="36" t="s">
        <v>8</v>
      </c>
      <c r="C921" s="36" t="s">
        <v>13</v>
      </c>
      <c r="AX921" s="36" t="s">
        <v>1286</v>
      </c>
      <c r="AY921" s="36" t="s">
        <v>1287</v>
      </c>
      <c r="AZ921" s="36" t="s">
        <v>2956</v>
      </c>
      <c r="BA921" s="36" t="s">
        <v>2694</v>
      </c>
      <c r="BB921" s="36" t="s">
        <v>310</v>
      </c>
      <c r="BC921" s="37">
        <v>44494.0</v>
      </c>
      <c r="BD921" s="37">
        <v>44555.0</v>
      </c>
      <c r="BE921" s="37">
        <v>44555.0</v>
      </c>
      <c r="BF921" s="36" t="s">
        <v>2957</v>
      </c>
      <c r="BG921" s="36" t="s">
        <v>2958</v>
      </c>
      <c r="BH921" s="38" t="s">
        <v>2959</v>
      </c>
      <c r="FL921" s="36" t="s">
        <v>2929</v>
      </c>
      <c r="FM921" s="36" t="s">
        <v>555</v>
      </c>
    </row>
    <row r="922">
      <c r="A922" s="50">
        <v>44662.64129666667</v>
      </c>
      <c r="B922" s="36" t="s">
        <v>8</v>
      </c>
      <c r="C922" s="36" t="s">
        <v>13</v>
      </c>
      <c r="AX922" s="36" t="s">
        <v>2908</v>
      </c>
      <c r="AY922" s="36" t="s">
        <v>2909</v>
      </c>
      <c r="AZ922" s="36" t="s">
        <v>2960</v>
      </c>
      <c r="BA922" s="36" t="s">
        <v>2953</v>
      </c>
      <c r="BB922" s="36" t="s">
        <v>310</v>
      </c>
      <c r="BC922" s="37">
        <v>44494.0</v>
      </c>
      <c r="BD922" s="37">
        <v>44555.0</v>
      </c>
      <c r="BE922" s="37">
        <v>44555.0</v>
      </c>
      <c r="BF922" s="36" t="s">
        <v>2926</v>
      </c>
      <c r="BG922" s="36" t="s">
        <v>2911</v>
      </c>
      <c r="BH922" s="38" t="s">
        <v>2961</v>
      </c>
      <c r="FL922" s="36" t="s">
        <v>2913</v>
      </c>
      <c r="FM922" s="36" t="s">
        <v>555</v>
      </c>
    </row>
    <row r="923">
      <c r="A923" s="50">
        <v>44662.64164902778</v>
      </c>
      <c r="B923" s="36" t="s">
        <v>8</v>
      </c>
      <c r="C923" s="36" t="s">
        <v>13</v>
      </c>
      <c r="AX923" s="36" t="s">
        <v>2938</v>
      </c>
      <c r="AY923" s="36" t="s">
        <v>2931</v>
      </c>
      <c r="AZ923" s="36" t="s">
        <v>2962</v>
      </c>
      <c r="BA923" s="36" t="s">
        <v>2940</v>
      </c>
      <c r="BB923" s="36" t="s">
        <v>310</v>
      </c>
      <c r="BC923" s="37">
        <v>44494.0</v>
      </c>
      <c r="BD923" s="37">
        <v>44555.0</v>
      </c>
      <c r="BE923" s="37">
        <v>44555.0</v>
      </c>
      <c r="BF923" s="36" t="s">
        <v>2926</v>
      </c>
      <c r="BG923" s="36" t="s">
        <v>2941</v>
      </c>
      <c r="BH923" s="38" t="s">
        <v>2963</v>
      </c>
      <c r="FL923" s="36" t="s">
        <v>2933</v>
      </c>
      <c r="FM923" s="36" t="s">
        <v>555</v>
      </c>
    </row>
    <row r="924">
      <c r="A924" s="50">
        <v>44662.642779965274</v>
      </c>
      <c r="B924" s="36" t="s">
        <v>8</v>
      </c>
      <c r="C924" s="36" t="s">
        <v>13</v>
      </c>
      <c r="AX924" s="36" t="s">
        <v>2908</v>
      </c>
      <c r="AY924" s="36" t="s">
        <v>2909</v>
      </c>
      <c r="AZ924" s="36" t="s">
        <v>2910</v>
      </c>
      <c r="BA924" s="36" t="s">
        <v>377</v>
      </c>
      <c r="BB924" s="36" t="s">
        <v>310</v>
      </c>
      <c r="BC924" s="37">
        <v>44353.0</v>
      </c>
      <c r="BD924" s="37">
        <v>44414.0</v>
      </c>
      <c r="BE924" s="37">
        <v>44414.0</v>
      </c>
      <c r="BF924" s="36">
        <v>96.0</v>
      </c>
      <c r="BG924" s="36" t="s">
        <v>2911</v>
      </c>
      <c r="BH924" s="38" t="s">
        <v>2964</v>
      </c>
      <c r="FL924" s="36" t="s">
        <v>2913</v>
      </c>
      <c r="FM924" s="36" t="s">
        <v>382</v>
      </c>
    </row>
    <row r="925">
      <c r="A925" s="50">
        <v>44662.643523900464</v>
      </c>
      <c r="B925" s="36" t="s">
        <v>8</v>
      </c>
      <c r="C925" s="36" t="s">
        <v>13</v>
      </c>
      <c r="AX925" s="36" t="s">
        <v>2965</v>
      </c>
      <c r="AY925" s="36" t="s">
        <v>2966</v>
      </c>
      <c r="AZ925" s="36" t="s">
        <v>2715</v>
      </c>
      <c r="BA925" s="36" t="s">
        <v>377</v>
      </c>
      <c r="BB925" s="36" t="s">
        <v>1335</v>
      </c>
      <c r="BC925" s="37">
        <v>44353.0</v>
      </c>
      <c r="BD925" s="37">
        <v>44414.0</v>
      </c>
      <c r="BE925" s="37">
        <v>44414.0</v>
      </c>
      <c r="BF925" s="36">
        <v>90.0</v>
      </c>
      <c r="BG925" s="36" t="s">
        <v>2967</v>
      </c>
      <c r="BH925" s="38" t="s">
        <v>2968</v>
      </c>
      <c r="FL925" s="36" t="s">
        <v>2969</v>
      </c>
      <c r="FM925" s="36" t="s">
        <v>382</v>
      </c>
    </row>
    <row r="926">
      <c r="A926" s="50">
        <v>44662.64463376158</v>
      </c>
      <c r="B926" s="36" t="s">
        <v>7</v>
      </c>
      <c r="C926" s="36" t="s">
        <v>12</v>
      </c>
      <c r="AN926" s="36" t="s">
        <v>2970</v>
      </c>
      <c r="AO926" s="36" t="s">
        <v>2971</v>
      </c>
      <c r="AP926" s="36" t="s">
        <v>309</v>
      </c>
      <c r="AQ926" s="36" t="s">
        <v>507</v>
      </c>
      <c r="AR926" s="37">
        <v>44481.0</v>
      </c>
      <c r="AS926" s="37">
        <v>44573.0</v>
      </c>
      <c r="AT926" s="36" t="s">
        <v>257</v>
      </c>
      <c r="AU926" s="36" t="s">
        <v>257</v>
      </c>
      <c r="AV926" s="36">
        <v>0.0</v>
      </c>
      <c r="AW926" s="38" t="s">
        <v>2972</v>
      </c>
      <c r="FL926" s="36" t="s">
        <v>2973</v>
      </c>
      <c r="FM926" s="36" t="s">
        <v>341</v>
      </c>
    </row>
    <row r="927">
      <c r="A927" s="50">
        <v>44662.64467061343</v>
      </c>
      <c r="B927" s="36" t="s">
        <v>6</v>
      </c>
      <c r="C927" s="36" t="s">
        <v>12</v>
      </c>
      <c r="AN927" s="36" t="s">
        <v>2817</v>
      </c>
      <c r="AO927" s="36" t="s">
        <v>2818</v>
      </c>
      <c r="AP927" s="36" t="s">
        <v>2974</v>
      </c>
      <c r="AQ927" s="36" t="s">
        <v>507</v>
      </c>
      <c r="AR927" s="37">
        <v>44482.0</v>
      </c>
      <c r="AS927" s="37">
        <v>44546.0</v>
      </c>
      <c r="AT927" s="36" t="s">
        <v>257</v>
      </c>
      <c r="AU927" s="36" t="s">
        <v>257</v>
      </c>
      <c r="AV927" s="36">
        <v>0.0</v>
      </c>
      <c r="AW927" s="38" t="s">
        <v>2975</v>
      </c>
      <c r="FL927" s="36" t="s">
        <v>2822</v>
      </c>
      <c r="FM927" s="36" t="s">
        <v>283</v>
      </c>
    </row>
    <row r="928">
      <c r="A928" s="50">
        <v>44662.64636921296</v>
      </c>
      <c r="B928" s="36" t="s">
        <v>8</v>
      </c>
      <c r="C928" s="36" t="s">
        <v>13</v>
      </c>
      <c r="AX928" s="36" t="s">
        <v>1286</v>
      </c>
      <c r="AY928" s="36" t="s">
        <v>1287</v>
      </c>
      <c r="AZ928" s="36" t="s">
        <v>2976</v>
      </c>
      <c r="BA928" s="36" t="s">
        <v>2694</v>
      </c>
      <c r="BB928" s="36" t="s">
        <v>1335</v>
      </c>
      <c r="BC928" s="37">
        <v>44494.0</v>
      </c>
      <c r="BD928" s="37">
        <v>44555.0</v>
      </c>
      <c r="BE928" s="37">
        <v>44555.0</v>
      </c>
      <c r="BF928" s="36" t="s">
        <v>2957</v>
      </c>
      <c r="BG928" s="36" t="s">
        <v>2941</v>
      </c>
      <c r="BH928" s="38" t="s">
        <v>2977</v>
      </c>
      <c r="FL928" s="36" t="s">
        <v>1293</v>
      </c>
      <c r="FM928" s="36" t="s">
        <v>555</v>
      </c>
    </row>
    <row r="929">
      <c r="A929" s="50">
        <v>44662.646442268524</v>
      </c>
      <c r="B929" s="36" t="s">
        <v>7</v>
      </c>
      <c r="C929" s="36" t="s">
        <v>12</v>
      </c>
      <c r="AN929" s="36" t="s">
        <v>2978</v>
      </c>
      <c r="AO929" s="36" t="s">
        <v>2979</v>
      </c>
      <c r="AP929" s="36" t="s">
        <v>2544</v>
      </c>
      <c r="AQ929" s="36" t="s">
        <v>507</v>
      </c>
      <c r="AR929" s="37">
        <v>44481.0</v>
      </c>
      <c r="AS929" s="37">
        <v>44573.0</v>
      </c>
      <c r="AT929" s="36" t="s">
        <v>257</v>
      </c>
      <c r="AU929" s="36" t="s">
        <v>257</v>
      </c>
      <c r="AV929" s="36">
        <v>0.0</v>
      </c>
      <c r="AW929" s="38" t="s">
        <v>2980</v>
      </c>
      <c r="FL929" s="36" t="s">
        <v>2981</v>
      </c>
      <c r="FM929" s="36" t="s">
        <v>341</v>
      </c>
    </row>
    <row r="930">
      <c r="A930" s="50">
        <v>44662.646577210646</v>
      </c>
      <c r="B930" s="36" t="s">
        <v>8</v>
      </c>
      <c r="C930" s="36" t="s">
        <v>14</v>
      </c>
      <c r="BI930" s="36" t="s">
        <v>2938</v>
      </c>
      <c r="BJ930" s="36" t="s">
        <v>2931</v>
      </c>
      <c r="BK930" s="36" t="s">
        <v>313</v>
      </c>
      <c r="BL930" s="36" t="s">
        <v>1288</v>
      </c>
      <c r="BM930" s="36" t="s">
        <v>2982</v>
      </c>
      <c r="BN930" s="36">
        <v>2.0</v>
      </c>
      <c r="BO930" s="37">
        <v>44650.0</v>
      </c>
      <c r="BP930" s="37">
        <v>44651.0</v>
      </c>
      <c r="BQ930" s="36" t="s">
        <v>2983</v>
      </c>
      <c r="BR930" s="36" t="s">
        <v>2984</v>
      </c>
      <c r="BS930" s="36" t="s">
        <v>176</v>
      </c>
      <c r="BT930" s="36" t="s">
        <v>632</v>
      </c>
      <c r="BU930" s="36">
        <v>800.0</v>
      </c>
      <c r="BV930" s="38" t="s">
        <v>2985</v>
      </c>
      <c r="FL930" s="36" t="s">
        <v>2933</v>
      </c>
      <c r="FM930" s="36" t="s">
        <v>323</v>
      </c>
    </row>
    <row r="931">
      <c r="A931" s="50">
        <v>44662.64683643519</v>
      </c>
      <c r="B931" s="36" t="s">
        <v>8</v>
      </c>
      <c r="C931" s="36" t="s">
        <v>13</v>
      </c>
      <c r="AX931" s="36" t="s">
        <v>2986</v>
      </c>
      <c r="AY931" s="36" t="s">
        <v>2966</v>
      </c>
      <c r="AZ931" s="36" t="s">
        <v>2987</v>
      </c>
      <c r="BA931" s="36" t="s">
        <v>2988</v>
      </c>
      <c r="BB931" s="36" t="s">
        <v>310</v>
      </c>
      <c r="BC931" s="37">
        <v>44494.0</v>
      </c>
      <c r="BD931" s="37">
        <v>44555.0</v>
      </c>
      <c r="BE931" s="37">
        <v>44555.0</v>
      </c>
      <c r="BF931" s="36" t="s">
        <v>2926</v>
      </c>
      <c r="BG931" s="36" t="s">
        <v>2989</v>
      </c>
      <c r="BH931" s="38" t="s">
        <v>2990</v>
      </c>
      <c r="FL931" s="36" t="s">
        <v>2969</v>
      </c>
      <c r="FM931" s="36" t="s">
        <v>555</v>
      </c>
    </row>
    <row r="932">
      <c r="A932" s="50">
        <v>44662.64860560185</v>
      </c>
      <c r="B932" s="36" t="s">
        <v>8</v>
      </c>
      <c r="C932" s="36" t="s">
        <v>13</v>
      </c>
      <c r="AX932" s="36" t="s">
        <v>1294</v>
      </c>
      <c r="AY932" s="36" t="s">
        <v>1295</v>
      </c>
      <c r="AZ932" s="36" t="s">
        <v>2991</v>
      </c>
      <c r="BA932" s="36" t="s">
        <v>2992</v>
      </c>
      <c r="BB932" s="36" t="s">
        <v>310</v>
      </c>
      <c r="BC932" s="37">
        <v>44494.0</v>
      </c>
      <c r="BD932" s="37">
        <v>44555.0</v>
      </c>
      <c r="BE932" s="37">
        <v>44555.0</v>
      </c>
      <c r="BF932" s="36" t="s">
        <v>2993</v>
      </c>
      <c r="BG932" s="36" t="s">
        <v>2994</v>
      </c>
      <c r="BH932" s="38" t="s">
        <v>2995</v>
      </c>
      <c r="FL932" s="36" t="s">
        <v>1300</v>
      </c>
      <c r="FM932" s="36" t="s">
        <v>382</v>
      </c>
    </row>
    <row r="933">
      <c r="A933" s="50">
        <v>44662.64949943287</v>
      </c>
      <c r="B933" s="36" t="s">
        <v>8</v>
      </c>
      <c r="C933" s="36" t="s">
        <v>13</v>
      </c>
      <c r="AX933" s="36" t="s">
        <v>2986</v>
      </c>
      <c r="AY933" s="36" t="s">
        <v>2966</v>
      </c>
      <c r="AZ933" s="36" t="s">
        <v>2996</v>
      </c>
      <c r="BA933" s="36" t="s">
        <v>2997</v>
      </c>
      <c r="BB933" s="36" t="s">
        <v>1854</v>
      </c>
      <c r="BC933" s="37">
        <v>44650.0</v>
      </c>
      <c r="BD933" s="37">
        <v>44651.0</v>
      </c>
      <c r="BE933" s="37">
        <v>44651.0</v>
      </c>
      <c r="BF933" s="36" t="s">
        <v>2926</v>
      </c>
      <c r="BG933" s="36" t="s">
        <v>2998</v>
      </c>
      <c r="BH933" s="38" t="s">
        <v>2999</v>
      </c>
      <c r="FL933" s="36" t="s">
        <v>2969</v>
      </c>
      <c r="FM933" s="36" t="s">
        <v>323</v>
      </c>
    </row>
    <row r="934">
      <c r="A934" s="50">
        <v>44662.64978111111</v>
      </c>
      <c r="B934" s="36" t="s">
        <v>8</v>
      </c>
      <c r="C934" s="36" t="s">
        <v>13</v>
      </c>
      <c r="AX934" s="36" t="s">
        <v>3000</v>
      </c>
      <c r="AY934" s="36" t="s">
        <v>3001</v>
      </c>
      <c r="AZ934" s="36" t="s">
        <v>2330</v>
      </c>
      <c r="BA934" s="36" t="s">
        <v>337</v>
      </c>
      <c r="BB934" s="36" t="s">
        <v>310</v>
      </c>
      <c r="BC934" s="37">
        <v>44378.0</v>
      </c>
      <c r="BD934" s="37">
        <v>44440.0</v>
      </c>
      <c r="BE934" s="37">
        <v>44464.0</v>
      </c>
      <c r="BF934" s="36">
        <v>95.0</v>
      </c>
      <c r="BG934" s="36" t="s">
        <v>3002</v>
      </c>
      <c r="BH934" s="38" t="s">
        <v>3003</v>
      </c>
      <c r="FL934" s="36" t="s">
        <v>3004</v>
      </c>
      <c r="FM934" s="36" t="s">
        <v>323</v>
      </c>
    </row>
    <row r="935">
      <c r="A935" s="50">
        <v>44662.65087415509</v>
      </c>
      <c r="B935" s="36" t="s">
        <v>8</v>
      </c>
      <c r="C935" s="36" t="s">
        <v>13</v>
      </c>
      <c r="AX935" s="36" t="s">
        <v>1294</v>
      </c>
      <c r="AY935" s="36" t="s">
        <v>1295</v>
      </c>
      <c r="AZ935" s="36" t="s">
        <v>3005</v>
      </c>
      <c r="BA935" s="36" t="s">
        <v>3006</v>
      </c>
      <c r="BB935" s="36" t="s">
        <v>310</v>
      </c>
      <c r="BC935" s="37">
        <v>44494.0</v>
      </c>
      <c r="BD935" s="37">
        <v>44555.0</v>
      </c>
      <c r="BE935" s="37">
        <v>44555.0</v>
      </c>
      <c r="BF935" s="36" t="s">
        <v>2993</v>
      </c>
      <c r="BG935" s="36" t="s">
        <v>2994</v>
      </c>
      <c r="BH935" s="38" t="s">
        <v>3007</v>
      </c>
      <c r="FL935" s="36" t="s">
        <v>1300</v>
      </c>
      <c r="FM935" s="36" t="s">
        <v>555</v>
      </c>
    </row>
    <row r="936">
      <c r="A936" s="50">
        <v>44662.65135383102</v>
      </c>
      <c r="B936" s="36" t="s">
        <v>8</v>
      </c>
      <c r="C936" s="36" t="s">
        <v>13</v>
      </c>
      <c r="AX936" s="36" t="s">
        <v>1286</v>
      </c>
      <c r="AY936" s="36" t="s">
        <v>1287</v>
      </c>
      <c r="AZ936" s="36" t="s">
        <v>3008</v>
      </c>
      <c r="BA936" s="36" t="s">
        <v>3009</v>
      </c>
      <c r="BB936" s="36" t="s">
        <v>320</v>
      </c>
      <c r="BC936" s="37">
        <v>44478.0</v>
      </c>
      <c r="BD936" s="37">
        <v>44494.0</v>
      </c>
      <c r="BE936" s="37">
        <v>44555.0</v>
      </c>
      <c r="BF936" s="36" t="s">
        <v>2926</v>
      </c>
      <c r="BG936" s="36" t="s">
        <v>3010</v>
      </c>
      <c r="BH936" s="38" t="s">
        <v>3011</v>
      </c>
      <c r="FL936" s="36" t="s">
        <v>1293</v>
      </c>
      <c r="FM936" s="36" t="s">
        <v>555</v>
      </c>
    </row>
    <row r="937">
      <c r="A937" s="50">
        <v>44662.65246582176</v>
      </c>
      <c r="B937" s="36" t="s">
        <v>8</v>
      </c>
      <c r="C937" s="36" t="s">
        <v>13</v>
      </c>
      <c r="AX937" s="36" t="s">
        <v>2908</v>
      </c>
      <c r="AY937" s="36" t="s">
        <v>2909</v>
      </c>
      <c r="AZ937" s="36" t="s">
        <v>3012</v>
      </c>
      <c r="BA937" s="36" t="s">
        <v>3013</v>
      </c>
      <c r="BB937" s="36" t="s">
        <v>310</v>
      </c>
      <c r="BC937" s="37">
        <v>44494.0</v>
      </c>
      <c r="BD937" s="37">
        <v>44555.0</v>
      </c>
      <c r="BE937" s="37">
        <v>44555.0</v>
      </c>
      <c r="BF937" s="36" t="s">
        <v>2926</v>
      </c>
      <c r="BG937" s="36" t="s">
        <v>2911</v>
      </c>
      <c r="BH937" s="38" t="s">
        <v>3014</v>
      </c>
      <c r="FL937" s="36" t="s">
        <v>2913</v>
      </c>
      <c r="FM937" s="36" t="s">
        <v>555</v>
      </c>
    </row>
    <row r="938">
      <c r="A938" s="50">
        <v>44662.65468118056</v>
      </c>
      <c r="B938" s="36" t="s">
        <v>8</v>
      </c>
      <c r="C938" s="36" t="s">
        <v>13</v>
      </c>
      <c r="AX938" s="36" t="s">
        <v>2908</v>
      </c>
      <c r="AY938" s="36" t="s">
        <v>2909</v>
      </c>
      <c r="AZ938" s="36" t="s">
        <v>3015</v>
      </c>
      <c r="BA938" s="36" t="s">
        <v>2819</v>
      </c>
      <c r="BB938" s="36" t="s">
        <v>450</v>
      </c>
      <c r="BC938" s="37">
        <v>44562.0</v>
      </c>
      <c r="BD938" s="37">
        <v>44651.0</v>
      </c>
      <c r="BE938" s="37">
        <v>44651.0</v>
      </c>
      <c r="BF938" s="36" t="s">
        <v>2926</v>
      </c>
      <c r="BG938" s="36" t="s">
        <v>2911</v>
      </c>
      <c r="BH938" s="38" t="s">
        <v>3016</v>
      </c>
      <c r="FL938" s="36" t="s">
        <v>2913</v>
      </c>
      <c r="FM938" s="36" t="s">
        <v>555</v>
      </c>
    </row>
    <row r="939">
      <c r="A939" s="50">
        <v>44662.654966111106</v>
      </c>
      <c r="B939" s="36" t="s">
        <v>8</v>
      </c>
      <c r="C939" s="36" t="s">
        <v>13</v>
      </c>
      <c r="AX939" s="36" t="s">
        <v>1294</v>
      </c>
      <c r="AY939" s="36" t="s">
        <v>1295</v>
      </c>
      <c r="AZ939" s="36" t="s">
        <v>3015</v>
      </c>
      <c r="BA939" s="36" t="s">
        <v>900</v>
      </c>
      <c r="BB939" s="36" t="s">
        <v>450</v>
      </c>
      <c r="BC939" s="37">
        <v>44562.0</v>
      </c>
      <c r="BD939" s="37">
        <v>44651.0</v>
      </c>
      <c r="BE939" s="37">
        <v>44651.0</v>
      </c>
      <c r="BF939" s="36" t="s">
        <v>2993</v>
      </c>
      <c r="BG939" s="36" t="s">
        <v>3017</v>
      </c>
      <c r="BH939" s="38" t="s">
        <v>3018</v>
      </c>
      <c r="FL939" s="36" t="s">
        <v>1300</v>
      </c>
      <c r="FM939" s="36" t="s">
        <v>555</v>
      </c>
    </row>
    <row r="940">
      <c r="A940" s="50">
        <v>44662.65544731481</v>
      </c>
      <c r="B940" s="36" t="s">
        <v>8</v>
      </c>
      <c r="C940" s="36" t="s">
        <v>13</v>
      </c>
      <c r="AX940" s="36" t="s">
        <v>1286</v>
      </c>
      <c r="AY940" s="36" t="s">
        <v>1287</v>
      </c>
      <c r="AZ940" s="36" t="s">
        <v>3019</v>
      </c>
      <c r="BA940" s="36" t="s">
        <v>2849</v>
      </c>
      <c r="BB940" s="36" t="s">
        <v>1068</v>
      </c>
      <c r="BC940" s="37">
        <v>44562.0</v>
      </c>
      <c r="BD940" s="37">
        <v>44651.0</v>
      </c>
      <c r="BE940" s="37">
        <v>44651.0</v>
      </c>
      <c r="BF940" s="36" t="s">
        <v>2926</v>
      </c>
      <c r="BG940" s="36" t="s">
        <v>3010</v>
      </c>
      <c r="BH940" s="38" t="s">
        <v>3020</v>
      </c>
      <c r="FL940" s="36" t="s">
        <v>1293</v>
      </c>
      <c r="FM940" s="36" t="s">
        <v>555</v>
      </c>
    </row>
    <row r="941">
      <c r="A941" s="50">
        <v>44662.65651385416</v>
      </c>
      <c r="B941" s="36" t="s">
        <v>8</v>
      </c>
      <c r="C941" s="36" t="s">
        <v>13</v>
      </c>
      <c r="AX941" s="36" t="s">
        <v>3021</v>
      </c>
      <c r="AY941" s="36" t="s">
        <v>3022</v>
      </c>
      <c r="AZ941" s="36" t="s">
        <v>2330</v>
      </c>
      <c r="BA941" s="36" t="s">
        <v>3023</v>
      </c>
      <c r="BB941" s="36" t="s">
        <v>510</v>
      </c>
      <c r="BC941" s="37">
        <v>44333.0</v>
      </c>
      <c r="BD941" s="37">
        <v>44394.0</v>
      </c>
      <c r="BE941" s="37">
        <v>44394.0</v>
      </c>
      <c r="BF941" s="36">
        <v>94.0</v>
      </c>
      <c r="BG941" s="36" t="s">
        <v>3024</v>
      </c>
      <c r="BH941" s="38" t="s">
        <v>3025</v>
      </c>
      <c r="FL941" s="36" t="s">
        <v>3026</v>
      </c>
      <c r="FM941" s="36" t="s">
        <v>382</v>
      </c>
    </row>
    <row r="942">
      <c r="A942" s="50">
        <v>44662.65683097222</v>
      </c>
      <c r="B942" s="36" t="s">
        <v>8</v>
      </c>
      <c r="C942" s="36" t="s">
        <v>13</v>
      </c>
      <c r="AX942" s="36" t="s">
        <v>3027</v>
      </c>
      <c r="AY942" s="36" t="s">
        <v>3028</v>
      </c>
      <c r="AZ942" s="36" t="s">
        <v>2367</v>
      </c>
      <c r="BA942" s="36" t="s">
        <v>3029</v>
      </c>
      <c r="BB942" s="36" t="s">
        <v>310</v>
      </c>
      <c r="BC942" s="37">
        <v>44524.0</v>
      </c>
      <c r="BD942" s="37">
        <v>44585.0</v>
      </c>
      <c r="BE942" s="37">
        <v>44585.0</v>
      </c>
      <c r="BF942" s="51">
        <v>0.95</v>
      </c>
      <c r="BG942" s="36" t="s">
        <v>3030</v>
      </c>
      <c r="BH942" s="38" t="s">
        <v>3031</v>
      </c>
      <c r="FL942" s="36" t="s">
        <v>3032</v>
      </c>
      <c r="FM942" s="36" t="s">
        <v>555</v>
      </c>
    </row>
    <row r="943">
      <c r="A943" s="50">
        <v>44662.65825412037</v>
      </c>
      <c r="B943" s="36" t="s">
        <v>8</v>
      </c>
      <c r="C943" s="36" t="s">
        <v>13</v>
      </c>
      <c r="AX943" s="36" t="s">
        <v>3033</v>
      </c>
      <c r="AY943" s="36" t="s">
        <v>3034</v>
      </c>
      <c r="AZ943" s="36" t="s">
        <v>2334</v>
      </c>
      <c r="BA943" s="36" t="s">
        <v>3023</v>
      </c>
      <c r="BB943" s="36" t="s">
        <v>348</v>
      </c>
      <c r="BC943" s="37">
        <v>44524.0</v>
      </c>
      <c r="BD943" s="37">
        <v>44585.0</v>
      </c>
      <c r="BE943" s="37">
        <v>44585.0</v>
      </c>
      <c r="BF943" s="51">
        <v>0.92</v>
      </c>
      <c r="BG943" s="36" t="s">
        <v>3035</v>
      </c>
      <c r="BH943" s="38" t="s">
        <v>3036</v>
      </c>
      <c r="FL943" s="36" t="s">
        <v>3037</v>
      </c>
      <c r="FM943" s="36" t="s">
        <v>555</v>
      </c>
    </row>
    <row r="944">
      <c r="A944" s="50">
        <v>44662.65890204861</v>
      </c>
      <c r="B944" s="36" t="s">
        <v>8</v>
      </c>
      <c r="C944" s="36" t="s">
        <v>13</v>
      </c>
      <c r="AX944" s="36" t="s">
        <v>2904</v>
      </c>
      <c r="AY944" s="36" t="s">
        <v>1295</v>
      </c>
      <c r="AZ944" s="36" t="s">
        <v>3038</v>
      </c>
      <c r="BA944" s="36" t="s">
        <v>3009</v>
      </c>
      <c r="BB944" s="36" t="s">
        <v>1335</v>
      </c>
      <c r="BC944" s="37">
        <v>44494.0</v>
      </c>
      <c r="BD944" s="37">
        <v>44555.0</v>
      </c>
      <c r="BE944" s="37">
        <v>44555.0</v>
      </c>
      <c r="BF944" s="36" t="s">
        <v>2926</v>
      </c>
      <c r="BG944" s="36" t="s">
        <v>3017</v>
      </c>
      <c r="BH944" s="38" t="s">
        <v>3039</v>
      </c>
      <c r="FL944" s="36" t="s">
        <v>1300</v>
      </c>
      <c r="FM944" s="36" t="s">
        <v>555</v>
      </c>
    </row>
    <row r="945">
      <c r="A945" s="50">
        <v>44662.6594197338</v>
      </c>
      <c r="B945" s="36" t="s">
        <v>8</v>
      </c>
      <c r="C945" s="36" t="s">
        <v>13</v>
      </c>
      <c r="AX945" s="36" t="s">
        <v>2277</v>
      </c>
      <c r="AY945" s="36" t="s">
        <v>2278</v>
      </c>
      <c r="AZ945" s="36" t="s">
        <v>2715</v>
      </c>
      <c r="BA945" s="36" t="s">
        <v>377</v>
      </c>
      <c r="BB945" s="36" t="s">
        <v>507</v>
      </c>
      <c r="BC945" s="37">
        <v>44298.0</v>
      </c>
      <c r="BD945" s="37">
        <v>44387.0</v>
      </c>
      <c r="BE945" s="37">
        <v>44387.0</v>
      </c>
      <c r="BF945" s="51">
        <v>0.9</v>
      </c>
      <c r="BG945" s="36" t="s">
        <v>3040</v>
      </c>
      <c r="BH945" s="38" t="s">
        <v>3041</v>
      </c>
      <c r="FL945" s="36" t="s">
        <v>2280</v>
      </c>
      <c r="FM945" s="36" t="s">
        <v>323</v>
      </c>
    </row>
    <row r="946">
      <c r="A946" s="50">
        <v>44662.65990295139</v>
      </c>
      <c r="B946" s="36" t="s">
        <v>8</v>
      </c>
      <c r="C946" s="36" t="s">
        <v>13</v>
      </c>
      <c r="AX946" s="36" t="s">
        <v>2938</v>
      </c>
      <c r="AY946" s="36" t="s">
        <v>2931</v>
      </c>
      <c r="AZ946" s="36" t="s">
        <v>3042</v>
      </c>
      <c r="BA946" s="36" t="s">
        <v>3043</v>
      </c>
      <c r="BB946" s="36" t="s">
        <v>310</v>
      </c>
      <c r="BC946" s="37">
        <v>44494.0</v>
      </c>
      <c r="BD946" s="37">
        <v>44555.0</v>
      </c>
      <c r="BE946" s="37">
        <v>44555.0</v>
      </c>
      <c r="BF946" s="36" t="s">
        <v>2926</v>
      </c>
      <c r="BG946" s="36" t="s">
        <v>2941</v>
      </c>
      <c r="BH946" s="38" t="s">
        <v>3044</v>
      </c>
      <c r="FL946" s="36" t="s">
        <v>2933</v>
      </c>
      <c r="FM946" s="36" t="s">
        <v>555</v>
      </c>
    </row>
    <row r="947">
      <c r="A947" s="50">
        <v>44662.660242453705</v>
      </c>
      <c r="B947" s="36" t="s">
        <v>8</v>
      </c>
      <c r="C947" s="36" t="s">
        <v>12</v>
      </c>
      <c r="AN947" s="36" t="s">
        <v>3027</v>
      </c>
      <c r="AO947" s="36" t="s">
        <v>3028</v>
      </c>
      <c r="AP947" s="36" t="s">
        <v>443</v>
      </c>
      <c r="AQ947" s="36" t="s">
        <v>450</v>
      </c>
      <c r="AR947" s="37">
        <v>44481.0</v>
      </c>
      <c r="AS947" s="37">
        <v>44542.0</v>
      </c>
      <c r="AT947" s="36" t="s">
        <v>257</v>
      </c>
      <c r="AU947" s="36" t="s">
        <v>257</v>
      </c>
      <c r="AV947" s="36">
        <v>0.0</v>
      </c>
      <c r="AW947" s="38" t="s">
        <v>3045</v>
      </c>
      <c r="FL947" s="36" t="s">
        <v>3032</v>
      </c>
      <c r="FM947" s="36" t="s">
        <v>555</v>
      </c>
    </row>
    <row r="948">
      <c r="A948" s="50">
        <v>44662.66090649305</v>
      </c>
      <c r="B948" s="36" t="s">
        <v>8</v>
      </c>
      <c r="C948" s="36" t="s">
        <v>13</v>
      </c>
      <c r="AX948" s="36" t="s">
        <v>3046</v>
      </c>
      <c r="AY948" s="36" t="s">
        <v>3047</v>
      </c>
      <c r="AZ948" s="36" t="s">
        <v>856</v>
      </c>
      <c r="BA948" s="36" t="s">
        <v>3023</v>
      </c>
      <c r="BB948" s="36" t="s">
        <v>310</v>
      </c>
      <c r="BC948" s="37">
        <v>44333.0</v>
      </c>
      <c r="BD948" s="37">
        <v>44394.0</v>
      </c>
      <c r="BE948" s="37">
        <v>44394.0</v>
      </c>
      <c r="BF948" s="51">
        <v>0.92</v>
      </c>
      <c r="BG948" s="36" t="s">
        <v>3048</v>
      </c>
      <c r="BH948" s="38" t="s">
        <v>3049</v>
      </c>
      <c r="FL948" s="36" t="s">
        <v>3037</v>
      </c>
      <c r="FM948" s="36" t="s">
        <v>382</v>
      </c>
    </row>
    <row r="949">
      <c r="A949" s="50">
        <v>44662.66119315972</v>
      </c>
      <c r="B949" s="36" t="s">
        <v>8</v>
      </c>
      <c r="C949" s="36" t="s">
        <v>13</v>
      </c>
      <c r="AX949" s="36" t="s">
        <v>3021</v>
      </c>
      <c r="AY949" s="36" t="s">
        <v>3022</v>
      </c>
      <c r="AZ949" s="36" t="s">
        <v>2334</v>
      </c>
      <c r="BA949" s="36" t="s">
        <v>3023</v>
      </c>
      <c r="BB949" s="36" t="s">
        <v>310</v>
      </c>
      <c r="BC949" s="37">
        <v>44514.0</v>
      </c>
      <c r="BD949" s="37">
        <v>44575.0</v>
      </c>
      <c r="BE949" s="37">
        <v>44575.0</v>
      </c>
      <c r="BF949" s="36">
        <v>94.0</v>
      </c>
      <c r="BG949" s="36" t="s">
        <v>3024</v>
      </c>
      <c r="BH949" s="38" t="s">
        <v>3050</v>
      </c>
      <c r="FL949" s="36" t="s">
        <v>3026</v>
      </c>
      <c r="FM949" s="36" t="s">
        <v>555</v>
      </c>
    </row>
    <row r="950">
      <c r="A950" s="50">
        <v>44662.66155628472</v>
      </c>
      <c r="B950" s="36" t="s">
        <v>8</v>
      </c>
      <c r="C950" s="36" t="s">
        <v>12</v>
      </c>
      <c r="AN950" s="36" t="s">
        <v>3051</v>
      </c>
      <c r="AO950" s="36" t="s">
        <v>3052</v>
      </c>
      <c r="AP950" s="36" t="s">
        <v>309</v>
      </c>
      <c r="AQ950" s="36" t="s">
        <v>391</v>
      </c>
      <c r="AR950" s="37">
        <v>44481.0</v>
      </c>
      <c r="AS950" s="37">
        <v>44542.0</v>
      </c>
      <c r="AT950" s="36" t="s">
        <v>257</v>
      </c>
      <c r="AU950" s="36" t="s">
        <v>257</v>
      </c>
      <c r="AV950" s="36">
        <v>0.0</v>
      </c>
      <c r="AW950" s="38" t="s">
        <v>3053</v>
      </c>
      <c r="FL950" s="36" t="s">
        <v>3054</v>
      </c>
      <c r="FM950" s="36" t="s">
        <v>323</v>
      </c>
    </row>
    <row r="951">
      <c r="A951" s="50">
        <v>44662.66419043981</v>
      </c>
      <c r="B951" s="36" t="s">
        <v>8</v>
      </c>
      <c r="C951" s="36" t="s">
        <v>12</v>
      </c>
      <c r="AN951" s="36" t="s">
        <v>3051</v>
      </c>
      <c r="AO951" s="36" t="s">
        <v>3052</v>
      </c>
      <c r="AP951" s="36" t="s">
        <v>900</v>
      </c>
      <c r="AQ951" s="36" t="s">
        <v>310</v>
      </c>
      <c r="AR951" s="37">
        <v>44326.0</v>
      </c>
      <c r="AS951" s="37">
        <v>44752.0</v>
      </c>
      <c r="AT951" s="36" t="s">
        <v>257</v>
      </c>
      <c r="AU951" s="36" t="s">
        <v>257</v>
      </c>
      <c r="AV951" s="36">
        <v>0.0</v>
      </c>
      <c r="AW951" s="38" t="s">
        <v>3055</v>
      </c>
      <c r="FL951" s="36" t="s">
        <v>3054</v>
      </c>
      <c r="FM951" s="36" t="s">
        <v>323</v>
      </c>
    </row>
    <row r="952">
      <c r="A952" s="50">
        <v>44662.664256516204</v>
      </c>
      <c r="B952" s="36" t="s">
        <v>6</v>
      </c>
      <c r="C952" s="36" t="s">
        <v>27</v>
      </c>
      <c r="FL952" s="36" t="s">
        <v>3056</v>
      </c>
      <c r="FM952" s="36" t="s">
        <v>260</v>
      </c>
      <c r="GF952" s="36" t="s">
        <v>3057</v>
      </c>
      <c r="GG952" s="36" t="s">
        <v>3058</v>
      </c>
      <c r="GH952" s="36" t="s">
        <v>1248</v>
      </c>
      <c r="GI952" s="37">
        <v>44662.0</v>
      </c>
      <c r="GJ952" s="38" t="s">
        <v>3059</v>
      </c>
      <c r="GK952" s="36" t="s">
        <v>3060</v>
      </c>
      <c r="GL952" s="36" t="s">
        <v>3061</v>
      </c>
    </row>
    <row r="953">
      <c r="A953" s="50">
        <v>44662.66449402778</v>
      </c>
      <c r="B953" s="36" t="s">
        <v>6</v>
      </c>
      <c r="C953" s="36" t="s">
        <v>13</v>
      </c>
      <c r="AX953" s="36" t="s">
        <v>3062</v>
      </c>
      <c r="AY953" s="36" t="s">
        <v>3063</v>
      </c>
      <c r="AZ953" s="36" t="s">
        <v>790</v>
      </c>
      <c r="BA953" s="36" t="s">
        <v>3064</v>
      </c>
      <c r="BB953" s="36" t="s">
        <v>495</v>
      </c>
      <c r="BC953" s="37">
        <v>43586.0</v>
      </c>
      <c r="BD953" s="37">
        <v>43617.0</v>
      </c>
      <c r="BE953" s="37">
        <v>43617.0</v>
      </c>
      <c r="BF953" s="36">
        <v>79.0</v>
      </c>
      <c r="BG953" s="36" t="s">
        <v>3065</v>
      </c>
      <c r="BH953" s="38" t="s">
        <v>3066</v>
      </c>
      <c r="FL953" s="36" t="s">
        <v>3067</v>
      </c>
      <c r="FM953" s="36" t="s">
        <v>260</v>
      </c>
    </row>
    <row r="954">
      <c r="A954" s="50">
        <v>44662.66514549768</v>
      </c>
      <c r="B954" s="36" t="s">
        <v>6</v>
      </c>
      <c r="C954" s="36" t="s">
        <v>27</v>
      </c>
      <c r="FL954" s="36" t="s">
        <v>3056</v>
      </c>
      <c r="FM954" s="36" t="s">
        <v>260</v>
      </c>
      <c r="GF954" s="36" t="s">
        <v>3057</v>
      </c>
      <c r="GG954" s="36" t="s">
        <v>3058</v>
      </c>
      <c r="GH954" s="36" t="s">
        <v>518</v>
      </c>
      <c r="GI954" s="37">
        <v>44662.0</v>
      </c>
      <c r="GJ954" s="38" t="s">
        <v>3068</v>
      </c>
      <c r="GK954" s="36" t="s">
        <v>3060</v>
      </c>
      <c r="GL954" s="36" t="s">
        <v>3061</v>
      </c>
    </row>
    <row r="955">
      <c r="A955" s="50">
        <v>44662.665362858796</v>
      </c>
      <c r="B955" s="36" t="s">
        <v>6</v>
      </c>
      <c r="C955" s="36" t="s">
        <v>27</v>
      </c>
      <c r="FL955" s="36" t="s">
        <v>3069</v>
      </c>
      <c r="FM955" s="36" t="s">
        <v>260</v>
      </c>
      <c r="GF955" s="36" t="s">
        <v>3070</v>
      </c>
      <c r="GG955" s="36" t="s">
        <v>3071</v>
      </c>
      <c r="GH955" s="36" t="s">
        <v>269</v>
      </c>
      <c r="GI955" s="37">
        <v>44774.0</v>
      </c>
      <c r="GJ955" s="38" t="s">
        <v>3072</v>
      </c>
      <c r="GK955" s="36" t="s">
        <v>3073</v>
      </c>
      <c r="GL955" s="36">
        <v>3.36</v>
      </c>
    </row>
    <row r="956">
      <c r="A956" s="50">
        <v>44662.66611751157</v>
      </c>
      <c r="B956" s="36" t="s">
        <v>6</v>
      </c>
      <c r="C956" s="36" t="s">
        <v>12</v>
      </c>
      <c r="AN956" s="36" t="s">
        <v>3057</v>
      </c>
      <c r="AO956" s="36" t="s">
        <v>3058</v>
      </c>
      <c r="AP956" s="36" t="s">
        <v>1248</v>
      </c>
      <c r="AQ956" s="36" t="s">
        <v>417</v>
      </c>
      <c r="AR956" s="37">
        <v>44642.0</v>
      </c>
      <c r="AS956" s="37">
        <v>44713.0</v>
      </c>
      <c r="AT956" s="36" t="s">
        <v>256</v>
      </c>
      <c r="AU956" s="36" t="s">
        <v>257</v>
      </c>
      <c r="AV956" s="36">
        <v>10000.0</v>
      </c>
      <c r="AW956" s="38" t="s">
        <v>3074</v>
      </c>
      <c r="FL956" s="36" t="s">
        <v>3056</v>
      </c>
      <c r="FM956" s="36" t="s">
        <v>260</v>
      </c>
    </row>
    <row r="957">
      <c r="A957" s="50">
        <v>44662.66641710648</v>
      </c>
      <c r="B957" s="36" t="s">
        <v>6</v>
      </c>
      <c r="C957" s="36" t="s">
        <v>12</v>
      </c>
      <c r="AN957" s="36" t="s">
        <v>3075</v>
      </c>
      <c r="AO957" s="36" t="s">
        <v>3076</v>
      </c>
      <c r="AP957" s="36" t="s">
        <v>3077</v>
      </c>
      <c r="AQ957" s="36" t="s">
        <v>450</v>
      </c>
      <c r="AR957" s="37">
        <v>44650.0</v>
      </c>
      <c r="AS957" s="37">
        <v>44742.0</v>
      </c>
      <c r="AT957" s="36" t="s">
        <v>256</v>
      </c>
      <c r="AU957" s="36" t="s">
        <v>257</v>
      </c>
      <c r="AV957" s="36">
        <v>20000.0</v>
      </c>
      <c r="AW957" s="38" t="s">
        <v>3078</v>
      </c>
      <c r="FL957" s="36" t="s">
        <v>3079</v>
      </c>
      <c r="FM957" s="36" t="s">
        <v>260</v>
      </c>
    </row>
    <row r="958">
      <c r="A958" s="50">
        <v>44662.666490324074</v>
      </c>
      <c r="B958" s="36" t="s">
        <v>8</v>
      </c>
      <c r="C958" s="36" t="s">
        <v>13</v>
      </c>
      <c r="AX958" s="36" t="s">
        <v>3080</v>
      </c>
      <c r="AY958" s="36" t="s">
        <v>3081</v>
      </c>
      <c r="AZ958" s="36" t="s">
        <v>2715</v>
      </c>
      <c r="BA958" s="36" t="s">
        <v>2819</v>
      </c>
      <c r="BB958" s="36" t="s">
        <v>348</v>
      </c>
      <c r="BC958" s="37">
        <v>44378.0</v>
      </c>
      <c r="BD958" s="37">
        <v>44440.0</v>
      </c>
      <c r="BE958" s="37">
        <v>44440.0</v>
      </c>
      <c r="BF958" s="36">
        <v>95.0</v>
      </c>
      <c r="BG958" s="36" t="s">
        <v>3082</v>
      </c>
      <c r="BH958" s="38" t="s">
        <v>3083</v>
      </c>
      <c r="FL958" s="36" t="s">
        <v>3084</v>
      </c>
      <c r="FM958" s="36" t="s">
        <v>323</v>
      </c>
    </row>
    <row r="959">
      <c r="A959" s="50">
        <v>44662.666954733795</v>
      </c>
      <c r="B959" s="36" t="s">
        <v>6</v>
      </c>
      <c r="C959" s="36" t="s">
        <v>14</v>
      </c>
      <c r="BI959" s="36" t="s">
        <v>3062</v>
      </c>
      <c r="BJ959" s="36" t="s">
        <v>3063</v>
      </c>
      <c r="BK959" s="36" t="s">
        <v>150</v>
      </c>
      <c r="BL959" s="36" t="s">
        <v>1288</v>
      </c>
      <c r="BM959" s="36" t="s">
        <v>2770</v>
      </c>
      <c r="BN959" s="36">
        <v>2.0</v>
      </c>
      <c r="BO959" s="37">
        <v>43715.0</v>
      </c>
      <c r="BP959" s="37">
        <v>43717.0</v>
      </c>
      <c r="BQ959" s="36" t="s">
        <v>1766</v>
      </c>
      <c r="BR959" s="36" t="s">
        <v>3085</v>
      </c>
      <c r="BS959" s="36" t="s">
        <v>276</v>
      </c>
      <c r="BT959" s="36" t="s">
        <v>632</v>
      </c>
      <c r="BU959" s="36">
        <v>500.0</v>
      </c>
      <c r="BV959" s="38" t="s">
        <v>3086</v>
      </c>
      <c r="FL959" s="36" t="s">
        <v>3067</v>
      </c>
      <c r="FM959" s="36" t="s">
        <v>260</v>
      </c>
    </row>
    <row r="960">
      <c r="A960" s="50">
        <v>44662.66780513889</v>
      </c>
      <c r="B960" s="36" t="s">
        <v>8</v>
      </c>
      <c r="C960" s="36" t="s">
        <v>12</v>
      </c>
      <c r="AN960" s="36" t="s">
        <v>3051</v>
      </c>
      <c r="AO960" s="36" t="s">
        <v>3052</v>
      </c>
      <c r="AP960" s="36" t="s">
        <v>3087</v>
      </c>
      <c r="AQ960" s="36" t="s">
        <v>196</v>
      </c>
      <c r="AR960" s="37">
        <v>44626.0</v>
      </c>
      <c r="AS960" s="37">
        <v>44626.0</v>
      </c>
      <c r="AT960" s="36" t="s">
        <v>257</v>
      </c>
      <c r="AU960" s="36" t="s">
        <v>256</v>
      </c>
      <c r="AV960" s="36">
        <v>100.0</v>
      </c>
      <c r="AW960" s="38" t="s">
        <v>3088</v>
      </c>
      <c r="FL960" s="36" t="s">
        <v>3054</v>
      </c>
      <c r="FM960" s="36" t="s">
        <v>323</v>
      </c>
    </row>
    <row r="961">
      <c r="A961" s="50">
        <v>44662.667899479165</v>
      </c>
      <c r="B961" s="36" t="s">
        <v>6</v>
      </c>
      <c r="C961" s="36" t="s">
        <v>12</v>
      </c>
      <c r="AN961" s="36" t="s">
        <v>3089</v>
      </c>
      <c r="AO961" s="36" t="s">
        <v>3090</v>
      </c>
      <c r="AP961" s="36" t="s">
        <v>985</v>
      </c>
      <c r="AQ961" s="36" t="s">
        <v>450</v>
      </c>
      <c r="AR961" s="37">
        <v>44547.0</v>
      </c>
      <c r="AS961" s="37">
        <v>44286.0</v>
      </c>
      <c r="AT961" s="36" t="s">
        <v>256</v>
      </c>
      <c r="AU961" s="36" t="s">
        <v>257</v>
      </c>
      <c r="AV961" s="36">
        <v>6500.0</v>
      </c>
      <c r="AW961" s="38" t="s">
        <v>3091</v>
      </c>
      <c r="FL961" s="36" t="s">
        <v>3092</v>
      </c>
      <c r="FM961" s="36" t="s">
        <v>260</v>
      </c>
    </row>
    <row r="962">
      <c r="A962" s="50">
        <v>44662.66822575231</v>
      </c>
      <c r="B962" s="36" t="s">
        <v>8</v>
      </c>
      <c r="C962" s="36" t="s">
        <v>12</v>
      </c>
      <c r="AN962" s="36" t="s">
        <v>3080</v>
      </c>
      <c r="AO962" s="36" t="s">
        <v>3081</v>
      </c>
      <c r="AP962" s="36" t="s">
        <v>3093</v>
      </c>
      <c r="AQ962" s="36" t="s">
        <v>310</v>
      </c>
      <c r="AR962" s="37">
        <v>44470.0</v>
      </c>
      <c r="AS962" s="37">
        <v>44531.0</v>
      </c>
      <c r="AT962" s="36" t="s">
        <v>257</v>
      </c>
      <c r="AU962" s="36" t="s">
        <v>257</v>
      </c>
      <c r="AV962" s="36">
        <v>0.0</v>
      </c>
      <c r="AW962" s="38" t="s">
        <v>3094</v>
      </c>
      <c r="FL962" s="36" t="s">
        <v>3084</v>
      </c>
      <c r="FM962" s="36" t="s">
        <v>323</v>
      </c>
    </row>
    <row r="963">
      <c r="A963" s="50">
        <v>44662.66838988426</v>
      </c>
      <c r="B963" s="36" t="s">
        <v>6</v>
      </c>
      <c r="C963" s="36" t="s">
        <v>14</v>
      </c>
      <c r="BI963" s="36" t="s">
        <v>3095</v>
      </c>
      <c r="BJ963" s="36" t="s">
        <v>3096</v>
      </c>
      <c r="BK963" s="36" t="s">
        <v>150</v>
      </c>
      <c r="BL963" s="36" t="s">
        <v>1288</v>
      </c>
      <c r="BM963" s="36" t="s">
        <v>823</v>
      </c>
      <c r="BN963" s="36">
        <v>1.0</v>
      </c>
      <c r="BO963" s="37">
        <v>43566.0</v>
      </c>
      <c r="BP963" s="37">
        <v>43567.0</v>
      </c>
      <c r="BQ963" s="36" t="s">
        <v>3097</v>
      </c>
      <c r="BR963" s="36" t="s">
        <v>3098</v>
      </c>
      <c r="BS963" s="36" t="s">
        <v>276</v>
      </c>
      <c r="BT963" s="36" t="s">
        <v>632</v>
      </c>
      <c r="BU963" s="36">
        <v>300.0</v>
      </c>
      <c r="BV963" s="38" t="s">
        <v>3099</v>
      </c>
      <c r="FL963" s="36" t="s">
        <v>3100</v>
      </c>
      <c r="FM963" s="36" t="s">
        <v>260</v>
      </c>
    </row>
    <row r="964">
      <c r="A964" s="50">
        <v>44662.66863482639</v>
      </c>
      <c r="B964" s="36" t="s">
        <v>6</v>
      </c>
      <c r="C964" s="36" t="s">
        <v>12</v>
      </c>
      <c r="AN964" s="36" t="s">
        <v>3062</v>
      </c>
      <c r="AO964" s="36" t="s">
        <v>3063</v>
      </c>
      <c r="AP964" s="36" t="s">
        <v>3101</v>
      </c>
      <c r="AQ964" s="36" t="s">
        <v>450</v>
      </c>
      <c r="AR964" s="37">
        <v>44271.0</v>
      </c>
      <c r="AS964" s="37">
        <v>44370.0</v>
      </c>
      <c r="AT964" s="36" t="s">
        <v>257</v>
      </c>
      <c r="AU964" s="36" t="s">
        <v>257</v>
      </c>
      <c r="AV964" s="36">
        <v>0.0</v>
      </c>
      <c r="AW964" s="38" t="s">
        <v>3102</v>
      </c>
      <c r="FL964" s="36" t="s">
        <v>3067</v>
      </c>
      <c r="FM964" s="36" t="s">
        <v>260</v>
      </c>
    </row>
    <row r="965">
      <c r="A965" s="50">
        <v>44662.66882548611</v>
      </c>
      <c r="B965" s="36" t="s">
        <v>6</v>
      </c>
      <c r="C965" s="36" t="s">
        <v>27</v>
      </c>
      <c r="FL965" s="36" t="s">
        <v>3056</v>
      </c>
      <c r="FM965" s="36" t="s">
        <v>260</v>
      </c>
      <c r="GF965" s="36" t="s">
        <v>3057</v>
      </c>
      <c r="GG965" s="36" t="s">
        <v>3058</v>
      </c>
      <c r="GH965" s="36" t="s">
        <v>3103</v>
      </c>
      <c r="GI965" s="37">
        <v>44662.0</v>
      </c>
      <c r="GJ965" s="38" t="s">
        <v>3104</v>
      </c>
      <c r="GK965" s="36" t="s">
        <v>3105</v>
      </c>
      <c r="GL965" s="36" t="s">
        <v>3061</v>
      </c>
    </row>
    <row r="966">
      <c r="A966" s="50">
        <v>44662.66894267361</v>
      </c>
      <c r="B966" s="36" t="s">
        <v>6</v>
      </c>
      <c r="C966" s="36" t="s">
        <v>12</v>
      </c>
      <c r="AN966" s="36" t="s">
        <v>3075</v>
      </c>
      <c r="AO966" s="36" t="s">
        <v>3076</v>
      </c>
      <c r="AP966" s="36" t="s">
        <v>269</v>
      </c>
      <c r="AQ966" s="36" t="s">
        <v>450</v>
      </c>
      <c r="AR966" s="37">
        <v>44593.0</v>
      </c>
      <c r="AS966" s="37">
        <v>44673.0</v>
      </c>
      <c r="AT966" s="36" t="s">
        <v>257</v>
      </c>
      <c r="AU966" s="36" t="s">
        <v>257</v>
      </c>
      <c r="AV966" s="36">
        <v>0.0</v>
      </c>
      <c r="AW966" s="38" t="s">
        <v>3106</v>
      </c>
      <c r="FL966" s="36" t="s">
        <v>3079</v>
      </c>
      <c r="FM966" s="36" t="s">
        <v>260</v>
      </c>
    </row>
    <row r="967">
      <c r="A967" s="50">
        <v>44662.669549363425</v>
      </c>
      <c r="B967" s="36" t="s">
        <v>6</v>
      </c>
      <c r="C967" s="36" t="s">
        <v>27</v>
      </c>
      <c r="FL967" s="36" t="s">
        <v>3056</v>
      </c>
      <c r="FM967" s="36" t="s">
        <v>260</v>
      </c>
      <c r="GF967" s="36" t="s">
        <v>3057</v>
      </c>
      <c r="GG967" s="36" t="s">
        <v>3058</v>
      </c>
      <c r="GH967" s="36" t="s">
        <v>637</v>
      </c>
      <c r="GI967" s="37">
        <v>44662.0</v>
      </c>
      <c r="GJ967" s="38" t="s">
        <v>3107</v>
      </c>
      <c r="GK967" s="36" t="s">
        <v>3060</v>
      </c>
      <c r="GL967" s="36">
        <v>5.5</v>
      </c>
    </row>
    <row r="968">
      <c r="A968" s="50">
        <v>44662.66992918981</v>
      </c>
      <c r="B968" s="36" t="s">
        <v>8</v>
      </c>
      <c r="C968" s="36" t="s">
        <v>12</v>
      </c>
      <c r="AN968" s="36" t="s">
        <v>3108</v>
      </c>
      <c r="AO968" s="36" t="s">
        <v>3109</v>
      </c>
      <c r="AP968" s="36" t="s">
        <v>2744</v>
      </c>
      <c r="AQ968" s="36" t="s">
        <v>310</v>
      </c>
      <c r="AR968" s="37">
        <v>44470.0</v>
      </c>
      <c r="AS968" s="37">
        <v>44531.0</v>
      </c>
      <c r="AT968" s="36" t="s">
        <v>257</v>
      </c>
      <c r="AU968" s="36" t="s">
        <v>257</v>
      </c>
      <c r="AV968" s="36">
        <v>0.0</v>
      </c>
      <c r="AW968" s="38" t="s">
        <v>3110</v>
      </c>
      <c r="FL968" s="36" t="s">
        <v>3111</v>
      </c>
      <c r="FM968" s="36" t="s">
        <v>323</v>
      </c>
    </row>
    <row r="969">
      <c r="A969" s="50">
        <v>44662.67053042824</v>
      </c>
      <c r="B969" s="36" t="s">
        <v>6</v>
      </c>
      <c r="C969" s="36" t="s">
        <v>12</v>
      </c>
      <c r="AN969" s="36" t="s">
        <v>3075</v>
      </c>
      <c r="AO969" s="36" t="s">
        <v>3076</v>
      </c>
      <c r="AP969" s="36" t="s">
        <v>1432</v>
      </c>
      <c r="AQ969" s="36" t="s">
        <v>310</v>
      </c>
      <c r="AR969" s="37">
        <v>43983.0</v>
      </c>
      <c r="AS969" s="37">
        <v>44044.0</v>
      </c>
      <c r="AT969" s="36" t="s">
        <v>257</v>
      </c>
      <c r="AU969" s="36" t="s">
        <v>256</v>
      </c>
      <c r="AV969" s="36">
        <v>4500.0</v>
      </c>
      <c r="AW969" s="38" t="s">
        <v>3112</v>
      </c>
      <c r="FL969" s="36" t="s">
        <v>3079</v>
      </c>
      <c r="FM969" s="36" t="s">
        <v>260</v>
      </c>
    </row>
    <row r="970">
      <c r="A970" s="50">
        <v>44662.67122097222</v>
      </c>
      <c r="B970" s="36" t="s">
        <v>6</v>
      </c>
      <c r="C970" s="36" t="s">
        <v>13</v>
      </c>
      <c r="AX970" s="36" t="s">
        <v>3062</v>
      </c>
      <c r="AY970" s="36" t="s">
        <v>3063</v>
      </c>
      <c r="AZ970" s="36" t="s">
        <v>3113</v>
      </c>
      <c r="BA970" s="36" t="s">
        <v>500</v>
      </c>
      <c r="BB970" s="36" t="s">
        <v>450</v>
      </c>
      <c r="BC970" s="37">
        <v>44470.0</v>
      </c>
      <c r="BD970" s="37">
        <v>44561.0</v>
      </c>
      <c r="BE970" s="37">
        <v>44297.0</v>
      </c>
      <c r="BF970" s="36">
        <v>100.0</v>
      </c>
      <c r="BG970" s="36" t="s">
        <v>3114</v>
      </c>
      <c r="BH970" s="38" t="s">
        <v>3115</v>
      </c>
      <c r="FL970" s="36" t="s">
        <v>3067</v>
      </c>
      <c r="FM970" s="36" t="s">
        <v>260</v>
      </c>
    </row>
    <row r="971">
      <c r="A971" s="50">
        <v>44662.6722031713</v>
      </c>
      <c r="B971" s="36" t="s">
        <v>6</v>
      </c>
      <c r="C971" s="36" t="s">
        <v>13</v>
      </c>
      <c r="AX971" s="36" t="s">
        <v>3116</v>
      </c>
      <c r="AY971" s="36" t="s">
        <v>3090</v>
      </c>
      <c r="AZ971" s="36" t="s">
        <v>3117</v>
      </c>
      <c r="BA971" s="36" t="s">
        <v>377</v>
      </c>
      <c r="BB971" s="36" t="s">
        <v>310</v>
      </c>
      <c r="BC971" s="37">
        <v>43993.0</v>
      </c>
      <c r="BD971" s="37">
        <v>44054.0</v>
      </c>
      <c r="BE971" s="37">
        <v>44057.0</v>
      </c>
      <c r="BF971" s="51">
        <v>0.85</v>
      </c>
      <c r="BG971" s="36" t="s">
        <v>2161</v>
      </c>
      <c r="BH971" s="38" t="s">
        <v>3118</v>
      </c>
      <c r="FL971" s="36" t="s">
        <v>3092</v>
      </c>
      <c r="FM971" s="36" t="s">
        <v>283</v>
      </c>
    </row>
    <row r="972">
      <c r="A972" s="50">
        <v>44662.672569131944</v>
      </c>
      <c r="B972" s="36" t="s">
        <v>6</v>
      </c>
      <c r="C972" s="36" t="s">
        <v>13</v>
      </c>
      <c r="AX972" s="36" t="s">
        <v>3119</v>
      </c>
      <c r="AY972" s="36" t="s">
        <v>3120</v>
      </c>
      <c r="AZ972" s="36" t="s">
        <v>3121</v>
      </c>
      <c r="BA972" s="36" t="s">
        <v>3122</v>
      </c>
      <c r="BB972" s="36" t="s">
        <v>1854</v>
      </c>
      <c r="BC972" s="37">
        <v>44658.0</v>
      </c>
      <c r="BD972" s="37">
        <v>44661.0</v>
      </c>
      <c r="BE972" s="37">
        <v>44661.0</v>
      </c>
      <c r="BF972" s="51">
        <v>0.75</v>
      </c>
      <c r="BG972" s="36" t="s">
        <v>3123</v>
      </c>
      <c r="BH972" s="38" t="s">
        <v>3124</v>
      </c>
      <c r="FL972" s="36" t="s">
        <v>3125</v>
      </c>
      <c r="FM972" s="36" t="s">
        <v>260</v>
      </c>
    </row>
    <row r="973">
      <c r="A973" s="50">
        <v>44662.67278680556</v>
      </c>
      <c r="B973" s="36" t="s">
        <v>6</v>
      </c>
      <c r="C973" s="36" t="s">
        <v>12</v>
      </c>
      <c r="AN973" s="36" t="s">
        <v>3126</v>
      </c>
      <c r="AO973" s="36" t="s">
        <v>3063</v>
      </c>
      <c r="AP973" s="36" t="s">
        <v>3127</v>
      </c>
      <c r="AQ973" s="36" t="s">
        <v>3128</v>
      </c>
      <c r="AR973" s="37">
        <v>44620.0</v>
      </c>
      <c r="AS973" s="37">
        <v>44742.0</v>
      </c>
      <c r="AT973" s="36" t="s">
        <v>256</v>
      </c>
      <c r="AU973" s="36" t="s">
        <v>257</v>
      </c>
      <c r="AV973" s="36">
        <v>10000.0</v>
      </c>
      <c r="AW973" s="38" t="s">
        <v>3129</v>
      </c>
      <c r="FL973" s="36" t="s">
        <v>3067</v>
      </c>
      <c r="FM973" s="36" t="s">
        <v>260</v>
      </c>
    </row>
    <row r="974">
      <c r="A974" s="50">
        <v>44662.67412776621</v>
      </c>
      <c r="B974" s="36" t="s">
        <v>6</v>
      </c>
      <c r="C974" s="36" t="s">
        <v>13</v>
      </c>
      <c r="AX974" s="36" t="s">
        <v>3075</v>
      </c>
      <c r="AY974" s="36" t="s">
        <v>3076</v>
      </c>
      <c r="AZ974" s="36" t="s">
        <v>3130</v>
      </c>
      <c r="BA974" s="36" t="s">
        <v>1766</v>
      </c>
      <c r="BB974" s="36" t="s">
        <v>1854</v>
      </c>
      <c r="BC974" s="37">
        <v>43715.0</v>
      </c>
      <c r="BD974" s="37">
        <v>43716.0</v>
      </c>
      <c r="BE974" s="37">
        <v>43716.0</v>
      </c>
      <c r="BF974" s="36">
        <v>100.0</v>
      </c>
      <c r="BG974" s="36" t="s">
        <v>1901</v>
      </c>
      <c r="BH974" s="38" t="s">
        <v>3131</v>
      </c>
      <c r="FL974" s="36" t="s">
        <v>3079</v>
      </c>
      <c r="FM974" s="36" t="s">
        <v>260</v>
      </c>
    </row>
    <row r="975">
      <c r="A975" s="50">
        <v>44662.674130520834</v>
      </c>
      <c r="B975" s="36" t="s">
        <v>6</v>
      </c>
      <c r="C975" s="36" t="s">
        <v>13</v>
      </c>
      <c r="AX975" s="36" t="s">
        <v>3095</v>
      </c>
      <c r="AY975" s="36" t="s">
        <v>3096</v>
      </c>
      <c r="AZ975" s="36" t="s">
        <v>3132</v>
      </c>
      <c r="BA975" s="36" t="s">
        <v>3133</v>
      </c>
      <c r="BB975" s="36" t="s">
        <v>882</v>
      </c>
      <c r="BC975" s="37">
        <v>44357.0</v>
      </c>
      <c r="BD975" s="37">
        <v>44037.0</v>
      </c>
      <c r="BE975" s="37">
        <v>44767.0</v>
      </c>
      <c r="BF975" s="36">
        <v>100.0</v>
      </c>
      <c r="BG975" s="36" t="s">
        <v>3134</v>
      </c>
      <c r="BH975" s="38" t="s">
        <v>3135</v>
      </c>
      <c r="FL975" s="36" t="s">
        <v>3100</v>
      </c>
      <c r="FM975" s="36" t="s">
        <v>260</v>
      </c>
    </row>
    <row r="976">
      <c r="A976" s="50">
        <v>44662.674338067125</v>
      </c>
      <c r="B976" s="36" t="s">
        <v>6</v>
      </c>
      <c r="C976" s="36" t="s">
        <v>13</v>
      </c>
      <c r="AX976" s="36" t="s">
        <v>3119</v>
      </c>
      <c r="AY976" s="36" t="s">
        <v>3120</v>
      </c>
      <c r="AZ976" s="36" t="s">
        <v>3136</v>
      </c>
      <c r="BA976" s="36" t="s">
        <v>3137</v>
      </c>
      <c r="BB976" s="36">
        <v>2.0</v>
      </c>
      <c r="BC976" s="37">
        <v>44657.0</v>
      </c>
      <c r="BD976" s="37">
        <v>44659.0</v>
      </c>
      <c r="BE976" s="37">
        <v>44659.0</v>
      </c>
      <c r="BF976" s="51">
        <v>0.75</v>
      </c>
      <c r="BG976" s="36" t="s">
        <v>3138</v>
      </c>
      <c r="BH976" s="38" t="s">
        <v>3139</v>
      </c>
      <c r="FL976" s="36" t="s">
        <v>3125</v>
      </c>
      <c r="FM976" s="36" t="s">
        <v>260</v>
      </c>
    </row>
    <row r="977">
      <c r="A977" s="50">
        <v>44662.674920729165</v>
      </c>
      <c r="B977" s="36" t="s">
        <v>6</v>
      </c>
      <c r="C977" s="36" t="s">
        <v>27</v>
      </c>
      <c r="FL977" s="36" t="s">
        <v>3092</v>
      </c>
      <c r="FM977" s="36" t="s">
        <v>260</v>
      </c>
      <c r="GF977" s="36" t="s">
        <v>3116</v>
      </c>
      <c r="GG977" s="36" t="s">
        <v>3090</v>
      </c>
      <c r="GH977" s="36" t="s">
        <v>985</v>
      </c>
      <c r="GI977" s="37">
        <v>44723.0</v>
      </c>
      <c r="GJ977" s="38" t="s">
        <v>3140</v>
      </c>
      <c r="GK977" s="36" t="s">
        <v>3141</v>
      </c>
      <c r="GL977" s="36">
        <v>450000.0</v>
      </c>
    </row>
    <row r="978">
      <c r="A978" s="50">
        <v>44662.675711250005</v>
      </c>
      <c r="B978" s="36" t="s">
        <v>6</v>
      </c>
      <c r="C978" s="36" t="s">
        <v>27</v>
      </c>
      <c r="FL978" s="36" t="s">
        <v>3100</v>
      </c>
      <c r="FM978" s="36" t="s">
        <v>260</v>
      </c>
      <c r="GF978" s="36" t="s">
        <v>3142</v>
      </c>
      <c r="GG978" s="36" t="s">
        <v>3096</v>
      </c>
      <c r="GH978" s="36" t="s">
        <v>3143</v>
      </c>
      <c r="GI978" s="37">
        <v>44762.0</v>
      </c>
      <c r="GJ978" s="38" t="s">
        <v>3144</v>
      </c>
      <c r="GK978" s="36" t="s">
        <v>3073</v>
      </c>
      <c r="GL978" s="36">
        <v>4.0</v>
      </c>
    </row>
    <row r="979">
      <c r="A979" s="50">
        <v>44662.67659190972</v>
      </c>
      <c r="B979" s="36" t="s">
        <v>6</v>
      </c>
      <c r="C979" s="36" t="s">
        <v>27</v>
      </c>
      <c r="FL979" s="36" t="s">
        <v>3092</v>
      </c>
      <c r="FM979" s="36" t="s">
        <v>260</v>
      </c>
      <c r="GF979" s="36" t="s">
        <v>3116</v>
      </c>
      <c r="GG979" s="36" t="s">
        <v>3090</v>
      </c>
      <c r="GH979" s="36" t="s">
        <v>637</v>
      </c>
      <c r="GI979" s="37">
        <v>44723.0</v>
      </c>
      <c r="GJ979" s="38" t="s">
        <v>3145</v>
      </c>
      <c r="GK979" s="36" t="s">
        <v>3141</v>
      </c>
      <c r="GL979" s="36">
        <v>360000.0</v>
      </c>
    </row>
    <row r="980">
      <c r="A980" s="50">
        <v>44662.678145868056</v>
      </c>
      <c r="B980" s="36" t="s">
        <v>6</v>
      </c>
      <c r="C980" s="36" t="s">
        <v>27</v>
      </c>
      <c r="FL980" s="36" t="s">
        <v>3092</v>
      </c>
      <c r="FM980" s="36" t="s">
        <v>260</v>
      </c>
      <c r="GF980" s="36" t="s">
        <v>3116</v>
      </c>
      <c r="GG980" s="36" t="s">
        <v>3090</v>
      </c>
      <c r="GH980" s="36" t="s">
        <v>3146</v>
      </c>
      <c r="GI980" s="37">
        <v>44723.0</v>
      </c>
      <c r="GJ980" s="38" t="s">
        <v>3147</v>
      </c>
      <c r="GK980" s="36" t="s">
        <v>3141</v>
      </c>
      <c r="GL980" s="36">
        <v>625000.0</v>
      </c>
    </row>
    <row r="981">
      <c r="A981" s="50">
        <v>44662.679124305556</v>
      </c>
      <c r="B981" s="36" t="s">
        <v>8</v>
      </c>
      <c r="C981" s="36" t="s">
        <v>12</v>
      </c>
      <c r="AN981" s="36" t="s">
        <v>2746</v>
      </c>
      <c r="AO981" s="36" t="s">
        <v>2747</v>
      </c>
      <c r="AP981" s="36" t="s">
        <v>3148</v>
      </c>
      <c r="AQ981" s="36" t="s">
        <v>348</v>
      </c>
      <c r="AR981" s="37">
        <v>44326.0</v>
      </c>
      <c r="AS981" s="37">
        <v>44387.0</v>
      </c>
      <c r="AT981" s="36" t="s">
        <v>257</v>
      </c>
      <c r="AU981" s="36" t="s">
        <v>257</v>
      </c>
      <c r="AV981" s="36">
        <v>0.0</v>
      </c>
      <c r="AW981" s="38" t="s">
        <v>3149</v>
      </c>
      <c r="FL981" s="36" t="s">
        <v>2750</v>
      </c>
      <c r="FM981" s="36" t="s">
        <v>323</v>
      </c>
    </row>
    <row r="982">
      <c r="A982" s="50">
        <v>44662.714730011576</v>
      </c>
      <c r="B982" s="36" t="s">
        <v>8</v>
      </c>
      <c r="C982" s="36" t="s">
        <v>13</v>
      </c>
      <c r="AX982" s="36" t="s">
        <v>2080</v>
      </c>
      <c r="AY982" s="36" t="s">
        <v>2081</v>
      </c>
      <c r="AZ982" s="36" t="s">
        <v>2330</v>
      </c>
      <c r="BA982" s="36" t="s">
        <v>337</v>
      </c>
      <c r="BB982" s="36" t="s">
        <v>450</v>
      </c>
      <c r="BC982" s="37">
        <v>44296.0</v>
      </c>
      <c r="BD982" s="37">
        <v>44387.0</v>
      </c>
      <c r="BE982" s="37">
        <v>44296.0</v>
      </c>
      <c r="BF982" s="36">
        <v>90.0</v>
      </c>
      <c r="BG982" s="36" t="s">
        <v>3150</v>
      </c>
      <c r="BH982" s="38" t="s">
        <v>3151</v>
      </c>
      <c r="FL982" s="36" t="s">
        <v>2084</v>
      </c>
      <c r="FM982" s="36" t="s">
        <v>414</v>
      </c>
    </row>
    <row r="983">
      <c r="A983" s="50">
        <v>44662.717104062496</v>
      </c>
      <c r="B983" s="36" t="s">
        <v>8</v>
      </c>
      <c r="C983" s="36" t="s">
        <v>13</v>
      </c>
      <c r="AX983" s="36" t="s">
        <v>2080</v>
      </c>
      <c r="AY983" s="36" t="s">
        <v>2081</v>
      </c>
      <c r="AZ983" s="36" t="s">
        <v>677</v>
      </c>
      <c r="BA983" s="36" t="s">
        <v>337</v>
      </c>
      <c r="BB983" s="36" t="s">
        <v>1956</v>
      </c>
      <c r="BC983" s="37">
        <v>44479.0</v>
      </c>
      <c r="BD983" s="37">
        <v>44594.0</v>
      </c>
      <c r="BE983" s="37">
        <v>44594.0</v>
      </c>
      <c r="BF983" s="36">
        <v>90.0</v>
      </c>
      <c r="BG983" s="36" t="s">
        <v>3152</v>
      </c>
      <c r="BH983" s="38" t="s">
        <v>3153</v>
      </c>
      <c r="FL983" s="36" t="s">
        <v>2084</v>
      </c>
      <c r="FM983" s="36" t="s">
        <v>382</v>
      </c>
    </row>
    <row r="984">
      <c r="A984" s="50">
        <v>44662.71993597222</v>
      </c>
      <c r="B984" s="36" t="s">
        <v>8</v>
      </c>
      <c r="C984" s="36" t="s">
        <v>13</v>
      </c>
      <c r="AX984" s="36" t="s">
        <v>2080</v>
      </c>
      <c r="AY984" s="36" t="s">
        <v>2081</v>
      </c>
      <c r="AZ984" s="36" t="s">
        <v>3154</v>
      </c>
      <c r="BA984" s="36" t="s">
        <v>3155</v>
      </c>
      <c r="BB984" s="36" t="s">
        <v>450</v>
      </c>
      <c r="BC984" s="37">
        <v>44479.0</v>
      </c>
      <c r="BD984" s="37">
        <v>44540.0</v>
      </c>
      <c r="BE984" s="37">
        <v>44540.0</v>
      </c>
      <c r="BF984" s="36">
        <v>90.0</v>
      </c>
      <c r="BG984" s="36" t="s">
        <v>3150</v>
      </c>
      <c r="BH984" s="38" t="s">
        <v>3156</v>
      </c>
      <c r="FL984" s="36" t="s">
        <v>2084</v>
      </c>
      <c r="FM984" s="36" t="s">
        <v>555</v>
      </c>
    </row>
    <row r="985">
      <c r="A985" s="50">
        <v>44662.781064016206</v>
      </c>
      <c r="B985" s="36" t="s">
        <v>6</v>
      </c>
      <c r="C985" s="36" t="s">
        <v>13</v>
      </c>
      <c r="AX985" s="36" t="s">
        <v>3157</v>
      </c>
      <c r="AY985" s="36" t="s">
        <v>3158</v>
      </c>
      <c r="AZ985" s="36" t="s">
        <v>3159</v>
      </c>
      <c r="BA985" s="36" t="s">
        <v>337</v>
      </c>
      <c r="BB985" s="36" t="s">
        <v>320</v>
      </c>
      <c r="BC985" s="37">
        <v>43871.0</v>
      </c>
      <c r="BD985" s="37">
        <v>43873.0</v>
      </c>
      <c r="BE985" s="37">
        <v>44242.0</v>
      </c>
      <c r="BF985" s="36">
        <v>100.0</v>
      </c>
      <c r="BG985" s="36" t="s">
        <v>3152</v>
      </c>
      <c r="BH985" s="38" t="s">
        <v>3160</v>
      </c>
      <c r="FL985" s="36" t="s">
        <v>3161</v>
      </c>
      <c r="FM985" s="36" t="s">
        <v>260</v>
      </c>
    </row>
    <row r="986">
      <c r="A986" s="50">
        <v>44662.78325604167</v>
      </c>
      <c r="B986" s="36" t="s">
        <v>8</v>
      </c>
      <c r="C986" s="36" t="s">
        <v>12</v>
      </c>
      <c r="AN986" s="36" t="s">
        <v>3162</v>
      </c>
      <c r="AO986" s="36" t="s">
        <v>3163</v>
      </c>
      <c r="AP986" s="36" t="s">
        <v>3164</v>
      </c>
      <c r="AQ986" s="36" t="s">
        <v>391</v>
      </c>
      <c r="AR986" s="37">
        <v>44522.0</v>
      </c>
      <c r="AS986" s="37">
        <v>44561.0</v>
      </c>
      <c r="AT986" s="36" t="s">
        <v>257</v>
      </c>
      <c r="AU986" s="36" t="s">
        <v>257</v>
      </c>
      <c r="AV986" s="36">
        <v>0.0</v>
      </c>
      <c r="AW986" s="38" t="s">
        <v>3165</v>
      </c>
      <c r="FL986" s="36" t="s">
        <v>3166</v>
      </c>
      <c r="FM986" s="36" t="s">
        <v>323</v>
      </c>
    </row>
    <row r="987">
      <c r="A987" s="50">
        <v>44662.784257164356</v>
      </c>
      <c r="B987" s="36" t="s">
        <v>6</v>
      </c>
      <c r="C987" s="36" t="s">
        <v>27</v>
      </c>
      <c r="FL987" s="36" t="s">
        <v>3161</v>
      </c>
      <c r="FM987" s="36" t="s">
        <v>260</v>
      </c>
      <c r="GF987" s="36" t="s">
        <v>3157</v>
      </c>
      <c r="GG987" s="36" t="s">
        <v>3158</v>
      </c>
      <c r="GH987" s="36" t="s">
        <v>3167</v>
      </c>
      <c r="GI987" s="37">
        <v>44757.0</v>
      </c>
      <c r="GJ987" s="38" t="s">
        <v>3168</v>
      </c>
      <c r="GK987" s="36" t="s">
        <v>3169</v>
      </c>
      <c r="GL987" s="36" t="s">
        <v>3170</v>
      </c>
    </row>
    <row r="988">
      <c r="A988" s="50">
        <v>44662.787497708334</v>
      </c>
      <c r="B988" s="36" t="s">
        <v>8</v>
      </c>
      <c r="C988" s="36" t="s">
        <v>14</v>
      </c>
      <c r="BI988" s="36" t="s">
        <v>3162</v>
      </c>
      <c r="BJ988" s="36" t="s">
        <v>3163</v>
      </c>
      <c r="BK988" s="36" t="s">
        <v>313</v>
      </c>
      <c r="BL988" s="36" t="s">
        <v>1288</v>
      </c>
      <c r="BM988" s="36" t="s">
        <v>3171</v>
      </c>
      <c r="BN988" s="36">
        <v>1.0</v>
      </c>
      <c r="BO988" s="37">
        <v>44626.0</v>
      </c>
      <c r="BP988" s="37">
        <v>44626.0</v>
      </c>
      <c r="BQ988" s="36" t="s">
        <v>3172</v>
      </c>
      <c r="BR988" s="36">
        <v>2.0</v>
      </c>
      <c r="BS988" s="36" t="s">
        <v>176</v>
      </c>
      <c r="BT988" s="36" t="s">
        <v>632</v>
      </c>
      <c r="BU988" s="36">
        <v>75.0</v>
      </c>
      <c r="BV988" s="38" t="s">
        <v>3173</v>
      </c>
      <c r="FL988" s="36" t="s">
        <v>3166</v>
      </c>
      <c r="FM988" s="36" t="s">
        <v>323</v>
      </c>
    </row>
    <row r="989">
      <c r="A989" s="50">
        <v>44662.798813078705</v>
      </c>
      <c r="B989" s="36" t="s">
        <v>8</v>
      </c>
      <c r="C989" s="36" t="s">
        <v>13</v>
      </c>
      <c r="AX989" s="36" t="s">
        <v>3174</v>
      </c>
      <c r="AY989" s="36" t="s">
        <v>3175</v>
      </c>
      <c r="AZ989" s="36" t="s">
        <v>856</v>
      </c>
      <c r="BA989" s="36" t="s">
        <v>3029</v>
      </c>
      <c r="BB989" s="36" t="s">
        <v>310</v>
      </c>
      <c r="BC989" s="37">
        <v>44353.0</v>
      </c>
      <c r="BD989" s="37">
        <v>44414.0</v>
      </c>
      <c r="BE989" s="37">
        <v>44414.0</v>
      </c>
      <c r="BF989" s="36">
        <v>95.0</v>
      </c>
      <c r="BG989" s="36" t="s">
        <v>3176</v>
      </c>
      <c r="BH989" s="38" t="s">
        <v>3177</v>
      </c>
      <c r="FL989" s="36" t="s">
        <v>3178</v>
      </c>
      <c r="FM989" s="36" t="s">
        <v>382</v>
      </c>
    </row>
    <row r="990">
      <c r="A990" s="50">
        <v>44662.806151655095</v>
      </c>
      <c r="B990" s="36" t="s">
        <v>8</v>
      </c>
      <c r="C990" s="36" t="s">
        <v>13</v>
      </c>
      <c r="AX990" s="36" t="s">
        <v>3162</v>
      </c>
      <c r="AY990" s="36" t="s">
        <v>3163</v>
      </c>
      <c r="AZ990" s="36" t="s">
        <v>2949</v>
      </c>
      <c r="BA990" s="36" t="s">
        <v>3179</v>
      </c>
      <c r="BB990" s="36" t="s">
        <v>475</v>
      </c>
      <c r="BC990" s="37">
        <v>44333.0</v>
      </c>
      <c r="BD990" s="37">
        <v>44754.0</v>
      </c>
      <c r="BE990" s="37">
        <v>44754.0</v>
      </c>
      <c r="BF990" s="36">
        <v>90.0</v>
      </c>
      <c r="BG990" s="36" t="s">
        <v>3180</v>
      </c>
      <c r="BH990" s="38" t="s">
        <v>3181</v>
      </c>
      <c r="FL990" s="36" t="s">
        <v>3166</v>
      </c>
      <c r="FM990" s="36" t="s">
        <v>323</v>
      </c>
    </row>
    <row r="991">
      <c r="A991" s="50">
        <v>44662.82665614583</v>
      </c>
      <c r="B991" s="36" t="s">
        <v>7</v>
      </c>
      <c r="C991" s="36" t="s">
        <v>12</v>
      </c>
      <c r="AN991" s="36" t="s">
        <v>3182</v>
      </c>
      <c r="AO991" s="36" t="s">
        <v>3183</v>
      </c>
      <c r="AP991" s="36" t="s">
        <v>309</v>
      </c>
      <c r="AQ991" s="36" t="s">
        <v>507</v>
      </c>
      <c r="AR991" s="37">
        <v>44477.0</v>
      </c>
      <c r="AS991" s="37">
        <v>44547.0</v>
      </c>
      <c r="AT991" s="36" t="s">
        <v>257</v>
      </c>
      <c r="AU991" s="36" t="s">
        <v>257</v>
      </c>
      <c r="AV991" s="36">
        <v>0.0</v>
      </c>
      <c r="AW991" s="38" t="s">
        <v>3184</v>
      </c>
      <c r="FL991" s="36" t="s">
        <v>3185</v>
      </c>
      <c r="FM991" s="36" t="s">
        <v>283</v>
      </c>
    </row>
    <row r="992">
      <c r="A992" s="50">
        <v>44662.82920049768</v>
      </c>
      <c r="B992" s="36" t="s">
        <v>8</v>
      </c>
      <c r="C992" s="36" t="s">
        <v>12</v>
      </c>
      <c r="AN992" s="36" t="s">
        <v>3186</v>
      </c>
      <c r="AO992" s="36" t="s">
        <v>3187</v>
      </c>
      <c r="AP992" s="36" t="s">
        <v>337</v>
      </c>
      <c r="AQ992" s="36" t="s">
        <v>310</v>
      </c>
      <c r="AR992" s="37">
        <v>44357.0</v>
      </c>
      <c r="AS992" s="37">
        <v>44418.0</v>
      </c>
      <c r="AT992" s="36" t="s">
        <v>257</v>
      </c>
      <c r="AU992" s="36" t="s">
        <v>257</v>
      </c>
      <c r="AV992" s="36">
        <v>0.0</v>
      </c>
      <c r="AW992" s="38" t="s">
        <v>3188</v>
      </c>
      <c r="FL992" s="36" t="s">
        <v>3189</v>
      </c>
      <c r="FM992" s="36" t="s">
        <v>323</v>
      </c>
    </row>
    <row r="993">
      <c r="A993" s="50">
        <v>44662.83278758102</v>
      </c>
      <c r="B993" s="36" t="s">
        <v>8</v>
      </c>
      <c r="C993" s="36" t="s">
        <v>12</v>
      </c>
      <c r="AN993" s="36" t="s">
        <v>3186</v>
      </c>
      <c r="AO993" s="36" t="s">
        <v>3187</v>
      </c>
      <c r="AP993" s="36" t="s">
        <v>1997</v>
      </c>
      <c r="AQ993" s="36" t="s">
        <v>450</v>
      </c>
      <c r="AR993" s="37">
        <v>44835.0</v>
      </c>
      <c r="AS993" s="37">
        <v>44926.0</v>
      </c>
      <c r="AT993" s="36" t="s">
        <v>257</v>
      </c>
      <c r="AU993" s="36" t="s">
        <v>257</v>
      </c>
      <c r="AV993" s="36">
        <v>0.0</v>
      </c>
      <c r="AW993" s="38" t="s">
        <v>3190</v>
      </c>
      <c r="FL993" s="36" t="s">
        <v>3189</v>
      </c>
      <c r="FM993" s="36" t="s">
        <v>323</v>
      </c>
    </row>
    <row r="994">
      <c r="A994" s="50">
        <v>44662.851166030094</v>
      </c>
      <c r="B994" s="36" t="s">
        <v>6</v>
      </c>
      <c r="C994" s="36" t="s">
        <v>13</v>
      </c>
      <c r="AX994" s="36" t="s">
        <v>1906</v>
      </c>
      <c r="AY994" s="36" t="s">
        <v>3191</v>
      </c>
      <c r="AZ994" s="36" t="s">
        <v>2147</v>
      </c>
      <c r="BA994" s="36" t="s">
        <v>377</v>
      </c>
      <c r="BB994" s="36" t="s">
        <v>495</v>
      </c>
      <c r="BC994" s="37">
        <v>44550.0</v>
      </c>
      <c r="BD994" s="37">
        <v>44576.0</v>
      </c>
      <c r="BE994" s="37">
        <v>44573.0</v>
      </c>
      <c r="BF994" s="36">
        <v>95.0</v>
      </c>
      <c r="BG994" s="36" t="s">
        <v>3192</v>
      </c>
      <c r="BH994" s="38" t="s">
        <v>3193</v>
      </c>
      <c r="FL994" s="36" t="s">
        <v>1905</v>
      </c>
      <c r="FM994" s="36" t="s">
        <v>260</v>
      </c>
    </row>
    <row r="995">
      <c r="A995" s="50">
        <v>44662.853160370374</v>
      </c>
      <c r="B995" s="36" t="s">
        <v>6</v>
      </c>
      <c r="C995" s="36" t="s">
        <v>13</v>
      </c>
      <c r="AX995" s="36" t="s">
        <v>1906</v>
      </c>
      <c r="AY995" s="36" t="s">
        <v>1907</v>
      </c>
      <c r="AZ995" s="36" t="s">
        <v>620</v>
      </c>
      <c r="BA995" s="36" t="s">
        <v>377</v>
      </c>
      <c r="BB995" s="36" t="s">
        <v>495</v>
      </c>
      <c r="BC995" s="37">
        <v>44577.0</v>
      </c>
      <c r="BD995" s="37">
        <v>44607.0</v>
      </c>
      <c r="BE995" s="37">
        <v>44604.0</v>
      </c>
      <c r="BF995" s="36">
        <v>95.0</v>
      </c>
      <c r="BG995" s="36" t="s">
        <v>3194</v>
      </c>
      <c r="BH995" s="38" t="s">
        <v>3195</v>
      </c>
      <c r="FL995" s="36" t="s">
        <v>1905</v>
      </c>
      <c r="FM995" s="36" t="s">
        <v>260</v>
      </c>
    </row>
    <row r="996">
      <c r="A996" s="50">
        <v>44662.85741202546</v>
      </c>
      <c r="B996" s="36" t="s">
        <v>6</v>
      </c>
      <c r="C996" s="36" t="s">
        <v>13</v>
      </c>
      <c r="AX996" s="36" t="s">
        <v>1906</v>
      </c>
      <c r="AY996" s="36" t="s">
        <v>1907</v>
      </c>
      <c r="AZ996" s="36" t="s">
        <v>620</v>
      </c>
      <c r="BA996" s="36" t="s">
        <v>377</v>
      </c>
      <c r="BB996" s="36" t="s">
        <v>495</v>
      </c>
      <c r="BC996" s="37">
        <v>44608.0</v>
      </c>
      <c r="BD996" s="37">
        <v>44635.0</v>
      </c>
      <c r="BE996" s="37">
        <v>44632.0</v>
      </c>
      <c r="BF996" s="36">
        <v>95.0</v>
      </c>
      <c r="BG996" s="36" t="s">
        <v>3196</v>
      </c>
      <c r="BH996" s="38" t="s">
        <v>3197</v>
      </c>
      <c r="FL996" s="36" t="s">
        <v>1905</v>
      </c>
      <c r="FM996" s="36" t="s">
        <v>260</v>
      </c>
    </row>
    <row r="997">
      <c r="A997" s="50">
        <v>44662.857516585645</v>
      </c>
      <c r="B997" s="36" t="s">
        <v>7</v>
      </c>
      <c r="C997" s="36" t="s">
        <v>12</v>
      </c>
      <c r="AN997" s="36" t="s">
        <v>3198</v>
      </c>
      <c r="AO997" s="36" t="s">
        <v>3199</v>
      </c>
      <c r="AP997" s="36" t="s">
        <v>309</v>
      </c>
      <c r="AQ997" s="36" t="s">
        <v>507</v>
      </c>
      <c r="AR997" s="37">
        <v>44487.0</v>
      </c>
      <c r="AS997" s="37">
        <v>44541.0</v>
      </c>
      <c r="AT997" s="36" t="s">
        <v>257</v>
      </c>
      <c r="AU997" s="36" t="s">
        <v>257</v>
      </c>
      <c r="AV997" s="36">
        <v>0.0</v>
      </c>
      <c r="AW997" s="38" t="s">
        <v>3200</v>
      </c>
      <c r="FL997" s="36" t="s">
        <v>3201</v>
      </c>
      <c r="FM997" s="36" t="s">
        <v>341</v>
      </c>
    </row>
    <row r="998">
      <c r="A998" s="50">
        <v>44662.86026952547</v>
      </c>
      <c r="B998" s="36" t="s">
        <v>6</v>
      </c>
      <c r="C998" s="36" t="s">
        <v>13</v>
      </c>
      <c r="AX998" s="36" t="s">
        <v>1906</v>
      </c>
      <c r="AY998" s="36" t="s">
        <v>1907</v>
      </c>
      <c r="AZ998" s="36" t="s">
        <v>2147</v>
      </c>
      <c r="BA998" s="36" t="s">
        <v>377</v>
      </c>
      <c r="BB998" s="36" t="s">
        <v>310</v>
      </c>
      <c r="BC998" s="37">
        <v>44378.0</v>
      </c>
      <c r="BD998" s="37">
        <v>44439.0</v>
      </c>
      <c r="BE998" s="37">
        <v>44438.0</v>
      </c>
      <c r="BF998" s="36">
        <v>90.0</v>
      </c>
      <c r="BG998" s="36" t="s">
        <v>3202</v>
      </c>
      <c r="BH998" s="38" t="s">
        <v>3203</v>
      </c>
      <c r="FL998" s="36" t="s">
        <v>1905</v>
      </c>
      <c r="FM998" s="36" t="s">
        <v>260</v>
      </c>
    </row>
    <row r="999">
      <c r="A999" s="50">
        <v>44662.861992025464</v>
      </c>
      <c r="B999" s="36" t="s">
        <v>6</v>
      </c>
      <c r="C999" s="36" t="s">
        <v>13</v>
      </c>
      <c r="AX999" s="36" t="s">
        <v>1906</v>
      </c>
      <c r="AY999" s="36" t="s">
        <v>1907</v>
      </c>
      <c r="AZ999" s="36" t="s">
        <v>3204</v>
      </c>
      <c r="BA999" s="36" t="s">
        <v>377</v>
      </c>
      <c r="BB999" s="36" t="s">
        <v>310</v>
      </c>
      <c r="BC999" s="37">
        <v>44440.0</v>
      </c>
      <c r="BD999" s="37">
        <v>44500.0</v>
      </c>
      <c r="BE999" s="37">
        <v>44499.0</v>
      </c>
      <c r="BF999" s="36">
        <v>90.0</v>
      </c>
      <c r="BG999" s="36" t="s">
        <v>3202</v>
      </c>
      <c r="BH999" s="38" t="s">
        <v>3205</v>
      </c>
      <c r="FL999" s="36" t="s">
        <v>1905</v>
      </c>
      <c r="FM999" s="36" t="s">
        <v>260</v>
      </c>
    </row>
    <row r="1000">
      <c r="A1000" s="50">
        <v>44662.863686006945</v>
      </c>
      <c r="B1000" s="36" t="s">
        <v>6</v>
      </c>
      <c r="C1000" s="36" t="s">
        <v>13</v>
      </c>
      <c r="AX1000" s="36" t="s">
        <v>1906</v>
      </c>
      <c r="AY1000" s="36" t="s">
        <v>1907</v>
      </c>
      <c r="AZ1000" s="36" t="s">
        <v>647</v>
      </c>
      <c r="BA1000" s="36" t="s">
        <v>377</v>
      </c>
      <c r="BB1000" s="36" t="s">
        <v>495</v>
      </c>
      <c r="BC1000" s="37">
        <v>44501.0</v>
      </c>
      <c r="BD1000" s="37">
        <v>44530.0</v>
      </c>
      <c r="BE1000" s="37">
        <v>44529.0</v>
      </c>
      <c r="BF1000" s="36">
        <v>95.0</v>
      </c>
      <c r="BG1000" s="36" t="s">
        <v>3202</v>
      </c>
      <c r="BH1000" s="38" t="s">
        <v>3206</v>
      </c>
      <c r="FL1000" s="36" t="s">
        <v>1905</v>
      </c>
      <c r="FM1000" s="36" t="s">
        <v>260</v>
      </c>
    </row>
    <row r="1001">
      <c r="A1001" s="50">
        <v>44662.86530293981</v>
      </c>
      <c r="B1001" s="36" t="s">
        <v>6</v>
      </c>
      <c r="C1001" s="36" t="s">
        <v>13</v>
      </c>
      <c r="AX1001" s="36" t="s">
        <v>1906</v>
      </c>
      <c r="AY1001" s="36" t="s">
        <v>1907</v>
      </c>
      <c r="AZ1001" s="36" t="s">
        <v>3207</v>
      </c>
      <c r="BA1001" s="36" t="s">
        <v>377</v>
      </c>
      <c r="BB1001" s="36" t="s">
        <v>310</v>
      </c>
      <c r="BC1001" s="37">
        <v>44440.0</v>
      </c>
      <c r="BD1001" s="37">
        <v>44500.0</v>
      </c>
      <c r="BE1001" s="37">
        <v>44499.0</v>
      </c>
      <c r="BF1001" s="36">
        <v>90.0</v>
      </c>
      <c r="BG1001" s="36" t="s">
        <v>3202</v>
      </c>
      <c r="BH1001" s="38" t="s">
        <v>3208</v>
      </c>
      <c r="FL1001" s="36" t="s">
        <v>1905</v>
      </c>
      <c r="FM1001" s="36" t="s">
        <v>260</v>
      </c>
    </row>
    <row r="1002">
      <c r="A1002" s="50">
        <v>44662.866998391204</v>
      </c>
      <c r="B1002" s="36" t="s">
        <v>6</v>
      </c>
      <c r="C1002" s="36" t="s">
        <v>13</v>
      </c>
      <c r="AX1002" s="36" t="s">
        <v>1906</v>
      </c>
      <c r="AY1002" s="36" t="s">
        <v>1907</v>
      </c>
      <c r="AZ1002" s="36" t="s">
        <v>3209</v>
      </c>
      <c r="BA1002" s="36" t="s">
        <v>377</v>
      </c>
      <c r="BB1002" s="36" t="s">
        <v>495</v>
      </c>
      <c r="BC1002" s="37">
        <v>44531.0</v>
      </c>
      <c r="BD1002" s="37">
        <v>44561.0</v>
      </c>
      <c r="BE1002" s="37">
        <v>44560.0</v>
      </c>
      <c r="BF1002" s="36">
        <v>90.0</v>
      </c>
      <c r="BG1002" s="36" t="s">
        <v>3202</v>
      </c>
      <c r="BH1002" s="38" t="s">
        <v>3210</v>
      </c>
      <c r="FL1002" s="36" t="s">
        <v>1905</v>
      </c>
      <c r="FM1002" s="36" t="s">
        <v>260</v>
      </c>
    </row>
    <row r="1003">
      <c r="A1003" s="50">
        <v>44662.87495027778</v>
      </c>
      <c r="B1003" s="36" t="s">
        <v>6</v>
      </c>
      <c r="C1003" s="36" t="s">
        <v>13</v>
      </c>
      <c r="AX1003" s="36" t="s">
        <v>3211</v>
      </c>
      <c r="AY1003" s="36" t="s">
        <v>3212</v>
      </c>
      <c r="AZ1003" s="36" t="s">
        <v>1753</v>
      </c>
      <c r="BA1003" s="36" t="s">
        <v>345</v>
      </c>
      <c r="BB1003" s="36" t="s">
        <v>882</v>
      </c>
      <c r="BC1003" s="37">
        <v>43925.0</v>
      </c>
      <c r="BD1003" s="37">
        <v>43946.0</v>
      </c>
      <c r="BE1003" s="37">
        <v>43947.0</v>
      </c>
      <c r="BF1003" s="36" t="s">
        <v>1796</v>
      </c>
      <c r="BG1003" s="36" t="s">
        <v>1375</v>
      </c>
      <c r="BH1003" s="38" t="s">
        <v>3213</v>
      </c>
      <c r="FL1003" s="36" t="s">
        <v>3214</v>
      </c>
      <c r="FM1003" s="36" t="s">
        <v>323</v>
      </c>
    </row>
    <row r="1004">
      <c r="A1004" s="50">
        <v>44662.882470254626</v>
      </c>
      <c r="B1004" s="36" t="s">
        <v>6</v>
      </c>
      <c r="C1004" s="36" t="s">
        <v>13</v>
      </c>
      <c r="AX1004" s="36" t="s">
        <v>3211</v>
      </c>
      <c r="AY1004" s="36" t="s">
        <v>3215</v>
      </c>
      <c r="AZ1004" s="36" t="s">
        <v>3216</v>
      </c>
      <c r="BA1004" s="36" t="s">
        <v>3217</v>
      </c>
      <c r="BB1004" s="36" t="s">
        <v>659</v>
      </c>
      <c r="BC1004" s="37">
        <v>43401.0</v>
      </c>
      <c r="BD1004" s="37">
        <v>43401.0</v>
      </c>
      <c r="BE1004" s="37">
        <v>43401.0</v>
      </c>
      <c r="BF1004" s="36" t="s">
        <v>1796</v>
      </c>
      <c r="BG1004" s="36" t="s">
        <v>3218</v>
      </c>
      <c r="BH1004" s="38" t="s">
        <v>3219</v>
      </c>
      <c r="FL1004" s="36" t="s">
        <v>3214</v>
      </c>
      <c r="FM1004" s="36" t="s">
        <v>414</v>
      </c>
    </row>
    <row r="1005">
      <c r="A1005" s="50">
        <v>44662.88452912037</v>
      </c>
      <c r="B1005" s="36" t="s">
        <v>7</v>
      </c>
      <c r="C1005" s="36" t="s">
        <v>12</v>
      </c>
      <c r="AN1005" s="36" t="s">
        <v>3220</v>
      </c>
      <c r="AO1005" s="36" t="s">
        <v>3221</v>
      </c>
      <c r="AP1005" s="36" t="s">
        <v>309</v>
      </c>
      <c r="AQ1005" s="36" t="s">
        <v>507</v>
      </c>
      <c r="AR1005" s="37">
        <v>44487.0</v>
      </c>
      <c r="AS1005" s="37">
        <v>44541.0</v>
      </c>
      <c r="AT1005" s="36" t="s">
        <v>257</v>
      </c>
      <c r="AU1005" s="36" t="s">
        <v>257</v>
      </c>
      <c r="AV1005" s="36">
        <v>0.0</v>
      </c>
      <c r="AW1005" s="38" t="s">
        <v>3222</v>
      </c>
      <c r="FL1005" s="36" t="s">
        <v>3223</v>
      </c>
      <c r="FM1005" s="36" t="s">
        <v>283</v>
      </c>
    </row>
    <row r="1006">
      <c r="A1006" s="50">
        <v>44662.88692791667</v>
      </c>
      <c r="B1006" s="36" t="s">
        <v>8</v>
      </c>
      <c r="C1006" s="36" t="s">
        <v>13</v>
      </c>
      <c r="AX1006" s="36" t="s">
        <v>3174</v>
      </c>
      <c r="AY1006" s="36" t="s">
        <v>3175</v>
      </c>
      <c r="AZ1006" s="36" t="s">
        <v>3224</v>
      </c>
      <c r="BA1006" s="36" t="s">
        <v>2992</v>
      </c>
      <c r="BB1006" s="36" t="s">
        <v>1335</v>
      </c>
      <c r="BC1006" s="37">
        <v>44494.0</v>
      </c>
      <c r="BD1006" s="37">
        <v>44555.0</v>
      </c>
      <c r="BE1006" s="37">
        <v>44555.0</v>
      </c>
      <c r="BF1006" s="36">
        <v>92.0</v>
      </c>
      <c r="BG1006" s="36" t="s">
        <v>3176</v>
      </c>
      <c r="BH1006" s="38" t="s">
        <v>3225</v>
      </c>
      <c r="FL1006" s="36" t="s">
        <v>3178</v>
      </c>
      <c r="FM1006" s="36" t="s">
        <v>555</v>
      </c>
    </row>
    <row r="1007">
      <c r="A1007" s="50">
        <v>44662.88741354167</v>
      </c>
      <c r="B1007" s="36" t="s">
        <v>7</v>
      </c>
      <c r="C1007" s="36" t="s">
        <v>12</v>
      </c>
      <c r="AN1007" s="36" t="s">
        <v>3226</v>
      </c>
      <c r="AO1007" s="36" t="s">
        <v>3227</v>
      </c>
      <c r="AP1007" s="36" t="s">
        <v>309</v>
      </c>
      <c r="AQ1007" s="36" t="s">
        <v>507</v>
      </c>
      <c r="AR1007" s="37">
        <v>44487.0</v>
      </c>
      <c r="AS1007" s="37">
        <v>44541.0</v>
      </c>
      <c r="AT1007" s="36" t="s">
        <v>257</v>
      </c>
      <c r="AU1007" s="36" t="s">
        <v>257</v>
      </c>
      <c r="AV1007" s="36">
        <v>0.0</v>
      </c>
      <c r="AW1007" s="38" t="s">
        <v>3228</v>
      </c>
      <c r="FL1007" s="36" t="s">
        <v>3229</v>
      </c>
      <c r="FM1007" s="36" t="s">
        <v>283</v>
      </c>
    </row>
    <row r="1008">
      <c r="A1008" s="50">
        <v>44662.88753762731</v>
      </c>
      <c r="B1008" s="36" t="s">
        <v>6</v>
      </c>
      <c r="C1008" s="36" t="s">
        <v>13</v>
      </c>
      <c r="AX1008" s="36" t="s">
        <v>3211</v>
      </c>
      <c r="AY1008" s="36" t="s">
        <v>3215</v>
      </c>
      <c r="AZ1008" s="36" t="s">
        <v>2525</v>
      </c>
      <c r="BA1008" s="36" t="s">
        <v>3230</v>
      </c>
      <c r="BB1008" s="36" t="s">
        <v>1810</v>
      </c>
      <c r="BC1008" s="37">
        <v>44290.0</v>
      </c>
      <c r="BD1008" s="37">
        <v>44311.0</v>
      </c>
      <c r="BE1008" s="37">
        <v>44315.0</v>
      </c>
      <c r="BF1008" s="36" t="s">
        <v>1796</v>
      </c>
      <c r="BG1008" s="36" t="s">
        <v>3231</v>
      </c>
      <c r="BH1008" s="38" t="s">
        <v>3232</v>
      </c>
      <c r="FL1008" s="36" t="s">
        <v>3214</v>
      </c>
      <c r="FM1008" s="36" t="s">
        <v>341</v>
      </c>
    </row>
    <row r="1009">
      <c r="A1009" s="50">
        <v>44662.88840589121</v>
      </c>
      <c r="B1009" s="36" t="s">
        <v>8</v>
      </c>
      <c r="C1009" s="36" t="s">
        <v>13</v>
      </c>
      <c r="AX1009" s="36" t="s">
        <v>3174</v>
      </c>
      <c r="AY1009" s="36" t="s">
        <v>3175</v>
      </c>
      <c r="AZ1009" s="36" t="s">
        <v>3233</v>
      </c>
      <c r="BA1009" s="36" t="s">
        <v>2992</v>
      </c>
      <c r="BB1009" s="36" t="s">
        <v>1335</v>
      </c>
      <c r="BC1009" s="37">
        <v>44494.0</v>
      </c>
      <c r="BD1009" s="37">
        <v>44555.0</v>
      </c>
      <c r="BE1009" s="37">
        <v>44555.0</v>
      </c>
      <c r="BF1009" s="36">
        <v>91.0</v>
      </c>
      <c r="BG1009" s="36" t="s">
        <v>3176</v>
      </c>
      <c r="BH1009" s="38" t="s">
        <v>3234</v>
      </c>
      <c r="FL1009" s="36" t="s">
        <v>3178</v>
      </c>
      <c r="FM1009" s="36" t="s">
        <v>555</v>
      </c>
    </row>
    <row r="1010">
      <c r="A1010" s="50">
        <v>44662.889446354166</v>
      </c>
      <c r="B1010" s="36" t="s">
        <v>7</v>
      </c>
      <c r="C1010" s="36" t="s">
        <v>12</v>
      </c>
      <c r="AN1010" s="36" t="s">
        <v>3235</v>
      </c>
      <c r="AO1010" s="36" t="s">
        <v>3236</v>
      </c>
      <c r="AP1010" s="36" t="s">
        <v>309</v>
      </c>
      <c r="AQ1010" s="36" t="s">
        <v>507</v>
      </c>
      <c r="AR1010" s="37">
        <v>44492.0</v>
      </c>
      <c r="AS1010" s="37">
        <v>44545.0</v>
      </c>
      <c r="AT1010" s="36" t="s">
        <v>257</v>
      </c>
      <c r="AU1010" s="36" t="s">
        <v>257</v>
      </c>
      <c r="AV1010" s="36">
        <v>0.0</v>
      </c>
      <c r="AW1010" s="38" t="s">
        <v>3237</v>
      </c>
      <c r="FL1010" s="36" t="s">
        <v>3238</v>
      </c>
      <c r="FM1010" s="36" t="s">
        <v>283</v>
      </c>
    </row>
    <row r="1011">
      <c r="A1011" s="50">
        <v>44662.88964538195</v>
      </c>
      <c r="B1011" s="36" t="s">
        <v>7</v>
      </c>
      <c r="C1011" s="36" t="s">
        <v>12</v>
      </c>
      <c r="AN1011" s="36" t="s">
        <v>3239</v>
      </c>
      <c r="AO1011" s="36" t="s">
        <v>3240</v>
      </c>
      <c r="AP1011" s="36" t="s">
        <v>309</v>
      </c>
      <c r="AQ1011" s="36" t="s">
        <v>507</v>
      </c>
      <c r="AR1011" s="37">
        <v>44635.0</v>
      </c>
      <c r="AS1011" s="37">
        <v>44545.0</v>
      </c>
      <c r="AT1011" s="36" t="s">
        <v>257</v>
      </c>
      <c r="AU1011" s="36" t="s">
        <v>257</v>
      </c>
      <c r="AV1011" s="36">
        <v>0.0</v>
      </c>
      <c r="AW1011" s="38" t="s">
        <v>3241</v>
      </c>
      <c r="FL1011" s="36" t="s">
        <v>3242</v>
      </c>
      <c r="FM1011" s="36" t="s">
        <v>283</v>
      </c>
    </row>
    <row r="1012">
      <c r="A1012" s="50">
        <v>44662.89113819445</v>
      </c>
      <c r="B1012" s="36" t="s">
        <v>8</v>
      </c>
      <c r="C1012" s="36" t="s">
        <v>13</v>
      </c>
      <c r="AX1012" s="36" t="s">
        <v>3174</v>
      </c>
      <c r="AY1012" s="36" t="s">
        <v>3175</v>
      </c>
      <c r="AZ1012" s="36" t="s">
        <v>2367</v>
      </c>
      <c r="BA1012" s="36" t="s">
        <v>2814</v>
      </c>
      <c r="BB1012" s="36" t="s">
        <v>1335</v>
      </c>
      <c r="BC1012" s="37">
        <v>44494.0</v>
      </c>
      <c r="BD1012" s="37">
        <v>44555.0</v>
      </c>
      <c r="BE1012" s="37">
        <v>44555.0</v>
      </c>
      <c r="BF1012" s="36">
        <v>95.0</v>
      </c>
      <c r="BG1012" s="36" t="s">
        <v>3243</v>
      </c>
      <c r="BH1012" s="38" t="s">
        <v>3244</v>
      </c>
      <c r="FL1012" s="36" t="s">
        <v>3178</v>
      </c>
      <c r="FM1012" s="36" t="s">
        <v>555</v>
      </c>
    </row>
    <row r="1013">
      <c r="A1013" s="50">
        <v>44662.894593125</v>
      </c>
      <c r="B1013" s="36" t="s">
        <v>6</v>
      </c>
      <c r="C1013" s="36" t="s">
        <v>13</v>
      </c>
      <c r="AX1013" s="36" t="s">
        <v>3211</v>
      </c>
      <c r="AY1013" s="36" t="s">
        <v>3215</v>
      </c>
      <c r="AZ1013" s="36" t="s">
        <v>647</v>
      </c>
      <c r="BA1013" s="36" t="s">
        <v>3230</v>
      </c>
      <c r="BB1013" s="36" t="s">
        <v>2339</v>
      </c>
      <c r="BC1013" s="37">
        <v>44296.0</v>
      </c>
      <c r="BD1013" s="37">
        <v>44310.0</v>
      </c>
      <c r="BE1013" s="37">
        <v>44317.0</v>
      </c>
      <c r="BF1013" s="36" t="s">
        <v>1796</v>
      </c>
      <c r="BG1013" s="36" t="s">
        <v>3231</v>
      </c>
      <c r="BH1013" s="38" t="s">
        <v>3245</v>
      </c>
      <c r="FL1013" s="36" t="s">
        <v>3214</v>
      </c>
      <c r="FM1013" s="36" t="s">
        <v>341</v>
      </c>
    </row>
    <row r="1014">
      <c r="A1014" s="50">
        <v>44662.89728902778</v>
      </c>
      <c r="B1014" s="36" t="s">
        <v>7</v>
      </c>
      <c r="C1014" s="36" t="s">
        <v>13</v>
      </c>
      <c r="AX1014" s="36" t="s">
        <v>3246</v>
      </c>
      <c r="AY1014" s="36" t="s">
        <v>3247</v>
      </c>
      <c r="AZ1014" s="36" t="s">
        <v>3248</v>
      </c>
      <c r="BA1014" s="36" t="s">
        <v>3249</v>
      </c>
      <c r="BB1014" s="36" t="s">
        <v>310</v>
      </c>
      <c r="BC1014" s="37">
        <v>44480.0</v>
      </c>
      <c r="BD1014" s="37">
        <v>44541.0</v>
      </c>
      <c r="BE1014" s="37">
        <v>44541.0</v>
      </c>
      <c r="BF1014" s="36" t="s">
        <v>3250</v>
      </c>
      <c r="BG1014" s="36" t="s">
        <v>3251</v>
      </c>
      <c r="BH1014" s="38" t="s">
        <v>3252</v>
      </c>
      <c r="FL1014" s="36" t="s">
        <v>3253</v>
      </c>
      <c r="FM1014" s="36" t="s">
        <v>283</v>
      </c>
    </row>
    <row r="1015">
      <c r="A1015" s="50">
        <v>44662.89900928241</v>
      </c>
      <c r="B1015" s="36" t="s">
        <v>6</v>
      </c>
      <c r="C1015" s="36" t="s">
        <v>20</v>
      </c>
      <c r="DX1015" s="36" t="s">
        <v>3211</v>
      </c>
      <c r="DY1015" s="36" t="s">
        <v>3215</v>
      </c>
      <c r="DZ1015" s="36" t="s">
        <v>159</v>
      </c>
      <c r="EA1015" s="36" t="s">
        <v>3254</v>
      </c>
      <c r="EB1015" s="37">
        <v>44488.0</v>
      </c>
      <c r="EC1015" s="36" t="s">
        <v>2220</v>
      </c>
      <c r="ED1015" s="38" t="s">
        <v>3255</v>
      </c>
      <c r="FL1015" s="36" t="s">
        <v>3214</v>
      </c>
      <c r="FM1015" s="36" t="s">
        <v>555</v>
      </c>
    </row>
    <row r="1016">
      <c r="A1016" s="50">
        <v>44662.900007743054</v>
      </c>
      <c r="B1016" s="36" t="s">
        <v>7</v>
      </c>
      <c r="C1016" s="36" t="s">
        <v>12</v>
      </c>
      <c r="AN1016" s="36" t="s">
        <v>3256</v>
      </c>
      <c r="AO1016" s="36" t="s">
        <v>3257</v>
      </c>
      <c r="AP1016" s="36" t="s">
        <v>309</v>
      </c>
      <c r="AQ1016" s="36" t="s">
        <v>507</v>
      </c>
      <c r="AR1016" s="37">
        <v>44477.0</v>
      </c>
      <c r="AS1016" s="37">
        <v>44547.0</v>
      </c>
      <c r="AT1016" s="36" t="s">
        <v>257</v>
      </c>
      <c r="AU1016" s="36" t="s">
        <v>257</v>
      </c>
      <c r="AV1016" s="36">
        <v>0.0</v>
      </c>
      <c r="AW1016" s="38" t="s">
        <v>3258</v>
      </c>
      <c r="FL1016" s="36" t="s">
        <v>3259</v>
      </c>
      <c r="FM1016" s="36" t="s">
        <v>283</v>
      </c>
    </row>
    <row r="1017">
      <c r="A1017" s="50">
        <v>44662.90109875</v>
      </c>
      <c r="B1017" s="36" t="s">
        <v>6</v>
      </c>
      <c r="C1017" s="36" t="s">
        <v>20</v>
      </c>
      <c r="DX1017" s="36" t="s">
        <v>3211</v>
      </c>
      <c r="DY1017" s="36" t="s">
        <v>3215</v>
      </c>
      <c r="DZ1017" s="36" t="s">
        <v>159</v>
      </c>
      <c r="EA1017" s="36" t="s">
        <v>3260</v>
      </c>
      <c r="EB1017" s="37">
        <v>44128.0</v>
      </c>
      <c r="EC1017" s="36" t="s">
        <v>2220</v>
      </c>
      <c r="ED1017" s="38" t="s">
        <v>3261</v>
      </c>
      <c r="FL1017" s="36" t="s">
        <v>3214</v>
      </c>
      <c r="FM1017" s="36" t="s">
        <v>323</v>
      </c>
    </row>
    <row r="1018">
      <c r="A1018" s="50">
        <v>44662.90296288194</v>
      </c>
      <c r="B1018" s="36" t="s">
        <v>6</v>
      </c>
      <c r="C1018" s="36" t="s">
        <v>20</v>
      </c>
      <c r="DX1018" s="36" t="s">
        <v>3211</v>
      </c>
      <c r="DY1018" s="36" t="s">
        <v>3215</v>
      </c>
      <c r="DZ1018" s="36" t="s">
        <v>171</v>
      </c>
      <c r="EA1018" s="36" t="s">
        <v>3262</v>
      </c>
      <c r="EB1018" s="37">
        <v>44492.0</v>
      </c>
      <c r="EC1018" s="36" t="s">
        <v>2220</v>
      </c>
      <c r="ED1018" s="38" t="s">
        <v>3263</v>
      </c>
      <c r="FL1018" s="36" t="s">
        <v>3214</v>
      </c>
      <c r="FM1018" s="36" t="s">
        <v>341</v>
      </c>
    </row>
    <row r="1019">
      <c r="A1019" s="50">
        <v>44662.90637295139</v>
      </c>
      <c r="B1019" s="36" t="s">
        <v>6</v>
      </c>
      <c r="C1019" s="36" t="s">
        <v>13</v>
      </c>
      <c r="AX1019" s="36" t="s">
        <v>3211</v>
      </c>
      <c r="AY1019" s="36" t="s">
        <v>3215</v>
      </c>
      <c r="AZ1019" s="36" t="s">
        <v>3264</v>
      </c>
      <c r="BA1019" s="36" t="s">
        <v>582</v>
      </c>
      <c r="BB1019" s="36" t="s">
        <v>3265</v>
      </c>
      <c r="BC1019" s="37">
        <v>44484.0</v>
      </c>
      <c r="BD1019" s="37">
        <v>44545.0</v>
      </c>
      <c r="BE1019" s="37">
        <v>44550.0</v>
      </c>
      <c r="BF1019" s="36" t="s">
        <v>1796</v>
      </c>
      <c r="BG1019" s="36" t="s">
        <v>3266</v>
      </c>
      <c r="BH1019" s="38" t="s">
        <v>3267</v>
      </c>
      <c r="FL1019" s="36" t="s">
        <v>3214</v>
      </c>
      <c r="FM1019" s="36" t="s">
        <v>278</v>
      </c>
    </row>
    <row r="1020">
      <c r="A1020" s="50">
        <v>44662.90770221065</v>
      </c>
      <c r="B1020" s="36" t="s">
        <v>7</v>
      </c>
      <c r="C1020" s="36" t="s">
        <v>12</v>
      </c>
      <c r="AN1020" s="36" t="s">
        <v>3268</v>
      </c>
      <c r="AO1020" s="36" t="s">
        <v>3269</v>
      </c>
      <c r="AP1020" s="36" t="s">
        <v>309</v>
      </c>
      <c r="AQ1020" s="36" t="s">
        <v>507</v>
      </c>
      <c r="AR1020" s="37">
        <v>44470.0</v>
      </c>
      <c r="AS1020" s="37">
        <v>44561.0</v>
      </c>
      <c r="AT1020" s="36" t="s">
        <v>257</v>
      </c>
      <c r="AU1020" s="36" t="s">
        <v>257</v>
      </c>
      <c r="AV1020" s="36">
        <v>0.0</v>
      </c>
      <c r="AW1020" s="38" t="s">
        <v>3270</v>
      </c>
      <c r="FL1020" s="36" t="s">
        <v>3271</v>
      </c>
      <c r="FM1020" s="36" t="s">
        <v>283</v>
      </c>
    </row>
    <row r="1021">
      <c r="A1021" s="50">
        <v>44662.90998049769</v>
      </c>
      <c r="B1021" s="36" t="s">
        <v>6</v>
      </c>
      <c r="C1021" s="20" t="s">
        <v>15</v>
      </c>
      <c r="BW1021" s="36" t="s">
        <v>3211</v>
      </c>
      <c r="BX1021" s="36" t="s">
        <v>3215</v>
      </c>
      <c r="BZ1021" s="36" t="s">
        <v>159</v>
      </c>
      <c r="CA1021" s="36" t="s">
        <v>3272</v>
      </c>
      <c r="CB1021" s="36" t="s">
        <v>456</v>
      </c>
      <c r="CC1021" s="36" t="s">
        <v>457</v>
      </c>
      <c r="CD1021" s="37">
        <v>43476.0</v>
      </c>
      <c r="CE1021" s="37">
        <v>43566.0</v>
      </c>
      <c r="CF1021" s="36">
        <v>73.0</v>
      </c>
      <c r="CG1021" s="38" t="s">
        <v>3273</v>
      </c>
      <c r="FL1021" s="36" t="s">
        <v>3214</v>
      </c>
      <c r="FM1021" s="36" t="s">
        <v>555</v>
      </c>
    </row>
    <row r="1022">
      <c r="A1022" s="50">
        <v>44662.91433663195</v>
      </c>
      <c r="B1022" s="36" t="s">
        <v>6</v>
      </c>
      <c r="C1022" s="36" t="s">
        <v>13</v>
      </c>
      <c r="AX1022" s="36" t="s">
        <v>3211</v>
      </c>
      <c r="AY1022" s="36" t="s">
        <v>3212</v>
      </c>
      <c r="AZ1022" s="36" t="s">
        <v>3274</v>
      </c>
      <c r="BA1022" s="36" t="s">
        <v>345</v>
      </c>
      <c r="BB1022" s="36" t="s">
        <v>1810</v>
      </c>
      <c r="BC1022" s="37">
        <v>44612.0</v>
      </c>
      <c r="BD1022" s="37">
        <v>44655.0</v>
      </c>
      <c r="BE1022" s="37">
        <v>44661.0</v>
      </c>
      <c r="BF1022" s="36" t="s">
        <v>1796</v>
      </c>
      <c r="BG1022" s="36" t="s">
        <v>3275</v>
      </c>
      <c r="BH1022" s="38" t="s">
        <v>3276</v>
      </c>
      <c r="FL1022" s="36" t="s">
        <v>3214</v>
      </c>
      <c r="FM1022" s="36" t="s">
        <v>278</v>
      </c>
    </row>
    <row r="1023">
      <c r="A1023" s="50">
        <v>44662.923822881945</v>
      </c>
      <c r="B1023" s="36" t="s">
        <v>7</v>
      </c>
      <c r="C1023" s="36" t="s">
        <v>13</v>
      </c>
      <c r="AX1023" s="36" t="s">
        <v>3277</v>
      </c>
      <c r="AY1023" s="36" t="s">
        <v>3269</v>
      </c>
      <c r="AZ1023" s="36" t="s">
        <v>2552</v>
      </c>
      <c r="BA1023" s="36" t="s">
        <v>2490</v>
      </c>
      <c r="BB1023" s="36" t="s">
        <v>495</v>
      </c>
      <c r="BC1023" s="37">
        <v>44294.0</v>
      </c>
      <c r="BD1023" s="37">
        <v>44322.0</v>
      </c>
      <c r="BE1023" s="37">
        <v>44321.0</v>
      </c>
      <c r="BF1023" s="36" t="s">
        <v>472</v>
      </c>
      <c r="BG1023" s="36" t="s">
        <v>3278</v>
      </c>
      <c r="BH1023" s="38" t="s">
        <v>3279</v>
      </c>
      <c r="FL1023" s="36" t="s">
        <v>3271</v>
      </c>
      <c r="FM1023" s="36" t="s">
        <v>283</v>
      </c>
    </row>
    <row r="1024">
      <c r="A1024" s="50">
        <v>44662.928126087965</v>
      </c>
      <c r="B1024" s="36" t="s">
        <v>7</v>
      </c>
      <c r="C1024" s="36" t="s">
        <v>13</v>
      </c>
      <c r="AX1024" s="36" t="s">
        <v>3277</v>
      </c>
      <c r="AY1024" s="36" t="s">
        <v>3269</v>
      </c>
      <c r="AZ1024" s="36" t="s">
        <v>3280</v>
      </c>
      <c r="BA1024" s="36" t="s">
        <v>337</v>
      </c>
      <c r="BB1024" s="36" t="s">
        <v>2335</v>
      </c>
      <c r="BC1024" s="37">
        <v>44539.0</v>
      </c>
      <c r="BD1024" s="37">
        <v>44372.0</v>
      </c>
      <c r="BE1024" s="37">
        <v>44370.0</v>
      </c>
      <c r="BF1024" s="36" t="s">
        <v>472</v>
      </c>
      <c r="BG1024" s="36" t="s">
        <v>3281</v>
      </c>
      <c r="BH1024" s="38" t="s">
        <v>3282</v>
      </c>
      <c r="FL1024" s="36" t="s">
        <v>3271</v>
      </c>
      <c r="FM1024" s="36" t="s">
        <v>283</v>
      </c>
    </row>
    <row r="1025">
      <c r="A1025" s="50">
        <v>44662.92871230324</v>
      </c>
      <c r="B1025" s="36" t="s">
        <v>7</v>
      </c>
      <c r="C1025" s="36" t="s">
        <v>12</v>
      </c>
      <c r="AN1025" s="36" t="s">
        <v>3283</v>
      </c>
      <c r="AO1025" s="36" t="s">
        <v>3284</v>
      </c>
      <c r="AP1025" s="36" t="s">
        <v>309</v>
      </c>
      <c r="AQ1025" s="36" t="s">
        <v>507</v>
      </c>
      <c r="AR1025" s="37">
        <v>44470.0</v>
      </c>
      <c r="AS1025" s="37">
        <v>44542.0</v>
      </c>
      <c r="AT1025" s="36" t="s">
        <v>257</v>
      </c>
      <c r="AU1025" s="36" t="s">
        <v>257</v>
      </c>
      <c r="AV1025" s="36">
        <v>0.0</v>
      </c>
      <c r="AW1025" s="38" t="s">
        <v>3285</v>
      </c>
      <c r="FL1025" s="36" t="s">
        <v>3286</v>
      </c>
      <c r="FM1025" s="36" t="s">
        <v>283</v>
      </c>
    </row>
    <row r="1026">
      <c r="A1026" s="50">
        <v>44662.93022490741</v>
      </c>
      <c r="B1026" s="36" t="s">
        <v>7</v>
      </c>
      <c r="C1026" s="36" t="s">
        <v>12</v>
      </c>
      <c r="AN1026" s="36" t="s">
        <v>3287</v>
      </c>
      <c r="AO1026" s="36" t="s">
        <v>3288</v>
      </c>
      <c r="AP1026" s="36" t="s">
        <v>309</v>
      </c>
      <c r="AQ1026" s="36" t="s">
        <v>507</v>
      </c>
      <c r="AR1026" s="37">
        <v>44470.0</v>
      </c>
      <c r="AS1026" s="37">
        <v>44542.0</v>
      </c>
      <c r="AT1026" s="36" t="s">
        <v>257</v>
      </c>
      <c r="AU1026" s="36" t="s">
        <v>257</v>
      </c>
      <c r="AV1026" s="36">
        <v>0.0</v>
      </c>
      <c r="AW1026" s="38" t="s">
        <v>3289</v>
      </c>
      <c r="FL1026" s="36" t="s">
        <v>3290</v>
      </c>
      <c r="FM1026" s="36" t="s">
        <v>283</v>
      </c>
    </row>
    <row r="1027">
      <c r="A1027" s="50">
        <v>44662.930548530094</v>
      </c>
      <c r="B1027" s="36" t="s">
        <v>7</v>
      </c>
      <c r="C1027" s="36" t="s">
        <v>13</v>
      </c>
      <c r="AX1027" s="36" t="s">
        <v>3277</v>
      </c>
      <c r="AY1027" s="36" t="s">
        <v>3269</v>
      </c>
      <c r="AZ1027" s="36" t="s">
        <v>3291</v>
      </c>
      <c r="BA1027" s="36" t="s">
        <v>337</v>
      </c>
      <c r="BB1027" s="36" t="s">
        <v>2335</v>
      </c>
      <c r="BC1027" s="37">
        <v>44443.0</v>
      </c>
      <c r="BD1027" s="37">
        <v>44604.0</v>
      </c>
      <c r="BE1027" s="37">
        <v>44601.0</v>
      </c>
      <c r="BF1027" s="36" t="s">
        <v>3292</v>
      </c>
      <c r="BG1027" s="36" t="s">
        <v>2161</v>
      </c>
      <c r="BH1027" s="38" t="s">
        <v>3293</v>
      </c>
      <c r="FL1027" s="36" t="s">
        <v>3271</v>
      </c>
      <c r="FM1027" s="36" t="s">
        <v>283</v>
      </c>
    </row>
    <row r="1028">
      <c r="A1028" s="50">
        <v>44662.93079300926</v>
      </c>
      <c r="B1028" s="36" t="s">
        <v>7</v>
      </c>
      <c r="C1028" s="36" t="s">
        <v>12</v>
      </c>
      <c r="AN1028" s="36" t="s">
        <v>3294</v>
      </c>
      <c r="AO1028" s="36" t="s">
        <v>3295</v>
      </c>
      <c r="AP1028" s="36" t="s">
        <v>309</v>
      </c>
      <c r="AQ1028" s="36" t="s">
        <v>507</v>
      </c>
      <c r="AR1028" s="37">
        <v>44492.0</v>
      </c>
      <c r="AS1028" s="37">
        <v>44548.0</v>
      </c>
      <c r="AT1028" s="36" t="s">
        <v>257</v>
      </c>
      <c r="AU1028" s="36" t="s">
        <v>257</v>
      </c>
      <c r="AV1028" s="36">
        <v>0.0</v>
      </c>
      <c r="AW1028" s="38" t="s">
        <v>3296</v>
      </c>
      <c r="FL1028" s="36" t="s">
        <v>3297</v>
      </c>
      <c r="FM1028" s="36" t="s">
        <v>283</v>
      </c>
    </row>
    <row r="1029">
      <c r="A1029" s="50">
        <v>44662.93194905092</v>
      </c>
      <c r="B1029" s="36" t="s">
        <v>6</v>
      </c>
      <c r="C1029" s="36" t="s">
        <v>13</v>
      </c>
      <c r="AX1029" s="36" t="s">
        <v>3298</v>
      </c>
      <c r="AY1029" s="36" t="s">
        <v>3299</v>
      </c>
      <c r="AZ1029" s="36" t="s">
        <v>3300</v>
      </c>
      <c r="BA1029" s="36" t="s">
        <v>2490</v>
      </c>
      <c r="BB1029" s="36" t="s">
        <v>510</v>
      </c>
      <c r="BC1029" s="37">
        <v>44323.0</v>
      </c>
      <c r="BD1029" s="37">
        <v>44376.0</v>
      </c>
      <c r="BE1029" s="37">
        <v>44379.0</v>
      </c>
      <c r="BF1029" s="36">
        <v>100.0</v>
      </c>
      <c r="BG1029" s="36" t="s">
        <v>1636</v>
      </c>
      <c r="BH1029" s="38" t="s">
        <v>3301</v>
      </c>
      <c r="FL1029" s="36" t="s">
        <v>3302</v>
      </c>
      <c r="FM1029" s="36" t="s">
        <v>555</v>
      </c>
    </row>
    <row r="1030">
      <c r="A1030" s="50">
        <v>44662.93226584491</v>
      </c>
      <c r="B1030" s="36" t="s">
        <v>7</v>
      </c>
      <c r="C1030" s="36" t="s">
        <v>12</v>
      </c>
      <c r="AN1030" s="36" t="s">
        <v>3303</v>
      </c>
      <c r="AO1030" s="36" t="s">
        <v>3304</v>
      </c>
      <c r="AP1030" s="36" t="s">
        <v>309</v>
      </c>
      <c r="AQ1030" s="36" t="s">
        <v>507</v>
      </c>
      <c r="AR1030" s="37">
        <v>44470.0</v>
      </c>
      <c r="AS1030" s="37">
        <v>44542.0</v>
      </c>
      <c r="AT1030" s="36" t="s">
        <v>257</v>
      </c>
      <c r="AU1030" s="36" t="s">
        <v>257</v>
      </c>
      <c r="AV1030" s="36">
        <v>0.0</v>
      </c>
      <c r="AW1030" s="38" t="s">
        <v>3305</v>
      </c>
      <c r="FL1030" s="36" t="s">
        <v>3306</v>
      </c>
      <c r="FM1030" s="36" t="s">
        <v>283</v>
      </c>
    </row>
    <row r="1031">
      <c r="A1031" s="50">
        <v>44662.9338296412</v>
      </c>
      <c r="B1031" s="36" t="s">
        <v>7</v>
      </c>
      <c r="C1031" s="36" t="s">
        <v>26</v>
      </c>
      <c r="FL1031" s="36" t="s">
        <v>3307</v>
      </c>
      <c r="FM1031" s="36" t="s">
        <v>283</v>
      </c>
      <c r="FZ1031" s="36" t="s">
        <v>3308</v>
      </c>
      <c r="GA1031" s="36" t="s">
        <v>3309</v>
      </c>
      <c r="GB1031" s="36" t="s">
        <v>3310</v>
      </c>
      <c r="GC1031" s="37">
        <v>44462.0</v>
      </c>
      <c r="GE1031" s="37">
        <v>45078.0</v>
      </c>
    </row>
    <row r="1032">
      <c r="A1032" s="50">
        <v>44662.935004803236</v>
      </c>
      <c r="B1032" s="36" t="s">
        <v>7</v>
      </c>
      <c r="C1032" s="36" t="s">
        <v>12</v>
      </c>
      <c r="AN1032" s="36" t="s">
        <v>3311</v>
      </c>
      <c r="AO1032" s="36" t="s">
        <v>3312</v>
      </c>
      <c r="AP1032" s="36" t="s">
        <v>2830</v>
      </c>
      <c r="AQ1032" s="36" t="s">
        <v>507</v>
      </c>
      <c r="AR1032" s="37">
        <v>44492.0</v>
      </c>
      <c r="AS1032" s="37">
        <v>44548.0</v>
      </c>
      <c r="AT1032" s="36" t="s">
        <v>257</v>
      </c>
      <c r="AU1032" s="36" t="s">
        <v>257</v>
      </c>
      <c r="AV1032" s="36">
        <v>0.0</v>
      </c>
      <c r="AW1032" s="38" t="s">
        <v>3313</v>
      </c>
      <c r="FL1032" s="36" t="s">
        <v>3314</v>
      </c>
      <c r="FM1032" s="36" t="s">
        <v>283</v>
      </c>
    </row>
    <row r="1033">
      <c r="A1033" s="50">
        <v>44662.9368058449</v>
      </c>
      <c r="B1033" s="36" t="s">
        <v>6</v>
      </c>
      <c r="C1033" s="36" t="s">
        <v>13</v>
      </c>
      <c r="AX1033" s="36" t="s">
        <v>3315</v>
      </c>
      <c r="AY1033" s="36" t="s">
        <v>3299</v>
      </c>
      <c r="AZ1033" s="36" t="s">
        <v>376</v>
      </c>
      <c r="BA1033" s="36" t="s">
        <v>337</v>
      </c>
      <c r="BB1033" s="36" t="s">
        <v>1956</v>
      </c>
      <c r="BC1033" s="37">
        <v>43647.0</v>
      </c>
      <c r="BD1033" s="37">
        <v>43681.0</v>
      </c>
      <c r="BE1033" s="37">
        <v>43803.0</v>
      </c>
      <c r="BF1033" s="51">
        <v>0.84</v>
      </c>
      <c r="BG1033" s="36" t="s">
        <v>3316</v>
      </c>
      <c r="BH1033" s="38" t="s">
        <v>3317</v>
      </c>
      <c r="FL1033" s="36" t="s">
        <v>3302</v>
      </c>
      <c r="FM1033" s="36" t="s">
        <v>414</v>
      </c>
    </row>
    <row r="1034">
      <c r="A1034" s="50">
        <v>44662.938115694444</v>
      </c>
      <c r="B1034" s="36" t="s">
        <v>7</v>
      </c>
      <c r="C1034" s="36" t="s">
        <v>12</v>
      </c>
      <c r="AN1034" s="36" t="s">
        <v>3318</v>
      </c>
      <c r="AO1034" s="36" t="s">
        <v>3319</v>
      </c>
      <c r="AP1034" s="36" t="s">
        <v>309</v>
      </c>
      <c r="AQ1034" s="36" t="s">
        <v>507</v>
      </c>
      <c r="AR1034" s="37">
        <v>44492.0</v>
      </c>
      <c r="AS1034" s="37">
        <v>44548.0</v>
      </c>
      <c r="AT1034" s="36" t="s">
        <v>257</v>
      </c>
      <c r="AU1034" s="36" t="s">
        <v>257</v>
      </c>
      <c r="AV1034" s="36">
        <v>0.0</v>
      </c>
      <c r="AW1034" s="38" t="s">
        <v>3320</v>
      </c>
      <c r="FL1034" s="36" t="s">
        <v>3321</v>
      </c>
      <c r="FM1034" s="36" t="s">
        <v>283</v>
      </c>
    </row>
    <row r="1035">
      <c r="A1035" s="50">
        <v>44662.93967253472</v>
      </c>
      <c r="B1035" s="36" t="s">
        <v>6</v>
      </c>
      <c r="C1035" s="36" t="s">
        <v>13</v>
      </c>
      <c r="AX1035" s="36" t="s">
        <v>3298</v>
      </c>
      <c r="AY1035" s="36" t="s">
        <v>3299</v>
      </c>
      <c r="AZ1035" s="36" t="s">
        <v>3322</v>
      </c>
      <c r="BA1035" s="36" t="s">
        <v>337</v>
      </c>
      <c r="BB1035" s="36" t="s">
        <v>2484</v>
      </c>
      <c r="BC1035" s="37">
        <v>43525.0</v>
      </c>
      <c r="BD1035" s="37">
        <v>43646.0</v>
      </c>
      <c r="BE1035" s="37">
        <v>43675.0</v>
      </c>
      <c r="BF1035" s="51">
        <v>1.0</v>
      </c>
      <c r="BG1035" s="36" t="s">
        <v>3316</v>
      </c>
      <c r="BH1035" s="38" t="s">
        <v>3323</v>
      </c>
      <c r="FL1035" s="36" t="s">
        <v>3302</v>
      </c>
      <c r="FM1035" s="36" t="s">
        <v>382</v>
      </c>
    </row>
    <row r="1036">
      <c r="A1036" s="50">
        <v>44662.942145740744</v>
      </c>
      <c r="B1036" s="36" t="s">
        <v>6</v>
      </c>
      <c r="C1036" s="36" t="s">
        <v>13</v>
      </c>
      <c r="AX1036" s="36" t="s">
        <v>3298</v>
      </c>
      <c r="AY1036" s="36" t="s">
        <v>3299</v>
      </c>
      <c r="AZ1036" s="36" t="s">
        <v>1367</v>
      </c>
      <c r="BA1036" s="36" t="s">
        <v>337</v>
      </c>
      <c r="BB1036" s="36" t="s">
        <v>701</v>
      </c>
      <c r="BC1036" s="37">
        <v>43933.0</v>
      </c>
      <c r="BD1036" s="37">
        <v>43963.0</v>
      </c>
      <c r="BE1036" s="37">
        <v>43965.0</v>
      </c>
      <c r="BF1036" s="51">
        <v>0.9</v>
      </c>
      <c r="BG1036" s="36" t="s">
        <v>3316</v>
      </c>
      <c r="BH1036" s="38" t="s">
        <v>3324</v>
      </c>
      <c r="FL1036" s="36" t="s">
        <v>3302</v>
      </c>
      <c r="FM1036" s="36" t="s">
        <v>323</v>
      </c>
    </row>
    <row r="1037">
      <c r="A1037" s="50">
        <v>44662.94994288194</v>
      </c>
      <c r="B1037" s="36" t="s">
        <v>7</v>
      </c>
      <c r="C1037" s="36" t="s">
        <v>12</v>
      </c>
      <c r="AN1037" s="36" t="s">
        <v>3325</v>
      </c>
      <c r="AO1037" s="36" t="s">
        <v>3326</v>
      </c>
      <c r="AP1037" s="36" t="s">
        <v>309</v>
      </c>
      <c r="AQ1037" s="36" t="s">
        <v>391</v>
      </c>
      <c r="AR1037" s="37">
        <v>44492.0</v>
      </c>
      <c r="AS1037" s="37">
        <v>44548.0</v>
      </c>
      <c r="AT1037" s="36" t="s">
        <v>257</v>
      </c>
      <c r="AU1037" s="36" t="s">
        <v>257</v>
      </c>
      <c r="AV1037" s="36">
        <v>0.0</v>
      </c>
      <c r="AW1037" s="38" t="s">
        <v>3327</v>
      </c>
      <c r="FL1037" s="36" t="s">
        <v>3328</v>
      </c>
      <c r="FM1037" s="36" t="s">
        <v>283</v>
      </c>
    </row>
    <row r="1038">
      <c r="A1038" s="50">
        <v>44662.95239209491</v>
      </c>
      <c r="B1038" s="36" t="s">
        <v>6</v>
      </c>
      <c r="C1038" s="36" t="s">
        <v>13</v>
      </c>
      <c r="AX1038" s="36" t="s">
        <v>3211</v>
      </c>
      <c r="AY1038" s="36" t="s">
        <v>3215</v>
      </c>
      <c r="AZ1038" s="36" t="s">
        <v>502</v>
      </c>
      <c r="BA1038" s="36" t="s">
        <v>377</v>
      </c>
      <c r="BB1038" s="36" t="s">
        <v>1803</v>
      </c>
      <c r="BC1038" s="37">
        <v>43513.0</v>
      </c>
      <c r="BD1038" s="37">
        <v>43649.0</v>
      </c>
      <c r="BE1038" s="37">
        <v>44745.0</v>
      </c>
      <c r="BF1038" s="36" t="s">
        <v>1796</v>
      </c>
      <c r="BG1038" s="36" t="s">
        <v>394</v>
      </c>
      <c r="BH1038" s="38" t="s">
        <v>3329</v>
      </c>
      <c r="FL1038" s="36" t="s">
        <v>3214</v>
      </c>
      <c r="FM1038" s="36" t="s">
        <v>555</v>
      </c>
    </row>
    <row r="1039">
      <c r="A1039" s="50">
        <v>44662.95396950231</v>
      </c>
      <c r="B1039" s="36" t="s">
        <v>6</v>
      </c>
      <c r="C1039" s="36" t="s">
        <v>13</v>
      </c>
      <c r="AX1039" s="36" t="s">
        <v>3298</v>
      </c>
      <c r="AY1039" s="36" t="s">
        <v>3299</v>
      </c>
      <c r="AZ1039" s="36" t="s">
        <v>3330</v>
      </c>
      <c r="BA1039" s="36" t="s">
        <v>337</v>
      </c>
      <c r="BB1039" s="36" t="s">
        <v>701</v>
      </c>
      <c r="BC1039" s="37">
        <v>43957.0</v>
      </c>
      <c r="BD1039" s="37">
        <v>43988.0</v>
      </c>
      <c r="BE1039" s="37">
        <v>43989.0</v>
      </c>
      <c r="BF1039" s="51">
        <v>1.0</v>
      </c>
      <c r="BG1039" s="36" t="s">
        <v>3316</v>
      </c>
      <c r="BH1039" s="38" t="s">
        <v>3331</v>
      </c>
      <c r="FL1039" s="36" t="s">
        <v>3302</v>
      </c>
      <c r="FM1039" s="36" t="s">
        <v>323</v>
      </c>
    </row>
    <row r="1040">
      <c r="A1040" s="50">
        <v>44662.954131412036</v>
      </c>
      <c r="B1040" s="36" t="s">
        <v>8</v>
      </c>
      <c r="C1040" s="36" t="s">
        <v>13</v>
      </c>
      <c r="AX1040" s="36" t="s">
        <v>3332</v>
      </c>
      <c r="AY1040" s="36" t="s">
        <v>3333</v>
      </c>
      <c r="AZ1040" s="36" t="s">
        <v>856</v>
      </c>
      <c r="BA1040" s="36" t="s">
        <v>377</v>
      </c>
      <c r="BB1040" s="36" t="s">
        <v>310</v>
      </c>
      <c r="BC1040" s="37">
        <v>44378.0</v>
      </c>
      <c r="BD1040" s="37">
        <v>44440.0</v>
      </c>
      <c r="BE1040" s="37">
        <v>44440.0</v>
      </c>
      <c r="BF1040" s="36">
        <v>91.0</v>
      </c>
      <c r="BG1040" s="36" t="s">
        <v>3334</v>
      </c>
      <c r="BH1040" s="38" t="s">
        <v>3335</v>
      </c>
      <c r="FL1040" s="36" t="s">
        <v>3336</v>
      </c>
      <c r="FM1040" s="36" t="s">
        <v>323</v>
      </c>
    </row>
    <row r="1041">
      <c r="A1041" s="50">
        <v>44662.95449902778</v>
      </c>
      <c r="B1041" s="36" t="s">
        <v>7</v>
      </c>
      <c r="C1041" s="36" t="s">
        <v>12</v>
      </c>
      <c r="AN1041" s="36" t="s">
        <v>3308</v>
      </c>
      <c r="AO1041" s="36" t="s">
        <v>3309</v>
      </c>
      <c r="AP1041" s="36" t="s">
        <v>309</v>
      </c>
      <c r="AQ1041" s="36" t="s">
        <v>507</v>
      </c>
      <c r="AR1041" s="37">
        <v>44485.0</v>
      </c>
      <c r="AS1041" s="37">
        <v>44548.0</v>
      </c>
      <c r="AT1041" s="36" t="s">
        <v>257</v>
      </c>
      <c r="AU1041" s="36" t="s">
        <v>257</v>
      </c>
      <c r="AV1041" s="36">
        <v>0.0</v>
      </c>
      <c r="AW1041" s="38" t="s">
        <v>3337</v>
      </c>
      <c r="FL1041" s="36" t="s">
        <v>3307</v>
      </c>
      <c r="FM1041" s="36" t="s">
        <v>283</v>
      </c>
    </row>
    <row r="1042">
      <c r="A1042" s="50">
        <v>44662.955823807875</v>
      </c>
      <c r="B1042" s="36" t="s">
        <v>7</v>
      </c>
      <c r="C1042" s="36" t="s">
        <v>12</v>
      </c>
      <c r="AN1042" s="36" t="s">
        <v>3338</v>
      </c>
      <c r="AO1042" s="36" t="s">
        <v>3339</v>
      </c>
      <c r="AP1042" s="36" t="s">
        <v>309</v>
      </c>
      <c r="AQ1042" s="36" t="s">
        <v>450</v>
      </c>
      <c r="AR1042" s="37">
        <v>44492.0</v>
      </c>
      <c r="AS1042" s="37">
        <v>44548.0</v>
      </c>
      <c r="AT1042" s="36" t="s">
        <v>257</v>
      </c>
      <c r="AU1042" s="36" t="s">
        <v>257</v>
      </c>
      <c r="AV1042" s="36">
        <v>0.0</v>
      </c>
      <c r="AW1042" s="38" t="s">
        <v>3340</v>
      </c>
      <c r="FL1042" s="36" t="s">
        <v>3341</v>
      </c>
      <c r="FM1042" s="36" t="s">
        <v>283</v>
      </c>
    </row>
    <row r="1043">
      <c r="A1043" s="50">
        <v>44662.95652071759</v>
      </c>
      <c r="B1043" s="36" t="s">
        <v>7</v>
      </c>
      <c r="C1043" s="36" t="s">
        <v>12</v>
      </c>
      <c r="AN1043" s="36" t="s">
        <v>3308</v>
      </c>
      <c r="AO1043" s="36" t="s">
        <v>3309</v>
      </c>
      <c r="AP1043" s="36" t="s">
        <v>3342</v>
      </c>
      <c r="AQ1043" s="36" t="s">
        <v>882</v>
      </c>
      <c r="AR1043" s="37">
        <v>44338.0</v>
      </c>
      <c r="AS1043" s="37">
        <v>44367.0</v>
      </c>
      <c r="AT1043" s="36" t="s">
        <v>257</v>
      </c>
      <c r="AU1043" s="36" t="s">
        <v>257</v>
      </c>
      <c r="AV1043" s="36">
        <v>0.0</v>
      </c>
      <c r="AW1043" s="38" t="s">
        <v>3343</v>
      </c>
      <c r="FL1043" s="36" t="s">
        <v>3307</v>
      </c>
      <c r="FM1043" s="36" t="s">
        <v>283</v>
      </c>
    </row>
    <row r="1044">
      <c r="A1044" s="50">
        <v>44662.95967966435</v>
      </c>
      <c r="B1044" s="36" t="s">
        <v>8</v>
      </c>
      <c r="C1044" s="36" t="s">
        <v>13</v>
      </c>
      <c r="AX1044" s="36" t="s">
        <v>3332</v>
      </c>
      <c r="AY1044" s="36" t="s">
        <v>3333</v>
      </c>
      <c r="AZ1044" s="36" t="s">
        <v>2887</v>
      </c>
      <c r="BA1044" s="36" t="s">
        <v>377</v>
      </c>
      <c r="BB1044" s="36" t="s">
        <v>310</v>
      </c>
      <c r="BC1044" s="37">
        <v>44596.0</v>
      </c>
      <c r="BD1044" s="37">
        <v>44655.0</v>
      </c>
      <c r="BE1044" s="37">
        <v>44655.0</v>
      </c>
      <c r="BF1044" s="36">
        <v>90.0</v>
      </c>
      <c r="BG1044" s="36" t="s">
        <v>3334</v>
      </c>
      <c r="BH1044" s="38" t="s">
        <v>3344</v>
      </c>
      <c r="FL1044" s="36" t="s">
        <v>3336</v>
      </c>
      <c r="FM1044" s="36" t="s">
        <v>323</v>
      </c>
    </row>
    <row r="1045">
      <c r="A1045" s="50">
        <v>44662.9617019213</v>
      </c>
      <c r="B1045" s="36" t="s">
        <v>8</v>
      </c>
      <c r="C1045" s="36" t="s">
        <v>12</v>
      </c>
      <c r="AN1045" s="36" t="s">
        <v>3332</v>
      </c>
      <c r="AO1045" s="36" t="s">
        <v>3333</v>
      </c>
      <c r="AP1045" s="36" t="s">
        <v>878</v>
      </c>
      <c r="AQ1045" s="36" t="s">
        <v>310</v>
      </c>
      <c r="AR1045" s="37">
        <v>44470.0</v>
      </c>
      <c r="AS1045" s="37">
        <v>44531.0</v>
      </c>
      <c r="AT1045" s="36" t="s">
        <v>257</v>
      </c>
      <c r="AU1045" s="36" t="s">
        <v>257</v>
      </c>
      <c r="AV1045" s="36">
        <v>0.0</v>
      </c>
      <c r="AW1045" s="38" t="s">
        <v>3345</v>
      </c>
      <c r="FL1045" s="36" t="s">
        <v>3336</v>
      </c>
      <c r="FM1045" s="36" t="s">
        <v>323</v>
      </c>
    </row>
    <row r="1046">
      <c r="A1046" s="50">
        <v>44662.96232372685</v>
      </c>
      <c r="B1046" s="36" t="s">
        <v>6</v>
      </c>
      <c r="C1046" s="36" t="s">
        <v>13</v>
      </c>
      <c r="AX1046" s="36" t="s">
        <v>3211</v>
      </c>
      <c r="AY1046" s="36" t="s">
        <v>3215</v>
      </c>
      <c r="AZ1046" s="36" t="s">
        <v>719</v>
      </c>
      <c r="BA1046" s="36" t="s">
        <v>337</v>
      </c>
      <c r="BB1046" s="36" t="s">
        <v>3346</v>
      </c>
      <c r="BC1046" s="37">
        <v>43547.0</v>
      </c>
      <c r="BD1046" s="37">
        <v>43585.0</v>
      </c>
      <c r="BE1046" s="37">
        <v>43585.0</v>
      </c>
      <c r="BF1046" s="36" t="s">
        <v>1796</v>
      </c>
      <c r="BG1046" s="36" t="s">
        <v>394</v>
      </c>
      <c r="BH1046" s="38" t="s">
        <v>3347</v>
      </c>
      <c r="FL1046" s="36" t="s">
        <v>3214</v>
      </c>
      <c r="FM1046" s="36" t="s">
        <v>382</v>
      </c>
    </row>
    <row r="1047">
      <c r="A1047" s="50">
        <v>44662.962502361115</v>
      </c>
      <c r="B1047" s="36" t="s">
        <v>6</v>
      </c>
      <c r="C1047" s="36" t="s">
        <v>13</v>
      </c>
      <c r="AX1047" s="36" t="s">
        <v>3348</v>
      </c>
      <c r="AY1047" s="36" t="s">
        <v>3349</v>
      </c>
      <c r="AZ1047" s="36" t="s">
        <v>3350</v>
      </c>
      <c r="BA1047" s="36" t="s">
        <v>1856</v>
      </c>
      <c r="BB1047" s="36" t="s">
        <v>3351</v>
      </c>
      <c r="BC1047" s="37">
        <v>44654.0</v>
      </c>
      <c r="BD1047" s="37">
        <v>44659.0</v>
      </c>
      <c r="BE1047" s="37">
        <v>44663.0</v>
      </c>
      <c r="BF1047" s="36">
        <v>90.0</v>
      </c>
      <c r="BG1047" s="36" t="s">
        <v>3352</v>
      </c>
      <c r="BH1047" s="38" t="s">
        <v>3353</v>
      </c>
      <c r="FL1047" s="36" t="s">
        <v>3354</v>
      </c>
      <c r="FM1047" s="36" t="s">
        <v>260</v>
      </c>
    </row>
    <row r="1048">
      <c r="A1048" s="50">
        <v>44662.96474105324</v>
      </c>
      <c r="B1048" s="36" t="s">
        <v>6</v>
      </c>
      <c r="C1048" s="36" t="s">
        <v>13</v>
      </c>
      <c r="AX1048" s="36" t="s">
        <v>3348</v>
      </c>
      <c r="AY1048" s="36" t="s">
        <v>3349</v>
      </c>
      <c r="AZ1048" s="36" t="s">
        <v>3355</v>
      </c>
      <c r="BA1048" s="36" t="s">
        <v>1856</v>
      </c>
      <c r="BB1048" s="36" t="s">
        <v>3356</v>
      </c>
      <c r="BC1048" s="37">
        <v>44654.0</v>
      </c>
      <c r="BD1048" s="37">
        <v>44663.0</v>
      </c>
      <c r="BE1048" s="37">
        <v>44663.0</v>
      </c>
      <c r="BF1048" s="36">
        <v>91.0</v>
      </c>
      <c r="BG1048" s="36" t="s">
        <v>3357</v>
      </c>
      <c r="BH1048" s="38" t="s">
        <v>3358</v>
      </c>
      <c r="FL1048" s="36" t="s">
        <v>3354</v>
      </c>
      <c r="FM1048" s="36" t="s">
        <v>260</v>
      </c>
    </row>
    <row r="1049">
      <c r="A1049" s="50">
        <v>44662.965785162036</v>
      </c>
      <c r="B1049" s="36" t="s">
        <v>8</v>
      </c>
      <c r="C1049" s="36" t="s">
        <v>13</v>
      </c>
      <c r="AX1049" s="36" t="s">
        <v>3359</v>
      </c>
      <c r="AY1049" s="36" t="s">
        <v>3360</v>
      </c>
      <c r="AZ1049" s="36" t="s">
        <v>2949</v>
      </c>
      <c r="BA1049" s="36" t="s">
        <v>377</v>
      </c>
      <c r="BB1049" s="36" t="s">
        <v>310</v>
      </c>
      <c r="BC1049" s="37">
        <v>44378.0</v>
      </c>
      <c r="BD1049" s="37">
        <v>44440.0</v>
      </c>
      <c r="BE1049" s="37">
        <v>44440.0</v>
      </c>
      <c r="BF1049" s="36">
        <v>95.0</v>
      </c>
      <c r="BG1049" s="36" t="s">
        <v>3334</v>
      </c>
      <c r="BH1049" s="38" t="s">
        <v>3361</v>
      </c>
      <c r="FL1049" s="36" t="s">
        <v>3362</v>
      </c>
      <c r="FM1049" s="36" t="s">
        <v>323</v>
      </c>
    </row>
    <row r="1050">
      <c r="A1050" s="50">
        <v>44662.965909756946</v>
      </c>
      <c r="B1050" s="36" t="s">
        <v>7</v>
      </c>
      <c r="C1050" s="36" t="s">
        <v>12</v>
      </c>
      <c r="AN1050" s="36" t="s">
        <v>3363</v>
      </c>
      <c r="AO1050" s="36" t="s">
        <v>3364</v>
      </c>
      <c r="AP1050" s="36" t="s">
        <v>309</v>
      </c>
      <c r="AQ1050" s="36" t="s">
        <v>507</v>
      </c>
      <c r="AR1050" s="37">
        <v>44492.0</v>
      </c>
      <c r="AS1050" s="37">
        <v>44548.0</v>
      </c>
      <c r="AT1050" s="36" t="s">
        <v>257</v>
      </c>
      <c r="AU1050" s="36" t="s">
        <v>257</v>
      </c>
      <c r="AV1050" s="36">
        <v>0.0</v>
      </c>
      <c r="AW1050" s="38" t="s">
        <v>3365</v>
      </c>
      <c r="FL1050" s="36" t="s">
        <v>3366</v>
      </c>
      <c r="FM1050" s="36" t="s">
        <v>283</v>
      </c>
    </row>
    <row r="1051">
      <c r="A1051" s="50">
        <v>44662.966686238426</v>
      </c>
      <c r="B1051" s="36" t="s">
        <v>6</v>
      </c>
      <c r="C1051" s="36" t="s">
        <v>13</v>
      </c>
      <c r="AX1051" s="36" t="s">
        <v>3348</v>
      </c>
      <c r="AY1051" s="36" t="s">
        <v>3349</v>
      </c>
      <c r="AZ1051" s="36" t="s">
        <v>3367</v>
      </c>
      <c r="BA1051" s="36" t="s">
        <v>1856</v>
      </c>
      <c r="BB1051" s="36" t="s">
        <v>3368</v>
      </c>
      <c r="BC1051" s="37">
        <v>44661.0</v>
      </c>
      <c r="BD1051" s="37">
        <v>44663.0</v>
      </c>
      <c r="BE1051" s="37">
        <v>44663.0</v>
      </c>
      <c r="BF1051" s="36">
        <v>93.0</v>
      </c>
      <c r="BG1051" s="36" t="s">
        <v>3369</v>
      </c>
      <c r="BH1051" s="38" t="s">
        <v>3370</v>
      </c>
      <c r="FL1051" s="36" t="s">
        <v>3354</v>
      </c>
      <c r="FM1051" s="36" t="s">
        <v>260</v>
      </c>
    </row>
    <row r="1052">
      <c r="A1052" s="50">
        <v>44662.96745431713</v>
      </c>
      <c r="B1052" s="36" t="s">
        <v>8</v>
      </c>
      <c r="C1052" s="36" t="s">
        <v>13</v>
      </c>
      <c r="AX1052" s="36" t="s">
        <v>3371</v>
      </c>
      <c r="AY1052" s="36" t="s">
        <v>3360</v>
      </c>
      <c r="AZ1052" s="36" t="s">
        <v>2372</v>
      </c>
      <c r="BA1052" s="36" t="s">
        <v>377</v>
      </c>
      <c r="BB1052" s="36" t="s">
        <v>310</v>
      </c>
      <c r="BC1052" s="37">
        <v>44594.0</v>
      </c>
      <c r="BD1052" s="37">
        <v>44655.0</v>
      </c>
      <c r="BE1052" s="37">
        <v>44655.0</v>
      </c>
      <c r="BF1052" s="36">
        <v>95.0</v>
      </c>
      <c r="BG1052" s="36" t="s">
        <v>3334</v>
      </c>
      <c r="BH1052" s="38" t="s">
        <v>3372</v>
      </c>
      <c r="FL1052" s="36" t="s">
        <v>3362</v>
      </c>
      <c r="FM1052" s="36" t="s">
        <v>323</v>
      </c>
    </row>
    <row r="1053">
      <c r="A1053" s="50">
        <v>44662.96944508102</v>
      </c>
      <c r="B1053" s="36" t="s">
        <v>8</v>
      </c>
      <c r="C1053" s="36" t="s">
        <v>12</v>
      </c>
      <c r="AN1053" s="36" t="s">
        <v>3371</v>
      </c>
      <c r="AO1053" s="36" t="s">
        <v>3360</v>
      </c>
      <c r="AP1053" s="36" t="s">
        <v>878</v>
      </c>
      <c r="AQ1053" s="36" t="s">
        <v>310</v>
      </c>
      <c r="AR1053" s="37">
        <v>44470.0</v>
      </c>
      <c r="AS1053" s="37">
        <v>44531.0</v>
      </c>
      <c r="AT1053" s="36" t="s">
        <v>257</v>
      </c>
      <c r="AU1053" s="36" t="s">
        <v>257</v>
      </c>
      <c r="AV1053" s="36">
        <v>0.0</v>
      </c>
      <c r="AW1053" s="38" t="s">
        <v>3373</v>
      </c>
      <c r="FL1053" s="36" t="s">
        <v>3362</v>
      </c>
      <c r="FM1053" s="36" t="s">
        <v>323</v>
      </c>
    </row>
    <row r="1054">
      <c r="A1054" s="50">
        <v>44662.969729212964</v>
      </c>
      <c r="B1054" s="36" t="s">
        <v>6</v>
      </c>
      <c r="C1054" s="36" t="s">
        <v>13</v>
      </c>
      <c r="AX1054" s="36" t="s">
        <v>3211</v>
      </c>
      <c r="AY1054" s="36" t="s">
        <v>3215</v>
      </c>
      <c r="AZ1054" s="36" t="s">
        <v>727</v>
      </c>
      <c r="BA1054" s="36" t="s">
        <v>337</v>
      </c>
      <c r="BB1054" s="36" t="s">
        <v>3346</v>
      </c>
      <c r="BC1054" s="37">
        <v>44008.0</v>
      </c>
      <c r="BD1054" s="37">
        <v>44024.0</v>
      </c>
      <c r="BE1054" s="37">
        <v>44024.0</v>
      </c>
      <c r="BF1054" s="36" t="s">
        <v>1796</v>
      </c>
      <c r="BG1054" s="36" t="s">
        <v>394</v>
      </c>
      <c r="BH1054" s="38" t="s">
        <v>3374</v>
      </c>
      <c r="FL1054" s="36" t="s">
        <v>3214</v>
      </c>
      <c r="FM1054" s="36" t="s">
        <v>341</v>
      </c>
    </row>
    <row r="1055">
      <c r="A1055" s="50">
        <v>44662.975470115736</v>
      </c>
      <c r="B1055" s="36" t="s">
        <v>6</v>
      </c>
      <c r="C1055" s="36" t="s">
        <v>13</v>
      </c>
      <c r="AX1055" s="36" t="s">
        <v>3211</v>
      </c>
      <c r="AY1055" s="36" t="s">
        <v>3215</v>
      </c>
      <c r="AZ1055" s="36" t="s">
        <v>667</v>
      </c>
      <c r="BA1055" s="36" t="s">
        <v>337</v>
      </c>
      <c r="BB1055" s="36" t="s">
        <v>1892</v>
      </c>
      <c r="BC1055" s="37">
        <v>43977.0</v>
      </c>
      <c r="BD1055" s="37">
        <v>43991.0</v>
      </c>
      <c r="BE1055" s="37">
        <v>43991.0</v>
      </c>
      <c r="BF1055" s="36">
        <v>100.0</v>
      </c>
      <c r="BG1055" s="36" t="s">
        <v>394</v>
      </c>
      <c r="BH1055" s="38" t="s">
        <v>3375</v>
      </c>
      <c r="FL1055" s="36" t="s">
        <v>3214</v>
      </c>
      <c r="FM1055" s="36" t="s">
        <v>341</v>
      </c>
    </row>
    <row r="1056">
      <c r="A1056" s="50">
        <v>44662.9777484375</v>
      </c>
      <c r="B1056" s="36" t="s">
        <v>6</v>
      </c>
      <c r="C1056" s="36" t="s">
        <v>13</v>
      </c>
      <c r="AX1056" s="36" t="s">
        <v>3211</v>
      </c>
      <c r="AY1056" s="36" t="s">
        <v>3215</v>
      </c>
      <c r="AZ1056" s="36" t="s">
        <v>356</v>
      </c>
      <c r="BA1056" s="36" t="s">
        <v>337</v>
      </c>
      <c r="BB1056" s="36" t="s">
        <v>3346</v>
      </c>
      <c r="BC1056" s="37">
        <v>44307.0</v>
      </c>
      <c r="BD1056" s="37">
        <v>44321.0</v>
      </c>
      <c r="BE1056" s="37">
        <v>44322.0</v>
      </c>
      <c r="BF1056" s="36">
        <v>100.0</v>
      </c>
      <c r="BG1056" s="36" t="s">
        <v>394</v>
      </c>
      <c r="BH1056" s="38" t="s">
        <v>3376</v>
      </c>
      <c r="FL1056" s="36" t="s">
        <v>3214</v>
      </c>
      <c r="FM1056" s="36" t="s">
        <v>283</v>
      </c>
    </row>
    <row r="1057">
      <c r="A1057" s="50">
        <v>44662.97857184028</v>
      </c>
      <c r="B1057" s="36" t="s">
        <v>6</v>
      </c>
      <c r="C1057" s="36" t="s">
        <v>14</v>
      </c>
      <c r="BI1057" s="36" t="s">
        <v>2611</v>
      </c>
      <c r="BJ1057" s="36" t="s">
        <v>2612</v>
      </c>
      <c r="BK1057" s="36" t="s">
        <v>159</v>
      </c>
      <c r="BL1057" s="36" t="s">
        <v>1288</v>
      </c>
      <c r="BM1057" s="36" t="s">
        <v>3377</v>
      </c>
      <c r="BN1057" s="36">
        <v>2.0</v>
      </c>
      <c r="BO1057" s="37">
        <v>43694.0</v>
      </c>
      <c r="BP1057" s="37">
        <v>43695.0</v>
      </c>
      <c r="BQ1057" s="36" t="s">
        <v>2576</v>
      </c>
      <c r="BR1057" s="36" t="s">
        <v>759</v>
      </c>
      <c r="BS1057" s="36" t="s">
        <v>176</v>
      </c>
      <c r="BT1057" s="36" t="s">
        <v>632</v>
      </c>
      <c r="BV1057" s="38" t="s">
        <v>3378</v>
      </c>
      <c r="FL1057" s="36" t="s">
        <v>2615</v>
      </c>
      <c r="FM1057" s="36" t="s">
        <v>555</v>
      </c>
    </row>
    <row r="1058">
      <c r="A1058" s="50">
        <v>44662.97979722222</v>
      </c>
      <c r="B1058" s="36" t="s">
        <v>6</v>
      </c>
      <c r="C1058" s="36" t="s">
        <v>13</v>
      </c>
      <c r="AX1058" s="36" t="s">
        <v>3211</v>
      </c>
      <c r="AY1058" s="36" t="s">
        <v>3215</v>
      </c>
      <c r="AZ1058" s="36" t="s">
        <v>571</v>
      </c>
      <c r="BA1058" s="36" t="s">
        <v>337</v>
      </c>
      <c r="BB1058" s="36" t="s">
        <v>1892</v>
      </c>
      <c r="BC1058" s="37">
        <v>43954.0</v>
      </c>
      <c r="BD1058" s="37">
        <v>43968.0</v>
      </c>
      <c r="BE1058" s="37">
        <v>43969.0</v>
      </c>
      <c r="BF1058" s="36">
        <v>100.0</v>
      </c>
      <c r="BG1058" s="36" t="s">
        <v>394</v>
      </c>
      <c r="BH1058" s="38" t="s">
        <v>3379</v>
      </c>
      <c r="FL1058" s="36" t="s">
        <v>3214</v>
      </c>
      <c r="FM1058" s="36" t="s">
        <v>341</v>
      </c>
    </row>
    <row r="1059">
      <c r="A1059" s="50">
        <v>44662.98136950232</v>
      </c>
      <c r="B1059" s="36" t="s">
        <v>6</v>
      </c>
      <c r="C1059" s="36" t="s">
        <v>13</v>
      </c>
      <c r="AX1059" s="36" t="s">
        <v>3211</v>
      </c>
      <c r="AY1059" s="36" t="s">
        <v>3215</v>
      </c>
      <c r="AZ1059" s="36" t="s">
        <v>351</v>
      </c>
      <c r="BA1059" s="36" t="s">
        <v>337</v>
      </c>
      <c r="BB1059" s="36" t="s">
        <v>3346</v>
      </c>
      <c r="BC1059" s="37">
        <v>43655.0</v>
      </c>
      <c r="BD1059" s="37">
        <v>43675.0</v>
      </c>
      <c r="BE1059" s="37">
        <v>43676.0</v>
      </c>
      <c r="BF1059" s="36">
        <v>100.0</v>
      </c>
      <c r="BG1059" s="36" t="s">
        <v>394</v>
      </c>
      <c r="BH1059" s="38" t="s">
        <v>3380</v>
      </c>
      <c r="FL1059" s="36" t="s">
        <v>3214</v>
      </c>
      <c r="FM1059" s="36" t="s">
        <v>555</v>
      </c>
    </row>
    <row r="1060">
      <c r="A1060" s="50">
        <v>44662.98156247685</v>
      </c>
      <c r="B1060" s="36" t="s">
        <v>6</v>
      </c>
      <c r="C1060" s="36" t="s">
        <v>13</v>
      </c>
      <c r="AX1060" s="36" t="s">
        <v>3298</v>
      </c>
      <c r="AY1060" s="36" t="s">
        <v>3299</v>
      </c>
      <c r="AZ1060" s="36" t="s">
        <v>2492</v>
      </c>
      <c r="BA1060" s="36" t="s">
        <v>3381</v>
      </c>
      <c r="BB1060" s="36" t="s">
        <v>2484</v>
      </c>
      <c r="BC1060" s="37">
        <v>44256.0</v>
      </c>
      <c r="BD1060" s="37">
        <v>44377.0</v>
      </c>
      <c r="BE1060" s="37">
        <v>44402.0</v>
      </c>
      <c r="BF1060" s="36">
        <v>100.0</v>
      </c>
      <c r="BG1060" s="36" t="s">
        <v>3382</v>
      </c>
      <c r="BH1060" s="38" t="s">
        <v>3383</v>
      </c>
      <c r="FL1060" s="36" t="s">
        <v>3302</v>
      </c>
      <c r="FM1060" s="36" t="s">
        <v>341</v>
      </c>
    </row>
    <row r="1061">
      <c r="A1061" s="50">
        <v>44662.98375759259</v>
      </c>
      <c r="B1061" s="36" t="s">
        <v>6</v>
      </c>
      <c r="C1061" s="36" t="s">
        <v>13</v>
      </c>
      <c r="AX1061" s="36" t="s">
        <v>3211</v>
      </c>
      <c r="AY1061" s="36" t="s">
        <v>3215</v>
      </c>
      <c r="AZ1061" s="36" t="s">
        <v>687</v>
      </c>
      <c r="BA1061" s="36" t="s">
        <v>337</v>
      </c>
      <c r="BB1061" s="36" t="s">
        <v>1892</v>
      </c>
      <c r="BC1061" s="37">
        <v>43927.0</v>
      </c>
      <c r="BD1061" s="37">
        <v>43948.0</v>
      </c>
      <c r="BE1061" s="37">
        <v>43949.0</v>
      </c>
      <c r="BF1061" s="36">
        <v>100.0</v>
      </c>
      <c r="BG1061" s="36" t="s">
        <v>394</v>
      </c>
      <c r="BH1061" s="38" t="s">
        <v>3384</v>
      </c>
      <c r="FL1061" s="36" t="s">
        <v>3214</v>
      </c>
      <c r="FM1061" s="36" t="s">
        <v>323</v>
      </c>
    </row>
    <row r="1062">
      <c r="A1062" s="50">
        <v>44662.98575432871</v>
      </c>
      <c r="B1062" s="36" t="s">
        <v>6</v>
      </c>
      <c r="C1062" s="36" t="s">
        <v>12</v>
      </c>
      <c r="AN1062" s="36" t="s">
        <v>3211</v>
      </c>
      <c r="AO1062" s="36" t="s">
        <v>3215</v>
      </c>
      <c r="AP1062" s="36" t="s">
        <v>985</v>
      </c>
      <c r="AQ1062" s="36" t="s">
        <v>444</v>
      </c>
      <c r="AR1062" s="37">
        <v>44547.0</v>
      </c>
      <c r="AS1062" s="37">
        <v>44651.0</v>
      </c>
      <c r="AT1062" s="36" t="s">
        <v>256</v>
      </c>
      <c r="AU1062" s="36" t="s">
        <v>257</v>
      </c>
      <c r="AV1062" s="36">
        <v>5000.0</v>
      </c>
      <c r="AW1062" s="38" t="s">
        <v>3385</v>
      </c>
      <c r="FL1062" s="36" t="s">
        <v>3214</v>
      </c>
      <c r="FM1062" s="36" t="s">
        <v>278</v>
      </c>
    </row>
    <row r="1063">
      <c r="A1063" s="50">
        <v>44662.98871849537</v>
      </c>
      <c r="B1063" s="36" t="s">
        <v>6</v>
      </c>
      <c r="C1063" s="36" t="s">
        <v>17</v>
      </c>
      <c r="CS1063" s="36" t="s">
        <v>3386</v>
      </c>
      <c r="CT1063" s="36" t="s">
        <v>1810</v>
      </c>
      <c r="CU1063" s="37">
        <v>43513.0</v>
      </c>
      <c r="CV1063" s="37">
        <v>43527.0</v>
      </c>
      <c r="CW1063" s="36">
        <v>100.0</v>
      </c>
      <c r="CX1063" s="36" t="s">
        <v>3387</v>
      </c>
      <c r="CY1063" s="35" t="s">
        <v>217</v>
      </c>
      <c r="DC1063" s="38" t="s">
        <v>3388</v>
      </c>
      <c r="FL1063" s="36" t="s">
        <v>3214</v>
      </c>
      <c r="FM1063" s="36" t="s">
        <v>382</v>
      </c>
    </row>
    <row r="1064">
      <c r="A1064" s="50">
        <v>44662.99073149306</v>
      </c>
      <c r="B1064" s="36" t="s">
        <v>6</v>
      </c>
      <c r="C1064" s="36" t="s">
        <v>13</v>
      </c>
      <c r="AX1064" s="36" t="s">
        <v>3298</v>
      </c>
      <c r="AY1064" s="36" t="s">
        <v>3299</v>
      </c>
      <c r="AZ1064" s="36" t="s">
        <v>1174</v>
      </c>
      <c r="BA1064" s="36" t="s">
        <v>309</v>
      </c>
      <c r="BB1064" s="36" t="s">
        <v>510</v>
      </c>
      <c r="BC1064" s="37">
        <v>44482.0</v>
      </c>
      <c r="BD1064" s="37">
        <v>44554.0</v>
      </c>
      <c r="BE1064" s="37">
        <v>44554.0</v>
      </c>
      <c r="BF1064" s="36">
        <v>90.0</v>
      </c>
      <c r="BG1064" s="36" t="s">
        <v>3389</v>
      </c>
      <c r="BH1064" s="38" t="s">
        <v>3390</v>
      </c>
      <c r="FL1064" s="36" t="s">
        <v>3302</v>
      </c>
      <c r="FM1064" s="36" t="s">
        <v>278</v>
      </c>
    </row>
    <row r="1065">
      <c r="A1065" s="50">
        <v>44662.99541644676</v>
      </c>
      <c r="B1065" s="36" t="s">
        <v>8</v>
      </c>
      <c r="C1065" s="36" t="s">
        <v>12</v>
      </c>
      <c r="AN1065" s="36" t="s">
        <v>3391</v>
      </c>
      <c r="AO1065" s="36" t="s">
        <v>3392</v>
      </c>
      <c r="AP1065" s="36" t="s">
        <v>3393</v>
      </c>
      <c r="AQ1065" s="36" t="s">
        <v>507</v>
      </c>
      <c r="AR1065" s="37">
        <v>44483.0</v>
      </c>
      <c r="AS1065" s="37">
        <v>44561.0</v>
      </c>
      <c r="AT1065" s="36" t="s">
        <v>257</v>
      </c>
      <c r="AU1065" s="36" t="s">
        <v>257</v>
      </c>
      <c r="AV1065" s="36">
        <v>0.0</v>
      </c>
      <c r="AW1065" s="38" t="s">
        <v>3394</v>
      </c>
      <c r="FL1065" s="36" t="s">
        <v>3395</v>
      </c>
      <c r="FM1065" s="36" t="s">
        <v>323</v>
      </c>
    </row>
    <row r="1066">
      <c r="A1066" s="50">
        <v>44662.99991056713</v>
      </c>
      <c r="B1066" s="36" t="s">
        <v>8</v>
      </c>
      <c r="C1066" s="36" t="s">
        <v>13</v>
      </c>
      <c r="AX1066" s="36" t="s">
        <v>3391</v>
      </c>
      <c r="AY1066" s="36" t="s">
        <v>3392</v>
      </c>
      <c r="AZ1066" s="36" t="s">
        <v>2632</v>
      </c>
      <c r="BA1066" s="36" t="s">
        <v>900</v>
      </c>
      <c r="BB1066" s="36" t="s">
        <v>3396</v>
      </c>
      <c r="BC1066" s="37">
        <v>44321.0</v>
      </c>
      <c r="BD1066" s="37">
        <v>44393.0</v>
      </c>
      <c r="BE1066" s="37">
        <v>44393.0</v>
      </c>
      <c r="BF1066" s="36">
        <v>90.0</v>
      </c>
      <c r="BG1066" s="36" t="s">
        <v>3397</v>
      </c>
      <c r="BH1066" s="38" t="s">
        <v>3398</v>
      </c>
      <c r="FL1066" s="36" t="s">
        <v>3395</v>
      </c>
      <c r="FM1066" s="36" t="s">
        <v>323</v>
      </c>
    </row>
    <row r="1067">
      <c r="A1067" s="50">
        <v>44663.00473435185</v>
      </c>
      <c r="B1067" s="36" t="s">
        <v>7</v>
      </c>
      <c r="C1067" s="36" t="s">
        <v>13</v>
      </c>
      <c r="AX1067" s="36" t="s">
        <v>3399</v>
      </c>
      <c r="AY1067" s="36" t="s">
        <v>3400</v>
      </c>
      <c r="AZ1067" s="36" t="s">
        <v>3401</v>
      </c>
      <c r="BA1067" s="36" t="s">
        <v>900</v>
      </c>
      <c r="BB1067" s="36" t="s">
        <v>3402</v>
      </c>
      <c r="BC1067" s="37">
        <v>43931.0</v>
      </c>
      <c r="BD1067" s="37">
        <v>43981.0</v>
      </c>
      <c r="BE1067" s="37">
        <v>43981.0</v>
      </c>
      <c r="BF1067" s="36" t="s">
        <v>472</v>
      </c>
      <c r="BG1067" s="36" t="s">
        <v>339</v>
      </c>
      <c r="BH1067" s="38" t="s">
        <v>3403</v>
      </c>
      <c r="FL1067" s="36" t="s">
        <v>3404</v>
      </c>
      <c r="FM1067" s="36" t="s">
        <v>283</v>
      </c>
    </row>
    <row r="1068">
      <c r="A1068" s="50">
        <v>44663.00629590278</v>
      </c>
      <c r="B1068" s="36" t="s">
        <v>8</v>
      </c>
      <c r="C1068" s="36" t="s">
        <v>14</v>
      </c>
      <c r="BI1068" s="36" t="s">
        <v>3391</v>
      </c>
      <c r="BJ1068" s="36" t="s">
        <v>3392</v>
      </c>
      <c r="BK1068" s="36" t="s">
        <v>313</v>
      </c>
      <c r="BL1068" s="36" t="s">
        <v>1288</v>
      </c>
      <c r="BM1068" s="36" t="s">
        <v>3405</v>
      </c>
      <c r="BN1068" s="36">
        <v>1.0</v>
      </c>
      <c r="BO1068" s="37">
        <v>44626.0</v>
      </c>
      <c r="BP1068" s="37">
        <v>44626.0</v>
      </c>
      <c r="BQ1068" s="36" t="s">
        <v>3406</v>
      </c>
      <c r="BR1068" s="36" t="s">
        <v>3407</v>
      </c>
      <c r="BS1068" s="36" t="s">
        <v>176</v>
      </c>
      <c r="BT1068" s="36" t="s">
        <v>632</v>
      </c>
      <c r="BU1068" s="36">
        <v>70.0</v>
      </c>
      <c r="BV1068" s="38" t="s">
        <v>3408</v>
      </c>
      <c r="FL1068" s="36" t="s">
        <v>3395</v>
      </c>
      <c r="FM1068" s="36" t="s">
        <v>323</v>
      </c>
    </row>
    <row r="1069">
      <c r="A1069" s="50">
        <v>44663.007426805554</v>
      </c>
      <c r="B1069" s="36" t="s">
        <v>7</v>
      </c>
      <c r="C1069" s="36" t="s">
        <v>13</v>
      </c>
      <c r="AX1069" s="36" t="s">
        <v>3399</v>
      </c>
      <c r="AY1069" s="36" t="s">
        <v>3409</v>
      </c>
      <c r="AZ1069" s="36" t="s">
        <v>3410</v>
      </c>
      <c r="BA1069" s="36" t="s">
        <v>900</v>
      </c>
      <c r="BB1069" s="36" t="s">
        <v>3402</v>
      </c>
      <c r="BC1069" s="37">
        <v>44036.0</v>
      </c>
      <c r="BD1069" s="37">
        <v>44072.0</v>
      </c>
      <c r="BE1069" s="37">
        <v>44072.0</v>
      </c>
      <c r="BF1069" s="36" t="s">
        <v>472</v>
      </c>
      <c r="BG1069" s="36" t="s">
        <v>857</v>
      </c>
      <c r="BH1069" s="38" t="s">
        <v>3411</v>
      </c>
      <c r="FL1069" s="36" t="s">
        <v>3404</v>
      </c>
      <c r="FM1069" s="36" t="s">
        <v>283</v>
      </c>
    </row>
    <row r="1070">
      <c r="A1070" s="50">
        <v>44663.0119933449</v>
      </c>
      <c r="B1070" s="36" t="s">
        <v>7</v>
      </c>
      <c r="C1070" s="36" t="s">
        <v>13</v>
      </c>
      <c r="AX1070" s="36" t="s">
        <v>3399</v>
      </c>
      <c r="AY1070" s="36" t="s">
        <v>3409</v>
      </c>
      <c r="AZ1070" s="36" t="s">
        <v>3412</v>
      </c>
      <c r="BA1070" s="36" t="s">
        <v>900</v>
      </c>
      <c r="BB1070" s="36" t="s">
        <v>3413</v>
      </c>
      <c r="BC1070" s="37">
        <v>44270.0</v>
      </c>
      <c r="BD1070" s="37">
        <v>44308.0</v>
      </c>
      <c r="BE1070" s="37">
        <v>44308.0</v>
      </c>
      <c r="BF1070" s="36" t="s">
        <v>472</v>
      </c>
      <c r="BG1070" s="36" t="s">
        <v>3414</v>
      </c>
      <c r="BH1070" s="38" t="s">
        <v>3415</v>
      </c>
      <c r="FL1070" s="36" t="s">
        <v>3404</v>
      </c>
      <c r="FM1070" s="36" t="s">
        <v>283</v>
      </c>
    </row>
    <row r="1071">
      <c r="A1071" s="50">
        <v>44663.01215484954</v>
      </c>
      <c r="B1071" s="36" t="s">
        <v>8</v>
      </c>
      <c r="C1071" s="36" t="s">
        <v>14</v>
      </c>
      <c r="BI1071" s="36" t="s">
        <v>3391</v>
      </c>
      <c r="BJ1071" s="36" t="s">
        <v>3392</v>
      </c>
      <c r="BK1071" s="36" t="s">
        <v>313</v>
      </c>
      <c r="BL1071" s="36" t="s">
        <v>1288</v>
      </c>
      <c r="BM1071" s="36" t="s">
        <v>3416</v>
      </c>
      <c r="BN1071" s="36">
        <v>2.0</v>
      </c>
      <c r="BO1071" s="37">
        <v>44639.0</v>
      </c>
      <c r="BP1071" s="37">
        <v>44640.0</v>
      </c>
      <c r="BQ1071" s="36" t="s">
        <v>3417</v>
      </c>
      <c r="BR1071" s="36" t="s">
        <v>3418</v>
      </c>
      <c r="BS1071" s="36" t="s">
        <v>176</v>
      </c>
      <c r="BT1071" s="36" t="s">
        <v>632</v>
      </c>
      <c r="BU1071" s="36">
        <v>300.0</v>
      </c>
      <c r="BV1071" s="38" t="s">
        <v>3419</v>
      </c>
      <c r="FL1071" s="36" t="s">
        <v>3395</v>
      </c>
      <c r="FM1071" s="36" t="s">
        <v>323</v>
      </c>
    </row>
    <row r="1072">
      <c r="A1072" s="50">
        <v>44663.0157047338</v>
      </c>
      <c r="B1072" s="36" t="s">
        <v>8</v>
      </c>
      <c r="C1072" s="36" t="s">
        <v>14</v>
      </c>
      <c r="BI1072" s="36" t="s">
        <v>3391</v>
      </c>
      <c r="BJ1072" s="36" t="s">
        <v>3392</v>
      </c>
      <c r="BK1072" s="36" t="s">
        <v>313</v>
      </c>
      <c r="BL1072" s="36" t="s">
        <v>1288</v>
      </c>
      <c r="BM1072" s="36" t="s">
        <v>3420</v>
      </c>
      <c r="BN1072" s="36">
        <v>2.0</v>
      </c>
      <c r="BO1072" s="37">
        <v>44513.0</v>
      </c>
      <c r="BP1072" s="37">
        <v>44514.0</v>
      </c>
      <c r="BQ1072" s="36" t="s">
        <v>3421</v>
      </c>
      <c r="BR1072" s="36" t="s">
        <v>2680</v>
      </c>
      <c r="BS1072" s="36" t="s">
        <v>276</v>
      </c>
      <c r="BT1072" s="36" t="s">
        <v>632</v>
      </c>
      <c r="BU1072" s="36">
        <v>150.0</v>
      </c>
      <c r="BV1072" s="38" t="s">
        <v>3422</v>
      </c>
      <c r="FL1072" s="36" t="s">
        <v>3395</v>
      </c>
      <c r="FM1072" s="36" t="s">
        <v>323</v>
      </c>
    </row>
    <row r="1073">
      <c r="A1073" s="50">
        <v>44663.04946517361</v>
      </c>
      <c r="B1073" s="36" t="s">
        <v>8</v>
      </c>
      <c r="C1073" s="36" t="s">
        <v>13</v>
      </c>
      <c r="AX1073" s="36" t="s">
        <v>3423</v>
      </c>
      <c r="AY1073" s="36" t="s">
        <v>3424</v>
      </c>
      <c r="AZ1073" s="36" t="s">
        <v>2330</v>
      </c>
      <c r="BA1073" s="36" t="s">
        <v>3023</v>
      </c>
      <c r="BB1073" s="36" t="s">
        <v>510</v>
      </c>
      <c r="BC1073" s="37">
        <v>44334.0</v>
      </c>
      <c r="BD1073" s="37">
        <v>44395.0</v>
      </c>
      <c r="BE1073" s="37">
        <v>44394.0</v>
      </c>
      <c r="BF1073" s="36">
        <v>94.0</v>
      </c>
      <c r="BG1073" s="36" t="s">
        <v>3425</v>
      </c>
      <c r="BH1073" s="38" t="s">
        <v>3426</v>
      </c>
      <c r="FL1073" s="36" t="s">
        <v>3427</v>
      </c>
      <c r="FM1073" s="36" t="s">
        <v>323</v>
      </c>
    </row>
    <row r="1074">
      <c r="A1074" s="50">
        <v>44663.05731695602</v>
      </c>
      <c r="B1074" s="36" t="s">
        <v>8</v>
      </c>
      <c r="C1074" s="36" t="s">
        <v>13</v>
      </c>
      <c r="AX1074" s="36" t="s">
        <v>3423</v>
      </c>
      <c r="AY1074" s="36" t="s">
        <v>3424</v>
      </c>
      <c r="AZ1074" s="36" t="s">
        <v>3428</v>
      </c>
      <c r="BA1074" s="36" t="s">
        <v>3429</v>
      </c>
      <c r="BB1074" s="36" t="s">
        <v>3430</v>
      </c>
      <c r="BC1074" s="37">
        <v>44603.0</v>
      </c>
      <c r="BD1074" s="37">
        <v>44662.0</v>
      </c>
      <c r="BE1074" s="37">
        <v>44652.0</v>
      </c>
      <c r="BF1074" s="36">
        <v>94.0</v>
      </c>
      <c r="BG1074" s="36" t="s">
        <v>3431</v>
      </c>
      <c r="BH1074" s="38" t="s">
        <v>3432</v>
      </c>
      <c r="FL1074" s="36" t="s">
        <v>3427</v>
      </c>
      <c r="FM1074" s="36" t="s">
        <v>323</v>
      </c>
    </row>
    <row r="1075">
      <c r="A1075" s="50">
        <v>44663.05856255787</v>
      </c>
      <c r="B1075" s="36" t="s">
        <v>8</v>
      </c>
      <c r="C1075" s="36" t="s">
        <v>13</v>
      </c>
      <c r="AX1075" s="36" t="s">
        <v>3423</v>
      </c>
      <c r="AY1075" s="36" t="s">
        <v>3424</v>
      </c>
      <c r="AZ1075" s="36" t="s">
        <v>3433</v>
      </c>
      <c r="BA1075" s="36" t="s">
        <v>3434</v>
      </c>
      <c r="BB1075" s="36" t="s">
        <v>3430</v>
      </c>
      <c r="BC1075" s="37">
        <v>44603.0</v>
      </c>
      <c r="BD1075" s="37">
        <v>44662.0</v>
      </c>
      <c r="BE1075" s="37">
        <v>44652.0</v>
      </c>
      <c r="BF1075" s="36">
        <v>94.0</v>
      </c>
      <c r="BG1075" s="36" t="s">
        <v>3425</v>
      </c>
      <c r="BH1075" s="38" t="s">
        <v>3435</v>
      </c>
      <c r="FL1075" s="36" t="s">
        <v>3427</v>
      </c>
      <c r="FM1075" s="36" t="s">
        <v>323</v>
      </c>
    </row>
    <row r="1076">
      <c r="A1076" s="50">
        <v>44663.34764649306</v>
      </c>
      <c r="B1076" s="36" t="s">
        <v>6</v>
      </c>
      <c r="C1076" s="20" t="s">
        <v>15</v>
      </c>
      <c r="BW1076" s="36" t="s">
        <v>3436</v>
      </c>
      <c r="BX1076" s="36" t="s">
        <v>3437</v>
      </c>
      <c r="BZ1076" s="36" t="s">
        <v>171</v>
      </c>
      <c r="CA1076" s="36" t="s">
        <v>455</v>
      </c>
      <c r="CB1076" s="36" t="s">
        <v>456</v>
      </c>
      <c r="CC1076" s="36" t="s">
        <v>475</v>
      </c>
      <c r="CD1076" s="37">
        <v>44075.0</v>
      </c>
      <c r="CE1076" s="37">
        <v>44191.0</v>
      </c>
      <c r="CF1076" s="36">
        <v>90.0</v>
      </c>
      <c r="CG1076" s="38" t="s">
        <v>3438</v>
      </c>
      <c r="FL1076" s="36" t="s">
        <v>3439</v>
      </c>
      <c r="FM1076" s="36" t="s">
        <v>341</v>
      </c>
    </row>
    <row r="1077">
      <c r="A1077" s="50">
        <v>44663.41930746528</v>
      </c>
      <c r="B1077" s="36" t="s">
        <v>6</v>
      </c>
      <c r="C1077" s="36" t="s">
        <v>13</v>
      </c>
      <c r="AX1077" s="36" t="s">
        <v>3440</v>
      </c>
      <c r="AY1077" s="36" t="s">
        <v>3441</v>
      </c>
      <c r="AZ1077" s="36" t="s">
        <v>351</v>
      </c>
      <c r="BA1077" s="36" t="s">
        <v>377</v>
      </c>
      <c r="BB1077" s="36" t="s">
        <v>310</v>
      </c>
      <c r="BC1077" s="37">
        <v>43611.0</v>
      </c>
      <c r="BD1077" s="37">
        <v>43674.0</v>
      </c>
      <c r="BE1077" s="37">
        <v>43675.0</v>
      </c>
      <c r="BF1077" s="51">
        <v>0.74</v>
      </c>
      <c r="BG1077" s="36" t="s">
        <v>497</v>
      </c>
      <c r="BH1077" s="38" t="s">
        <v>3442</v>
      </c>
      <c r="FL1077" s="36" t="s">
        <v>3443</v>
      </c>
      <c r="FM1077" s="36" t="s">
        <v>555</v>
      </c>
    </row>
    <row r="1078">
      <c r="A1078" s="50">
        <v>44663.42269603009</v>
      </c>
      <c r="B1078" s="36" t="s">
        <v>6</v>
      </c>
      <c r="C1078" s="36" t="s">
        <v>13</v>
      </c>
      <c r="AX1078" s="36" t="s">
        <v>3440</v>
      </c>
      <c r="AY1078" s="36" t="s">
        <v>3441</v>
      </c>
      <c r="AZ1078" s="36" t="s">
        <v>3444</v>
      </c>
      <c r="BA1078" s="36" t="s">
        <v>377</v>
      </c>
      <c r="BB1078" s="36" t="s">
        <v>495</v>
      </c>
      <c r="BC1078" s="37">
        <v>43910.0</v>
      </c>
      <c r="BD1078" s="37">
        <v>43942.0</v>
      </c>
      <c r="BE1078" s="37">
        <v>43943.0</v>
      </c>
      <c r="BF1078" s="51">
        <v>0.87</v>
      </c>
      <c r="BG1078" s="36" t="s">
        <v>339</v>
      </c>
      <c r="BH1078" s="38" t="s">
        <v>3445</v>
      </c>
      <c r="FL1078" s="36" t="s">
        <v>3443</v>
      </c>
      <c r="FM1078" s="36" t="s">
        <v>323</v>
      </c>
    </row>
    <row r="1079">
      <c r="A1079" s="50">
        <v>44663.42772252315</v>
      </c>
      <c r="B1079" s="36" t="s">
        <v>6</v>
      </c>
      <c r="C1079" s="36" t="s">
        <v>13</v>
      </c>
      <c r="AX1079" s="36" t="s">
        <v>3440</v>
      </c>
      <c r="AY1079" s="36" t="s">
        <v>3441</v>
      </c>
      <c r="AZ1079" s="36" t="s">
        <v>786</v>
      </c>
      <c r="BA1079" s="36" t="s">
        <v>377</v>
      </c>
      <c r="BB1079" s="36" t="s">
        <v>495</v>
      </c>
      <c r="BC1079" s="37">
        <v>43917.0</v>
      </c>
      <c r="BD1079" s="37">
        <v>43949.0</v>
      </c>
      <c r="BE1079" s="37">
        <v>43950.0</v>
      </c>
      <c r="BF1079" s="51">
        <v>0.93</v>
      </c>
      <c r="BG1079" s="36" t="s">
        <v>497</v>
      </c>
      <c r="BH1079" s="38" t="s">
        <v>3446</v>
      </c>
      <c r="FL1079" s="36" t="s">
        <v>3443</v>
      </c>
      <c r="FM1079" s="36" t="s">
        <v>323</v>
      </c>
    </row>
    <row r="1080">
      <c r="A1080" s="50">
        <v>44663.432966458335</v>
      </c>
      <c r="B1080" s="36" t="s">
        <v>6</v>
      </c>
      <c r="C1080" s="36" t="s">
        <v>13</v>
      </c>
      <c r="AX1080" s="36" t="s">
        <v>3440</v>
      </c>
      <c r="AY1080" s="36" t="s">
        <v>3441</v>
      </c>
      <c r="AZ1080" s="36" t="s">
        <v>502</v>
      </c>
      <c r="BA1080" s="36" t="s">
        <v>377</v>
      </c>
      <c r="BB1080" s="36" t="s">
        <v>495</v>
      </c>
      <c r="BC1080" s="37">
        <v>44289.0</v>
      </c>
      <c r="BD1080" s="37">
        <v>44320.0</v>
      </c>
      <c r="BE1080" s="37">
        <v>44321.0</v>
      </c>
      <c r="BF1080" s="51">
        <v>0.93</v>
      </c>
      <c r="BG1080" s="36" t="s">
        <v>339</v>
      </c>
      <c r="BH1080" s="38" t="s">
        <v>3447</v>
      </c>
      <c r="FL1080" s="36" t="s">
        <v>3443</v>
      </c>
      <c r="FM1080" s="36" t="s">
        <v>341</v>
      </c>
    </row>
    <row r="1081">
      <c r="A1081" s="50">
        <v>44663.441005243054</v>
      </c>
      <c r="B1081" s="36" t="s">
        <v>6</v>
      </c>
      <c r="C1081" s="36" t="s">
        <v>13</v>
      </c>
      <c r="AX1081" s="36" t="s">
        <v>3440</v>
      </c>
      <c r="AY1081" s="36" t="s">
        <v>3441</v>
      </c>
      <c r="AZ1081" s="36" t="s">
        <v>356</v>
      </c>
      <c r="BA1081" s="36" t="s">
        <v>377</v>
      </c>
      <c r="BB1081" s="36" t="s">
        <v>1810</v>
      </c>
      <c r="BC1081" s="37">
        <v>44299.0</v>
      </c>
      <c r="BD1081" s="37">
        <v>44322.0</v>
      </c>
      <c r="BE1081" s="37">
        <v>44323.0</v>
      </c>
      <c r="BF1081" s="51">
        <v>1.0</v>
      </c>
      <c r="BG1081" s="36" t="s">
        <v>497</v>
      </c>
      <c r="BH1081" s="38" t="s">
        <v>3448</v>
      </c>
      <c r="FL1081" s="36" t="s">
        <v>3443</v>
      </c>
      <c r="FM1081" s="36" t="s">
        <v>341</v>
      </c>
    </row>
    <row r="1082">
      <c r="A1082" s="50">
        <v>44663.444069652774</v>
      </c>
      <c r="B1082" s="36" t="s">
        <v>6</v>
      </c>
      <c r="C1082" s="36" t="s">
        <v>13</v>
      </c>
      <c r="AX1082" s="36" t="s">
        <v>3440</v>
      </c>
      <c r="AY1082" s="36" t="s">
        <v>3441</v>
      </c>
      <c r="AZ1082" s="36" t="s">
        <v>3449</v>
      </c>
      <c r="BA1082" s="36" t="s">
        <v>377</v>
      </c>
      <c r="BB1082" s="36" t="s">
        <v>495</v>
      </c>
      <c r="BC1082" s="37">
        <v>44348.0</v>
      </c>
      <c r="BD1082" s="37">
        <v>44380.0</v>
      </c>
      <c r="BE1082" s="37">
        <v>44381.0</v>
      </c>
      <c r="BF1082" s="51">
        <v>0.82</v>
      </c>
      <c r="BG1082" s="36" t="s">
        <v>497</v>
      </c>
      <c r="BH1082" s="38" t="s">
        <v>3450</v>
      </c>
      <c r="FL1082" s="36" t="s">
        <v>3443</v>
      </c>
      <c r="FM1082" s="36" t="s">
        <v>283</v>
      </c>
    </row>
    <row r="1083">
      <c r="A1083" s="50">
        <v>44663.44728644676</v>
      </c>
      <c r="B1083" s="36" t="s">
        <v>6</v>
      </c>
      <c r="C1083" s="36" t="s">
        <v>13</v>
      </c>
      <c r="AX1083" s="36" t="s">
        <v>3440</v>
      </c>
      <c r="AY1083" s="36" t="s">
        <v>3441</v>
      </c>
      <c r="AZ1083" s="36" t="s">
        <v>3451</v>
      </c>
      <c r="BA1083" s="36" t="s">
        <v>377</v>
      </c>
      <c r="BB1083" s="36" t="s">
        <v>495</v>
      </c>
      <c r="BC1083" s="37">
        <v>44352.0</v>
      </c>
      <c r="BD1083" s="37">
        <v>44385.0</v>
      </c>
      <c r="BE1083" s="37">
        <v>44386.0</v>
      </c>
      <c r="BF1083" s="51">
        <v>0.9</v>
      </c>
      <c r="BG1083" s="36" t="s">
        <v>497</v>
      </c>
      <c r="BH1083" s="38" t="s">
        <v>3452</v>
      </c>
      <c r="FL1083" s="36" t="s">
        <v>3443</v>
      </c>
      <c r="FM1083" s="36" t="s">
        <v>283</v>
      </c>
    </row>
    <row r="1084">
      <c r="A1084" s="50">
        <v>44663.45058502315</v>
      </c>
      <c r="B1084" s="36" t="s">
        <v>6</v>
      </c>
      <c r="C1084" s="36" t="s">
        <v>13</v>
      </c>
      <c r="AX1084" s="36" t="s">
        <v>3440</v>
      </c>
      <c r="AY1084" s="36" t="s">
        <v>3441</v>
      </c>
      <c r="AZ1084" s="36" t="s">
        <v>3453</v>
      </c>
      <c r="BA1084" s="36" t="s">
        <v>3454</v>
      </c>
      <c r="BB1084" s="36" t="s">
        <v>973</v>
      </c>
      <c r="BC1084" s="37">
        <v>44291.0</v>
      </c>
      <c r="BD1084" s="37">
        <v>44335.0</v>
      </c>
      <c r="BE1084" s="37">
        <v>44336.0</v>
      </c>
      <c r="BF1084" s="51">
        <v>0.54</v>
      </c>
      <c r="BG1084" s="36" t="s">
        <v>3455</v>
      </c>
      <c r="BH1084" s="38" t="s">
        <v>3456</v>
      </c>
      <c r="FL1084" s="36" t="s">
        <v>3443</v>
      </c>
      <c r="FM1084" s="36" t="s">
        <v>283</v>
      </c>
    </row>
    <row r="1085">
      <c r="A1085" s="50">
        <v>44663.45509047454</v>
      </c>
      <c r="B1085" s="36" t="s">
        <v>6</v>
      </c>
      <c r="C1085" s="36" t="s">
        <v>27</v>
      </c>
      <c r="FL1085" s="36" t="s">
        <v>3443</v>
      </c>
      <c r="FM1085" s="36" t="s">
        <v>260</v>
      </c>
      <c r="GF1085" s="36" t="s">
        <v>3440</v>
      </c>
      <c r="GG1085" s="36" t="s">
        <v>3441</v>
      </c>
      <c r="GH1085" s="36" t="s">
        <v>637</v>
      </c>
      <c r="GI1085" s="37">
        <v>44580.0</v>
      </c>
      <c r="GJ1085" s="38" t="s">
        <v>3457</v>
      </c>
      <c r="GK1085" s="36" t="s">
        <v>1689</v>
      </c>
      <c r="GL1085" s="36">
        <v>3.5</v>
      </c>
    </row>
    <row r="1086">
      <c r="A1086" s="50">
        <v>44663.460297604164</v>
      </c>
      <c r="B1086" s="36" t="s">
        <v>6</v>
      </c>
      <c r="C1086" s="36" t="s">
        <v>14</v>
      </c>
      <c r="BI1086" s="36" t="s">
        <v>3458</v>
      </c>
      <c r="BJ1086" s="36" t="s">
        <v>3459</v>
      </c>
      <c r="BK1086" s="36" t="s">
        <v>171</v>
      </c>
      <c r="BL1086" s="36" t="s">
        <v>1288</v>
      </c>
      <c r="BM1086" s="36" t="s">
        <v>2300</v>
      </c>
      <c r="BN1086" s="36">
        <v>7.0</v>
      </c>
      <c r="BO1086" s="37">
        <v>44090.0</v>
      </c>
      <c r="BP1086" s="37">
        <v>44097.0</v>
      </c>
      <c r="BQ1086" s="36" t="s">
        <v>2301</v>
      </c>
      <c r="BR1086" s="36" t="s">
        <v>2301</v>
      </c>
      <c r="BS1086" s="36" t="s">
        <v>176</v>
      </c>
      <c r="BT1086" s="36" t="s">
        <v>156</v>
      </c>
      <c r="BV1086" s="38" t="s">
        <v>3460</v>
      </c>
      <c r="FL1086" s="36" t="s">
        <v>3461</v>
      </c>
      <c r="FM1086" s="36" t="s">
        <v>260</v>
      </c>
    </row>
    <row r="1087">
      <c r="A1087" s="50">
        <v>44663.47263079861</v>
      </c>
      <c r="B1087" s="36" t="s">
        <v>6</v>
      </c>
      <c r="C1087" s="36" t="s">
        <v>13</v>
      </c>
      <c r="AX1087" s="36" t="s">
        <v>3458</v>
      </c>
      <c r="AY1087" s="36" t="s">
        <v>3459</v>
      </c>
      <c r="AZ1087" s="36" t="s">
        <v>351</v>
      </c>
      <c r="BA1087" s="36" t="s">
        <v>377</v>
      </c>
      <c r="BB1087" s="36" t="s">
        <v>3462</v>
      </c>
      <c r="BC1087" s="37">
        <v>43581.0</v>
      </c>
      <c r="BD1087" s="37">
        <v>43672.0</v>
      </c>
      <c r="BE1087" s="37">
        <v>43672.0</v>
      </c>
      <c r="BF1087" s="36">
        <v>100.0</v>
      </c>
      <c r="BG1087" s="36" t="s">
        <v>445</v>
      </c>
      <c r="BH1087" s="38" t="s">
        <v>3463</v>
      </c>
      <c r="FL1087" s="36" t="s">
        <v>3461</v>
      </c>
      <c r="FM1087" s="36" t="s">
        <v>260</v>
      </c>
    </row>
    <row r="1088">
      <c r="A1088" s="50">
        <v>44663.478849328705</v>
      </c>
      <c r="B1088" s="36" t="s">
        <v>6</v>
      </c>
      <c r="C1088" s="36" t="s">
        <v>26</v>
      </c>
      <c r="FL1088" s="36" t="s">
        <v>3461</v>
      </c>
      <c r="FM1088" s="36" t="s">
        <v>260</v>
      </c>
      <c r="FZ1088" s="36" t="s">
        <v>3458</v>
      </c>
      <c r="GA1088" s="36" t="s">
        <v>3459</v>
      </c>
      <c r="GB1088" s="36" t="s">
        <v>805</v>
      </c>
      <c r="GC1088" s="37">
        <v>43696.0</v>
      </c>
      <c r="GD1088" s="38" t="s">
        <v>3464</v>
      </c>
      <c r="GE1088" s="37">
        <v>43696.0</v>
      </c>
    </row>
    <row r="1089">
      <c r="A1089" s="50">
        <v>44663.48599835648</v>
      </c>
      <c r="B1089" s="36" t="s">
        <v>7</v>
      </c>
      <c r="C1089" s="36" t="s">
        <v>12</v>
      </c>
      <c r="AN1089" s="36" t="s">
        <v>3465</v>
      </c>
      <c r="AO1089" s="36" t="s">
        <v>3466</v>
      </c>
      <c r="AP1089" s="36" t="s">
        <v>3467</v>
      </c>
      <c r="AQ1089" s="36" t="s">
        <v>310</v>
      </c>
      <c r="AR1089" s="37">
        <v>44470.0</v>
      </c>
      <c r="AS1089" s="37">
        <v>44539.0</v>
      </c>
      <c r="AT1089" s="36" t="s">
        <v>257</v>
      </c>
      <c r="AU1089" s="36" t="s">
        <v>257</v>
      </c>
      <c r="AV1089" s="36">
        <v>0.0</v>
      </c>
      <c r="AW1089" s="38" t="s">
        <v>3468</v>
      </c>
      <c r="FL1089" s="36" t="s">
        <v>3469</v>
      </c>
      <c r="FM1089" s="36" t="s">
        <v>283</v>
      </c>
    </row>
    <row r="1090">
      <c r="A1090" s="50">
        <v>44663.48715652778</v>
      </c>
      <c r="B1090" s="36" t="s">
        <v>7</v>
      </c>
      <c r="C1090" s="36" t="s">
        <v>12</v>
      </c>
      <c r="AN1090" s="36" t="s">
        <v>3470</v>
      </c>
      <c r="AO1090" s="36" t="s">
        <v>3471</v>
      </c>
      <c r="AP1090" s="36" t="s">
        <v>3472</v>
      </c>
      <c r="AQ1090" s="36" t="s">
        <v>310</v>
      </c>
      <c r="AR1090" s="37">
        <v>44470.0</v>
      </c>
      <c r="AS1090" s="37">
        <v>44539.0</v>
      </c>
      <c r="AT1090" s="36" t="s">
        <v>257</v>
      </c>
      <c r="AU1090" s="36" t="s">
        <v>257</v>
      </c>
      <c r="AV1090" s="36">
        <v>0.0</v>
      </c>
      <c r="AW1090" s="38" t="s">
        <v>3473</v>
      </c>
      <c r="FL1090" s="36" t="s">
        <v>3474</v>
      </c>
      <c r="FM1090" s="36" t="s">
        <v>283</v>
      </c>
    </row>
    <row r="1091">
      <c r="A1091" s="50">
        <v>44663.49759077546</v>
      </c>
      <c r="B1091" s="36" t="s">
        <v>6</v>
      </c>
      <c r="C1091" s="36" t="s">
        <v>12</v>
      </c>
      <c r="AN1091" s="36" t="s">
        <v>3458</v>
      </c>
      <c r="AO1091" s="36" t="s">
        <v>3459</v>
      </c>
      <c r="AP1091" s="36" t="s">
        <v>254</v>
      </c>
      <c r="AQ1091" s="36" t="s">
        <v>444</v>
      </c>
      <c r="AR1091" s="37">
        <v>44622.0</v>
      </c>
      <c r="AS1091" s="37">
        <v>44708.0</v>
      </c>
      <c r="AT1091" s="36" t="s">
        <v>257</v>
      </c>
      <c r="AU1091" s="36" t="s">
        <v>257</v>
      </c>
      <c r="AV1091" s="36">
        <v>0.0</v>
      </c>
      <c r="AW1091" s="38" t="s">
        <v>3475</v>
      </c>
      <c r="FL1091" s="36" t="s">
        <v>3461</v>
      </c>
      <c r="FM1091" s="36" t="s">
        <v>260</v>
      </c>
    </row>
    <row r="1092">
      <c r="A1092" s="50">
        <v>44663.49901072917</v>
      </c>
      <c r="B1092" s="36" t="s">
        <v>7</v>
      </c>
      <c r="C1092" s="36" t="s">
        <v>12</v>
      </c>
      <c r="AN1092" s="36" t="s">
        <v>3476</v>
      </c>
      <c r="AO1092" s="36" t="s">
        <v>3477</v>
      </c>
      <c r="AP1092" s="36" t="s">
        <v>309</v>
      </c>
      <c r="AQ1092" s="36" t="s">
        <v>310</v>
      </c>
      <c r="AR1092" s="37">
        <v>44470.0</v>
      </c>
      <c r="AS1092" s="37">
        <v>44561.0</v>
      </c>
      <c r="AT1092" s="36" t="s">
        <v>257</v>
      </c>
      <c r="AU1092" s="36" t="s">
        <v>257</v>
      </c>
      <c r="AV1092" s="36">
        <v>0.0</v>
      </c>
      <c r="AW1092" s="38" t="s">
        <v>3478</v>
      </c>
      <c r="FL1092" s="36" t="s">
        <v>3479</v>
      </c>
      <c r="FM1092" s="36" t="s">
        <v>341</v>
      </c>
    </row>
    <row r="1093">
      <c r="A1093" s="50">
        <v>44663.50933530093</v>
      </c>
      <c r="B1093" s="36" t="s">
        <v>6</v>
      </c>
      <c r="C1093" s="36" t="s">
        <v>27</v>
      </c>
      <c r="FL1093" s="36" t="s">
        <v>3461</v>
      </c>
      <c r="FM1093" s="36" t="s">
        <v>260</v>
      </c>
      <c r="GF1093" s="36" t="s">
        <v>3458</v>
      </c>
      <c r="GG1093" s="36" t="s">
        <v>3459</v>
      </c>
      <c r="GH1093" s="36" t="s">
        <v>254</v>
      </c>
      <c r="GI1093" s="37">
        <v>44622.0</v>
      </c>
      <c r="GJ1093" s="38" t="s">
        <v>3480</v>
      </c>
      <c r="GK1093" s="36" t="s">
        <v>3481</v>
      </c>
      <c r="GL1093" s="36" t="s">
        <v>2687</v>
      </c>
    </row>
    <row r="1094">
      <c r="A1094" s="50">
        <v>44663.5160305787</v>
      </c>
      <c r="B1094" s="36" t="s">
        <v>6</v>
      </c>
      <c r="C1094" s="36" t="s">
        <v>27</v>
      </c>
      <c r="FL1094" s="36" t="s">
        <v>3461</v>
      </c>
      <c r="FM1094" s="36" t="s">
        <v>260</v>
      </c>
      <c r="GF1094" s="36" t="s">
        <v>3458</v>
      </c>
      <c r="GG1094" s="36" t="s">
        <v>3459</v>
      </c>
      <c r="GH1094" s="36" t="s">
        <v>637</v>
      </c>
      <c r="GI1094" s="37">
        <v>44641.0</v>
      </c>
      <c r="GJ1094" s="38" t="s">
        <v>3482</v>
      </c>
      <c r="GK1094" s="36" t="s">
        <v>3483</v>
      </c>
      <c r="GL1094" s="36" t="s">
        <v>657</v>
      </c>
    </row>
    <row r="1095">
      <c r="A1095" s="50">
        <v>44663.51754725694</v>
      </c>
      <c r="B1095" s="36" t="s">
        <v>7</v>
      </c>
      <c r="C1095" s="36" t="s">
        <v>12</v>
      </c>
      <c r="AN1095" s="36" t="s">
        <v>3484</v>
      </c>
      <c r="AO1095" s="36" t="s">
        <v>3485</v>
      </c>
      <c r="AP1095" s="36" t="s">
        <v>309</v>
      </c>
      <c r="AQ1095" s="36" t="s">
        <v>310</v>
      </c>
      <c r="AR1095" s="37">
        <v>44470.0</v>
      </c>
      <c r="AS1095" s="37">
        <v>44550.0</v>
      </c>
      <c r="AT1095" s="36" t="s">
        <v>257</v>
      </c>
      <c r="AU1095" s="36" t="s">
        <v>257</v>
      </c>
      <c r="AV1095" s="36">
        <v>0.0</v>
      </c>
      <c r="AW1095" s="38" t="s">
        <v>3486</v>
      </c>
      <c r="FL1095" s="36" t="s">
        <v>3487</v>
      </c>
      <c r="FM1095" s="36" t="s">
        <v>283</v>
      </c>
    </row>
    <row r="1096">
      <c r="A1096" s="50">
        <v>44663.52013128472</v>
      </c>
      <c r="B1096" s="36" t="s">
        <v>6</v>
      </c>
      <c r="C1096" s="36" t="s">
        <v>27</v>
      </c>
      <c r="FL1096" s="36" t="s">
        <v>3461</v>
      </c>
      <c r="FM1096" s="36" t="s">
        <v>260</v>
      </c>
      <c r="GF1096" s="36" t="s">
        <v>3458</v>
      </c>
      <c r="GG1096" s="36" t="s">
        <v>3459</v>
      </c>
      <c r="GH1096" s="36" t="s">
        <v>3146</v>
      </c>
      <c r="GI1096" s="37">
        <v>44608.0</v>
      </c>
      <c r="GJ1096" s="38" t="s">
        <v>3488</v>
      </c>
      <c r="GK1096" s="36" t="s">
        <v>3483</v>
      </c>
      <c r="GL1096" s="36" t="s">
        <v>3489</v>
      </c>
    </row>
    <row r="1097">
      <c r="A1097" s="50">
        <v>44663.567037002314</v>
      </c>
      <c r="B1097" s="36" t="s">
        <v>8</v>
      </c>
      <c r="C1097" s="36" t="s">
        <v>13</v>
      </c>
      <c r="AX1097" s="36" t="s">
        <v>3490</v>
      </c>
      <c r="AY1097" s="36" t="s">
        <v>3491</v>
      </c>
      <c r="AZ1097" s="36" t="s">
        <v>2715</v>
      </c>
      <c r="BA1097" s="36" t="s">
        <v>377</v>
      </c>
      <c r="BB1097" s="36" t="s">
        <v>450</v>
      </c>
      <c r="BC1097" s="37">
        <v>44265.0</v>
      </c>
      <c r="BD1097" s="37">
        <v>44387.0</v>
      </c>
      <c r="BE1097" s="37">
        <v>44387.0</v>
      </c>
      <c r="BF1097" s="36">
        <v>90.0</v>
      </c>
      <c r="BG1097" s="36" t="s">
        <v>3492</v>
      </c>
      <c r="BH1097" s="38" t="s">
        <v>3493</v>
      </c>
      <c r="FL1097" s="36" t="s">
        <v>3494</v>
      </c>
      <c r="FM1097" s="36" t="s">
        <v>414</v>
      </c>
    </row>
    <row r="1098">
      <c r="A1098" s="50">
        <v>44663.59251076389</v>
      </c>
      <c r="B1098" s="36" t="s">
        <v>6</v>
      </c>
      <c r="C1098" s="36" t="s">
        <v>13</v>
      </c>
      <c r="AX1098" s="36" t="s">
        <v>3495</v>
      </c>
      <c r="AY1098" s="36" t="s">
        <v>3496</v>
      </c>
      <c r="AZ1098" s="36" t="s">
        <v>3497</v>
      </c>
      <c r="BA1098" s="36" t="s">
        <v>377</v>
      </c>
      <c r="BB1098" s="36" t="s">
        <v>3498</v>
      </c>
      <c r="BC1098" s="37">
        <v>43642.0</v>
      </c>
      <c r="BD1098" s="37">
        <v>43672.0</v>
      </c>
      <c r="BE1098" s="37">
        <v>43672.0</v>
      </c>
      <c r="BF1098" s="36">
        <v>90.0</v>
      </c>
      <c r="BG1098" s="36" t="s">
        <v>3499</v>
      </c>
      <c r="BH1098" s="38" t="s">
        <v>3500</v>
      </c>
      <c r="FL1098" s="36" t="s">
        <v>3501</v>
      </c>
      <c r="FM1098" s="36" t="s">
        <v>555</v>
      </c>
    </row>
    <row r="1099">
      <c r="A1099" s="50">
        <v>44663.59251416667</v>
      </c>
      <c r="B1099" s="36" t="s">
        <v>7</v>
      </c>
      <c r="C1099" s="36" t="s">
        <v>12</v>
      </c>
      <c r="AN1099" s="36" t="s">
        <v>3502</v>
      </c>
      <c r="AO1099" s="36" t="s">
        <v>3503</v>
      </c>
      <c r="AP1099" s="36" t="s">
        <v>309</v>
      </c>
      <c r="AQ1099" s="36" t="s">
        <v>1335</v>
      </c>
      <c r="AR1099" s="37">
        <v>44470.0</v>
      </c>
      <c r="AS1099" s="37">
        <v>44561.0</v>
      </c>
      <c r="AT1099" s="36" t="s">
        <v>257</v>
      </c>
      <c r="AU1099" s="36" t="s">
        <v>257</v>
      </c>
      <c r="AV1099" s="36">
        <v>0.0</v>
      </c>
      <c r="AW1099" s="38" t="s">
        <v>3504</v>
      </c>
      <c r="FL1099" s="36" t="s">
        <v>3505</v>
      </c>
      <c r="FM1099" s="36" t="s">
        <v>283</v>
      </c>
    </row>
    <row r="1100">
      <c r="A1100" s="50">
        <v>44663.59410916667</v>
      </c>
      <c r="B1100" s="36" t="s">
        <v>6</v>
      </c>
      <c r="C1100" s="36" t="s">
        <v>13</v>
      </c>
      <c r="AX1100" s="36" t="s">
        <v>3506</v>
      </c>
      <c r="AY1100" s="36" t="s">
        <v>3507</v>
      </c>
      <c r="AZ1100" s="36" t="s">
        <v>2547</v>
      </c>
      <c r="BA1100" s="36" t="s">
        <v>377</v>
      </c>
      <c r="BB1100" s="36" t="s">
        <v>2425</v>
      </c>
      <c r="BC1100" s="37">
        <v>43656.0</v>
      </c>
      <c r="BD1100" s="37">
        <v>43672.0</v>
      </c>
      <c r="BE1100" s="37">
        <v>43672.0</v>
      </c>
      <c r="BF1100" s="51">
        <v>0.78</v>
      </c>
      <c r="BG1100" s="36" t="s">
        <v>445</v>
      </c>
      <c r="BH1100" s="38" t="s">
        <v>3508</v>
      </c>
      <c r="FL1100" s="36" t="s">
        <v>3509</v>
      </c>
      <c r="FM1100" s="36" t="s">
        <v>382</v>
      </c>
    </row>
    <row r="1101">
      <c r="A1101" s="50">
        <v>44663.594712465274</v>
      </c>
      <c r="B1101" s="36" t="s">
        <v>6</v>
      </c>
      <c r="C1101" s="36" t="s">
        <v>13</v>
      </c>
      <c r="AX1101" s="36" t="s">
        <v>3510</v>
      </c>
      <c r="AY1101" s="36" t="s">
        <v>3511</v>
      </c>
      <c r="AZ1101" s="36" t="s">
        <v>3512</v>
      </c>
      <c r="BA1101" s="36" t="s">
        <v>337</v>
      </c>
      <c r="BB1101" s="36" t="s">
        <v>3402</v>
      </c>
      <c r="BC1101" s="37">
        <v>43641.0</v>
      </c>
      <c r="BD1101" s="37">
        <v>43671.0</v>
      </c>
      <c r="BE1101" s="37">
        <v>43672.0</v>
      </c>
      <c r="BF1101" s="51">
        <v>0.85</v>
      </c>
      <c r="BG1101" s="36" t="s">
        <v>3513</v>
      </c>
      <c r="BH1101" s="38" t="s">
        <v>3514</v>
      </c>
      <c r="FL1101" s="36" t="s">
        <v>3515</v>
      </c>
      <c r="FM1101" s="36" t="s">
        <v>555</v>
      </c>
    </row>
    <row r="1102">
      <c r="A1102" s="50">
        <v>44663.59512037037</v>
      </c>
      <c r="B1102" s="36" t="s">
        <v>6</v>
      </c>
      <c r="C1102" s="36" t="s">
        <v>13</v>
      </c>
      <c r="AX1102" s="36" t="s">
        <v>3516</v>
      </c>
      <c r="AY1102" s="36" t="s">
        <v>3517</v>
      </c>
      <c r="AZ1102" s="36" t="s">
        <v>3518</v>
      </c>
      <c r="BA1102" s="36" t="s">
        <v>377</v>
      </c>
      <c r="BB1102" s="36" t="s">
        <v>3402</v>
      </c>
      <c r="BC1102" s="37">
        <v>43636.0</v>
      </c>
      <c r="BD1102" s="37">
        <v>43676.0</v>
      </c>
      <c r="BE1102" s="37">
        <v>43675.0</v>
      </c>
      <c r="BF1102" s="36">
        <v>85.0</v>
      </c>
      <c r="BG1102" s="36" t="s">
        <v>3519</v>
      </c>
      <c r="BH1102" s="38" t="s">
        <v>3520</v>
      </c>
      <c r="FL1102" s="36" t="s">
        <v>3521</v>
      </c>
      <c r="FM1102" s="36" t="s">
        <v>555</v>
      </c>
    </row>
    <row r="1103">
      <c r="A1103" s="50">
        <v>44663.59709278935</v>
      </c>
      <c r="B1103" s="36" t="s">
        <v>7</v>
      </c>
      <c r="C1103" s="36" t="s">
        <v>12</v>
      </c>
      <c r="AN1103" s="36" t="s">
        <v>3522</v>
      </c>
      <c r="AO1103" s="36" t="s">
        <v>3523</v>
      </c>
      <c r="AP1103" s="36" t="s">
        <v>309</v>
      </c>
      <c r="AQ1103" s="36" t="s">
        <v>391</v>
      </c>
      <c r="AR1103" s="37">
        <v>44470.0</v>
      </c>
      <c r="AS1103" s="37">
        <v>44561.0</v>
      </c>
      <c r="AT1103" s="36" t="s">
        <v>257</v>
      </c>
      <c r="AU1103" s="36" t="s">
        <v>257</v>
      </c>
      <c r="AV1103" s="36">
        <v>0.0</v>
      </c>
      <c r="AW1103" s="38" t="s">
        <v>3524</v>
      </c>
      <c r="FL1103" s="36" t="s">
        <v>3525</v>
      </c>
      <c r="FM1103" s="36" t="s">
        <v>283</v>
      </c>
    </row>
    <row r="1104">
      <c r="A1104" s="50">
        <v>44663.59722759259</v>
      </c>
      <c r="B1104" s="36" t="s">
        <v>6</v>
      </c>
      <c r="C1104" s="36" t="s">
        <v>13</v>
      </c>
      <c r="AX1104" s="36" t="s">
        <v>3526</v>
      </c>
      <c r="AY1104" s="36" t="s">
        <v>3527</v>
      </c>
      <c r="AZ1104" s="36" t="s">
        <v>719</v>
      </c>
      <c r="BA1104" s="36" t="s">
        <v>377</v>
      </c>
      <c r="BB1104" s="36" t="s">
        <v>3528</v>
      </c>
      <c r="BC1104" s="37">
        <v>43636.0</v>
      </c>
      <c r="BD1104" s="37">
        <v>43675.0</v>
      </c>
      <c r="BE1104" s="37">
        <v>43675.0</v>
      </c>
      <c r="BF1104" s="36">
        <v>75.0</v>
      </c>
      <c r="BG1104" s="36" t="s">
        <v>339</v>
      </c>
      <c r="BH1104" s="38" t="s">
        <v>3529</v>
      </c>
      <c r="FL1104" s="36" t="s">
        <v>3530</v>
      </c>
      <c r="FM1104" s="36" t="s">
        <v>555</v>
      </c>
    </row>
    <row r="1105">
      <c r="A1105" s="50">
        <v>44663.597399039354</v>
      </c>
      <c r="B1105" s="36" t="s">
        <v>6</v>
      </c>
      <c r="C1105" s="36" t="s">
        <v>13</v>
      </c>
      <c r="AX1105" s="36" t="s">
        <v>3531</v>
      </c>
      <c r="AY1105" s="36" t="s">
        <v>3532</v>
      </c>
      <c r="AZ1105" s="36" t="s">
        <v>719</v>
      </c>
      <c r="BA1105" s="36" t="s">
        <v>377</v>
      </c>
      <c r="BB1105" s="36" t="s">
        <v>3402</v>
      </c>
      <c r="BC1105" s="37">
        <v>43636.0</v>
      </c>
      <c r="BD1105" s="37">
        <v>43675.0</v>
      </c>
      <c r="BE1105" s="37">
        <v>43676.0</v>
      </c>
      <c r="BF1105" s="36">
        <v>70.0</v>
      </c>
      <c r="BG1105" s="36" t="s">
        <v>339</v>
      </c>
      <c r="BH1105" s="38" t="s">
        <v>3533</v>
      </c>
      <c r="FL1105" s="36" t="s">
        <v>3534</v>
      </c>
      <c r="FM1105" s="36" t="s">
        <v>555</v>
      </c>
    </row>
    <row r="1106">
      <c r="A1106" s="50">
        <v>44663.597432256945</v>
      </c>
      <c r="B1106" s="36" t="s">
        <v>6</v>
      </c>
      <c r="C1106" s="36" t="s">
        <v>13</v>
      </c>
      <c r="AX1106" s="36" t="s">
        <v>3535</v>
      </c>
      <c r="AY1106" s="36" t="s">
        <v>3507</v>
      </c>
      <c r="AZ1106" s="36" t="s">
        <v>3536</v>
      </c>
      <c r="BA1106" s="36" t="s">
        <v>3537</v>
      </c>
      <c r="BB1106" s="36" t="s">
        <v>2408</v>
      </c>
      <c r="BC1106" s="37">
        <v>43979.0</v>
      </c>
      <c r="BD1106" s="37">
        <v>43979.0</v>
      </c>
      <c r="BE1106" s="37">
        <v>43979.0</v>
      </c>
      <c r="BF1106" s="51">
        <v>0.84</v>
      </c>
      <c r="BG1106" s="36" t="s">
        <v>3538</v>
      </c>
      <c r="BH1106" s="38" t="s">
        <v>3539</v>
      </c>
      <c r="FL1106" s="36" t="s">
        <v>3509</v>
      </c>
      <c r="FM1106" s="36" t="s">
        <v>323</v>
      </c>
    </row>
    <row r="1107">
      <c r="A1107" s="50">
        <v>44663.59765940972</v>
      </c>
      <c r="B1107" s="36" t="s">
        <v>7</v>
      </c>
      <c r="C1107" s="36" t="s">
        <v>12</v>
      </c>
      <c r="AN1107" s="36" t="s">
        <v>3540</v>
      </c>
      <c r="AO1107" s="36" t="s">
        <v>3541</v>
      </c>
      <c r="AP1107" s="36" t="s">
        <v>309</v>
      </c>
      <c r="AQ1107" s="36" t="s">
        <v>310</v>
      </c>
      <c r="AR1107" s="37">
        <v>44470.0</v>
      </c>
      <c r="AS1107" s="37">
        <v>44550.0</v>
      </c>
      <c r="AT1107" s="36" t="s">
        <v>257</v>
      </c>
      <c r="AU1107" s="36" t="s">
        <v>257</v>
      </c>
      <c r="AV1107" s="36">
        <v>0.0</v>
      </c>
      <c r="AW1107" s="38" t="s">
        <v>3542</v>
      </c>
      <c r="FL1107" s="36" t="s">
        <v>3543</v>
      </c>
      <c r="FM1107" s="36" t="s">
        <v>283</v>
      </c>
    </row>
    <row r="1108">
      <c r="A1108" s="50">
        <v>44663.59842363426</v>
      </c>
      <c r="B1108" s="36" t="s">
        <v>6</v>
      </c>
      <c r="C1108" s="36" t="s">
        <v>13</v>
      </c>
      <c r="AX1108" s="36" t="s">
        <v>3544</v>
      </c>
      <c r="AY1108" s="36" t="s">
        <v>3517</v>
      </c>
      <c r="AZ1108" s="36" t="s">
        <v>351</v>
      </c>
      <c r="BA1108" s="36" t="s">
        <v>377</v>
      </c>
      <c r="BB1108" s="36" t="s">
        <v>3545</v>
      </c>
      <c r="BC1108" s="37">
        <v>43647.0</v>
      </c>
      <c r="BD1108" s="37">
        <v>43672.0</v>
      </c>
      <c r="BE1108" s="37">
        <v>43672.0</v>
      </c>
      <c r="BF1108" s="36">
        <v>85.0</v>
      </c>
      <c r="BG1108" s="36" t="s">
        <v>3546</v>
      </c>
      <c r="BH1108" s="38" t="s">
        <v>3547</v>
      </c>
      <c r="FL1108" s="36" t="s">
        <v>3521</v>
      </c>
      <c r="FM1108" s="36" t="s">
        <v>555</v>
      </c>
    </row>
    <row r="1109">
      <c r="A1109" s="50">
        <v>44663.59900099537</v>
      </c>
      <c r="B1109" s="36" t="s">
        <v>6</v>
      </c>
      <c r="C1109" s="36" t="s">
        <v>12</v>
      </c>
      <c r="AN1109" s="36" t="s">
        <v>3526</v>
      </c>
      <c r="AO1109" s="36" t="s">
        <v>3527</v>
      </c>
      <c r="AP1109" s="36" t="s">
        <v>637</v>
      </c>
      <c r="AQ1109" s="36" t="s">
        <v>450</v>
      </c>
      <c r="AR1109" s="37">
        <v>44642.0</v>
      </c>
      <c r="AS1109" s="37">
        <v>44735.0</v>
      </c>
      <c r="AT1109" s="36" t="s">
        <v>257</v>
      </c>
      <c r="AU1109" s="36" t="s">
        <v>257</v>
      </c>
      <c r="AV1109" s="36">
        <v>0.0</v>
      </c>
      <c r="AW1109" s="38" t="s">
        <v>3548</v>
      </c>
      <c r="FL1109" s="36" t="s">
        <v>3530</v>
      </c>
      <c r="FM1109" s="36" t="s">
        <v>260</v>
      </c>
    </row>
    <row r="1110">
      <c r="A1110" s="50">
        <v>44663.59998778935</v>
      </c>
      <c r="B1110" s="36" t="s">
        <v>6</v>
      </c>
      <c r="C1110" s="36" t="s">
        <v>14</v>
      </c>
      <c r="BI1110" s="36" t="s">
        <v>3512</v>
      </c>
      <c r="BJ1110" s="36" t="s">
        <v>3511</v>
      </c>
      <c r="BK1110" s="36" t="s">
        <v>159</v>
      </c>
      <c r="BL1110" s="36" t="s">
        <v>1288</v>
      </c>
      <c r="BM1110" s="36" t="s">
        <v>3549</v>
      </c>
      <c r="BN1110" s="36">
        <v>2.0</v>
      </c>
      <c r="BO1110" s="37">
        <v>43694.0</v>
      </c>
      <c r="BP1110" s="37">
        <v>43695.0</v>
      </c>
      <c r="BQ1110" s="36" t="s">
        <v>3550</v>
      </c>
      <c r="BR1110" s="36" t="s">
        <v>3551</v>
      </c>
      <c r="BS1110" s="36" t="s">
        <v>176</v>
      </c>
      <c r="BT1110" s="36" t="s">
        <v>632</v>
      </c>
      <c r="BU1110" s="36">
        <v>1250.0</v>
      </c>
      <c r="BV1110" s="38" t="s">
        <v>3552</v>
      </c>
      <c r="FL1110" s="36" t="s">
        <v>3515</v>
      </c>
      <c r="FM1110" s="36" t="s">
        <v>555</v>
      </c>
    </row>
    <row r="1111">
      <c r="A1111" s="50">
        <v>44663.601084131944</v>
      </c>
      <c r="B1111" s="36" t="s">
        <v>6</v>
      </c>
      <c r="C1111" s="36" t="s">
        <v>13</v>
      </c>
      <c r="AX1111" s="36" t="s">
        <v>3526</v>
      </c>
      <c r="AY1111" s="36" t="s">
        <v>3527</v>
      </c>
      <c r="AZ1111" s="36" t="s">
        <v>351</v>
      </c>
      <c r="BA1111" s="36" t="s">
        <v>377</v>
      </c>
      <c r="BB1111" s="36" t="s">
        <v>3545</v>
      </c>
      <c r="BC1111" s="37">
        <v>43647.0</v>
      </c>
      <c r="BD1111" s="37">
        <v>43672.0</v>
      </c>
      <c r="BE1111" s="37">
        <v>43672.0</v>
      </c>
      <c r="BF1111" s="36">
        <v>85.0</v>
      </c>
      <c r="BG1111" s="36" t="s">
        <v>3546</v>
      </c>
      <c r="BH1111" s="38" t="s">
        <v>3553</v>
      </c>
      <c r="FL1111" s="36" t="s">
        <v>3530</v>
      </c>
      <c r="FM1111" s="36" t="s">
        <v>555</v>
      </c>
    </row>
    <row r="1112">
      <c r="A1112" s="50">
        <v>44663.601113125</v>
      </c>
      <c r="B1112" s="36" t="s">
        <v>6</v>
      </c>
      <c r="C1112" s="36" t="s">
        <v>14</v>
      </c>
      <c r="BI1112" s="36" t="s">
        <v>3495</v>
      </c>
      <c r="BJ1112" s="36" t="s">
        <v>3496</v>
      </c>
      <c r="BK1112" s="36" t="s">
        <v>159</v>
      </c>
      <c r="BL1112" s="36" t="s">
        <v>1288</v>
      </c>
      <c r="BM1112" s="36" t="s">
        <v>2175</v>
      </c>
      <c r="BN1112" s="36">
        <v>2.0</v>
      </c>
      <c r="BO1112" s="37">
        <v>43694.0</v>
      </c>
      <c r="BP1112" s="37">
        <v>43695.0</v>
      </c>
      <c r="BQ1112" s="36" t="s">
        <v>3554</v>
      </c>
      <c r="BR1112" s="36" t="s">
        <v>1767</v>
      </c>
      <c r="BS1112" s="36" t="s">
        <v>176</v>
      </c>
      <c r="BT1112" s="36" t="s">
        <v>632</v>
      </c>
      <c r="BU1112" s="36">
        <v>1250.0</v>
      </c>
      <c r="BV1112" s="38" t="s">
        <v>3555</v>
      </c>
      <c r="FL1112" s="36" t="s">
        <v>3501</v>
      </c>
      <c r="FM1112" s="36" t="s">
        <v>555</v>
      </c>
    </row>
    <row r="1113">
      <c r="A1113" s="50">
        <v>44663.601452233794</v>
      </c>
      <c r="B1113" s="36" t="s">
        <v>6</v>
      </c>
      <c r="C1113" s="36" t="s">
        <v>13</v>
      </c>
      <c r="AX1113" s="36" t="s">
        <v>3556</v>
      </c>
      <c r="AY1113" s="36" t="s">
        <v>3532</v>
      </c>
      <c r="AZ1113" s="36" t="s">
        <v>1193</v>
      </c>
      <c r="BA1113" s="36" t="s">
        <v>377</v>
      </c>
      <c r="BB1113" s="36" t="s">
        <v>3545</v>
      </c>
      <c r="BC1113" s="37">
        <v>43647.0</v>
      </c>
      <c r="BD1113" s="37">
        <v>43671.0</v>
      </c>
      <c r="BE1113" s="37">
        <v>43672.0</v>
      </c>
      <c r="BF1113" s="36">
        <v>70.0</v>
      </c>
      <c r="BG1113" s="36" t="s">
        <v>339</v>
      </c>
      <c r="BH1113" s="38" t="s">
        <v>3557</v>
      </c>
      <c r="FL1113" s="36" t="s">
        <v>3534</v>
      </c>
      <c r="FM1113" s="36" t="s">
        <v>555</v>
      </c>
    </row>
    <row r="1114">
      <c r="A1114" s="50">
        <v>44663.601507604166</v>
      </c>
      <c r="B1114" s="36" t="s">
        <v>7</v>
      </c>
      <c r="C1114" s="36" t="s">
        <v>12</v>
      </c>
      <c r="AN1114" s="36" t="s">
        <v>3558</v>
      </c>
      <c r="AO1114" s="36" t="s">
        <v>3559</v>
      </c>
      <c r="AP1114" s="36" t="s">
        <v>309</v>
      </c>
      <c r="AQ1114" s="36" t="s">
        <v>310</v>
      </c>
      <c r="AR1114" s="37">
        <v>44470.0</v>
      </c>
      <c r="AS1114" s="37">
        <v>44550.0</v>
      </c>
      <c r="AT1114" s="36" t="s">
        <v>257</v>
      </c>
      <c r="AU1114" s="36" t="s">
        <v>257</v>
      </c>
      <c r="AV1114" s="36">
        <v>0.0</v>
      </c>
      <c r="AW1114" s="38" t="s">
        <v>3560</v>
      </c>
      <c r="FL1114" s="36" t="s">
        <v>3561</v>
      </c>
      <c r="FM1114" s="36" t="s">
        <v>283</v>
      </c>
    </row>
    <row r="1115">
      <c r="A1115" s="50">
        <v>44663.601679189815</v>
      </c>
      <c r="B1115" s="36" t="s">
        <v>7</v>
      </c>
      <c r="C1115" s="36" t="s">
        <v>12</v>
      </c>
      <c r="AN1115" s="36" t="s">
        <v>3562</v>
      </c>
      <c r="AO1115" s="36" t="s">
        <v>3563</v>
      </c>
      <c r="AP1115" s="36" t="s">
        <v>309</v>
      </c>
      <c r="AQ1115" s="36" t="s">
        <v>310</v>
      </c>
      <c r="AR1115" s="37">
        <v>44470.0</v>
      </c>
      <c r="AS1115" s="37">
        <v>44550.0</v>
      </c>
      <c r="AT1115" s="36" t="s">
        <v>257</v>
      </c>
      <c r="AU1115" s="36" t="s">
        <v>257</v>
      </c>
      <c r="AV1115" s="36">
        <v>0.0</v>
      </c>
      <c r="AW1115" s="38" t="s">
        <v>3564</v>
      </c>
      <c r="FL1115" s="36" t="s">
        <v>3565</v>
      </c>
      <c r="FM1115" s="36" t="s">
        <v>283</v>
      </c>
    </row>
    <row r="1116">
      <c r="A1116" s="50">
        <v>44663.602150590275</v>
      </c>
      <c r="B1116" s="36" t="s">
        <v>6</v>
      </c>
      <c r="C1116" s="36" t="s">
        <v>13</v>
      </c>
      <c r="AX1116" s="36" t="s">
        <v>3544</v>
      </c>
      <c r="AY1116" s="36" t="s">
        <v>3517</v>
      </c>
      <c r="AZ1116" s="36" t="s">
        <v>3566</v>
      </c>
      <c r="BA1116" s="36" t="s">
        <v>960</v>
      </c>
      <c r="BB1116" s="36" t="s">
        <v>3567</v>
      </c>
      <c r="BC1116" s="37">
        <v>43979.0</v>
      </c>
      <c r="BD1116" s="37">
        <v>43979.0</v>
      </c>
      <c r="BE1116" s="37">
        <v>43979.0</v>
      </c>
      <c r="BF1116" s="51">
        <v>0.8</v>
      </c>
      <c r="BG1116" s="36" t="s">
        <v>1817</v>
      </c>
      <c r="BH1116" s="38" t="s">
        <v>3568</v>
      </c>
      <c r="FL1116" s="36" t="s">
        <v>3521</v>
      </c>
      <c r="FM1116" s="36" t="s">
        <v>323</v>
      </c>
    </row>
    <row r="1117">
      <c r="A1117" s="50">
        <v>44663.60270229167</v>
      </c>
      <c r="B1117" s="36" t="s">
        <v>6</v>
      </c>
      <c r="C1117" s="36" t="s">
        <v>13</v>
      </c>
      <c r="AX1117" s="36" t="s">
        <v>3569</v>
      </c>
      <c r="AY1117" s="36" t="s">
        <v>3570</v>
      </c>
      <c r="AZ1117" s="36" t="s">
        <v>3571</v>
      </c>
      <c r="BA1117" s="36" t="s">
        <v>409</v>
      </c>
      <c r="BB1117" s="36" t="s">
        <v>3545</v>
      </c>
      <c r="BC1117" s="37">
        <v>43647.0</v>
      </c>
      <c r="BD1117" s="37">
        <v>43672.0</v>
      </c>
      <c r="BE1117" s="37">
        <v>43675.0</v>
      </c>
      <c r="BF1117" s="36">
        <v>70.0</v>
      </c>
      <c r="BG1117" s="36" t="s">
        <v>3572</v>
      </c>
      <c r="BH1117" s="38" t="s">
        <v>3573</v>
      </c>
      <c r="FL1117" s="36" t="s">
        <v>3574</v>
      </c>
      <c r="FM1117" s="36" t="s">
        <v>260</v>
      </c>
    </row>
    <row r="1118">
      <c r="A1118" s="50">
        <v>44663.603264618054</v>
      </c>
      <c r="B1118" s="36" t="s">
        <v>6</v>
      </c>
      <c r="C1118" s="36" t="s">
        <v>20</v>
      </c>
      <c r="DX1118" s="36" t="s">
        <v>3535</v>
      </c>
      <c r="DY1118" s="36" t="s">
        <v>3507</v>
      </c>
      <c r="DZ1118" s="36" t="s">
        <v>171</v>
      </c>
      <c r="EA1118" s="36" t="s">
        <v>3575</v>
      </c>
      <c r="EB1118" s="37">
        <v>44045.0</v>
      </c>
      <c r="EC1118" s="36" t="s">
        <v>3576</v>
      </c>
      <c r="ED1118" s="38" t="s">
        <v>3577</v>
      </c>
      <c r="FL1118" s="36" t="s">
        <v>3509</v>
      </c>
      <c r="FM1118" s="36" t="s">
        <v>341</v>
      </c>
    </row>
    <row r="1119">
      <c r="A1119" s="50">
        <v>44663.60430424768</v>
      </c>
      <c r="B1119" s="36" t="s">
        <v>6</v>
      </c>
      <c r="C1119" s="36" t="s">
        <v>13</v>
      </c>
      <c r="AX1119" s="36" t="s">
        <v>3495</v>
      </c>
      <c r="AY1119" s="36" t="s">
        <v>3496</v>
      </c>
      <c r="AZ1119" s="36" t="s">
        <v>2525</v>
      </c>
      <c r="BA1119" s="36" t="s">
        <v>3578</v>
      </c>
      <c r="BB1119" s="36" t="s">
        <v>2039</v>
      </c>
      <c r="BC1119" s="37">
        <v>43979.0</v>
      </c>
      <c r="BD1119" s="37">
        <v>43979.0</v>
      </c>
      <c r="BE1119" s="37">
        <v>43979.0</v>
      </c>
      <c r="BF1119" s="51">
        <v>0.84</v>
      </c>
      <c r="BG1119" s="36" t="s">
        <v>3579</v>
      </c>
      <c r="BH1119" s="38" t="s">
        <v>3580</v>
      </c>
      <c r="FL1119" s="36" t="s">
        <v>3501</v>
      </c>
      <c r="FM1119" s="36" t="s">
        <v>323</v>
      </c>
    </row>
    <row r="1120">
      <c r="A1120" s="50">
        <v>44663.604474293985</v>
      </c>
      <c r="B1120" s="36" t="s">
        <v>6</v>
      </c>
      <c r="C1120" s="36" t="s">
        <v>13</v>
      </c>
      <c r="AX1120" s="36" t="s">
        <v>3581</v>
      </c>
      <c r="AY1120" s="36" t="s">
        <v>3511</v>
      </c>
      <c r="AZ1120" s="36" t="s">
        <v>3512</v>
      </c>
      <c r="BA1120" s="36" t="s">
        <v>3582</v>
      </c>
      <c r="BB1120" s="36" t="s">
        <v>3583</v>
      </c>
      <c r="BC1120" s="37">
        <v>43979.0</v>
      </c>
      <c r="BD1120" s="37">
        <v>43979.0</v>
      </c>
      <c r="BE1120" s="37">
        <v>43979.0</v>
      </c>
      <c r="BF1120" s="51">
        <v>0.96</v>
      </c>
      <c r="BG1120" s="36" t="s">
        <v>3584</v>
      </c>
      <c r="BH1120" s="38" t="s">
        <v>3585</v>
      </c>
      <c r="FL1120" s="36" t="s">
        <v>3515</v>
      </c>
      <c r="FM1120" s="36" t="s">
        <v>323</v>
      </c>
    </row>
    <row r="1121">
      <c r="A1121" s="50">
        <v>44663.60491671297</v>
      </c>
      <c r="B1121" s="36" t="s">
        <v>6</v>
      </c>
      <c r="C1121" s="36" t="s">
        <v>13</v>
      </c>
      <c r="AX1121" s="36" t="s">
        <v>3526</v>
      </c>
      <c r="AY1121" s="36" t="s">
        <v>3527</v>
      </c>
      <c r="AZ1121" s="36" t="s">
        <v>3586</v>
      </c>
      <c r="BA1121" s="36" t="s">
        <v>1386</v>
      </c>
      <c r="BB1121" s="36" t="s">
        <v>417</v>
      </c>
      <c r="BC1121" s="37">
        <v>43891.0</v>
      </c>
      <c r="BD1121" s="37">
        <v>43981.0</v>
      </c>
      <c r="BE1121" s="37">
        <v>43981.0</v>
      </c>
      <c r="BF1121" s="36">
        <v>95.33</v>
      </c>
      <c r="BG1121" s="36" t="s">
        <v>330</v>
      </c>
      <c r="BH1121" s="38" t="s">
        <v>3587</v>
      </c>
      <c r="FL1121" s="36" t="s">
        <v>3530</v>
      </c>
      <c r="FM1121" s="36" t="s">
        <v>323</v>
      </c>
    </row>
    <row r="1122">
      <c r="A1122" s="50">
        <v>44663.605150393516</v>
      </c>
      <c r="B1122" s="36" t="s">
        <v>6</v>
      </c>
      <c r="C1122" s="36" t="s">
        <v>25</v>
      </c>
      <c r="FL1122" s="36" t="s">
        <v>3574</v>
      </c>
      <c r="FM1122" s="36" t="s">
        <v>382</v>
      </c>
      <c r="FT1122" s="36" t="s">
        <v>3588</v>
      </c>
      <c r="FU1122" s="36" t="s">
        <v>3570</v>
      </c>
      <c r="FV1122" s="36" t="s">
        <v>3589</v>
      </c>
      <c r="FW1122" s="37">
        <v>43467.0</v>
      </c>
      <c r="FX1122" s="36" t="s">
        <v>3590</v>
      </c>
      <c r="FY1122" s="38" t="s">
        <v>3591</v>
      </c>
    </row>
    <row r="1123">
      <c r="A1123" s="50">
        <v>44663.60571517361</v>
      </c>
      <c r="B1123" s="36" t="s">
        <v>6</v>
      </c>
      <c r="C1123" s="36" t="s">
        <v>12</v>
      </c>
      <c r="AN1123" s="36" t="s">
        <v>3531</v>
      </c>
      <c r="AO1123" s="36" t="s">
        <v>3532</v>
      </c>
      <c r="AP1123" s="36" t="s">
        <v>309</v>
      </c>
      <c r="AQ1123" s="36" t="s">
        <v>507</v>
      </c>
      <c r="AR1123" s="37">
        <v>44470.0</v>
      </c>
      <c r="AS1123" s="37">
        <v>44561.0</v>
      </c>
      <c r="AT1123" s="36" t="s">
        <v>257</v>
      </c>
      <c r="AU1123" s="36" t="s">
        <v>257</v>
      </c>
      <c r="AV1123" s="36">
        <v>0.0</v>
      </c>
      <c r="AW1123" s="38" t="s">
        <v>3592</v>
      </c>
      <c r="FL1123" s="36" t="s">
        <v>3534</v>
      </c>
      <c r="FM1123" s="36" t="s">
        <v>278</v>
      </c>
    </row>
    <row r="1124">
      <c r="A1124" s="50">
        <v>44663.605782743056</v>
      </c>
      <c r="B1124" s="36" t="s">
        <v>6</v>
      </c>
      <c r="C1124" s="36" t="s">
        <v>20</v>
      </c>
      <c r="DX1124" s="36" t="s">
        <v>3535</v>
      </c>
      <c r="DY1124" s="36" t="s">
        <v>3507</v>
      </c>
      <c r="DZ1124" s="36" t="s">
        <v>150</v>
      </c>
      <c r="EA1124" s="36" t="s">
        <v>3593</v>
      </c>
      <c r="EB1124" s="37">
        <v>43372.0</v>
      </c>
      <c r="EC1124" s="36" t="s">
        <v>3594</v>
      </c>
      <c r="ED1124" s="38" t="s">
        <v>3595</v>
      </c>
      <c r="FL1124" s="36" t="s">
        <v>3509</v>
      </c>
      <c r="FM1124" s="36" t="s">
        <v>414</v>
      </c>
    </row>
    <row r="1125">
      <c r="A1125" s="50">
        <v>44663.60726971064</v>
      </c>
      <c r="B1125" s="36" t="s">
        <v>7</v>
      </c>
      <c r="C1125" s="36" t="s">
        <v>12</v>
      </c>
      <c r="AN1125" s="36" t="s">
        <v>3596</v>
      </c>
      <c r="AO1125" s="36" t="s">
        <v>3597</v>
      </c>
      <c r="AP1125" s="36" t="s">
        <v>2830</v>
      </c>
      <c r="AQ1125" s="36" t="s">
        <v>310</v>
      </c>
      <c r="AR1125" s="37">
        <v>44470.0</v>
      </c>
      <c r="AS1125" s="37">
        <v>44550.0</v>
      </c>
      <c r="AT1125" s="36" t="s">
        <v>257</v>
      </c>
      <c r="AU1125" s="36" t="s">
        <v>257</v>
      </c>
      <c r="AV1125" s="36">
        <v>0.0</v>
      </c>
      <c r="AW1125" s="38" t="s">
        <v>3598</v>
      </c>
      <c r="FL1125" s="36" t="s">
        <v>3599</v>
      </c>
      <c r="FM1125" s="36" t="s">
        <v>283</v>
      </c>
    </row>
    <row r="1126">
      <c r="A1126" s="50">
        <v>44663.60754064815</v>
      </c>
      <c r="B1126" s="36" t="s">
        <v>6</v>
      </c>
      <c r="C1126" s="36" t="s">
        <v>13</v>
      </c>
      <c r="AX1126" s="36" t="s">
        <v>3526</v>
      </c>
      <c r="AY1126" s="36" t="s">
        <v>3527</v>
      </c>
      <c r="AZ1126" s="36" t="s">
        <v>1351</v>
      </c>
      <c r="BA1126" s="36" t="s">
        <v>377</v>
      </c>
      <c r="BB1126" s="36" t="s">
        <v>417</v>
      </c>
      <c r="BC1126" s="37">
        <v>43922.0</v>
      </c>
      <c r="BD1126" s="37">
        <v>44012.0</v>
      </c>
      <c r="BE1126" s="37">
        <v>44012.0</v>
      </c>
      <c r="BF1126" s="36">
        <v>92.5</v>
      </c>
      <c r="BG1126" s="36" t="s">
        <v>330</v>
      </c>
      <c r="BH1126" s="38" t="s">
        <v>3600</v>
      </c>
      <c r="FL1126" s="36" t="s">
        <v>3530</v>
      </c>
      <c r="FM1126" s="36" t="s">
        <v>323</v>
      </c>
    </row>
    <row r="1127">
      <c r="A1127" s="50">
        <v>44663.608086736116</v>
      </c>
      <c r="B1127" s="36" t="s">
        <v>6</v>
      </c>
      <c r="C1127" s="36" t="s">
        <v>13</v>
      </c>
      <c r="AX1127" s="36" t="s">
        <v>3544</v>
      </c>
      <c r="AY1127" s="36" t="s">
        <v>3517</v>
      </c>
      <c r="AZ1127" s="36" t="s">
        <v>499</v>
      </c>
      <c r="BA1127" s="36" t="s">
        <v>332</v>
      </c>
      <c r="BB1127" s="36" t="s">
        <v>670</v>
      </c>
      <c r="BC1127" s="37">
        <v>44512.0</v>
      </c>
      <c r="BD1127" s="37">
        <v>44541.0</v>
      </c>
      <c r="BE1127" s="37">
        <v>44542.0</v>
      </c>
      <c r="BF1127" s="36">
        <v>80.0</v>
      </c>
      <c r="BG1127" s="36" t="s">
        <v>3601</v>
      </c>
      <c r="BH1127" s="38" t="s">
        <v>3602</v>
      </c>
      <c r="FL1127" s="36" t="s">
        <v>3521</v>
      </c>
      <c r="FM1127" s="36" t="s">
        <v>278</v>
      </c>
    </row>
    <row r="1128">
      <c r="A1128" s="50">
        <v>44663.608788321755</v>
      </c>
      <c r="B1128" s="36" t="s">
        <v>6</v>
      </c>
      <c r="C1128" s="36" t="s">
        <v>13</v>
      </c>
      <c r="AX1128" s="36" t="s">
        <v>3569</v>
      </c>
      <c r="AY1128" s="36" t="s">
        <v>3570</v>
      </c>
      <c r="AZ1128" s="36" t="s">
        <v>2525</v>
      </c>
      <c r="BA1128" s="36" t="s">
        <v>3603</v>
      </c>
      <c r="BB1128" s="36" t="s">
        <v>3567</v>
      </c>
      <c r="BC1128" s="37">
        <v>43977.0</v>
      </c>
      <c r="BD1128" s="37">
        <v>43979.0</v>
      </c>
      <c r="BE1128" s="37">
        <v>43979.0</v>
      </c>
      <c r="BF1128" s="36">
        <v>76.0</v>
      </c>
      <c r="BG1128" s="36" t="s">
        <v>3604</v>
      </c>
      <c r="BH1128" s="38" t="s">
        <v>3605</v>
      </c>
      <c r="FL1128" s="36" t="s">
        <v>3574</v>
      </c>
      <c r="FM1128" s="36" t="s">
        <v>323</v>
      </c>
    </row>
    <row r="1129">
      <c r="A1129" s="50">
        <v>44663.60897969907</v>
      </c>
      <c r="B1129" s="36" t="s">
        <v>6</v>
      </c>
      <c r="C1129" s="36" t="s">
        <v>13</v>
      </c>
      <c r="AX1129" s="36" t="s">
        <v>3531</v>
      </c>
      <c r="AY1129" s="36" t="s">
        <v>3532</v>
      </c>
      <c r="AZ1129" s="36" t="s">
        <v>2525</v>
      </c>
      <c r="BA1129" s="36" t="s">
        <v>3606</v>
      </c>
      <c r="BB1129" s="36" t="s">
        <v>3607</v>
      </c>
      <c r="BC1129" s="37">
        <v>43979.0</v>
      </c>
      <c r="BD1129" s="37">
        <v>43979.0</v>
      </c>
      <c r="BE1129" s="37">
        <v>43979.0</v>
      </c>
      <c r="BF1129" s="36">
        <v>52.0</v>
      </c>
      <c r="BG1129" s="36" t="s">
        <v>3608</v>
      </c>
      <c r="BH1129" s="38" t="s">
        <v>3609</v>
      </c>
      <c r="FL1129" s="36" t="s">
        <v>3534</v>
      </c>
      <c r="FM1129" s="36" t="s">
        <v>323</v>
      </c>
    </row>
    <row r="1130">
      <c r="A1130" s="50">
        <v>44663.61057444444</v>
      </c>
      <c r="B1130" s="36" t="s">
        <v>6</v>
      </c>
      <c r="C1130" s="36" t="s">
        <v>13</v>
      </c>
      <c r="AX1130" s="36" t="s">
        <v>3610</v>
      </c>
      <c r="AY1130" s="36" t="s">
        <v>3527</v>
      </c>
      <c r="AZ1130" s="36" t="s">
        <v>2525</v>
      </c>
      <c r="BA1130" s="36" t="s">
        <v>3611</v>
      </c>
      <c r="BB1130" s="36" t="s">
        <v>3612</v>
      </c>
      <c r="BC1130" s="37">
        <v>43979.0</v>
      </c>
      <c r="BD1130" s="37">
        <v>43979.0</v>
      </c>
      <c r="BE1130" s="37">
        <v>43979.0</v>
      </c>
      <c r="BF1130" s="36">
        <v>92.0</v>
      </c>
      <c r="BG1130" s="36" t="s">
        <v>3613</v>
      </c>
      <c r="BH1130" s="38" t="s">
        <v>3614</v>
      </c>
      <c r="FL1130" s="36" t="s">
        <v>3530</v>
      </c>
      <c r="FM1130" s="36" t="s">
        <v>323</v>
      </c>
    </row>
    <row r="1131">
      <c r="A1131" s="50">
        <v>44663.61095677083</v>
      </c>
      <c r="B1131" s="36" t="s">
        <v>6</v>
      </c>
      <c r="C1131" s="36" t="s">
        <v>14</v>
      </c>
      <c r="BI1131" s="36" t="s">
        <v>3512</v>
      </c>
      <c r="BJ1131" s="36" t="s">
        <v>3511</v>
      </c>
      <c r="BK1131" s="36" t="s">
        <v>313</v>
      </c>
      <c r="BL1131" s="36" t="s">
        <v>172</v>
      </c>
      <c r="BM1131" s="36" t="s">
        <v>2900</v>
      </c>
      <c r="BN1131" s="36">
        <v>1.0</v>
      </c>
      <c r="BO1131" s="37">
        <v>44567.0</v>
      </c>
      <c r="BP1131" s="37">
        <v>44567.0</v>
      </c>
      <c r="BQ1131" s="36" t="s">
        <v>3615</v>
      </c>
      <c r="BR1131" s="36" t="s">
        <v>3616</v>
      </c>
      <c r="BS1131" s="36" t="s">
        <v>176</v>
      </c>
      <c r="BT1131" s="36" t="s">
        <v>156</v>
      </c>
      <c r="BV1131" s="38" t="s">
        <v>3617</v>
      </c>
      <c r="FL1131" s="36" t="s">
        <v>3515</v>
      </c>
      <c r="FM1131" s="36" t="s">
        <v>278</v>
      </c>
    </row>
    <row r="1132">
      <c r="A1132" s="50">
        <v>44663.61231362268</v>
      </c>
      <c r="B1132" s="36" t="s">
        <v>6</v>
      </c>
      <c r="C1132" s="36" t="s">
        <v>26</v>
      </c>
      <c r="FL1132" s="36" t="s">
        <v>3515</v>
      </c>
      <c r="FM1132" s="36" t="s">
        <v>260</v>
      </c>
      <c r="FZ1132" s="36" t="s">
        <v>3512</v>
      </c>
      <c r="GA1132" s="36" t="s">
        <v>3511</v>
      </c>
      <c r="GB1132" s="36" t="s">
        <v>3310</v>
      </c>
      <c r="GC1132" s="37">
        <v>43313.0</v>
      </c>
      <c r="GE1132" s="37">
        <v>44714.0</v>
      </c>
    </row>
    <row r="1133">
      <c r="A1133" s="50">
        <v>44663.613448715274</v>
      </c>
      <c r="B1133" s="36" t="s">
        <v>6</v>
      </c>
      <c r="C1133" s="36" t="s">
        <v>14</v>
      </c>
      <c r="BI1133" s="36" t="s">
        <v>3495</v>
      </c>
      <c r="BJ1133" s="36" t="s">
        <v>3496</v>
      </c>
      <c r="BK1133" s="36" t="s">
        <v>313</v>
      </c>
      <c r="BL1133" s="36" t="s">
        <v>172</v>
      </c>
      <c r="BM1133" s="36" t="s">
        <v>437</v>
      </c>
      <c r="BN1133" s="36">
        <v>1.0</v>
      </c>
      <c r="BO1133" s="37">
        <v>44567.0</v>
      </c>
      <c r="BP1133" s="37">
        <v>44567.0</v>
      </c>
      <c r="BQ1133" s="36" t="s">
        <v>3618</v>
      </c>
      <c r="BR1133" s="36" t="s">
        <v>3619</v>
      </c>
      <c r="BS1133" s="36" t="s">
        <v>176</v>
      </c>
      <c r="BT1133" s="36" t="s">
        <v>156</v>
      </c>
      <c r="BV1133" s="38" t="s">
        <v>3620</v>
      </c>
      <c r="FL1133" s="36" t="s">
        <v>3501</v>
      </c>
      <c r="FM1133" s="36" t="s">
        <v>278</v>
      </c>
    </row>
    <row r="1134">
      <c r="A1134" s="50">
        <v>44663.61414091435</v>
      </c>
      <c r="B1134" s="36" t="s">
        <v>6</v>
      </c>
      <c r="C1134" s="36" t="s">
        <v>14</v>
      </c>
      <c r="BI1134" s="36" t="s">
        <v>3621</v>
      </c>
      <c r="BJ1134" s="36" t="s">
        <v>3570</v>
      </c>
      <c r="BK1134" s="36" t="s">
        <v>313</v>
      </c>
      <c r="BL1134" s="36" t="s">
        <v>172</v>
      </c>
      <c r="BM1134" s="36" t="s">
        <v>3622</v>
      </c>
      <c r="BN1134" s="36">
        <v>1.0</v>
      </c>
      <c r="BO1134" s="37">
        <v>44567.0</v>
      </c>
      <c r="BP1134" s="37">
        <v>44567.0</v>
      </c>
      <c r="BQ1134" s="36" t="s">
        <v>2550</v>
      </c>
      <c r="BR1134" s="36" t="s">
        <v>3623</v>
      </c>
      <c r="BS1134" s="36" t="s">
        <v>176</v>
      </c>
      <c r="BT1134" s="36" t="s">
        <v>156</v>
      </c>
      <c r="BV1134" s="38" t="s">
        <v>3624</v>
      </c>
      <c r="FL1134" s="36" t="s">
        <v>3574</v>
      </c>
      <c r="FM1134" s="36" t="s">
        <v>278</v>
      </c>
    </row>
    <row r="1135">
      <c r="A1135" s="50">
        <v>44663.61444489584</v>
      </c>
      <c r="B1135" s="36" t="s">
        <v>6</v>
      </c>
      <c r="C1135" s="36" t="s">
        <v>14</v>
      </c>
      <c r="BI1135" s="36" t="s">
        <v>3625</v>
      </c>
      <c r="BJ1135" s="36" t="s">
        <v>3527</v>
      </c>
      <c r="BK1135" s="36" t="s">
        <v>313</v>
      </c>
      <c r="BL1135" s="36" t="s">
        <v>172</v>
      </c>
      <c r="BM1135" s="36" t="s">
        <v>3626</v>
      </c>
      <c r="BN1135" s="36">
        <v>1.0</v>
      </c>
      <c r="BO1135" s="37">
        <v>44567.0</v>
      </c>
      <c r="BP1135" s="37">
        <v>44567.0</v>
      </c>
      <c r="BQ1135" s="36" t="s">
        <v>3627</v>
      </c>
      <c r="BR1135" s="36" t="s">
        <v>3628</v>
      </c>
      <c r="BS1135" s="36" t="s">
        <v>176</v>
      </c>
      <c r="BT1135" s="36" t="s">
        <v>156</v>
      </c>
      <c r="BU1135" s="36">
        <v>0.0</v>
      </c>
      <c r="BV1135" s="38" t="s">
        <v>3629</v>
      </c>
      <c r="FL1135" s="36" t="s">
        <v>3530</v>
      </c>
      <c r="FM1135" s="36" t="s">
        <v>278</v>
      </c>
    </row>
    <row r="1136">
      <c r="A1136" s="50">
        <v>44663.614715625</v>
      </c>
      <c r="B1136" s="36" t="s">
        <v>6</v>
      </c>
      <c r="C1136" s="36" t="s">
        <v>14</v>
      </c>
      <c r="BI1136" s="36" t="s">
        <v>3531</v>
      </c>
      <c r="BJ1136" s="36" t="s">
        <v>3532</v>
      </c>
      <c r="BK1136" s="36" t="s">
        <v>313</v>
      </c>
      <c r="BL1136" s="36" t="s">
        <v>172</v>
      </c>
      <c r="BM1136" s="36" t="s">
        <v>3630</v>
      </c>
      <c r="BN1136" s="36">
        <v>1.0</v>
      </c>
      <c r="BO1136" s="37">
        <v>44567.0</v>
      </c>
      <c r="BP1136" s="37">
        <v>44567.0</v>
      </c>
      <c r="BQ1136" s="36" t="s">
        <v>819</v>
      </c>
      <c r="BR1136" s="36" t="s">
        <v>3631</v>
      </c>
      <c r="BS1136" s="36" t="s">
        <v>176</v>
      </c>
      <c r="BT1136" s="36" t="s">
        <v>156</v>
      </c>
      <c r="BV1136" s="38" t="s">
        <v>3632</v>
      </c>
      <c r="FL1136" s="36" t="s">
        <v>3534</v>
      </c>
      <c r="FM1136" s="36" t="s">
        <v>278</v>
      </c>
    </row>
    <row r="1137">
      <c r="A1137" s="50">
        <v>44663.61615212963</v>
      </c>
      <c r="B1137" s="36" t="s">
        <v>6</v>
      </c>
      <c r="C1137" s="36" t="s">
        <v>13</v>
      </c>
      <c r="AX1137" s="36" t="s">
        <v>3526</v>
      </c>
      <c r="AY1137" s="36" t="s">
        <v>3527</v>
      </c>
      <c r="AZ1137" s="36" t="s">
        <v>3633</v>
      </c>
      <c r="BA1137" s="36" t="s">
        <v>1386</v>
      </c>
      <c r="BB1137" s="36" t="s">
        <v>417</v>
      </c>
      <c r="BC1137" s="37">
        <v>43956.0</v>
      </c>
      <c r="BD1137" s="37">
        <v>44016.0</v>
      </c>
      <c r="BE1137" s="37">
        <v>44018.0</v>
      </c>
      <c r="BF1137" s="36">
        <v>86.5</v>
      </c>
      <c r="BG1137" s="36" t="s">
        <v>330</v>
      </c>
      <c r="BH1137" s="38" t="s">
        <v>3634</v>
      </c>
      <c r="FL1137" s="36" t="s">
        <v>3530</v>
      </c>
      <c r="FM1137" s="36" t="s">
        <v>323</v>
      </c>
    </row>
    <row r="1138">
      <c r="A1138" s="50">
        <v>44663.6190775</v>
      </c>
      <c r="B1138" s="36" t="s">
        <v>8</v>
      </c>
      <c r="C1138" s="36" t="s">
        <v>13</v>
      </c>
      <c r="AX1138" s="36" t="s">
        <v>3635</v>
      </c>
      <c r="AY1138" s="36" t="s">
        <v>3636</v>
      </c>
      <c r="AZ1138" s="36" t="s">
        <v>856</v>
      </c>
      <c r="BA1138" s="36" t="s">
        <v>377</v>
      </c>
      <c r="BB1138" s="36" t="s">
        <v>507</v>
      </c>
      <c r="BC1138" s="37">
        <v>44321.0</v>
      </c>
      <c r="BD1138" s="37">
        <v>44394.0</v>
      </c>
      <c r="BE1138" s="37">
        <v>44561.0</v>
      </c>
      <c r="BF1138" s="36">
        <v>90.0</v>
      </c>
      <c r="BG1138" s="36" t="s">
        <v>2052</v>
      </c>
      <c r="BH1138" s="38" t="s">
        <v>3637</v>
      </c>
      <c r="FL1138" s="36" t="s">
        <v>3638</v>
      </c>
      <c r="FM1138" s="36" t="s">
        <v>323</v>
      </c>
    </row>
    <row r="1139">
      <c r="A1139" s="50">
        <v>44663.62837814815</v>
      </c>
      <c r="B1139" s="36" t="s">
        <v>8</v>
      </c>
      <c r="C1139" s="36" t="s">
        <v>12</v>
      </c>
      <c r="AN1139" s="36" t="s">
        <v>3639</v>
      </c>
      <c r="AO1139" s="36" t="s">
        <v>3640</v>
      </c>
      <c r="AP1139" s="36" t="s">
        <v>1439</v>
      </c>
      <c r="AQ1139" s="36" t="s">
        <v>450</v>
      </c>
      <c r="AR1139" s="37">
        <v>44470.0</v>
      </c>
      <c r="AS1139" s="37">
        <v>44561.0</v>
      </c>
      <c r="AT1139" s="36" t="s">
        <v>257</v>
      </c>
      <c r="AU1139" s="36" t="s">
        <v>257</v>
      </c>
      <c r="AV1139" s="36">
        <v>0.0</v>
      </c>
      <c r="AW1139" s="38" t="s">
        <v>3641</v>
      </c>
      <c r="FL1139" s="36" t="s">
        <v>3642</v>
      </c>
      <c r="FM1139" s="36" t="s">
        <v>323</v>
      </c>
    </row>
    <row r="1140">
      <c r="A1140" s="50">
        <v>44663.63107267361</v>
      </c>
      <c r="B1140" s="36" t="s">
        <v>6</v>
      </c>
      <c r="C1140" s="36" t="s">
        <v>25</v>
      </c>
      <c r="FL1140" s="36" t="s">
        <v>3643</v>
      </c>
      <c r="FM1140" s="36" t="s">
        <v>382</v>
      </c>
      <c r="FT1140" s="36" t="s">
        <v>3644</v>
      </c>
      <c r="FU1140" s="36" t="s">
        <v>3645</v>
      </c>
      <c r="FV1140" s="36" t="s">
        <v>3646</v>
      </c>
      <c r="FW1140" s="37">
        <v>43467.0</v>
      </c>
      <c r="FX1140" s="36" t="s">
        <v>3647</v>
      </c>
      <c r="FY1140" s="38" t="s">
        <v>3648</v>
      </c>
    </row>
    <row r="1141">
      <c r="A1141" s="50">
        <v>44663.64785259259</v>
      </c>
      <c r="B1141" s="36" t="s">
        <v>6</v>
      </c>
      <c r="C1141" s="36" t="s">
        <v>13</v>
      </c>
      <c r="AX1141" s="36" t="s">
        <v>3644</v>
      </c>
      <c r="AY1141" s="36" t="s">
        <v>3645</v>
      </c>
      <c r="AZ1141" s="36" t="s">
        <v>2525</v>
      </c>
      <c r="BA1141" s="36" t="s">
        <v>3649</v>
      </c>
      <c r="BB1141" s="36" t="s">
        <v>3650</v>
      </c>
      <c r="BC1141" s="37">
        <v>43977.0</v>
      </c>
      <c r="BD1141" s="37">
        <v>43979.0</v>
      </c>
      <c r="BE1141" s="37">
        <v>43979.0</v>
      </c>
      <c r="BF1141" s="36">
        <v>56.0</v>
      </c>
      <c r="BG1141" s="36" t="s">
        <v>3538</v>
      </c>
      <c r="BH1141" s="38" t="s">
        <v>3651</v>
      </c>
      <c r="FL1141" s="36" t="s">
        <v>3643</v>
      </c>
      <c r="FM1141" s="36" t="s">
        <v>323</v>
      </c>
    </row>
    <row r="1142">
      <c r="A1142" s="50">
        <v>44670.472453599534</v>
      </c>
      <c r="B1142" s="36" t="s">
        <v>6</v>
      </c>
      <c r="C1142" s="36" t="s">
        <v>14</v>
      </c>
      <c r="BI1142" s="36" t="s">
        <v>3652</v>
      </c>
      <c r="BJ1142" s="36" t="s">
        <v>3653</v>
      </c>
      <c r="BK1142" s="36" t="s">
        <v>159</v>
      </c>
      <c r="BL1142" s="36" t="s">
        <v>1288</v>
      </c>
      <c r="BM1142" s="36" t="s">
        <v>3654</v>
      </c>
      <c r="BN1142" s="36">
        <v>17.0</v>
      </c>
      <c r="BO1142" s="37">
        <v>44025.0</v>
      </c>
      <c r="BP1142" s="37">
        <v>44044.0</v>
      </c>
      <c r="BQ1142" s="36" t="s">
        <v>3655</v>
      </c>
      <c r="BR1142" s="36" t="s">
        <v>3656</v>
      </c>
      <c r="BS1142" s="36" t="s">
        <v>276</v>
      </c>
      <c r="BT1142" s="36" t="s">
        <v>156</v>
      </c>
      <c r="BV1142" s="38" t="s">
        <v>3657</v>
      </c>
      <c r="FL1142" s="36" t="s">
        <v>3658</v>
      </c>
      <c r="FM1142" s="36" t="s">
        <v>260</v>
      </c>
    </row>
    <row r="1143">
      <c r="A1143" s="50">
        <v>44670.47508297453</v>
      </c>
      <c r="B1143" s="36" t="s">
        <v>6</v>
      </c>
      <c r="C1143" s="36" t="s">
        <v>14</v>
      </c>
      <c r="BI1143" s="36" t="s">
        <v>3652</v>
      </c>
      <c r="BJ1143" s="36" t="s">
        <v>3653</v>
      </c>
      <c r="BK1143" s="36" t="s">
        <v>171</v>
      </c>
      <c r="BL1143" s="36" t="s">
        <v>1288</v>
      </c>
      <c r="BM1143" s="36" t="s">
        <v>3659</v>
      </c>
      <c r="BN1143" s="36">
        <v>15.0</v>
      </c>
      <c r="BO1143" s="37">
        <v>44067.0</v>
      </c>
      <c r="BP1143" s="37">
        <v>44079.0</v>
      </c>
      <c r="BQ1143" s="36" t="s">
        <v>3660</v>
      </c>
      <c r="BR1143" s="36" t="s">
        <v>3661</v>
      </c>
      <c r="BS1143" s="36" t="s">
        <v>276</v>
      </c>
      <c r="BT1143" s="36" t="s">
        <v>156</v>
      </c>
      <c r="BV1143" s="38" t="s">
        <v>3662</v>
      </c>
      <c r="FL1143" s="36" t="s">
        <v>3658</v>
      </c>
      <c r="FM1143" s="36" t="s">
        <v>260</v>
      </c>
    </row>
    <row r="1144">
      <c r="A1144" s="50">
        <v>44670.476522893514</v>
      </c>
      <c r="B1144" s="36" t="s">
        <v>6</v>
      </c>
      <c r="C1144" s="36" t="s">
        <v>12</v>
      </c>
      <c r="AN1144" s="36" t="s">
        <v>3652</v>
      </c>
      <c r="AO1144" s="36" t="s">
        <v>3653</v>
      </c>
      <c r="AP1144" s="36" t="s">
        <v>2131</v>
      </c>
      <c r="AQ1144" s="36" t="s">
        <v>450</v>
      </c>
      <c r="AR1144" s="37">
        <v>44476.0</v>
      </c>
      <c r="AS1144" s="37">
        <v>44557.0</v>
      </c>
      <c r="AT1144" s="36" t="s">
        <v>257</v>
      </c>
      <c r="AU1144" s="36" t="s">
        <v>257</v>
      </c>
      <c r="AV1144" s="36">
        <v>0.0</v>
      </c>
      <c r="AW1144" s="38" t="s">
        <v>3663</v>
      </c>
      <c r="FL1144" s="36" t="s">
        <v>3658</v>
      </c>
      <c r="FM1144" s="36" t="s">
        <v>260</v>
      </c>
    </row>
    <row r="1145">
      <c r="A1145" s="50">
        <v>44670.47903390046</v>
      </c>
      <c r="B1145" s="36" t="s">
        <v>6</v>
      </c>
      <c r="C1145" s="36" t="s">
        <v>13</v>
      </c>
      <c r="AX1145" s="36" t="s">
        <v>3652</v>
      </c>
      <c r="AY1145" s="36" t="s">
        <v>3653</v>
      </c>
      <c r="AZ1145" s="36" t="s">
        <v>3664</v>
      </c>
      <c r="BA1145" s="36" t="s">
        <v>377</v>
      </c>
      <c r="BB1145" s="36" t="s">
        <v>310</v>
      </c>
      <c r="BC1145" s="37">
        <v>43619.0</v>
      </c>
      <c r="BD1145" s="37">
        <v>43672.0</v>
      </c>
      <c r="BE1145" s="37">
        <v>43672.0</v>
      </c>
      <c r="BF1145" s="36" t="s">
        <v>3665</v>
      </c>
      <c r="BG1145" s="36" t="s">
        <v>497</v>
      </c>
      <c r="BH1145" s="38" t="s">
        <v>3666</v>
      </c>
      <c r="FL1145" s="36" t="s">
        <v>3658</v>
      </c>
      <c r="FM1145" s="36" t="s">
        <v>260</v>
      </c>
    </row>
    <row r="1146">
      <c r="A1146" s="50">
        <v>44670.481022708336</v>
      </c>
      <c r="B1146" s="36" t="s">
        <v>6</v>
      </c>
      <c r="C1146" s="36" t="s">
        <v>13</v>
      </c>
      <c r="AX1146" s="36" t="s">
        <v>3667</v>
      </c>
      <c r="AY1146" s="36" t="s">
        <v>3653</v>
      </c>
      <c r="AZ1146" s="36" t="s">
        <v>3668</v>
      </c>
      <c r="BA1146" s="36" t="s">
        <v>377</v>
      </c>
      <c r="BB1146" s="36" t="s">
        <v>450</v>
      </c>
      <c r="BC1146" s="37">
        <v>44287.0</v>
      </c>
      <c r="BD1146" s="37">
        <v>44378.0</v>
      </c>
      <c r="BE1146" s="37">
        <v>44378.0</v>
      </c>
      <c r="BF1146" s="36" t="s">
        <v>3665</v>
      </c>
      <c r="BG1146" s="36" t="s">
        <v>3669</v>
      </c>
      <c r="BH1146" s="38" t="s">
        <v>3670</v>
      </c>
      <c r="FL1146" s="36" t="s">
        <v>3658</v>
      </c>
      <c r="FM1146" s="36" t="s">
        <v>260</v>
      </c>
    </row>
    <row r="1147">
      <c r="A1147" s="50">
        <v>44670.482762060186</v>
      </c>
      <c r="B1147" s="36" t="s">
        <v>6</v>
      </c>
      <c r="C1147" s="36" t="s">
        <v>13</v>
      </c>
      <c r="AX1147" s="36" t="s">
        <v>3652</v>
      </c>
      <c r="AY1147" s="36" t="s">
        <v>3653</v>
      </c>
      <c r="AZ1147" s="36" t="s">
        <v>3671</v>
      </c>
      <c r="BA1147" s="36" t="s">
        <v>377</v>
      </c>
      <c r="BB1147" s="36" t="s">
        <v>310</v>
      </c>
      <c r="BC1147" s="37">
        <v>43642.0</v>
      </c>
      <c r="BD1147" s="37">
        <v>43678.0</v>
      </c>
      <c r="BE1147" s="37">
        <v>43678.0</v>
      </c>
      <c r="BF1147" s="36" t="s">
        <v>3665</v>
      </c>
      <c r="BG1147" s="36" t="s">
        <v>339</v>
      </c>
      <c r="BH1147" s="38" t="s">
        <v>3672</v>
      </c>
      <c r="FL1147" s="36" t="s">
        <v>3658</v>
      </c>
      <c r="FM1147" s="36" t="s">
        <v>260</v>
      </c>
    </row>
    <row r="1148">
      <c r="A1148" s="50">
        <v>44670.48440619213</v>
      </c>
      <c r="B1148" s="36" t="s">
        <v>6</v>
      </c>
      <c r="C1148" s="36" t="s">
        <v>13</v>
      </c>
      <c r="AX1148" s="36" t="s">
        <v>3673</v>
      </c>
      <c r="AY1148" s="36" t="s">
        <v>3653</v>
      </c>
      <c r="AZ1148" s="36" t="s">
        <v>2069</v>
      </c>
      <c r="BA1148" s="36" t="s">
        <v>377</v>
      </c>
      <c r="BB1148" s="36" t="s">
        <v>450</v>
      </c>
      <c r="BC1148" s="37">
        <v>44295.0</v>
      </c>
      <c r="BD1148" s="37">
        <v>44386.0</v>
      </c>
      <c r="BE1148" s="37">
        <v>44386.0</v>
      </c>
      <c r="BF1148" s="36" t="s">
        <v>3665</v>
      </c>
      <c r="BG1148" s="36" t="s">
        <v>3674</v>
      </c>
      <c r="BH1148" s="38" t="s">
        <v>3675</v>
      </c>
      <c r="FL1148" s="36" t="s">
        <v>3658</v>
      </c>
      <c r="FM1148" s="36" t="s">
        <v>260</v>
      </c>
    </row>
    <row r="1149">
      <c r="A1149" s="50">
        <v>44673.58926482638</v>
      </c>
      <c r="B1149" s="36" t="s">
        <v>7</v>
      </c>
      <c r="C1149" s="36" t="s">
        <v>12</v>
      </c>
      <c r="AN1149" s="36" t="s">
        <v>3522</v>
      </c>
      <c r="AO1149" s="36" t="s">
        <v>3523</v>
      </c>
      <c r="AP1149" s="36" t="s">
        <v>309</v>
      </c>
      <c r="AQ1149" s="36" t="s">
        <v>391</v>
      </c>
      <c r="AR1149" s="37">
        <v>44470.0</v>
      </c>
      <c r="AS1149" s="37">
        <v>44550.0</v>
      </c>
      <c r="AT1149" s="36" t="s">
        <v>257</v>
      </c>
      <c r="AU1149" s="36" t="s">
        <v>257</v>
      </c>
      <c r="AV1149" s="36">
        <v>0.0</v>
      </c>
      <c r="AW1149" s="38" t="s">
        <v>3676</v>
      </c>
      <c r="FL1149" s="36" t="s">
        <v>3525</v>
      </c>
      <c r="FM1149" s="36" t="s">
        <v>283</v>
      </c>
    </row>
    <row r="1150">
      <c r="A1150" s="50">
        <v>44673.59140322916</v>
      </c>
      <c r="B1150" s="36" t="s">
        <v>7</v>
      </c>
      <c r="C1150" s="36" t="s">
        <v>12</v>
      </c>
      <c r="AN1150" s="36" t="s">
        <v>3677</v>
      </c>
      <c r="AO1150" s="36" t="s">
        <v>3678</v>
      </c>
      <c r="AP1150" s="36" t="s">
        <v>309</v>
      </c>
      <c r="AQ1150" s="36" t="s">
        <v>507</v>
      </c>
      <c r="AR1150" s="37">
        <v>44470.0</v>
      </c>
      <c r="AS1150" s="37">
        <v>44550.0</v>
      </c>
      <c r="AT1150" s="36" t="s">
        <v>257</v>
      </c>
      <c r="AU1150" s="36" t="s">
        <v>257</v>
      </c>
      <c r="AV1150" s="36">
        <v>0.0</v>
      </c>
      <c r="AW1150" s="38" t="s">
        <v>3679</v>
      </c>
      <c r="FL1150" s="36" t="s">
        <v>3680</v>
      </c>
      <c r="FM1150" s="36" t="s">
        <v>283</v>
      </c>
    </row>
    <row r="1151">
      <c r="A1151" s="50">
        <v>44673.59239863426</v>
      </c>
      <c r="B1151" s="36" t="s">
        <v>7</v>
      </c>
      <c r="C1151" s="36" t="s">
        <v>12</v>
      </c>
      <c r="AN1151" s="36" t="s">
        <v>3502</v>
      </c>
      <c r="AO1151" s="36" t="s">
        <v>3503</v>
      </c>
      <c r="AP1151" s="36" t="s">
        <v>309</v>
      </c>
      <c r="AQ1151" s="36" t="s">
        <v>507</v>
      </c>
      <c r="AR1151" s="37">
        <v>44470.0</v>
      </c>
      <c r="AS1151" s="37">
        <v>44550.0</v>
      </c>
      <c r="AT1151" s="36" t="s">
        <v>257</v>
      </c>
      <c r="AU1151" s="36" t="s">
        <v>257</v>
      </c>
      <c r="AV1151" s="36">
        <v>0.0</v>
      </c>
      <c r="AW1151" s="38" t="s">
        <v>3681</v>
      </c>
      <c r="FL1151" s="36" t="s">
        <v>3505</v>
      </c>
      <c r="FM1151" s="36" t="s">
        <v>283</v>
      </c>
    </row>
    <row r="1152">
      <c r="A1152" s="50">
        <v>44673.59295471065</v>
      </c>
      <c r="B1152" s="36" t="s">
        <v>7</v>
      </c>
      <c r="C1152" s="36" t="s">
        <v>12</v>
      </c>
      <c r="AN1152" s="36" t="s">
        <v>3682</v>
      </c>
      <c r="AO1152" s="36" t="s">
        <v>3597</v>
      </c>
      <c r="AP1152" s="36" t="s">
        <v>309</v>
      </c>
      <c r="AQ1152" s="36" t="s">
        <v>310</v>
      </c>
      <c r="AR1152" s="37">
        <v>44470.0</v>
      </c>
      <c r="AS1152" s="37">
        <v>44550.0</v>
      </c>
      <c r="AT1152" s="36" t="s">
        <v>257</v>
      </c>
      <c r="AU1152" s="36" t="s">
        <v>257</v>
      </c>
      <c r="AV1152" s="36">
        <v>0.0</v>
      </c>
      <c r="AW1152" s="38" t="s">
        <v>3683</v>
      </c>
      <c r="FL1152" s="36" t="s">
        <v>3599</v>
      </c>
      <c r="FM1152" s="36" t="s">
        <v>283</v>
      </c>
    </row>
    <row r="1153">
      <c r="A1153" s="50">
        <v>44673.59308530093</v>
      </c>
      <c r="B1153" s="36" t="s">
        <v>7</v>
      </c>
      <c r="C1153" s="36" t="s">
        <v>12</v>
      </c>
      <c r="AN1153" s="36" t="s">
        <v>3684</v>
      </c>
      <c r="AO1153" s="36" t="s">
        <v>3685</v>
      </c>
      <c r="AP1153" s="36" t="s">
        <v>309</v>
      </c>
      <c r="AQ1153" s="36" t="s">
        <v>1420</v>
      </c>
      <c r="AR1153" s="37">
        <v>44470.0</v>
      </c>
      <c r="AS1153" s="37">
        <v>44550.0</v>
      </c>
      <c r="AT1153" s="36" t="s">
        <v>257</v>
      </c>
      <c r="AU1153" s="36" t="s">
        <v>257</v>
      </c>
      <c r="AV1153" s="36">
        <v>0.0</v>
      </c>
      <c r="AW1153" s="38" t="s">
        <v>3686</v>
      </c>
      <c r="FL1153" s="36" t="s">
        <v>3687</v>
      </c>
      <c r="FM1153" s="36" t="s">
        <v>283</v>
      </c>
    </row>
    <row r="1154">
      <c r="A1154" s="50">
        <v>44673.59311832176</v>
      </c>
      <c r="B1154" s="36" t="s">
        <v>7</v>
      </c>
      <c r="C1154" s="36" t="s">
        <v>12</v>
      </c>
      <c r="AN1154" s="36" t="s">
        <v>3688</v>
      </c>
      <c r="AO1154" s="36" t="s">
        <v>3689</v>
      </c>
      <c r="AP1154" s="36" t="s">
        <v>309</v>
      </c>
      <c r="AQ1154" s="36" t="s">
        <v>507</v>
      </c>
      <c r="AR1154" s="37">
        <v>44470.0</v>
      </c>
      <c r="AS1154" s="37">
        <v>44548.0</v>
      </c>
      <c r="AT1154" s="36" t="s">
        <v>257</v>
      </c>
      <c r="AU1154" s="36" t="s">
        <v>257</v>
      </c>
      <c r="AV1154" s="36">
        <v>0.0</v>
      </c>
      <c r="AW1154" s="38" t="s">
        <v>3690</v>
      </c>
      <c r="FL1154" s="36" t="s">
        <v>3691</v>
      </c>
      <c r="FM1154" s="36" t="s">
        <v>283</v>
      </c>
    </row>
    <row r="1155">
      <c r="A1155" s="50">
        <v>44673.59358905093</v>
      </c>
      <c r="B1155" s="36" t="s">
        <v>7</v>
      </c>
      <c r="C1155" s="36" t="s">
        <v>12</v>
      </c>
      <c r="AN1155" s="36" t="s">
        <v>3484</v>
      </c>
      <c r="AO1155" s="36" t="s">
        <v>3485</v>
      </c>
      <c r="AP1155" s="36" t="s">
        <v>309</v>
      </c>
      <c r="AQ1155" s="36" t="s">
        <v>507</v>
      </c>
      <c r="AR1155" s="37">
        <v>44470.0</v>
      </c>
      <c r="AS1155" s="37">
        <v>44550.0</v>
      </c>
      <c r="AT1155" s="36" t="s">
        <v>257</v>
      </c>
      <c r="AU1155" s="36" t="s">
        <v>257</v>
      </c>
      <c r="AV1155" s="36">
        <v>0.0</v>
      </c>
      <c r="AW1155" s="38" t="s">
        <v>3692</v>
      </c>
      <c r="FL1155" s="36" t="s">
        <v>3487</v>
      </c>
      <c r="FM1155" s="36" t="s">
        <v>283</v>
      </c>
    </row>
    <row r="1156">
      <c r="A1156" s="50">
        <v>44673.595091400464</v>
      </c>
      <c r="B1156" s="36" t="s">
        <v>7</v>
      </c>
      <c r="C1156" s="36" t="s">
        <v>13</v>
      </c>
      <c r="AX1156" s="36" t="s">
        <v>3693</v>
      </c>
      <c r="AY1156" s="36" t="s">
        <v>3694</v>
      </c>
      <c r="AZ1156" s="36" t="s">
        <v>1444</v>
      </c>
      <c r="BA1156" s="36" t="s">
        <v>377</v>
      </c>
      <c r="BB1156" s="36" t="s">
        <v>1068</v>
      </c>
      <c r="BC1156" s="37">
        <v>44213.0</v>
      </c>
      <c r="BD1156" s="37">
        <v>44263.0</v>
      </c>
      <c r="BE1156" s="37">
        <v>44294.0</v>
      </c>
      <c r="BF1156" s="36">
        <v>92.0</v>
      </c>
      <c r="BG1156" s="36" t="s">
        <v>3695</v>
      </c>
      <c r="BH1156" s="38" t="s">
        <v>3696</v>
      </c>
      <c r="FL1156" s="36" t="s">
        <v>3697</v>
      </c>
      <c r="FM1156" s="36" t="s">
        <v>283</v>
      </c>
    </row>
    <row r="1157">
      <c r="A1157" s="50">
        <v>44673.59741567129</v>
      </c>
      <c r="B1157" s="36" t="s">
        <v>7</v>
      </c>
      <c r="C1157" s="36" t="s">
        <v>13</v>
      </c>
      <c r="AX1157" s="36" t="s">
        <v>3677</v>
      </c>
      <c r="AY1157" s="36" t="s">
        <v>3678</v>
      </c>
      <c r="AZ1157" s="36" t="s">
        <v>2069</v>
      </c>
      <c r="BA1157" s="36" t="s">
        <v>377</v>
      </c>
      <c r="BB1157" s="36" t="s">
        <v>310</v>
      </c>
      <c r="BC1157" s="37">
        <v>44261.0</v>
      </c>
      <c r="BD1157" s="37">
        <v>44322.0</v>
      </c>
      <c r="BE1157" s="37">
        <v>44322.0</v>
      </c>
      <c r="BF1157" s="36">
        <v>88.0</v>
      </c>
      <c r="BG1157" s="36" t="s">
        <v>1503</v>
      </c>
      <c r="BH1157" s="38" t="s">
        <v>3698</v>
      </c>
      <c r="FL1157" s="36" t="s">
        <v>3680</v>
      </c>
      <c r="FM1157" s="36" t="s">
        <v>283</v>
      </c>
    </row>
    <row r="1158">
      <c r="A1158" s="50">
        <v>44673.597604560186</v>
      </c>
      <c r="B1158" s="36" t="s">
        <v>7</v>
      </c>
      <c r="C1158" s="36" t="s">
        <v>13</v>
      </c>
      <c r="AX1158" s="36" t="s">
        <v>3484</v>
      </c>
      <c r="AY1158" s="36" t="s">
        <v>3485</v>
      </c>
      <c r="AZ1158" s="36" t="s">
        <v>3699</v>
      </c>
      <c r="BA1158" s="36" t="s">
        <v>377</v>
      </c>
      <c r="BB1158" s="36" t="s">
        <v>310</v>
      </c>
      <c r="BC1158" s="37">
        <v>44621.0</v>
      </c>
      <c r="BD1158" s="37">
        <v>44673.0</v>
      </c>
      <c r="BE1158" s="37">
        <v>44673.0</v>
      </c>
      <c r="BF1158" s="36">
        <v>77.0</v>
      </c>
      <c r="BG1158" s="36" t="s">
        <v>3700</v>
      </c>
      <c r="BH1158" s="38" t="s">
        <v>3701</v>
      </c>
      <c r="FL1158" s="36" t="s">
        <v>3487</v>
      </c>
      <c r="FM1158" s="36" t="s">
        <v>283</v>
      </c>
    </row>
    <row r="1159">
      <c r="A1159" s="50">
        <v>44673.59777796296</v>
      </c>
      <c r="B1159" s="36" t="s">
        <v>7</v>
      </c>
      <c r="C1159" s="36" t="s">
        <v>13</v>
      </c>
      <c r="AX1159" s="36" t="s">
        <v>3682</v>
      </c>
      <c r="AY1159" s="36" t="s">
        <v>3597</v>
      </c>
      <c r="AZ1159" s="36" t="s">
        <v>719</v>
      </c>
      <c r="BA1159" s="36" t="s">
        <v>377</v>
      </c>
      <c r="BB1159" s="36" t="s">
        <v>495</v>
      </c>
      <c r="BC1159" s="37">
        <v>44001.0</v>
      </c>
      <c r="BD1159" s="37">
        <v>44027.0</v>
      </c>
      <c r="BE1159" s="37">
        <v>44027.0</v>
      </c>
      <c r="BF1159" s="51">
        <v>0.87</v>
      </c>
      <c r="BG1159" s="36" t="s">
        <v>3702</v>
      </c>
      <c r="BH1159" s="38" t="s">
        <v>3703</v>
      </c>
      <c r="FL1159" s="36" t="s">
        <v>3704</v>
      </c>
      <c r="FM1159" s="36" t="s">
        <v>283</v>
      </c>
    </row>
    <row r="1160">
      <c r="A1160" s="50">
        <v>44673.59779302083</v>
      </c>
      <c r="B1160" s="36" t="s">
        <v>7</v>
      </c>
      <c r="C1160" s="36" t="s">
        <v>13</v>
      </c>
      <c r="AX1160" s="36" t="s">
        <v>3705</v>
      </c>
      <c r="AY1160" s="36" t="s">
        <v>3523</v>
      </c>
      <c r="AZ1160" s="36" t="s">
        <v>3706</v>
      </c>
      <c r="BA1160" s="36" t="s">
        <v>345</v>
      </c>
      <c r="BB1160" s="36" t="s">
        <v>444</v>
      </c>
      <c r="BC1160" s="37">
        <v>44440.0</v>
      </c>
      <c r="BD1160" s="37">
        <v>44507.0</v>
      </c>
      <c r="BE1160" s="37">
        <v>44506.0</v>
      </c>
      <c r="BF1160" s="52">
        <v>0.913</v>
      </c>
      <c r="BG1160" s="36" t="s">
        <v>3707</v>
      </c>
      <c r="BH1160" s="38" t="s">
        <v>3708</v>
      </c>
      <c r="FL1160" s="36" t="s">
        <v>3525</v>
      </c>
      <c r="FM1160" s="36" t="s">
        <v>283</v>
      </c>
    </row>
    <row r="1161">
      <c r="A1161" s="50">
        <v>44673.59790903935</v>
      </c>
      <c r="B1161" s="36" t="s">
        <v>7</v>
      </c>
      <c r="C1161" s="36" t="s">
        <v>13</v>
      </c>
      <c r="AX1161" s="36" t="s">
        <v>3709</v>
      </c>
      <c r="AY1161" s="36" t="s">
        <v>3503</v>
      </c>
      <c r="AZ1161" s="36" t="s">
        <v>3710</v>
      </c>
      <c r="BA1161" s="36" t="s">
        <v>377</v>
      </c>
      <c r="BB1161" s="36" t="s">
        <v>310</v>
      </c>
      <c r="BC1161" s="37">
        <v>43905.0</v>
      </c>
      <c r="BD1161" s="37">
        <v>43966.0</v>
      </c>
      <c r="BE1161" s="37">
        <v>43966.0</v>
      </c>
      <c r="BF1161" s="36">
        <v>75.0</v>
      </c>
      <c r="BG1161" s="36" t="s">
        <v>3711</v>
      </c>
      <c r="BH1161" s="38" t="s">
        <v>3712</v>
      </c>
      <c r="FL1161" s="36" t="s">
        <v>3505</v>
      </c>
      <c r="FM1161" s="36" t="s">
        <v>414</v>
      </c>
    </row>
    <row r="1162">
      <c r="A1162" s="50">
        <v>44673.598560405095</v>
      </c>
      <c r="B1162" s="36" t="s">
        <v>7</v>
      </c>
      <c r="C1162" s="36" t="s">
        <v>12</v>
      </c>
      <c r="AN1162" s="36" t="s">
        <v>3693</v>
      </c>
      <c r="AO1162" s="36" t="s">
        <v>3694</v>
      </c>
      <c r="AP1162" s="36" t="s">
        <v>2544</v>
      </c>
      <c r="AQ1162" s="36" t="s">
        <v>507</v>
      </c>
      <c r="AR1162" s="37">
        <v>44482.0</v>
      </c>
      <c r="AS1162" s="37">
        <v>44561.0</v>
      </c>
      <c r="AT1162" s="36" t="s">
        <v>257</v>
      </c>
      <c r="AU1162" s="36" t="s">
        <v>257</v>
      </c>
      <c r="AV1162" s="36">
        <v>0.0</v>
      </c>
      <c r="AW1162" s="38" t="s">
        <v>3713</v>
      </c>
      <c r="FL1162" s="36" t="s">
        <v>3697</v>
      </c>
      <c r="FM1162" s="36" t="s">
        <v>283</v>
      </c>
    </row>
    <row r="1163">
      <c r="A1163" s="50">
        <v>44673.59912383102</v>
      </c>
      <c r="B1163" s="36" t="s">
        <v>7</v>
      </c>
      <c r="C1163" s="36" t="s">
        <v>13</v>
      </c>
      <c r="AX1163" s="36" t="s">
        <v>3277</v>
      </c>
      <c r="AY1163" s="36" t="s">
        <v>3269</v>
      </c>
      <c r="AZ1163" s="36" t="s">
        <v>3714</v>
      </c>
      <c r="BA1163" s="36" t="s">
        <v>409</v>
      </c>
      <c r="BB1163" s="36" t="s">
        <v>1846</v>
      </c>
      <c r="BC1163" s="37">
        <v>44258.0</v>
      </c>
      <c r="BD1163" s="37">
        <v>44386.0</v>
      </c>
      <c r="BE1163" s="37">
        <v>44386.0</v>
      </c>
      <c r="BF1163" s="36" t="s">
        <v>3292</v>
      </c>
      <c r="BG1163" s="36" t="s">
        <v>3715</v>
      </c>
      <c r="BH1163" s="38" t="s">
        <v>3716</v>
      </c>
      <c r="FL1163" s="36" t="s">
        <v>3271</v>
      </c>
      <c r="FM1163" s="36" t="s">
        <v>283</v>
      </c>
    </row>
    <row r="1164">
      <c r="A1164" s="50">
        <v>44673.599843923614</v>
      </c>
      <c r="B1164" s="36" t="s">
        <v>7</v>
      </c>
      <c r="C1164" s="36" t="s">
        <v>12</v>
      </c>
      <c r="AN1164" s="36" t="s">
        <v>3717</v>
      </c>
      <c r="AO1164" s="36" t="s">
        <v>3718</v>
      </c>
      <c r="AP1164" s="36" t="s">
        <v>3719</v>
      </c>
      <c r="AQ1164" s="36" t="s">
        <v>1892</v>
      </c>
      <c r="AR1164" s="37">
        <v>44338.0</v>
      </c>
      <c r="AS1164" s="37">
        <v>44367.0</v>
      </c>
      <c r="AT1164" s="36" t="s">
        <v>257</v>
      </c>
      <c r="AU1164" s="36" t="s">
        <v>257</v>
      </c>
      <c r="AV1164" s="53" t="s">
        <v>682</v>
      </c>
      <c r="AW1164" s="38" t="s">
        <v>3720</v>
      </c>
      <c r="FL1164" s="36" t="s">
        <v>3721</v>
      </c>
      <c r="FM1164" s="36" t="s">
        <v>283</v>
      </c>
    </row>
    <row r="1165">
      <c r="A1165" s="50">
        <v>44673.60024320602</v>
      </c>
      <c r="B1165" s="36" t="s">
        <v>7</v>
      </c>
      <c r="C1165" s="36" t="s">
        <v>13</v>
      </c>
      <c r="AX1165" s="36" t="s">
        <v>3709</v>
      </c>
      <c r="AY1165" s="36" t="s">
        <v>3503</v>
      </c>
      <c r="AZ1165" s="36" t="s">
        <v>3722</v>
      </c>
      <c r="BA1165" s="36" t="s">
        <v>377</v>
      </c>
      <c r="BB1165" s="36" t="s">
        <v>1335</v>
      </c>
      <c r="BC1165" s="37">
        <v>44292.0</v>
      </c>
      <c r="BD1165" s="37">
        <v>44322.0</v>
      </c>
      <c r="BE1165" s="37">
        <v>44322.0</v>
      </c>
      <c r="BF1165" s="36">
        <v>83.0</v>
      </c>
      <c r="BG1165" s="36" t="s">
        <v>3723</v>
      </c>
      <c r="BH1165" s="38" t="s">
        <v>3724</v>
      </c>
      <c r="FL1165" s="36" t="s">
        <v>3505</v>
      </c>
      <c r="FM1165" s="36" t="s">
        <v>283</v>
      </c>
    </row>
    <row r="1166">
      <c r="A1166" s="50">
        <v>44673.600486967596</v>
      </c>
      <c r="B1166" s="36" t="s">
        <v>7</v>
      </c>
      <c r="C1166" s="36" t="s">
        <v>13</v>
      </c>
      <c r="AX1166" s="36" t="s">
        <v>3684</v>
      </c>
      <c r="AY1166" s="36" t="s">
        <v>3685</v>
      </c>
      <c r="AZ1166" s="36" t="s">
        <v>3725</v>
      </c>
      <c r="BA1166" s="36" t="s">
        <v>377</v>
      </c>
      <c r="BB1166" s="36" t="s">
        <v>310</v>
      </c>
      <c r="BC1166" s="37">
        <v>43922.0</v>
      </c>
      <c r="BD1166" s="37">
        <v>43983.0</v>
      </c>
      <c r="BE1166" s="37">
        <v>43983.0</v>
      </c>
      <c r="BF1166" s="36">
        <v>75.0</v>
      </c>
      <c r="BG1166" s="36" t="s">
        <v>1201</v>
      </c>
      <c r="BH1166" s="38" t="s">
        <v>3726</v>
      </c>
      <c r="FL1166" s="36" t="s">
        <v>3687</v>
      </c>
      <c r="FM1166" s="36" t="s">
        <v>283</v>
      </c>
    </row>
    <row r="1167">
      <c r="A1167" s="50">
        <v>44673.600633078706</v>
      </c>
      <c r="B1167" s="36" t="s">
        <v>7</v>
      </c>
      <c r="C1167" s="36" t="s">
        <v>13</v>
      </c>
      <c r="AX1167" s="36" t="s">
        <v>3705</v>
      </c>
      <c r="AY1167" s="36" t="s">
        <v>3523</v>
      </c>
      <c r="AZ1167" s="36" t="s">
        <v>1525</v>
      </c>
      <c r="BA1167" s="36" t="s">
        <v>345</v>
      </c>
      <c r="BB1167" s="36" t="s">
        <v>444</v>
      </c>
      <c r="BC1167" s="37">
        <v>44495.0</v>
      </c>
      <c r="BD1167" s="37">
        <v>44587.0</v>
      </c>
      <c r="BE1167" s="37">
        <v>44586.0</v>
      </c>
      <c r="BF1167" s="52">
        <v>0.886</v>
      </c>
      <c r="BG1167" s="36" t="s">
        <v>3727</v>
      </c>
      <c r="BH1167" s="38" t="s">
        <v>3728</v>
      </c>
      <c r="FL1167" s="36" t="s">
        <v>3525</v>
      </c>
      <c r="FM1167" s="36" t="s">
        <v>283</v>
      </c>
    </row>
    <row r="1168">
      <c r="A1168" s="50">
        <v>44673.601018622685</v>
      </c>
      <c r="B1168" s="36" t="s">
        <v>7</v>
      </c>
      <c r="C1168" s="36" t="s">
        <v>13</v>
      </c>
      <c r="AX1168" s="36" t="s">
        <v>3729</v>
      </c>
      <c r="AY1168" s="36" t="s">
        <v>3730</v>
      </c>
      <c r="AZ1168" s="36" t="s">
        <v>347</v>
      </c>
      <c r="BA1168" s="36" t="s">
        <v>900</v>
      </c>
      <c r="BB1168" s="36" t="s">
        <v>310</v>
      </c>
      <c r="BC1168" s="37">
        <v>44260.0</v>
      </c>
      <c r="BD1168" s="37">
        <v>44322.0</v>
      </c>
      <c r="BE1168" s="37">
        <v>44322.0</v>
      </c>
      <c r="BF1168" s="36" t="s">
        <v>523</v>
      </c>
      <c r="BG1168" s="36" t="s">
        <v>559</v>
      </c>
      <c r="BH1168" s="38" t="s">
        <v>3731</v>
      </c>
      <c r="FL1168" s="36" t="s">
        <v>3732</v>
      </c>
      <c r="FM1168" s="36" t="s">
        <v>283</v>
      </c>
    </row>
    <row r="1169">
      <c r="A1169" s="50">
        <v>44673.60126283565</v>
      </c>
      <c r="B1169" s="36" t="s">
        <v>7</v>
      </c>
      <c r="C1169" s="36" t="s">
        <v>13</v>
      </c>
      <c r="AX1169" s="36" t="s">
        <v>3682</v>
      </c>
      <c r="AY1169" s="36" t="s">
        <v>3597</v>
      </c>
      <c r="AZ1169" s="36" t="s">
        <v>687</v>
      </c>
      <c r="BA1169" s="36" t="s">
        <v>377</v>
      </c>
      <c r="BB1169" s="36" t="s">
        <v>495</v>
      </c>
      <c r="BC1169" s="37">
        <v>44295.0</v>
      </c>
      <c r="BD1169" s="37">
        <v>44322.0</v>
      </c>
      <c r="BE1169" s="37">
        <v>44322.0</v>
      </c>
      <c r="BF1169" s="36">
        <v>86.6</v>
      </c>
      <c r="BG1169" s="36" t="s">
        <v>3733</v>
      </c>
      <c r="BH1169" s="38" t="s">
        <v>3734</v>
      </c>
      <c r="FL1169" s="36" t="s">
        <v>3599</v>
      </c>
      <c r="FM1169" s="36" t="s">
        <v>283</v>
      </c>
    </row>
    <row r="1170">
      <c r="A1170" s="50">
        <v>44673.60166390047</v>
      </c>
      <c r="B1170" s="36" t="s">
        <v>7</v>
      </c>
      <c r="C1170" s="36" t="s">
        <v>12</v>
      </c>
      <c r="AN1170" s="36" t="s">
        <v>3717</v>
      </c>
      <c r="AO1170" s="36" t="s">
        <v>3718</v>
      </c>
      <c r="AP1170" s="36" t="s">
        <v>3735</v>
      </c>
      <c r="AQ1170" s="36" t="s">
        <v>510</v>
      </c>
      <c r="AR1170" s="37">
        <v>44481.0</v>
      </c>
      <c r="AS1170" s="37">
        <v>44546.0</v>
      </c>
      <c r="AT1170" s="36" t="s">
        <v>257</v>
      </c>
      <c r="AU1170" s="36" t="s">
        <v>257</v>
      </c>
      <c r="AV1170" s="53" t="s">
        <v>3736</v>
      </c>
      <c r="AW1170" s="38" t="s">
        <v>3737</v>
      </c>
      <c r="FL1170" s="36" t="s">
        <v>3721</v>
      </c>
      <c r="FM1170" s="36" t="s">
        <v>283</v>
      </c>
    </row>
    <row r="1171">
      <c r="A1171" s="50">
        <v>44673.60190386574</v>
      </c>
      <c r="B1171" s="36" t="s">
        <v>7</v>
      </c>
      <c r="C1171" s="36" t="s">
        <v>13</v>
      </c>
      <c r="AX1171" s="36" t="s">
        <v>3688</v>
      </c>
      <c r="AY1171" s="36" t="s">
        <v>3689</v>
      </c>
      <c r="AZ1171" s="36" t="s">
        <v>719</v>
      </c>
      <c r="BA1171" s="36" t="s">
        <v>337</v>
      </c>
      <c r="BB1171" s="36" t="s">
        <v>310</v>
      </c>
      <c r="BC1171" s="37">
        <v>43955.0</v>
      </c>
      <c r="BD1171" s="37">
        <v>44016.0</v>
      </c>
      <c r="BE1171" s="37">
        <v>44016.0</v>
      </c>
      <c r="BF1171" s="51">
        <v>0.8</v>
      </c>
      <c r="BG1171" s="36" t="s">
        <v>559</v>
      </c>
      <c r="BH1171" s="38" t="s">
        <v>3738</v>
      </c>
      <c r="FL1171" s="36" t="s">
        <v>3691</v>
      </c>
      <c r="FM1171" s="36" t="s">
        <v>283</v>
      </c>
    </row>
    <row r="1172">
      <c r="A1172" s="50">
        <v>44673.601959155094</v>
      </c>
      <c r="B1172" s="36" t="s">
        <v>7</v>
      </c>
      <c r="C1172" s="36" t="s">
        <v>13</v>
      </c>
      <c r="AX1172" s="36" t="s">
        <v>3465</v>
      </c>
      <c r="AY1172" s="36" t="s">
        <v>3466</v>
      </c>
      <c r="AZ1172" s="36" t="s">
        <v>3739</v>
      </c>
      <c r="BA1172" s="36" t="s">
        <v>3740</v>
      </c>
      <c r="BB1172" s="36" t="s">
        <v>417</v>
      </c>
      <c r="BC1172" s="37">
        <v>44197.0</v>
      </c>
      <c r="BD1172" s="37">
        <v>44263.0</v>
      </c>
      <c r="BE1172" s="37">
        <v>44263.0</v>
      </c>
      <c r="BF1172" s="51">
        <v>0.9</v>
      </c>
      <c r="BG1172" s="36" t="s">
        <v>445</v>
      </c>
      <c r="BH1172" s="38" t="s">
        <v>3741</v>
      </c>
      <c r="FL1172" s="36" t="s">
        <v>3469</v>
      </c>
      <c r="FM1172" s="36" t="s">
        <v>283</v>
      </c>
    </row>
    <row r="1173">
      <c r="A1173" s="50">
        <v>44673.602142777774</v>
      </c>
      <c r="B1173" s="36" t="s">
        <v>7</v>
      </c>
      <c r="C1173" s="36" t="s">
        <v>13</v>
      </c>
      <c r="AX1173" s="36" t="s">
        <v>3484</v>
      </c>
      <c r="AY1173" s="36" t="s">
        <v>3485</v>
      </c>
      <c r="AZ1173" s="36" t="s">
        <v>981</v>
      </c>
      <c r="BA1173" s="36" t="s">
        <v>377</v>
      </c>
      <c r="BB1173" s="36" t="s">
        <v>310</v>
      </c>
      <c r="BC1173" s="37">
        <v>43922.0</v>
      </c>
      <c r="BD1173" s="37">
        <v>43982.0</v>
      </c>
      <c r="BE1173" s="37">
        <v>43979.0</v>
      </c>
      <c r="BF1173" s="36">
        <v>83.0</v>
      </c>
      <c r="BG1173" s="36" t="s">
        <v>1201</v>
      </c>
      <c r="BH1173" s="38" t="s">
        <v>3742</v>
      </c>
      <c r="FL1173" s="36" t="s">
        <v>3487</v>
      </c>
      <c r="FM1173" s="36" t="s">
        <v>283</v>
      </c>
    </row>
    <row r="1174">
      <c r="A1174" s="50">
        <v>44673.60220541667</v>
      </c>
      <c r="B1174" s="36" t="s">
        <v>7</v>
      </c>
      <c r="C1174" s="36" t="s">
        <v>15</v>
      </c>
      <c r="BW1174" s="36" t="s">
        <v>3743</v>
      </c>
      <c r="BX1174" s="36" t="s">
        <v>3744</v>
      </c>
      <c r="BZ1174" s="36" t="s">
        <v>159</v>
      </c>
      <c r="CA1174" s="36" t="s">
        <v>3745</v>
      </c>
      <c r="CB1174" s="36" t="s">
        <v>3746</v>
      </c>
      <c r="CC1174" s="36" t="s">
        <v>1141</v>
      </c>
      <c r="CD1174" s="37">
        <v>44089.0</v>
      </c>
      <c r="CE1174" s="37">
        <v>44185.0</v>
      </c>
      <c r="CF1174" s="36">
        <v>67.0</v>
      </c>
      <c r="CG1174" s="38" t="s">
        <v>3747</v>
      </c>
      <c r="FL1174" s="36" t="s">
        <v>3748</v>
      </c>
      <c r="FM1174" s="36" t="s">
        <v>283</v>
      </c>
    </row>
    <row r="1175">
      <c r="A1175" s="50">
        <v>44673.60256452546</v>
      </c>
      <c r="B1175" s="36" t="s">
        <v>7</v>
      </c>
      <c r="C1175" s="36" t="s">
        <v>13</v>
      </c>
      <c r="AX1175" s="36" t="s">
        <v>3705</v>
      </c>
      <c r="AY1175" s="36" t="s">
        <v>3523</v>
      </c>
      <c r="AZ1175" s="36" t="s">
        <v>3749</v>
      </c>
      <c r="BA1175" s="36" t="s">
        <v>345</v>
      </c>
      <c r="BB1175" s="36" t="s">
        <v>444</v>
      </c>
      <c r="BC1175" s="37">
        <v>44566.0</v>
      </c>
      <c r="BD1175" s="37">
        <v>44656.0</v>
      </c>
      <c r="BE1175" s="37">
        <v>44655.0</v>
      </c>
      <c r="BF1175" s="51">
        <v>0.88</v>
      </c>
      <c r="BG1175" s="36" t="s">
        <v>3750</v>
      </c>
      <c r="BH1175" s="38" t="s">
        <v>3751</v>
      </c>
      <c r="FL1175" s="36" t="s">
        <v>3525</v>
      </c>
      <c r="FM1175" s="36" t="s">
        <v>283</v>
      </c>
    </row>
    <row r="1176">
      <c r="A1176" s="50">
        <v>44673.60322983796</v>
      </c>
      <c r="B1176" s="36" t="s">
        <v>7</v>
      </c>
      <c r="C1176" s="36" t="s">
        <v>13</v>
      </c>
      <c r="AX1176" s="36" t="s">
        <v>3684</v>
      </c>
      <c r="AY1176" s="36" t="s">
        <v>3685</v>
      </c>
      <c r="AZ1176" s="36" t="s">
        <v>1444</v>
      </c>
      <c r="BA1176" s="36" t="s">
        <v>377</v>
      </c>
      <c r="BB1176" s="36" t="s">
        <v>1335</v>
      </c>
      <c r="BC1176" s="37">
        <v>44201.0</v>
      </c>
      <c r="BD1176" s="37">
        <v>44260.0</v>
      </c>
      <c r="BE1176" s="37">
        <v>44260.0</v>
      </c>
      <c r="BF1176" s="36">
        <v>75.0</v>
      </c>
      <c r="BG1176" s="36" t="s">
        <v>3752</v>
      </c>
      <c r="BH1176" s="38" t="s">
        <v>3753</v>
      </c>
      <c r="FL1176" s="36" t="s">
        <v>3687</v>
      </c>
      <c r="FM1176" s="36" t="s">
        <v>283</v>
      </c>
    </row>
    <row r="1177">
      <c r="A1177" s="50">
        <v>44673.60368829861</v>
      </c>
      <c r="B1177" s="36" t="s">
        <v>7</v>
      </c>
      <c r="C1177" s="36" t="s">
        <v>12</v>
      </c>
      <c r="AN1177" s="36" t="s">
        <v>3754</v>
      </c>
      <c r="AO1177" s="36" t="s">
        <v>3755</v>
      </c>
      <c r="AP1177" s="36" t="s">
        <v>309</v>
      </c>
      <c r="AQ1177" s="36" t="s">
        <v>507</v>
      </c>
      <c r="AR1177" s="37">
        <v>44470.0</v>
      </c>
      <c r="AS1177" s="37">
        <v>44550.0</v>
      </c>
      <c r="AT1177" s="36" t="s">
        <v>257</v>
      </c>
      <c r="AU1177" s="36" t="s">
        <v>257</v>
      </c>
      <c r="AV1177" s="36">
        <v>0.0</v>
      </c>
      <c r="AW1177" s="38" t="s">
        <v>3756</v>
      </c>
      <c r="FL1177" s="36" t="s">
        <v>3757</v>
      </c>
      <c r="FM1177" s="36" t="s">
        <v>283</v>
      </c>
    </row>
    <row r="1178">
      <c r="A1178" s="50">
        <v>44673.603926006945</v>
      </c>
      <c r="B1178" s="36" t="s">
        <v>7</v>
      </c>
      <c r="C1178" s="36" t="s">
        <v>12</v>
      </c>
      <c r="AN1178" s="36" t="s">
        <v>3758</v>
      </c>
      <c r="AO1178" s="36" t="s">
        <v>3471</v>
      </c>
      <c r="AP1178" s="36" t="s">
        <v>3759</v>
      </c>
      <c r="AQ1178" s="36" t="s">
        <v>450</v>
      </c>
      <c r="AR1178" s="37">
        <v>44478.0</v>
      </c>
      <c r="AS1178" s="37">
        <v>44560.0</v>
      </c>
      <c r="AT1178" s="36" t="s">
        <v>257</v>
      </c>
      <c r="AU1178" s="36" t="s">
        <v>257</v>
      </c>
      <c r="AV1178" s="36">
        <v>0.0</v>
      </c>
      <c r="AW1178" s="38" t="s">
        <v>3760</v>
      </c>
      <c r="FL1178" s="36" t="s">
        <v>3474</v>
      </c>
      <c r="FM1178" s="36" t="s">
        <v>283</v>
      </c>
    </row>
    <row r="1179">
      <c r="A1179" s="50">
        <v>44673.60421689815</v>
      </c>
      <c r="B1179" s="36" t="s">
        <v>7</v>
      </c>
      <c r="C1179" s="36" t="s">
        <v>13</v>
      </c>
      <c r="AX1179" s="36" t="s">
        <v>3465</v>
      </c>
      <c r="AY1179" s="36" t="s">
        <v>3466</v>
      </c>
      <c r="AZ1179" s="36" t="s">
        <v>3761</v>
      </c>
      <c r="BA1179" s="36" t="s">
        <v>3740</v>
      </c>
      <c r="BB1179" s="36" t="s">
        <v>450</v>
      </c>
      <c r="BC1179" s="37">
        <v>44287.0</v>
      </c>
      <c r="BD1179" s="37">
        <v>44381.0</v>
      </c>
      <c r="BE1179" s="37">
        <v>44381.0</v>
      </c>
      <c r="BF1179" s="51">
        <v>0.9</v>
      </c>
      <c r="BG1179" s="36" t="s">
        <v>445</v>
      </c>
      <c r="BH1179" s="38" t="s">
        <v>3762</v>
      </c>
      <c r="FL1179" s="36" t="s">
        <v>3469</v>
      </c>
      <c r="FM1179" s="36" t="s">
        <v>283</v>
      </c>
    </row>
    <row r="1180">
      <c r="A1180" s="50">
        <v>44673.6045724537</v>
      </c>
      <c r="B1180" s="36" t="s">
        <v>7</v>
      </c>
      <c r="C1180" s="36" t="s">
        <v>13</v>
      </c>
      <c r="AX1180" s="36" t="s">
        <v>3688</v>
      </c>
      <c r="AY1180" s="36" t="s">
        <v>3689</v>
      </c>
      <c r="AZ1180" s="36" t="s">
        <v>687</v>
      </c>
      <c r="BA1180" s="36" t="s">
        <v>337</v>
      </c>
      <c r="BB1180" s="36" t="s">
        <v>310</v>
      </c>
      <c r="BC1180" s="37">
        <v>44204.0</v>
      </c>
      <c r="BD1180" s="37">
        <v>44263.0</v>
      </c>
      <c r="BE1180" s="37">
        <v>44263.0</v>
      </c>
      <c r="BF1180" s="51">
        <v>0.8</v>
      </c>
      <c r="BG1180" s="36" t="s">
        <v>559</v>
      </c>
      <c r="BH1180" s="38" t="s">
        <v>3763</v>
      </c>
      <c r="FL1180" s="36" t="s">
        <v>3691</v>
      </c>
      <c r="FM1180" s="36" t="s">
        <v>283</v>
      </c>
    </row>
    <row r="1181">
      <c r="A1181" s="50">
        <v>44673.604692430556</v>
      </c>
      <c r="B1181" s="36" t="s">
        <v>7</v>
      </c>
      <c r="C1181" s="36" t="s">
        <v>12</v>
      </c>
      <c r="AN1181" s="36" t="s">
        <v>3325</v>
      </c>
      <c r="AO1181" s="36" t="s">
        <v>3326</v>
      </c>
      <c r="AP1181" s="36" t="s">
        <v>3764</v>
      </c>
      <c r="AQ1181" s="36" t="s">
        <v>450</v>
      </c>
      <c r="AR1181" s="37">
        <v>44482.0</v>
      </c>
      <c r="AS1181" s="37">
        <v>44551.0</v>
      </c>
      <c r="AT1181" s="36" t="s">
        <v>257</v>
      </c>
      <c r="AU1181" s="36" t="s">
        <v>257</v>
      </c>
      <c r="AV1181" s="36">
        <v>0.0</v>
      </c>
      <c r="AW1181" s="38" t="s">
        <v>3765</v>
      </c>
      <c r="FL1181" s="36" t="s">
        <v>3328</v>
      </c>
      <c r="FM1181" s="36" t="s">
        <v>283</v>
      </c>
    </row>
    <row r="1182">
      <c r="A1182" s="50">
        <v>44673.60473086806</v>
      </c>
      <c r="B1182" s="36" t="s">
        <v>7</v>
      </c>
      <c r="C1182" s="36" t="s">
        <v>14</v>
      </c>
      <c r="BI1182" s="36" t="s">
        <v>3239</v>
      </c>
      <c r="BJ1182" s="36" t="s">
        <v>3240</v>
      </c>
      <c r="BK1182" s="36" t="s">
        <v>159</v>
      </c>
      <c r="BL1182" s="36" t="s">
        <v>172</v>
      </c>
      <c r="BM1182" s="36" t="s">
        <v>3766</v>
      </c>
      <c r="BN1182" s="36">
        <v>1.0</v>
      </c>
      <c r="BO1182" s="37">
        <v>43981.0</v>
      </c>
      <c r="BP1182" s="37">
        <v>43981.0</v>
      </c>
      <c r="BQ1182" s="36" t="s">
        <v>3767</v>
      </c>
      <c r="BR1182" s="36" t="s">
        <v>3768</v>
      </c>
      <c r="BS1182" s="36" t="s">
        <v>276</v>
      </c>
      <c r="BT1182" s="36" t="s">
        <v>156</v>
      </c>
      <c r="BV1182" s="38" t="s">
        <v>3769</v>
      </c>
      <c r="FL1182" s="36" t="s">
        <v>3242</v>
      </c>
      <c r="FM1182" s="36" t="s">
        <v>555</v>
      </c>
    </row>
    <row r="1183">
      <c r="A1183" s="50">
        <v>44673.604734444445</v>
      </c>
      <c r="B1183" s="36" t="s">
        <v>7</v>
      </c>
      <c r="C1183" s="36" t="s">
        <v>13</v>
      </c>
      <c r="AX1183" s="36" t="s">
        <v>2151</v>
      </c>
      <c r="AY1183" s="36" t="s">
        <v>2152</v>
      </c>
      <c r="AZ1183" s="36" t="s">
        <v>687</v>
      </c>
      <c r="BA1183" s="36" t="s">
        <v>377</v>
      </c>
      <c r="BB1183" s="36" t="s">
        <v>1846</v>
      </c>
      <c r="BC1183" s="37">
        <v>44200.0</v>
      </c>
      <c r="BD1183" s="37">
        <v>44297.0</v>
      </c>
      <c r="BE1183" s="37">
        <v>44297.0</v>
      </c>
      <c r="BF1183" s="36" t="s">
        <v>1245</v>
      </c>
      <c r="BG1183" s="36" t="s">
        <v>3770</v>
      </c>
      <c r="BH1183" s="38" t="s">
        <v>3771</v>
      </c>
      <c r="FL1183" s="36" t="s">
        <v>2154</v>
      </c>
      <c r="FM1183" s="36" t="s">
        <v>283</v>
      </c>
    </row>
    <row r="1184">
      <c r="A1184" s="50">
        <v>44673.6049518287</v>
      </c>
      <c r="B1184" s="36" t="s">
        <v>7</v>
      </c>
      <c r="C1184" s="36" t="s">
        <v>13</v>
      </c>
      <c r="AX1184" s="36" t="s">
        <v>3682</v>
      </c>
      <c r="AY1184" s="36" t="s">
        <v>3597</v>
      </c>
      <c r="AZ1184" s="36" t="s">
        <v>3772</v>
      </c>
      <c r="BA1184" s="36" t="s">
        <v>377</v>
      </c>
      <c r="BB1184" s="36" t="s">
        <v>495</v>
      </c>
      <c r="BC1184" s="37">
        <v>44632.0</v>
      </c>
      <c r="BD1184" s="37">
        <v>44653.0</v>
      </c>
      <c r="BE1184" s="37">
        <v>44653.0</v>
      </c>
      <c r="BF1184" s="36">
        <v>88.0</v>
      </c>
      <c r="BG1184" s="36" t="s">
        <v>3773</v>
      </c>
      <c r="BH1184" s="38" t="s">
        <v>3774</v>
      </c>
      <c r="FL1184" s="36" t="s">
        <v>3704</v>
      </c>
      <c r="FM1184" s="36" t="s">
        <v>283</v>
      </c>
    </row>
    <row r="1185">
      <c r="A1185" s="50">
        <v>44673.604992430555</v>
      </c>
      <c r="B1185" s="36" t="s">
        <v>7</v>
      </c>
      <c r="C1185" s="36" t="s">
        <v>13</v>
      </c>
      <c r="AX1185" s="36" t="s">
        <v>3705</v>
      </c>
      <c r="AY1185" s="36" t="s">
        <v>3523</v>
      </c>
      <c r="AZ1185" s="36" t="s">
        <v>981</v>
      </c>
      <c r="BA1185" s="36" t="s">
        <v>377</v>
      </c>
      <c r="BB1185" s="36" t="s">
        <v>444</v>
      </c>
      <c r="BC1185" s="37">
        <v>43872.0</v>
      </c>
      <c r="BD1185" s="37">
        <v>43962.0</v>
      </c>
      <c r="BE1185" s="37">
        <v>43961.0</v>
      </c>
      <c r="BF1185" s="51">
        <v>0.92</v>
      </c>
      <c r="BG1185" s="36" t="s">
        <v>1916</v>
      </c>
      <c r="BH1185" s="38" t="s">
        <v>3775</v>
      </c>
      <c r="FL1185" s="36" t="s">
        <v>3525</v>
      </c>
      <c r="FM1185" s="36" t="s">
        <v>283</v>
      </c>
    </row>
    <row r="1186">
      <c r="A1186" s="50">
        <v>44673.60576417824</v>
      </c>
      <c r="B1186" s="36" t="s">
        <v>7</v>
      </c>
      <c r="C1186" s="36" t="s">
        <v>13</v>
      </c>
      <c r="AX1186" s="36" t="s">
        <v>3717</v>
      </c>
      <c r="AY1186" s="36" t="s">
        <v>3718</v>
      </c>
      <c r="AZ1186" s="36" t="s">
        <v>3776</v>
      </c>
      <c r="BA1186" s="36" t="s">
        <v>3023</v>
      </c>
      <c r="BB1186" s="36" t="s">
        <v>510</v>
      </c>
      <c r="BC1186" s="37">
        <v>44587.0</v>
      </c>
      <c r="BD1186" s="37">
        <v>44646.0</v>
      </c>
      <c r="BE1186" s="37">
        <v>44645.0</v>
      </c>
      <c r="BF1186" s="36">
        <v>85.0</v>
      </c>
      <c r="BG1186" s="36" t="s">
        <v>1503</v>
      </c>
      <c r="BH1186" s="38" t="s">
        <v>3777</v>
      </c>
      <c r="FL1186" s="36" t="s">
        <v>3721</v>
      </c>
      <c r="FM1186" s="36" t="s">
        <v>283</v>
      </c>
    </row>
    <row r="1187">
      <c r="A1187" s="50">
        <v>44673.60609840278</v>
      </c>
      <c r="B1187" s="36" t="s">
        <v>7</v>
      </c>
      <c r="C1187" s="36" t="s">
        <v>13</v>
      </c>
      <c r="AX1187" s="36" t="s">
        <v>3778</v>
      </c>
      <c r="AY1187" s="36" t="s">
        <v>2834</v>
      </c>
      <c r="AZ1187" s="36" t="s">
        <v>347</v>
      </c>
      <c r="BA1187" s="36" t="s">
        <v>337</v>
      </c>
      <c r="BB1187" s="36" t="s">
        <v>450</v>
      </c>
      <c r="BC1187" s="37">
        <v>44231.0</v>
      </c>
      <c r="BD1187" s="37">
        <v>44322.0</v>
      </c>
      <c r="BE1187" s="37">
        <v>44322.0</v>
      </c>
      <c r="BF1187" s="36">
        <v>92.0</v>
      </c>
      <c r="BG1187" s="36" t="s">
        <v>768</v>
      </c>
      <c r="BH1187" s="38" t="s">
        <v>3779</v>
      </c>
      <c r="FL1187" s="36" t="s">
        <v>2836</v>
      </c>
      <c r="FM1187" s="36" t="s">
        <v>283</v>
      </c>
    </row>
    <row r="1188">
      <c r="A1188" s="50">
        <v>44673.60621427083</v>
      </c>
      <c r="B1188" s="36" t="s">
        <v>7</v>
      </c>
      <c r="C1188" s="36" t="s">
        <v>13</v>
      </c>
      <c r="AX1188" s="36" t="s">
        <v>3780</v>
      </c>
      <c r="AY1188" s="36" t="s">
        <v>3781</v>
      </c>
      <c r="AZ1188" s="36" t="s">
        <v>1183</v>
      </c>
      <c r="BA1188" s="36" t="s">
        <v>377</v>
      </c>
      <c r="BB1188" s="36" t="s">
        <v>2335</v>
      </c>
      <c r="BC1188" s="37">
        <v>43888.0</v>
      </c>
      <c r="BD1188" s="37">
        <v>44043.0</v>
      </c>
      <c r="BE1188" s="37">
        <v>44043.0</v>
      </c>
      <c r="BF1188" s="36">
        <v>85.0</v>
      </c>
      <c r="BG1188" s="36" t="s">
        <v>1503</v>
      </c>
      <c r="BH1188" s="38" t="s">
        <v>3782</v>
      </c>
      <c r="FL1188" s="36" t="s">
        <v>3783</v>
      </c>
      <c r="FM1188" s="36" t="s">
        <v>283</v>
      </c>
    </row>
    <row r="1189">
      <c r="A1189" s="50">
        <v>44673.60671607639</v>
      </c>
      <c r="B1189" s="36" t="s">
        <v>7</v>
      </c>
      <c r="C1189" s="36" t="s">
        <v>13</v>
      </c>
      <c r="AX1189" s="36" t="s">
        <v>3465</v>
      </c>
      <c r="AY1189" s="36" t="s">
        <v>3466</v>
      </c>
      <c r="AZ1189" s="36" t="s">
        <v>3784</v>
      </c>
      <c r="BA1189" s="36" t="s">
        <v>3740</v>
      </c>
      <c r="BB1189" s="36" t="s">
        <v>450</v>
      </c>
      <c r="BC1189" s="37">
        <v>44075.0</v>
      </c>
      <c r="BD1189" s="37">
        <v>44136.0</v>
      </c>
      <c r="BE1189" s="37">
        <v>44136.0</v>
      </c>
      <c r="BF1189" s="51">
        <v>0.91</v>
      </c>
      <c r="BG1189" s="36" t="s">
        <v>857</v>
      </c>
      <c r="BH1189" s="38" t="s">
        <v>3785</v>
      </c>
      <c r="FL1189" s="36" t="s">
        <v>3469</v>
      </c>
      <c r="FM1189" s="36" t="s">
        <v>283</v>
      </c>
    </row>
    <row r="1190">
      <c r="A1190" s="50">
        <v>44673.60697797454</v>
      </c>
      <c r="B1190" s="36" t="s">
        <v>7</v>
      </c>
      <c r="C1190" s="36" t="s">
        <v>13</v>
      </c>
      <c r="AX1190" s="36" t="s">
        <v>3786</v>
      </c>
      <c r="AY1190" s="36" t="s">
        <v>3787</v>
      </c>
      <c r="AZ1190" s="36" t="s">
        <v>856</v>
      </c>
      <c r="BA1190" s="36" t="s">
        <v>900</v>
      </c>
      <c r="BB1190" s="36" t="s">
        <v>310</v>
      </c>
      <c r="BC1190" s="37">
        <v>43973.0</v>
      </c>
      <c r="BD1190" s="37">
        <v>44023.0</v>
      </c>
      <c r="BE1190" s="37">
        <v>44023.0</v>
      </c>
      <c r="BF1190" s="51">
        <v>0.95</v>
      </c>
      <c r="BG1190" s="36" t="s">
        <v>3788</v>
      </c>
      <c r="BH1190" s="38" t="s">
        <v>3789</v>
      </c>
      <c r="FL1190" s="36" t="s">
        <v>3790</v>
      </c>
      <c r="FM1190" s="36" t="s">
        <v>283</v>
      </c>
    </row>
    <row r="1191">
      <c r="A1191" s="50">
        <v>44673.60707539352</v>
      </c>
      <c r="B1191" s="36" t="s">
        <v>7</v>
      </c>
      <c r="C1191" s="36" t="s">
        <v>13</v>
      </c>
      <c r="AX1191" s="36" t="s">
        <v>3705</v>
      </c>
      <c r="AY1191" s="36" t="s">
        <v>3523</v>
      </c>
      <c r="AZ1191" s="36" t="s">
        <v>3791</v>
      </c>
      <c r="BA1191" s="36" t="s">
        <v>377</v>
      </c>
      <c r="BB1191" s="36" t="s">
        <v>444</v>
      </c>
      <c r="BC1191" s="37">
        <v>44560.0</v>
      </c>
      <c r="BD1191" s="37">
        <v>44650.0</v>
      </c>
      <c r="BE1191" s="37">
        <v>44649.0</v>
      </c>
      <c r="BF1191" s="51">
        <v>0.89</v>
      </c>
      <c r="BG1191" s="36" t="s">
        <v>339</v>
      </c>
      <c r="BH1191" s="38" t="s">
        <v>3792</v>
      </c>
      <c r="FL1191" s="36" t="s">
        <v>3525</v>
      </c>
      <c r="FM1191" s="36" t="s">
        <v>283</v>
      </c>
    </row>
    <row r="1192">
      <c r="A1192" s="50">
        <v>44673.60778607639</v>
      </c>
      <c r="B1192" s="36" t="s">
        <v>7</v>
      </c>
      <c r="C1192" s="36" t="s">
        <v>13</v>
      </c>
      <c r="AX1192" s="36" t="s">
        <v>3729</v>
      </c>
      <c r="AY1192" s="36" t="s">
        <v>3730</v>
      </c>
      <c r="AZ1192" s="36" t="s">
        <v>856</v>
      </c>
      <c r="BA1192" s="36" t="s">
        <v>900</v>
      </c>
      <c r="BB1192" s="36" t="s">
        <v>510</v>
      </c>
      <c r="BC1192" s="37">
        <v>44075.0</v>
      </c>
      <c r="BD1192" s="37">
        <v>44136.0</v>
      </c>
      <c r="BE1192" s="37">
        <v>44136.0</v>
      </c>
      <c r="BF1192" s="36">
        <v>85.0</v>
      </c>
      <c r="BG1192" s="36" t="s">
        <v>857</v>
      </c>
      <c r="BH1192" s="38" t="s">
        <v>3793</v>
      </c>
      <c r="FL1192" s="36" t="s">
        <v>3732</v>
      </c>
      <c r="FM1192" s="36" t="s">
        <v>283</v>
      </c>
    </row>
    <row r="1193">
      <c r="A1193" s="50">
        <v>44673.608411458335</v>
      </c>
      <c r="B1193" s="36" t="s">
        <v>7</v>
      </c>
      <c r="C1193" s="36" t="s">
        <v>13</v>
      </c>
      <c r="AX1193" s="36" t="s">
        <v>2833</v>
      </c>
      <c r="AY1193" s="36" t="s">
        <v>2834</v>
      </c>
      <c r="AZ1193" s="36" t="s">
        <v>3699</v>
      </c>
      <c r="BA1193" s="36" t="s">
        <v>337</v>
      </c>
      <c r="BB1193" s="36" t="s">
        <v>450</v>
      </c>
      <c r="BC1193" s="37">
        <v>44574.0</v>
      </c>
      <c r="BD1193" s="37">
        <v>44668.0</v>
      </c>
      <c r="BE1193" s="37">
        <v>44668.0</v>
      </c>
      <c r="BF1193" s="36">
        <v>95.0</v>
      </c>
      <c r="BG1193" s="36" t="s">
        <v>3794</v>
      </c>
      <c r="BH1193" s="38" t="s">
        <v>3795</v>
      </c>
      <c r="FL1193" s="36" t="s">
        <v>2836</v>
      </c>
      <c r="FM1193" s="36" t="s">
        <v>283</v>
      </c>
    </row>
    <row r="1194">
      <c r="A1194" s="50">
        <v>44673.608492071755</v>
      </c>
      <c r="B1194" s="36" t="s">
        <v>7</v>
      </c>
      <c r="C1194" s="36" t="s">
        <v>13</v>
      </c>
      <c r="AX1194" s="36" t="s">
        <v>3465</v>
      </c>
      <c r="AY1194" s="36" t="s">
        <v>3466</v>
      </c>
      <c r="AZ1194" s="36" t="s">
        <v>3796</v>
      </c>
      <c r="BA1194" s="36" t="s">
        <v>3740</v>
      </c>
      <c r="BB1194" s="36" t="s">
        <v>450</v>
      </c>
      <c r="BC1194" s="37">
        <v>43922.0</v>
      </c>
      <c r="BD1194" s="37">
        <v>44016.0</v>
      </c>
      <c r="BE1194" s="37">
        <v>44016.0</v>
      </c>
      <c r="BF1194" s="51">
        <v>0.9</v>
      </c>
      <c r="BG1194" s="36" t="s">
        <v>445</v>
      </c>
      <c r="BH1194" s="38" t="s">
        <v>3797</v>
      </c>
      <c r="FL1194" s="36" t="s">
        <v>3798</v>
      </c>
      <c r="FM1194" s="36" t="s">
        <v>283</v>
      </c>
    </row>
    <row r="1195">
      <c r="A1195" s="50">
        <v>44673.60877445602</v>
      </c>
      <c r="B1195" s="36" t="s">
        <v>7</v>
      </c>
      <c r="C1195" s="36" t="s">
        <v>13</v>
      </c>
      <c r="AX1195" s="36" t="s">
        <v>3717</v>
      </c>
      <c r="AY1195" s="36" t="s">
        <v>3718</v>
      </c>
      <c r="AZ1195" s="36" t="s">
        <v>3799</v>
      </c>
      <c r="BA1195" s="36" t="s">
        <v>3023</v>
      </c>
      <c r="BB1195" s="36" t="s">
        <v>510</v>
      </c>
      <c r="BC1195" s="37">
        <v>43966.0</v>
      </c>
      <c r="BD1195" s="37">
        <v>43906.0</v>
      </c>
      <c r="BE1195" s="37">
        <v>43965.0</v>
      </c>
      <c r="BF1195" s="36">
        <v>85.0</v>
      </c>
      <c r="BG1195" s="36" t="s">
        <v>1503</v>
      </c>
      <c r="BH1195" s="38" t="s">
        <v>3800</v>
      </c>
      <c r="FL1195" s="36" t="s">
        <v>3721</v>
      </c>
      <c r="FM1195" s="36" t="s">
        <v>283</v>
      </c>
    </row>
    <row r="1196">
      <c r="A1196" s="50">
        <v>44673.6087871412</v>
      </c>
      <c r="B1196" s="36" t="s">
        <v>7</v>
      </c>
      <c r="C1196" s="36" t="s">
        <v>13</v>
      </c>
      <c r="AX1196" s="36" t="s">
        <v>3801</v>
      </c>
      <c r="AY1196" s="36" t="s">
        <v>3802</v>
      </c>
      <c r="AZ1196" s="36" t="s">
        <v>3803</v>
      </c>
      <c r="BA1196" s="36" t="s">
        <v>377</v>
      </c>
      <c r="BB1196" s="36" t="s">
        <v>348</v>
      </c>
      <c r="BC1196" s="37">
        <v>44204.0</v>
      </c>
      <c r="BD1196" s="37">
        <v>44263.0</v>
      </c>
      <c r="BE1196" s="37">
        <v>44263.0</v>
      </c>
      <c r="BF1196" s="36">
        <v>80.0</v>
      </c>
      <c r="BG1196" s="36" t="s">
        <v>3804</v>
      </c>
      <c r="BH1196" s="38" t="s">
        <v>3805</v>
      </c>
      <c r="FL1196" s="36" t="s">
        <v>3806</v>
      </c>
      <c r="FM1196" s="36" t="s">
        <v>283</v>
      </c>
    </row>
    <row r="1197">
      <c r="A1197" s="50">
        <v>44673.60922666667</v>
      </c>
      <c r="B1197" s="36" t="s">
        <v>7</v>
      </c>
      <c r="C1197" s="36" t="s">
        <v>13</v>
      </c>
      <c r="AX1197" s="36" t="s">
        <v>3705</v>
      </c>
      <c r="AY1197" s="36" t="s">
        <v>3523</v>
      </c>
      <c r="AZ1197" s="36" t="s">
        <v>347</v>
      </c>
      <c r="BA1197" s="36" t="s">
        <v>377</v>
      </c>
      <c r="BB1197" s="36" t="s">
        <v>320</v>
      </c>
      <c r="BC1197" s="37">
        <v>44206.0</v>
      </c>
      <c r="BD1197" s="37">
        <v>44265.0</v>
      </c>
      <c r="BE1197" s="37">
        <v>44264.0</v>
      </c>
      <c r="BF1197" s="51">
        <v>0.93</v>
      </c>
      <c r="BG1197" s="36" t="s">
        <v>1916</v>
      </c>
      <c r="BH1197" s="38" t="s">
        <v>3807</v>
      </c>
      <c r="FL1197" s="36" t="s">
        <v>3525</v>
      </c>
      <c r="FM1197" s="36" t="s">
        <v>283</v>
      </c>
    </row>
    <row r="1198">
      <c r="A1198" s="50">
        <v>44673.609469421295</v>
      </c>
      <c r="B1198" s="36" t="s">
        <v>7</v>
      </c>
      <c r="C1198" s="36" t="s">
        <v>15</v>
      </c>
      <c r="BW1198" s="36" t="s">
        <v>3743</v>
      </c>
      <c r="BX1198" s="36" t="s">
        <v>3744</v>
      </c>
      <c r="BZ1198" s="36" t="s">
        <v>171</v>
      </c>
      <c r="CA1198" s="36" t="s">
        <v>3808</v>
      </c>
      <c r="CB1198" s="36" t="s">
        <v>3809</v>
      </c>
      <c r="CC1198" s="36" t="s">
        <v>3810</v>
      </c>
      <c r="CD1198" s="37">
        <v>44392.0</v>
      </c>
      <c r="CE1198" s="37">
        <v>44457.0</v>
      </c>
      <c r="CF1198" s="36">
        <v>73.0</v>
      </c>
      <c r="CG1198" s="38" t="s">
        <v>3811</v>
      </c>
      <c r="FL1198" s="36" t="s">
        <v>3748</v>
      </c>
      <c r="FM1198" s="36" t="s">
        <v>283</v>
      </c>
    </row>
    <row r="1199">
      <c r="A1199" s="50">
        <v>44673.609604363424</v>
      </c>
      <c r="B1199" s="36" t="s">
        <v>7</v>
      </c>
      <c r="C1199" s="36" t="s">
        <v>12</v>
      </c>
      <c r="AN1199" s="36" t="s">
        <v>3812</v>
      </c>
      <c r="AO1199" s="36" t="s">
        <v>3813</v>
      </c>
      <c r="AP1199" s="36" t="s">
        <v>309</v>
      </c>
      <c r="AQ1199" s="36" t="s">
        <v>1786</v>
      </c>
      <c r="AR1199" s="37">
        <v>44482.0</v>
      </c>
      <c r="AS1199" s="37">
        <v>44542.0</v>
      </c>
      <c r="AT1199" s="36" t="s">
        <v>257</v>
      </c>
      <c r="AU1199" s="36" t="s">
        <v>257</v>
      </c>
      <c r="AV1199" s="36">
        <v>0.0</v>
      </c>
      <c r="AW1199" s="38" t="s">
        <v>3814</v>
      </c>
      <c r="FL1199" s="36" t="s">
        <v>3815</v>
      </c>
      <c r="FM1199" s="36" t="s">
        <v>283</v>
      </c>
    </row>
    <row r="1200">
      <c r="A1200" s="50">
        <v>44673.60966084491</v>
      </c>
      <c r="B1200" s="36" t="s">
        <v>7</v>
      </c>
      <c r="C1200" s="36" t="s">
        <v>13</v>
      </c>
      <c r="AX1200" s="36" t="s">
        <v>3484</v>
      </c>
      <c r="AY1200" s="36" t="s">
        <v>3485</v>
      </c>
      <c r="AZ1200" s="36" t="s">
        <v>347</v>
      </c>
      <c r="BA1200" s="36" t="s">
        <v>1434</v>
      </c>
      <c r="BB1200" s="36" t="s">
        <v>310</v>
      </c>
      <c r="BC1200" s="37">
        <v>44197.0</v>
      </c>
      <c r="BD1200" s="37">
        <v>44255.0</v>
      </c>
      <c r="BE1200" s="37">
        <v>44258.0</v>
      </c>
      <c r="BF1200" s="36">
        <v>85.0</v>
      </c>
      <c r="BG1200" s="36" t="s">
        <v>1201</v>
      </c>
      <c r="BH1200" s="38" t="s">
        <v>3816</v>
      </c>
      <c r="FL1200" s="36" t="s">
        <v>3487</v>
      </c>
      <c r="FM1200" s="36" t="s">
        <v>283</v>
      </c>
    </row>
    <row r="1201">
      <c r="A1201" s="50">
        <v>44673.60980547454</v>
      </c>
      <c r="B1201" s="36" t="s">
        <v>7</v>
      </c>
      <c r="C1201" s="36" t="s">
        <v>12</v>
      </c>
      <c r="AN1201" s="36" t="s">
        <v>3465</v>
      </c>
      <c r="AO1201" s="36" t="s">
        <v>3466</v>
      </c>
      <c r="AP1201" s="36" t="s">
        <v>3817</v>
      </c>
      <c r="AQ1201" s="36" t="s">
        <v>3818</v>
      </c>
      <c r="AR1201" s="37">
        <v>44470.0</v>
      </c>
      <c r="AS1201" s="37">
        <v>44539.0</v>
      </c>
      <c r="AT1201" s="36" t="s">
        <v>257</v>
      </c>
      <c r="AU1201" s="36" t="s">
        <v>257</v>
      </c>
      <c r="AV1201" s="36">
        <v>0.0</v>
      </c>
      <c r="AW1201" s="38" t="s">
        <v>3819</v>
      </c>
      <c r="FL1201" s="36" t="s">
        <v>3469</v>
      </c>
      <c r="FM1201" s="36" t="s">
        <v>283</v>
      </c>
    </row>
    <row r="1202">
      <c r="A1202" s="50">
        <v>44673.60994540509</v>
      </c>
      <c r="B1202" s="36" t="s">
        <v>7</v>
      </c>
      <c r="C1202" s="36" t="s">
        <v>13</v>
      </c>
      <c r="AX1202" s="36" t="s">
        <v>3754</v>
      </c>
      <c r="AY1202" s="36" t="s">
        <v>3755</v>
      </c>
      <c r="AZ1202" s="36" t="s">
        <v>3820</v>
      </c>
      <c r="BA1202" s="36" t="s">
        <v>337</v>
      </c>
      <c r="BB1202" s="36" t="s">
        <v>310</v>
      </c>
      <c r="BC1202" s="37">
        <v>44075.0</v>
      </c>
      <c r="BD1202" s="37">
        <v>44136.0</v>
      </c>
      <c r="BE1202" s="37">
        <v>44136.0</v>
      </c>
      <c r="BF1202" s="51">
        <v>0.8</v>
      </c>
      <c r="BG1202" s="36" t="s">
        <v>3821</v>
      </c>
      <c r="BH1202" s="38" t="s">
        <v>3822</v>
      </c>
      <c r="FL1202" s="36" t="s">
        <v>3757</v>
      </c>
      <c r="FM1202" s="36" t="s">
        <v>283</v>
      </c>
    </row>
    <row r="1203">
      <c r="A1203" s="50">
        <v>44673.61010871528</v>
      </c>
      <c r="B1203" s="36" t="s">
        <v>7</v>
      </c>
      <c r="C1203" s="36" t="s">
        <v>12</v>
      </c>
      <c r="AN1203" s="36" t="s">
        <v>3786</v>
      </c>
      <c r="AO1203" s="36" t="s">
        <v>3787</v>
      </c>
      <c r="AP1203" s="36" t="s">
        <v>3823</v>
      </c>
      <c r="AQ1203" s="36">
        <v>2.0</v>
      </c>
      <c r="AR1203" s="37">
        <v>44491.0</v>
      </c>
      <c r="AS1203" s="37">
        <v>44560.0</v>
      </c>
      <c r="AT1203" s="36" t="s">
        <v>257</v>
      </c>
      <c r="AU1203" s="36" t="s">
        <v>257</v>
      </c>
      <c r="AV1203" s="36">
        <v>0.0</v>
      </c>
      <c r="AW1203" s="38" t="s">
        <v>3824</v>
      </c>
      <c r="FL1203" s="36" t="s">
        <v>3790</v>
      </c>
      <c r="FM1203" s="36" t="s">
        <v>283</v>
      </c>
    </row>
    <row r="1204">
      <c r="A1204" s="50">
        <v>44673.61020083333</v>
      </c>
      <c r="B1204" s="36" t="s">
        <v>7</v>
      </c>
      <c r="C1204" s="36" t="s">
        <v>14</v>
      </c>
      <c r="BI1204" s="36" t="s">
        <v>3688</v>
      </c>
      <c r="BJ1204" s="36" t="s">
        <v>3689</v>
      </c>
      <c r="BK1204" s="36" t="s">
        <v>313</v>
      </c>
      <c r="BL1204" s="36" t="s">
        <v>1288</v>
      </c>
      <c r="BM1204" s="36" t="s">
        <v>3825</v>
      </c>
      <c r="BN1204" s="36">
        <v>5.0</v>
      </c>
      <c r="BO1204" s="37">
        <v>44466.0</v>
      </c>
      <c r="BP1204" s="37">
        <v>44470.0</v>
      </c>
      <c r="BQ1204" s="36" t="s">
        <v>3826</v>
      </c>
      <c r="BR1204" s="36" t="s">
        <v>3827</v>
      </c>
      <c r="BS1204" s="36" t="s">
        <v>176</v>
      </c>
      <c r="BT1204" s="36" t="s">
        <v>156</v>
      </c>
      <c r="BV1204" s="38" t="s">
        <v>3828</v>
      </c>
      <c r="FL1204" s="36" t="s">
        <v>3691</v>
      </c>
      <c r="FM1204" s="36" t="s">
        <v>283</v>
      </c>
    </row>
    <row r="1205">
      <c r="A1205" s="50">
        <v>44673.61031662037</v>
      </c>
      <c r="B1205" s="36" t="s">
        <v>7</v>
      </c>
      <c r="C1205" s="36" t="s">
        <v>13</v>
      </c>
      <c r="AX1205" s="36" t="s">
        <v>3684</v>
      </c>
      <c r="AY1205" s="36" t="s">
        <v>3685</v>
      </c>
      <c r="AZ1205" s="36" t="s">
        <v>3829</v>
      </c>
      <c r="BA1205" s="36" t="s">
        <v>3830</v>
      </c>
      <c r="BB1205" s="36" t="s">
        <v>196</v>
      </c>
      <c r="BC1205" s="37">
        <v>44088.0</v>
      </c>
      <c r="BD1205" s="37">
        <v>44089.0</v>
      </c>
      <c r="BE1205" s="37">
        <v>44089.0</v>
      </c>
      <c r="BF1205" s="36">
        <v>75.0</v>
      </c>
      <c r="BG1205" s="36" t="s">
        <v>3831</v>
      </c>
      <c r="BH1205" s="38" t="s">
        <v>3832</v>
      </c>
      <c r="FL1205" s="36" t="s">
        <v>3687</v>
      </c>
      <c r="FM1205" s="36" t="s">
        <v>283</v>
      </c>
    </row>
    <row r="1206">
      <c r="A1206" s="50">
        <v>44673.61047216435</v>
      </c>
      <c r="B1206" s="36" t="s">
        <v>7</v>
      </c>
      <c r="C1206" s="36" t="s">
        <v>13</v>
      </c>
      <c r="AX1206" s="36" t="s">
        <v>3682</v>
      </c>
      <c r="AY1206" s="36" t="s">
        <v>3597</v>
      </c>
      <c r="AZ1206" s="36" t="s">
        <v>3706</v>
      </c>
      <c r="BA1206" s="36" t="s">
        <v>3833</v>
      </c>
      <c r="BB1206" s="36" t="s">
        <v>495</v>
      </c>
      <c r="BC1206" s="37">
        <v>44548.0</v>
      </c>
      <c r="BD1206" s="37">
        <v>44575.0</v>
      </c>
      <c r="BE1206" s="37">
        <v>44575.0</v>
      </c>
      <c r="BF1206" s="36">
        <v>85.0</v>
      </c>
      <c r="BG1206" s="36" t="s">
        <v>3707</v>
      </c>
      <c r="BH1206" s="38" t="s">
        <v>3834</v>
      </c>
      <c r="FL1206" s="36" t="s">
        <v>3599</v>
      </c>
      <c r="FM1206" s="36" t="s">
        <v>283</v>
      </c>
    </row>
    <row r="1207">
      <c r="A1207" s="50">
        <v>44673.61075604167</v>
      </c>
      <c r="B1207" s="36" t="s">
        <v>7</v>
      </c>
      <c r="C1207" s="36" t="s">
        <v>13</v>
      </c>
      <c r="AX1207" s="36" t="s">
        <v>3717</v>
      </c>
      <c r="AY1207" s="36" t="s">
        <v>3718</v>
      </c>
      <c r="AZ1207" s="36" t="s">
        <v>2330</v>
      </c>
      <c r="BA1207" s="36" t="s">
        <v>3023</v>
      </c>
      <c r="BB1207" s="36" t="s">
        <v>510</v>
      </c>
      <c r="BC1207" s="37">
        <v>44073.0</v>
      </c>
      <c r="BD1207" s="37">
        <v>44129.0</v>
      </c>
      <c r="BE1207" s="37">
        <v>44132.0</v>
      </c>
      <c r="BF1207" s="36">
        <v>85.0</v>
      </c>
      <c r="BG1207" s="36" t="s">
        <v>3835</v>
      </c>
      <c r="BH1207" s="38" t="s">
        <v>3836</v>
      </c>
      <c r="FL1207" s="36" t="s">
        <v>3721</v>
      </c>
      <c r="FM1207" s="36" t="s">
        <v>283</v>
      </c>
    </row>
    <row r="1208">
      <c r="A1208" s="50">
        <v>44673.61135207176</v>
      </c>
      <c r="B1208" s="36" t="s">
        <v>7</v>
      </c>
      <c r="C1208" s="36" t="s">
        <v>13</v>
      </c>
      <c r="AX1208" s="36" t="s">
        <v>2833</v>
      </c>
      <c r="AY1208" s="36" t="s">
        <v>2834</v>
      </c>
      <c r="AZ1208" s="36" t="s">
        <v>566</v>
      </c>
      <c r="BA1208" s="36" t="s">
        <v>337</v>
      </c>
      <c r="BB1208" s="36" t="s">
        <v>450</v>
      </c>
      <c r="BC1208" s="37">
        <v>44581.0</v>
      </c>
      <c r="BD1208" s="37">
        <v>44654.0</v>
      </c>
      <c r="BE1208" s="37">
        <v>44654.0</v>
      </c>
      <c r="BF1208" s="36">
        <v>93.0</v>
      </c>
      <c r="BG1208" s="36" t="s">
        <v>768</v>
      </c>
      <c r="BH1208" s="38" t="s">
        <v>3837</v>
      </c>
      <c r="FL1208" s="36" t="s">
        <v>2836</v>
      </c>
      <c r="FM1208" s="36" t="s">
        <v>283</v>
      </c>
    </row>
    <row r="1209">
      <c r="A1209" s="50">
        <v>44673.611377395835</v>
      </c>
      <c r="B1209" s="36" t="s">
        <v>7</v>
      </c>
      <c r="C1209" s="36" t="s">
        <v>13</v>
      </c>
      <c r="AX1209" s="36" t="s">
        <v>3758</v>
      </c>
      <c r="AY1209" s="36" t="s">
        <v>3471</v>
      </c>
      <c r="AZ1209" s="36" t="s">
        <v>347</v>
      </c>
      <c r="BA1209" s="36" t="s">
        <v>377</v>
      </c>
      <c r="BB1209" s="36" t="s">
        <v>310</v>
      </c>
      <c r="BC1209" s="37">
        <v>44204.0</v>
      </c>
      <c r="BD1209" s="37">
        <v>44263.0</v>
      </c>
      <c r="BE1209" s="37">
        <v>44263.0</v>
      </c>
      <c r="BF1209" s="36">
        <v>78.0</v>
      </c>
      <c r="BG1209" s="36" t="s">
        <v>1145</v>
      </c>
      <c r="BH1209" s="38" t="s">
        <v>3838</v>
      </c>
      <c r="FL1209" s="36" t="s">
        <v>3474</v>
      </c>
      <c r="FM1209" s="36" t="s">
        <v>283</v>
      </c>
    </row>
    <row r="1210">
      <c r="A1210" s="50">
        <v>44673.61168579861</v>
      </c>
      <c r="B1210" s="36" t="s">
        <v>7</v>
      </c>
      <c r="C1210" s="36" t="s">
        <v>15</v>
      </c>
      <c r="BW1210" s="36" t="s">
        <v>3839</v>
      </c>
      <c r="BX1210" s="36" t="s">
        <v>3840</v>
      </c>
      <c r="BZ1210" s="36" t="s">
        <v>313</v>
      </c>
      <c r="CA1210" s="36" t="s">
        <v>3841</v>
      </c>
      <c r="CB1210" s="36" t="s">
        <v>3842</v>
      </c>
      <c r="CC1210" s="36" t="s">
        <v>3843</v>
      </c>
      <c r="CD1210" s="37">
        <v>44378.0</v>
      </c>
      <c r="CE1210" s="37">
        <v>44440.0</v>
      </c>
      <c r="CF1210" s="36">
        <v>78.0</v>
      </c>
      <c r="CG1210" s="38" t="s">
        <v>3844</v>
      </c>
      <c r="FL1210" s="36" t="s">
        <v>3845</v>
      </c>
      <c r="FM1210" s="36" t="s">
        <v>283</v>
      </c>
    </row>
    <row r="1211">
      <c r="A1211" s="50">
        <v>44673.61213168981</v>
      </c>
      <c r="B1211" s="36" t="s">
        <v>7</v>
      </c>
      <c r="C1211" s="36" t="s">
        <v>13</v>
      </c>
      <c r="AX1211" s="36" t="s">
        <v>3754</v>
      </c>
      <c r="AY1211" s="36" t="s">
        <v>3755</v>
      </c>
      <c r="AZ1211" s="36" t="s">
        <v>3300</v>
      </c>
      <c r="BA1211" s="36" t="s">
        <v>337</v>
      </c>
      <c r="BB1211" s="36" t="s">
        <v>348</v>
      </c>
      <c r="BC1211" s="37">
        <v>44265.0</v>
      </c>
      <c r="BD1211" s="37">
        <v>44322.0</v>
      </c>
      <c r="BE1211" s="37">
        <v>44322.0</v>
      </c>
      <c r="BF1211" s="51">
        <v>0.85</v>
      </c>
      <c r="BG1211" s="36" t="s">
        <v>3846</v>
      </c>
      <c r="BH1211" s="38" t="s">
        <v>3847</v>
      </c>
      <c r="FL1211" s="36" t="s">
        <v>3757</v>
      </c>
      <c r="FM1211" s="36" t="s">
        <v>283</v>
      </c>
    </row>
    <row r="1212">
      <c r="A1212" s="50">
        <v>44673.6124199537</v>
      </c>
      <c r="B1212" s="36" t="s">
        <v>7</v>
      </c>
      <c r="C1212" s="36" t="s">
        <v>12</v>
      </c>
      <c r="AN1212" s="36" t="s">
        <v>3786</v>
      </c>
      <c r="AO1212" s="36" t="s">
        <v>3787</v>
      </c>
      <c r="AP1212" s="36" t="s">
        <v>3848</v>
      </c>
      <c r="AQ1212" s="36">
        <v>1.0</v>
      </c>
      <c r="AR1212" s="37">
        <v>44338.0</v>
      </c>
      <c r="AS1212" s="37">
        <v>44367.0</v>
      </c>
      <c r="AT1212" s="36" t="s">
        <v>257</v>
      </c>
      <c r="AU1212" s="36" t="s">
        <v>257</v>
      </c>
      <c r="AV1212" s="36">
        <v>0.0</v>
      </c>
      <c r="AW1212" s="38" t="s">
        <v>3849</v>
      </c>
      <c r="FL1212" s="36" t="s">
        <v>3790</v>
      </c>
      <c r="FM1212" s="36" t="s">
        <v>283</v>
      </c>
    </row>
    <row r="1213">
      <c r="A1213" s="50">
        <v>44673.61249319444</v>
      </c>
      <c r="B1213" s="36" t="s">
        <v>7</v>
      </c>
      <c r="C1213" s="36" t="s">
        <v>14</v>
      </c>
      <c r="BI1213" s="36" t="s">
        <v>3705</v>
      </c>
      <c r="BJ1213" s="36" t="s">
        <v>3523</v>
      </c>
      <c r="BK1213" s="36" t="s">
        <v>313</v>
      </c>
      <c r="BL1213" s="36" t="s">
        <v>1288</v>
      </c>
      <c r="BM1213" s="36" t="s">
        <v>3850</v>
      </c>
      <c r="BN1213" s="36">
        <v>3.0</v>
      </c>
      <c r="BO1213" s="37">
        <v>44491.0</v>
      </c>
      <c r="BP1213" s="37">
        <v>44493.0</v>
      </c>
      <c r="BQ1213" s="36" t="s">
        <v>3851</v>
      </c>
      <c r="BR1213" s="36" t="s">
        <v>3852</v>
      </c>
      <c r="BS1213" s="36" t="s">
        <v>176</v>
      </c>
      <c r="BT1213" s="36" t="s">
        <v>156</v>
      </c>
      <c r="BV1213" s="38" t="s">
        <v>3853</v>
      </c>
      <c r="FL1213" s="36" t="s">
        <v>3525</v>
      </c>
      <c r="FM1213" s="36" t="s">
        <v>283</v>
      </c>
    </row>
    <row r="1214">
      <c r="A1214" s="50">
        <v>44673.61272240741</v>
      </c>
      <c r="B1214" s="36" t="s">
        <v>7</v>
      </c>
      <c r="C1214" s="36" t="s">
        <v>13</v>
      </c>
      <c r="AX1214" s="36" t="s">
        <v>3717</v>
      </c>
      <c r="AY1214" s="36" t="s">
        <v>3718</v>
      </c>
      <c r="AZ1214" s="36" t="s">
        <v>3854</v>
      </c>
      <c r="BA1214" s="36" t="s">
        <v>3023</v>
      </c>
      <c r="BB1214" s="36" t="s">
        <v>510</v>
      </c>
      <c r="BC1214" s="37">
        <v>44479.0</v>
      </c>
      <c r="BD1214" s="37">
        <v>44552.0</v>
      </c>
      <c r="BE1214" s="37">
        <v>44552.0</v>
      </c>
      <c r="BF1214" s="36">
        <v>85.0</v>
      </c>
      <c r="BG1214" s="36" t="s">
        <v>3855</v>
      </c>
      <c r="BH1214" s="38" t="s">
        <v>3856</v>
      </c>
      <c r="FL1214" s="36" t="s">
        <v>3721</v>
      </c>
      <c r="FM1214" s="36" t="s">
        <v>283</v>
      </c>
    </row>
    <row r="1215">
      <c r="A1215" s="50">
        <v>44673.612734849536</v>
      </c>
      <c r="B1215" s="36" t="s">
        <v>7</v>
      </c>
      <c r="C1215" s="36" t="s">
        <v>13</v>
      </c>
      <c r="AX1215" s="36" t="s">
        <v>3239</v>
      </c>
      <c r="AY1215" s="36" t="s">
        <v>3240</v>
      </c>
      <c r="AZ1215" s="36" t="s">
        <v>981</v>
      </c>
      <c r="BA1215" s="36" t="s">
        <v>900</v>
      </c>
      <c r="BB1215" s="36" t="s">
        <v>1846</v>
      </c>
      <c r="BC1215" s="37">
        <v>43836.0</v>
      </c>
      <c r="BD1215" s="37">
        <v>43934.0</v>
      </c>
      <c r="BE1215" s="37">
        <v>43934.0</v>
      </c>
      <c r="BF1215" s="51">
        <v>0.81</v>
      </c>
      <c r="BG1215" s="36" t="s">
        <v>3857</v>
      </c>
      <c r="BH1215" s="38" t="s">
        <v>3858</v>
      </c>
      <c r="FL1215" s="36" t="s">
        <v>3242</v>
      </c>
      <c r="FM1215" s="36" t="s">
        <v>283</v>
      </c>
    </row>
    <row r="1216">
      <c r="A1216" s="50">
        <v>44673.61284125</v>
      </c>
      <c r="B1216" s="36" t="s">
        <v>7</v>
      </c>
      <c r="C1216" s="36" t="s">
        <v>12</v>
      </c>
      <c r="AN1216" s="36" t="s">
        <v>3729</v>
      </c>
      <c r="AO1216" s="36" t="s">
        <v>3730</v>
      </c>
      <c r="AP1216" s="36" t="s">
        <v>309</v>
      </c>
      <c r="AQ1216" s="36" t="s">
        <v>503</v>
      </c>
      <c r="AR1216" s="37">
        <v>44491.0</v>
      </c>
      <c r="AS1216" s="37">
        <v>44545.0</v>
      </c>
      <c r="AT1216" s="36" t="s">
        <v>257</v>
      </c>
      <c r="AU1216" s="36" t="s">
        <v>257</v>
      </c>
      <c r="AV1216" s="36">
        <v>0.0</v>
      </c>
      <c r="AW1216" s="38" t="s">
        <v>3859</v>
      </c>
      <c r="FL1216" s="36" t="s">
        <v>3732</v>
      </c>
      <c r="FM1216" s="36" t="s">
        <v>283</v>
      </c>
    </row>
    <row r="1217">
      <c r="A1217" s="50">
        <v>44673.61299572917</v>
      </c>
      <c r="B1217" s="36" t="s">
        <v>7</v>
      </c>
      <c r="C1217" s="36" t="s">
        <v>13</v>
      </c>
      <c r="AX1217" s="36" t="s">
        <v>3860</v>
      </c>
      <c r="AY1217" s="36" t="s">
        <v>3781</v>
      </c>
      <c r="AZ1217" s="36" t="s">
        <v>1263</v>
      </c>
      <c r="BA1217" s="36" t="s">
        <v>377</v>
      </c>
      <c r="BB1217" s="36" t="s">
        <v>1560</v>
      </c>
      <c r="BC1217" s="37">
        <v>44495.0</v>
      </c>
      <c r="BD1217" s="37">
        <v>44681.0</v>
      </c>
      <c r="BE1217" s="37">
        <v>44630.0</v>
      </c>
      <c r="BF1217" s="36">
        <v>90.0</v>
      </c>
      <c r="BG1217" s="36" t="s">
        <v>339</v>
      </c>
      <c r="BH1217" s="38" t="s">
        <v>3861</v>
      </c>
      <c r="FL1217" s="36" t="s">
        <v>3783</v>
      </c>
      <c r="FM1217" s="36" t="s">
        <v>283</v>
      </c>
    </row>
    <row r="1218">
      <c r="A1218" s="50">
        <v>44673.61307501157</v>
      </c>
      <c r="B1218" s="36" t="s">
        <v>7</v>
      </c>
      <c r="C1218" s="36" t="s">
        <v>12</v>
      </c>
      <c r="AN1218" s="36" t="s">
        <v>3743</v>
      </c>
      <c r="AO1218" s="36" t="s">
        <v>3744</v>
      </c>
      <c r="AP1218" s="36" t="s">
        <v>3862</v>
      </c>
      <c r="AQ1218" s="36" t="s">
        <v>495</v>
      </c>
      <c r="AR1218" s="37">
        <v>44008.0</v>
      </c>
      <c r="AS1218" s="37">
        <v>44038.0</v>
      </c>
      <c r="AT1218" s="36" t="s">
        <v>257</v>
      </c>
      <c r="AU1218" s="36" t="s">
        <v>256</v>
      </c>
      <c r="AV1218" s="36">
        <v>1500.0</v>
      </c>
      <c r="AW1218" s="38" t="s">
        <v>3863</v>
      </c>
      <c r="FL1218" s="36" t="s">
        <v>3748</v>
      </c>
      <c r="FM1218" s="36" t="s">
        <v>283</v>
      </c>
    </row>
    <row r="1219">
      <c r="A1219" s="50">
        <v>44673.613550740745</v>
      </c>
      <c r="B1219" s="36" t="s">
        <v>7</v>
      </c>
      <c r="C1219" s="36" t="s">
        <v>13</v>
      </c>
      <c r="AX1219" s="36" t="s">
        <v>3864</v>
      </c>
      <c r="AY1219" s="36" t="s">
        <v>3865</v>
      </c>
      <c r="AZ1219" s="36" t="s">
        <v>3866</v>
      </c>
      <c r="BA1219" s="36" t="s">
        <v>3867</v>
      </c>
      <c r="BB1219" s="36" t="s">
        <v>450</v>
      </c>
      <c r="BC1219" s="37">
        <v>44179.0</v>
      </c>
      <c r="BD1219" s="37">
        <v>44269.0</v>
      </c>
      <c r="BE1219" s="37">
        <v>44269.0</v>
      </c>
      <c r="BF1219" s="51">
        <v>1.0</v>
      </c>
      <c r="BG1219" s="36" t="s">
        <v>3868</v>
      </c>
      <c r="BH1219" s="38" t="s">
        <v>3869</v>
      </c>
      <c r="FL1219" s="36" t="s">
        <v>3870</v>
      </c>
      <c r="FM1219" s="36" t="s">
        <v>283</v>
      </c>
    </row>
    <row r="1220">
      <c r="A1220" s="50">
        <v>44673.613957430556</v>
      </c>
      <c r="B1220" s="36" t="s">
        <v>7</v>
      </c>
      <c r="C1220" s="36" t="s">
        <v>20</v>
      </c>
      <c r="DX1220" s="36" t="s">
        <v>3484</v>
      </c>
      <c r="DY1220" s="36" t="s">
        <v>3485</v>
      </c>
      <c r="DZ1220" s="36" t="s">
        <v>171</v>
      </c>
      <c r="EA1220" s="36" t="s">
        <v>3871</v>
      </c>
      <c r="EB1220" s="37">
        <v>44367.0</v>
      </c>
      <c r="EC1220" s="36" t="s">
        <v>443</v>
      </c>
      <c r="ED1220" s="38" t="s">
        <v>3872</v>
      </c>
      <c r="FL1220" s="36" t="s">
        <v>3487</v>
      </c>
      <c r="FM1220" s="36" t="s">
        <v>283</v>
      </c>
    </row>
    <row r="1221">
      <c r="A1221" s="50">
        <v>44673.61445793981</v>
      </c>
      <c r="B1221" s="36" t="s">
        <v>7</v>
      </c>
      <c r="C1221" s="36" t="s">
        <v>20</v>
      </c>
      <c r="DX1221" s="36" t="s">
        <v>3705</v>
      </c>
      <c r="DY1221" s="36" t="s">
        <v>3523</v>
      </c>
      <c r="DZ1221" s="36" t="s">
        <v>313</v>
      </c>
      <c r="EA1221" s="36" t="s">
        <v>3873</v>
      </c>
      <c r="EB1221" s="37">
        <v>44659.0</v>
      </c>
      <c r="EC1221" s="36" t="s">
        <v>3874</v>
      </c>
      <c r="ED1221" s="38" t="s">
        <v>3875</v>
      </c>
      <c r="FL1221" s="36" t="s">
        <v>3525</v>
      </c>
      <c r="FM1221" s="36" t="s">
        <v>283</v>
      </c>
    </row>
    <row r="1222">
      <c r="A1222" s="50">
        <v>44673.61483994213</v>
      </c>
      <c r="B1222" s="36" t="s">
        <v>7</v>
      </c>
      <c r="C1222" s="36" t="s">
        <v>13</v>
      </c>
      <c r="AX1222" s="36" t="s">
        <v>3684</v>
      </c>
      <c r="AY1222" s="36" t="s">
        <v>3685</v>
      </c>
      <c r="AZ1222" s="36" t="s">
        <v>3876</v>
      </c>
      <c r="BA1222" s="36" t="s">
        <v>3877</v>
      </c>
      <c r="BB1222" s="36" t="s">
        <v>196</v>
      </c>
      <c r="BC1222" s="37">
        <v>44088.0</v>
      </c>
      <c r="BD1222" s="37">
        <v>44089.0</v>
      </c>
      <c r="BE1222" s="37">
        <v>44089.0</v>
      </c>
      <c r="BF1222" s="36">
        <v>75.0</v>
      </c>
      <c r="BG1222" s="36" t="s">
        <v>3878</v>
      </c>
      <c r="BH1222" s="38" t="s">
        <v>3879</v>
      </c>
      <c r="FL1222" s="36" t="s">
        <v>3687</v>
      </c>
      <c r="FM1222" s="36" t="s">
        <v>283</v>
      </c>
    </row>
    <row r="1223">
      <c r="A1223" s="50">
        <v>44673.61515380787</v>
      </c>
      <c r="B1223" s="36" t="s">
        <v>7</v>
      </c>
      <c r="C1223" s="36" t="s">
        <v>12</v>
      </c>
      <c r="AN1223" s="36" t="s">
        <v>3786</v>
      </c>
      <c r="AO1223" s="36" t="s">
        <v>3787</v>
      </c>
      <c r="AP1223" s="36" t="s">
        <v>3880</v>
      </c>
      <c r="AQ1223" s="36" t="s">
        <v>1850</v>
      </c>
      <c r="AR1223" s="37">
        <v>44484.0</v>
      </c>
      <c r="AS1223" s="37">
        <v>44500.0</v>
      </c>
      <c r="AT1223" s="36" t="s">
        <v>257</v>
      </c>
      <c r="AU1223" s="36" t="s">
        <v>256</v>
      </c>
      <c r="AV1223" s="36">
        <v>1000.0</v>
      </c>
      <c r="AW1223" s="38" t="s">
        <v>3881</v>
      </c>
      <c r="FL1223" s="36" t="s">
        <v>3790</v>
      </c>
      <c r="FM1223" s="36" t="s">
        <v>283</v>
      </c>
    </row>
    <row r="1224">
      <c r="A1224" s="50">
        <v>44673.615316180556</v>
      </c>
      <c r="B1224" s="36" t="s">
        <v>7</v>
      </c>
      <c r="C1224" s="36" t="s">
        <v>13</v>
      </c>
      <c r="AX1224" s="36" t="s">
        <v>3717</v>
      </c>
      <c r="AY1224" s="36" t="s">
        <v>3718</v>
      </c>
      <c r="AZ1224" s="36" t="s">
        <v>1393</v>
      </c>
      <c r="BA1224" s="36" t="s">
        <v>1378</v>
      </c>
      <c r="BB1224" s="36" t="s">
        <v>510</v>
      </c>
      <c r="BC1224" s="37">
        <v>44168.0</v>
      </c>
      <c r="BD1224" s="37">
        <v>43968.0</v>
      </c>
      <c r="BE1224" s="37">
        <v>43967.0</v>
      </c>
      <c r="BF1224" s="36">
        <v>85.0</v>
      </c>
      <c r="BG1224" s="36" t="s">
        <v>3882</v>
      </c>
      <c r="BH1224" s="38" t="s">
        <v>3883</v>
      </c>
      <c r="FL1224" s="36" t="s">
        <v>3721</v>
      </c>
      <c r="FM1224" s="36" t="s">
        <v>283</v>
      </c>
    </row>
    <row r="1225">
      <c r="A1225" s="50">
        <v>44673.615788842595</v>
      </c>
      <c r="B1225" s="36" t="s">
        <v>7</v>
      </c>
      <c r="C1225" s="36" t="s">
        <v>13</v>
      </c>
      <c r="AX1225" s="36" t="s">
        <v>3884</v>
      </c>
      <c r="AY1225" s="36" t="s">
        <v>3885</v>
      </c>
      <c r="AZ1225" s="36" t="s">
        <v>3886</v>
      </c>
      <c r="BA1225" s="36" t="s">
        <v>3887</v>
      </c>
      <c r="BB1225" s="36" t="s">
        <v>495</v>
      </c>
      <c r="BC1225" s="37">
        <v>44581.0</v>
      </c>
      <c r="BD1225" s="37">
        <v>44610.0</v>
      </c>
      <c r="BE1225" s="37">
        <v>44610.0</v>
      </c>
      <c r="BF1225" s="36">
        <v>100.0</v>
      </c>
      <c r="BG1225" s="36" t="s">
        <v>3888</v>
      </c>
      <c r="BH1225" s="38" t="s">
        <v>3889</v>
      </c>
      <c r="FL1225" s="36" t="s">
        <v>3890</v>
      </c>
      <c r="FM1225" s="36" t="s">
        <v>283</v>
      </c>
    </row>
    <row r="1226">
      <c r="A1226" s="50">
        <v>44673.61663425926</v>
      </c>
      <c r="B1226" s="36" t="s">
        <v>7</v>
      </c>
      <c r="C1226" s="36" t="s">
        <v>13</v>
      </c>
      <c r="AX1226" s="36" t="s">
        <v>3864</v>
      </c>
      <c r="AY1226" s="36" t="s">
        <v>3865</v>
      </c>
      <c r="AZ1226" s="36" t="s">
        <v>3891</v>
      </c>
      <c r="BA1226" s="36" t="s">
        <v>2814</v>
      </c>
      <c r="BB1226" s="36" t="s">
        <v>495</v>
      </c>
      <c r="BC1226" s="37">
        <v>44635.0</v>
      </c>
      <c r="BD1226" s="37">
        <v>44666.0</v>
      </c>
      <c r="BE1226" s="37">
        <v>44666.0</v>
      </c>
      <c r="BF1226" s="51">
        <v>1.0</v>
      </c>
      <c r="BG1226" s="36" t="s">
        <v>3892</v>
      </c>
      <c r="BH1226" s="38" t="s">
        <v>3893</v>
      </c>
      <c r="FL1226" s="36" t="s">
        <v>3870</v>
      </c>
      <c r="FM1226" s="36" t="s">
        <v>283</v>
      </c>
    </row>
    <row r="1227">
      <c r="A1227" s="50">
        <v>44673.616643182875</v>
      </c>
      <c r="B1227" s="36" t="s">
        <v>7</v>
      </c>
      <c r="C1227" s="36" t="s">
        <v>20</v>
      </c>
      <c r="DX1227" s="36" t="s">
        <v>3705</v>
      </c>
      <c r="DY1227" s="36" t="s">
        <v>3523</v>
      </c>
      <c r="DZ1227" s="36" t="s">
        <v>171</v>
      </c>
      <c r="EA1227" s="36" t="s">
        <v>3894</v>
      </c>
      <c r="EB1227" s="37">
        <v>44250.0</v>
      </c>
      <c r="EC1227" s="36" t="s">
        <v>3895</v>
      </c>
      <c r="ED1227" s="38" t="s">
        <v>3896</v>
      </c>
      <c r="FL1227" s="36" t="s">
        <v>3525</v>
      </c>
      <c r="FM1227" s="36" t="s">
        <v>283</v>
      </c>
    </row>
    <row r="1228">
      <c r="A1228" s="50">
        <v>44673.6167178125</v>
      </c>
      <c r="B1228" s="36" t="s">
        <v>7</v>
      </c>
      <c r="C1228" s="36" t="s">
        <v>13</v>
      </c>
      <c r="AX1228" s="36" t="s">
        <v>3897</v>
      </c>
      <c r="AY1228" s="36" t="s">
        <v>3485</v>
      </c>
      <c r="AZ1228" s="36" t="s">
        <v>3898</v>
      </c>
      <c r="BA1228" s="36" t="s">
        <v>3899</v>
      </c>
      <c r="BB1228" s="36" t="s">
        <v>310</v>
      </c>
      <c r="BC1228" s="37">
        <v>44287.0</v>
      </c>
      <c r="BD1228" s="37">
        <v>44347.0</v>
      </c>
      <c r="BE1228" s="37">
        <v>44347.0</v>
      </c>
      <c r="BF1228" s="36">
        <v>80.0</v>
      </c>
      <c r="BG1228" s="36" t="s">
        <v>1031</v>
      </c>
      <c r="BH1228" s="38" t="s">
        <v>3900</v>
      </c>
      <c r="FL1228" s="36" t="s">
        <v>3487</v>
      </c>
      <c r="FM1228" s="36" t="s">
        <v>283</v>
      </c>
    </row>
    <row r="1229">
      <c r="A1229" s="50">
        <v>44673.61676422454</v>
      </c>
      <c r="B1229" s="36" t="s">
        <v>7</v>
      </c>
      <c r="C1229" s="36" t="s">
        <v>12</v>
      </c>
      <c r="AN1229" s="36" t="s">
        <v>3786</v>
      </c>
      <c r="AO1229" s="36" t="s">
        <v>3787</v>
      </c>
      <c r="AP1229" s="36" t="s">
        <v>3880</v>
      </c>
      <c r="AQ1229" s="36" t="s">
        <v>495</v>
      </c>
      <c r="AR1229" s="37">
        <v>44614.0</v>
      </c>
      <c r="AS1229" s="37">
        <v>44642.0</v>
      </c>
      <c r="AT1229" s="36" t="s">
        <v>257</v>
      </c>
      <c r="AU1229" s="36" t="s">
        <v>256</v>
      </c>
      <c r="AV1229" s="36">
        <v>1000.0</v>
      </c>
      <c r="AW1229" s="38" t="s">
        <v>3901</v>
      </c>
      <c r="FL1229" s="36" t="s">
        <v>3790</v>
      </c>
      <c r="FM1229" s="36" t="s">
        <v>283</v>
      </c>
    </row>
    <row r="1230">
      <c r="A1230" s="50">
        <v>44673.61678648148</v>
      </c>
      <c r="B1230" s="36" t="s">
        <v>7</v>
      </c>
      <c r="C1230" s="36" t="s">
        <v>13</v>
      </c>
      <c r="AX1230" s="36" t="s">
        <v>3902</v>
      </c>
      <c r="AY1230" s="36" t="s">
        <v>3903</v>
      </c>
      <c r="AZ1230" s="36" t="s">
        <v>3904</v>
      </c>
      <c r="BA1230" s="36" t="s">
        <v>345</v>
      </c>
      <c r="BB1230" s="36" t="s">
        <v>882</v>
      </c>
      <c r="BC1230" s="37">
        <v>44031.0</v>
      </c>
      <c r="BD1230" s="37">
        <v>44031.0</v>
      </c>
      <c r="BE1230" s="37">
        <v>44031.0</v>
      </c>
      <c r="BF1230" s="36" t="s">
        <v>3905</v>
      </c>
      <c r="BG1230" s="36" t="s">
        <v>345</v>
      </c>
      <c r="BH1230" s="38" t="s">
        <v>3906</v>
      </c>
      <c r="FL1230" s="36" t="s">
        <v>3907</v>
      </c>
      <c r="FM1230" s="36" t="s">
        <v>283</v>
      </c>
    </row>
    <row r="1231">
      <c r="A1231" s="50">
        <v>44673.61684615741</v>
      </c>
      <c r="B1231" s="36" t="s">
        <v>7</v>
      </c>
      <c r="C1231" s="36" t="s">
        <v>13</v>
      </c>
      <c r="AX1231" s="36" t="s">
        <v>3908</v>
      </c>
      <c r="AY1231" s="36" t="s">
        <v>3909</v>
      </c>
      <c r="AZ1231" s="36" t="s">
        <v>1095</v>
      </c>
      <c r="BA1231" s="36" t="s">
        <v>2416</v>
      </c>
      <c r="BB1231" s="36" t="s">
        <v>3910</v>
      </c>
      <c r="BC1231" s="37">
        <v>44044.0</v>
      </c>
      <c r="BD1231" s="37">
        <v>44101.0</v>
      </c>
      <c r="BE1231" s="37">
        <v>44101.0</v>
      </c>
      <c r="BF1231" s="51">
        <v>0.95</v>
      </c>
      <c r="BG1231" s="36" t="s">
        <v>345</v>
      </c>
      <c r="BH1231" s="38" t="s">
        <v>3911</v>
      </c>
      <c r="FL1231" s="36" t="s">
        <v>3912</v>
      </c>
      <c r="FM1231" s="36" t="s">
        <v>283</v>
      </c>
    </row>
    <row r="1232">
      <c r="A1232" s="50">
        <v>44673.617135810186</v>
      </c>
      <c r="B1232" s="36" t="s">
        <v>7</v>
      </c>
      <c r="C1232" s="36" t="s">
        <v>13</v>
      </c>
      <c r="AX1232" s="36" t="s">
        <v>3801</v>
      </c>
      <c r="AY1232" s="36" t="s">
        <v>3802</v>
      </c>
      <c r="AZ1232" s="36" t="s">
        <v>3913</v>
      </c>
      <c r="BA1232" s="36" t="s">
        <v>377</v>
      </c>
      <c r="BB1232" s="36" t="s">
        <v>410</v>
      </c>
      <c r="BC1232" s="37">
        <v>44321.0</v>
      </c>
      <c r="BD1232" s="37">
        <v>44352.0</v>
      </c>
      <c r="BE1232" s="37">
        <v>44352.0</v>
      </c>
      <c r="BF1232" s="36">
        <v>75.0</v>
      </c>
      <c r="BG1232" s="36" t="s">
        <v>3804</v>
      </c>
      <c r="BH1232" s="38" t="s">
        <v>3914</v>
      </c>
      <c r="FL1232" s="36" t="s">
        <v>3806</v>
      </c>
      <c r="FM1232" s="36" t="s">
        <v>283</v>
      </c>
    </row>
    <row r="1233">
      <c r="A1233" s="50">
        <v>44673.61723881944</v>
      </c>
      <c r="B1233" s="36" t="s">
        <v>7</v>
      </c>
      <c r="C1233" s="36" t="s">
        <v>13</v>
      </c>
      <c r="AX1233" s="36" t="s">
        <v>3688</v>
      </c>
      <c r="AY1233" s="36" t="s">
        <v>3689</v>
      </c>
      <c r="AZ1233" s="36" t="s">
        <v>3915</v>
      </c>
      <c r="BA1233" s="36" t="s">
        <v>1758</v>
      </c>
      <c r="BB1233" s="36" t="s">
        <v>1391</v>
      </c>
      <c r="BC1233" s="37">
        <v>44515.0</v>
      </c>
      <c r="BD1233" s="37">
        <v>44544.0</v>
      </c>
      <c r="BE1233" s="37">
        <v>44544.0</v>
      </c>
      <c r="BF1233" s="36" t="s">
        <v>523</v>
      </c>
      <c r="BG1233" s="36" t="s">
        <v>3916</v>
      </c>
      <c r="BH1233" s="38" t="s">
        <v>3917</v>
      </c>
      <c r="FL1233" s="36" t="s">
        <v>3691</v>
      </c>
      <c r="FM1233" s="36" t="s">
        <v>283</v>
      </c>
    </row>
    <row r="1234">
      <c r="A1234" s="50">
        <v>44673.617399560186</v>
      </c>
      <c r="B1234" s="36" t="s">
        <v>7</v>
      </c>
      <c r="C1234" s="36" t="s">
        <v>13</v>
      </c>
      <c r="AX1234" s="36" t="s">
        <v>3684</v>
      </c>
      <c r="AY1234" s="36" t="s">
        <v>3685</v>
      </c>
      <c r="AZ1234" s="36" t="s">
        <v>3918</v>
      </c>
      <c r="BA1234" s="36" t="s">
        <v>1758</v>
      </c>
      <c r="BB1234" s="36" t="s">
        <v>1258</v>
      </c>
      <c r="BC1234" s="37">
        <v>44515.0</v>
      </c>
      <c r="BD1234" s="37">
        <v>44544.0</v>
      </c>
      <c r="BE1234" s="37">
        <v>44544.0</v>
      </c>
      <c r="BF1234" s="36">
        <v>75.0</v>
      </c>
      <c r="BG1234" s="36" t="s">
        <v>3919</v>
      </c>
      <c r="BH1234" s="38" t="s">
        <v>3920</v>
      </c>
      <c r="FL1234" s="36" t="s">
        <v>3687</v>
      </c>
      <c r="FM1234" s="36" t="s">
        <v>283</v>
      </c>
    </row>
    <row r="1235">
      <c r="A1235" s="50">
        <v>44673.61753258102</v>
      </c>
      <c r="B1235" s="36" t="s">
        <v>7</v>
      </c>
      <c r="C1235" s="36" t="s">
        <v>13</v>
      </c>
      <c r="AX1235" s="36" t="s">
        <v>3717</v>
      </c>
      <c r="AY1235" s="36" t="s">
        <v>3718</v>
      </c>
      <c r="AZ1235" s="36" t="s">
        <v>3921</v>
      </c>
      <c r="BA1235" s="36" t="s">
        <v>3922</v>
      </c>
      <c r="BB1235" s="36" t="s">
        <v>3923</v>
      </c>
      <c r="BC1235" s="37">
        <v>43973.0</v>
      </c>
      <c r="BD1235" s="37">
        <v>44004.0</v>
      </c>
      <c r="BE1235" s="37">
        <v>44004.0</v>
      </c>
      <c r="BF1235" s="36">
        <v>85.0</v>
      </c>
      <c r="BG1235" s="36" t="s">
        <v>3924</v>
      </c>
      <c r="BH1235" s="38" t="s">
        <v>3925</v>
      </c>
      <c r="FL1235" s="36" t="s">
        <v>3721</v>
      </c>
      <c r="FM1235" s="36" t="s">
        <v>283</v>
      </c>
    </row>
    <row r="1236">
      <c r="A1236" s="50">
        <v>44673.617822581014</v>
      </c>
      <c r="B1236" s="36" t="s">
        <v>7</v>
      </c>
      <c r="C1236" s="36" t="s">
        <v>12</v>
      </c>
      <c r="AN1236" s="36" t="s">
        <v>3839</v>
      </c>
      <c r="AO1236" s="36" t="s">
        <v>3840</v>
      </c>
      <c r="AP1236" s="36" t="s">
        <v>3862</v>
      </c>
      <c r="AQ1236" s="36" t="s">
        <v>510</v>
      </c>
      <c r="AR1236" s="37">
        <v>44004.0</v>
      </c>
      <c r="AS1236" s="37">
        <v>44054.0</v>
      </c>
      <c r="AT1236" s="36" t="s">
        <v>257</v>
      </c>
      <c r="AU1236" s="36" t="s">
        <v>256</v>
      </c>
      <c r="AV1236" s="36">
        <v>1500.0</v>
      </c>
      <c r="AW1236" s="38" t="s">
        <v>3926</v>
      </c>
      <c r="FL1236" s="36" t="s">
        <v>3845</v>
      </c>
      <c r="FM1236" s="36" t="s">
        <v>283</v>
      </c>
    </row>
    <row r="1237">
      <c r="A1237" s="50">
        <v>44673.61785913195</v>
      </c>
      <c r="B1237" s="36" t="s">
        <v>7</v>
      </c>
      <c r="C1237" s="36" t="s">
        <v>13</v>
      </c>
      <c r="AX1237" s="36" t="s">
        <v>3927</v>
      </c>
      <c r="AY1237" s="36" t="s">
        <v>2915</v>
      </c>
      <c r="AZ1237" s="36" t="s">
        <v>2069</v>
      </c>
      <c r="BA1237" s="36" t="s">
        <v>377</v>
      </c>
      <c r="BB1237" s="36" t="s">
        <v>450</v>
      </c>
      <c r="BC1237" s="37">
        <v>44213.0</v>
      </c>
      <c r="BD1237" s="37">
        <v>44322.0</v>
      </c>
      <c r="BE1237" s="37">
        <v>44322.0</v>
      </c>
      <c r="BF1237" s="36">
        <v>90.0</v>
      </c>
      <c r="BG1237" s="36" t="s">
        <v>3770</v>
      </c>
      <c r="BH1237" s="38" t="s">
        <v>3928</v>
      </c>
      <c r="FL1237" s="36" t="s">
        <v>2917</v>
      </c>
      <c r="FM1237" s="36" t="s">
        <v>283</v>
      </c>
    </row>
    <row r="1238">
      <c r="A1238" s="50">
        <v>44673.61799186343</v>
      </c>
      <c r="B1238" s="36" t="s">
        <v>7</v>
      </c>
      <c r="C1238" s="36" t="s">
        <v>13</v>
      </c>
      <c r="AX1238" s="36" t="s">
        <v>3754</v>
      </c>
      <c r="AY1238" s="36" t="s">
        <v>3755</v>
      </c>
      <c r="AZ1238" s="36" t="s">
        <v>3300</v>
      </c>
      <c r="BA1238" s="36" t="s">
        <v>337</v>
      </c>
      <c r="BB1238" s="36" t="s">
        <v>310</v>
      </c>
      <c r="BC1238" s="37">
        <v>44261.0</v>
      </c>
      <c r="BD1238" s="37">
        <v>44322.0</v>
      </c>
      <c r="BE1238" s="37">
        <v>44322.0</v>
      </c>
      <c r="BF1238" s="51">
        <v>0.85</v>
      </c>
      <c r="BG1238" s="36" t="s">
        <v>1503</v>
      </c>
      <c r="BH1238" s="38" t="s">
        <v>3929</v>
      </c>
      <c r="FL1238" s="36" t="s">
        <v>3757</v>
      </c>
      <c r="FM1238" s="36" t="s">
        <v>283</v>
      </c>
    </row>
    <row r="1239">
      <c r="A1239" s="50">
        <v>44673.61817826389</v>
      </c>
      <c r="B1239" s="36" t="s">
        <v>7</v>
      </c>
      <c r="C1239" s="36" t="s">
        <v>13</v>
      </c>
      <c r="AX1239" s="36" t="s">
        <v>3758</v>
      </c>
      <c r="AY1239" s="36" t="s">
        <v>3471</v>
      </c>
      <c r="AZ1239" s="36" t="s">
        <v>981</v>
      </c>
      <c r="BA1239" s="36" t="s">
        <v>377</v>
      </c>
      <c r="BB1239" s="36" t="s">
        <v>495</v>
      </c>
      <c r="BC1239" s="37">
        <v>43965.0</v>
      </c>
      <c r="BD1239" s="37">
        <v>43996.0</v>
      </c>
      <c r="BE1239" s="37">
        <v>43996.0</v>
      </c>
      <c r="BF1239" s="36">
        <v>95.0</v>
      </c>
      <c r="BG1239" s="36" t="s">
        <v>3930</v>
      </c>
      <c r="BH1239" s="38" t="s">
        <v>3931</v>
      </c>
      <c r="FL1239" s="36" t="s">
        <v>3474</v>
      </c>
      <c r="FM1239" s="36" t="s">
        <v>283</v>
      </c>
    </row>
    <row r="1240">
      <c r="A1240" s="50">
        <v>44673.61818451389</v>
      </c>
      <c r="B1240" s="36" t="s">
        <v>7</v>
      </c>
      <c r="C1240" s="36" t="s">
        <v>13</v>
      </c>
      <c r="AX1240" s="36" t="s">
        <v>3812</v>
      </c>
      <c r="AY1240" s="36" t="s">
        <v>3813</v>
      </c>
      <c r="AZ1240" s="36" t="s">
        <v>3300</v>
      </c>
      <c r="BA1240" s="36" t="s">
        <v>3932</v>
      </c>
      <c r="BB1240" s="36" t="s">
        <v>310</v>
      </c>
      <c r="BC1240" s="37">
        <v>44261.0</v>
      </c>
      <c r="BD1240" s="37">
        <v>44322.0</v>
      </c>
      <c r="BE1240" s="37">
        <v>44322.0</v>
      </c>
      <c r="BF1240" s="36">
        <v>80.0</v>
      </c>
      <c r="BG1240" s="36" t="s">
        <v>1201</v>
      </c>
      <c r="BH1240" s="38" t="s">
        <v>3933</v>
      </c>
      <c r="FL1240" s="36" t="s">
        <v>3815</v>
      </c>
      <c r="FM1240" s="36" t="s">
        <v>283</v>
      </c>
    </row>
    <row r="1241">
      <c r="A1241" s="50">
        <v>44673.61828913195</v>
      </c>
      <c r="B1241" s="36" t="s">
        <v>7</v>
      </c>
      <c r="C1241" s="36" t="s">
        <v>12</v>
      </c>
      <c r="AN1241" s="36" t="s">
        <v>3934</v>
      </c>
      <c r="AO1241" s="36" t="s">
        <v>3744</v>
      </c>
      <c r="AP1241" s="36" t="s">
        <v>309</v>
      </c>
      <c r="AQ1241" s="36" t="s">
        <v>417</v>
      </c>
      <c r="AR1241" s="37">
        <v>44489.0</v>
      </c>
      <c r="AS1241" s="37">
        <v>44556.0</v>
      </c>
      <c r="AT1241" s="36" t="s">
        <v>257</v>
      </c>
      <c r="AU1241" s="36" t="s">
        <v>257</v>
      </c>
      <c r="AV1241" s="36">
        <v>0.0</v>
      </c>
      <c r="AW1241" s="38" t="s">
        <v>3935</v>
      </c>
      <c r="FL1241" s="36" t="s">
        <v>3748</v>
      </c>
      <c r="FM1241" s="36" t="s">
        <v>283</v>
      </c>
    </row>
    <row r="1242">
      <c r="A1242" s="50">
        <v>44673.618786446765</v>
      </c>
      <c r="B1242" s="36" t="s">
        <v>7</v>
      </c>
      <c r="C1242" s="36" t="s">
        <v>13</v>
      </c>
      <c r="AX1242" s="36" t="s">
        <v>3239</v>
      </c>
      <c r="AY1242" s="36" t="s">
        <v>3240</v>
      </c>
      <c r="AZ1242" s="36" t="s">
        <v>856</v>
      </c>
      <c r="BA1242" s="36" t="s">
        <v>900</v>
      </c>
      <c r="BB1242" s="36" t="s">
        <v>1846</v>
      </c>
      <c r="BC1242" s="37">
        <v>43983.0</v>
      </c>
      <c r="BD1242" s="37">
        <v>44081.0</v>
      </c>
      <c r="BE1242" s="37">
        <v>44081.0</v>
      </c>
      <c r="BF1242" s="51">
        <v>0.9</v>
      </c>
      <c r="BG1242" s="36" t="s">
        <v>857</v>
      </c>
      <c r="BH1242" s="38" t="s">
        <v>3936</v>
      </c>
      <c r="FL1242" s="36" t="s">
        <v>3242</v>
      </c>
      <c r="FM1242" s="36" t="s">
        <v>283</v>
      </c>
    </row>
    <row r="1243">
      <c r="A1243" s="50">
        <v>44673.61905946759</v>
      </c>
      <c r="B1243" s="36" t="s">
        <v>7</v>
      </c>
      <c r="C1243" s="36" t="s">
        <v>12</v>
      </c>
      <c r="AN1243" s="36" t="s">
        <v>3937</v>
      </c>
      <c r="AO1243" s="36" t="s">
        <v>3802</v>
      </c>
      <c r="AP1243" s="36" t="s">
        <v>3938</v>
      </c>
      <c r="AQ1243" s="36" t="s">
        <v>410</v>
      </c>
      <c r="AR1243" s="37">
        <v>44485.0</v>
      </c>
      <c r="AS1243" s="37">
        <v>44516.0</v>
      </c>
      <c r="AT1243" s="36" t="s">
        <v>257</v>
      </c>
      <c r="AU1243" s="36" t="s">
        <v>257</v>
      </c>
      <c r="AV1243" s="36">
        <v>0.0</v>
      </c>
      <c r="AW1243" s="38" t="s">
        <v>3939</v>
      </c>
      <c r="FL1243" s="36" t="s">
        <v>3806</v>
      </c>
      <c r="FM1243" s="36" t="s">
        <v>283</v>
      </c>
    </row>
    <row r="1244">
      <c r="A1244" s="50">
        <v>44673.619069050925</v>
      </c>
      <c r="B1244" s="36" t="s">
        <v>7</v>
      </c>
      <c r="C1244" s="36" t="s">
        <v>13</v>
      </c>
      <c r="AX1244" s="36" t="s">
        <v>3940</v>
      </c>
      <c r="AY1244" s="36" t="s">
        <v>2865</v>
      </c>
      <c r="AZ1244" s="36" t="s">
        <v>1972</v>
      </c>
      <c r="BA1244" s="36" t="s">
        <v>377</v>
      </c>
      <c r="BB1244" s="36" t="s">
        <v>417</v>
      </c>
      <c r="BC1244" s="37">
        <v>44512.0</v>
      </c>
      <c r="BD1244" s="37">
        <v>44604.0</v>
      </c>
      <c r="BE1244" s="37">
        <v>44604.0</v>
      </c>
      <c r="BF1244" s="36">
        <v>96.91</v>
      </c>
      <c r="BG1244" s="36" t="s">
        <v>559</v>
      </c>
      <c r="BH1244" s="38" t="s">
        <v>3941</v>
      </c>
      <c r="FL1244" s="36" t="s">
        <v>2867</v>
      </c>
      <c r="FM1244" s="36" t="s">
        <v>283</v>
      </c>
    </row>
    <row r="1245">
      <c r="A1245" s="50">
        <v>44673.61909199074</v>
      </c>
      <c r="B1245" s="36" t="s">
        <v>7</v>
      </c>
      <c r="C1245" s="36" t="s">
        <v>13</v>
      </c>
      <c r="AX1245" s="36" t="s">
        <v>3860</v>
      </c>
      <c r="AY1245" s="36" t="s">
        <v>3781</v>
      </c>
      <c r="AZ1245" s="36" t="s">
        <v>1444</v>
      </c>
      <c r="BA1245" s="36" t="s">
        <v>377</v>
      </c>
      <c r="BB1245" s="36" t="s">
        <v>1335</v>
      </c>
      <c r="BC1245" s="37">
        <v>44200.0</v>
      </c>
      <c r="BD1245" s="37">
        <v>44258.0</v>
      </c>
      <c r="BE1245" s="37">
        <v>44258.0</v>
      </c>
      <c r="BF1245" s="36">
        <v>90.0</v>
      </c>
      <c r="BG1245" s="36" t="s">
        <v>3733</v>
      </c>
      <c r="BH1245" s="38" t="s">
        <v>3942</v>
      </c>
      <c r="FL1245" s="36" t="s">
        <v>3783</v>
      </c>
      <c r="FM1245" s="36" t="s">
        <v>283</v>
      </c>
    </row>
    <row r="1246">
      <c r="A1246" s="50">
        <v>44673.61922637731</v>
      </c>
      <c r="B1246" s="36" t="s">
        <v>7</v>
      </c>
      <c r="C1246" s="36" t="s">
        <v>13</v>
      </c>
      <c r="AX1246" s="36" t="s">
        <v>3943</v>
      </c>
      <c r="AY1246" s="36" t="s">
        <v>3944</v>
      </c>
      <c r="AZ1246" s="36" t="s">
        <v>3945</v>
      </c>
      <c r="BA1246" s="36" t="s">
        <v>1856</v>
      </c>
      <c r="BB1246" s="36" t="s">
        <v>3946</v>
      </c>
      <c r="BC1246" s="37">
        <v>44630.0</v>
      </c>
      <c r="BD1246" s="37">
        <v>44664.0</v>
      </c>
      <c r="BE1246" s="37">
        <v>44664.0</v>
      </c>
      <c r="BF1246" s="51">
        <v>0.9</v>
      </c>
      <c r="BG1246" s="36" t="s">
        <v>3947</v>
      </c>
      <c r="BH1246" s="38" t="s">
        <v>3948</v>
      </c>
      <c r="FL1246" s="36" t="s">
        <v>3949</v>
      </c>
      <c r="FM1246" s="36" t="s">
        <v>283</v>
      </c>
    </row>
    <row r="1247">
      <c r="A1247" s="50">
        <v>44673.61929747685</v>
      </c>
      <c r="B1247" s="36" t="s">
        <v>7</v>
      </c>
      <c r="C1247" s="36" t="s">
        <v>15</v>
      </c>
      <c r="BW1247" s="36" t="s">
        <v>3950</v>
      </c>
      <c r="BX1247" s="36" t="s">
        <v>3951</v>
      </c>
      <c r="BZ1247" s="36" t="s">
        <v>313</v>
      </c>
      <c r="CA1247" s="36" t="s">
        <v>3952</v>
      </c>
      <c r="CB1247" s="36" t="s">
        <v>456</v>
      </c>
      <c r="CC1247" s="36" t="s">
        <v>553</v>
      </c>
      <c r="CD1247" s="37">
        <v>44585.0</v>
      </c>
      <c r="CE1247" s="37">
        <v>44638.0</v>
      </c>
      <c r="CF1247" s="36">
        <v>85.0</v>
      </c>
      <c r="CG1247" s="38" t="s">
        <v>3953</v>
      </c>
      <c r="FL1247" s="36" t="s">
        <v>3954</v>
      </c>
      <c r="FM1247" s="36" t="s">
        <v>283</v>
      </c>
    </row>
    <row r="1248">
      <c r="A1248" s="50">
        <v>44673.61946929398</v>
      </c>
      <c r="B1248" s="36" t="s">
        <v>7</v>
      </c>
      <c r="C1248" s="36" t="s">
        <v>12</v>
      </c>
      <c r="AN1248" s="36" t="s">
        <v>3839</v>
      </c>
      <c r="AO1248" s="36" t="s">
        <v>3840</v>
      </c>
      <c r="AP1248" s="36" t="s">
        <v>3955</v>
      </c>
      <c r="AQ1248" s="36" t="s">
        <v>503</v>
      </c>
      <c r="AR1248" s="37">
        <v>44470.0</v>
      </c>
      <c r="AS1248" s="37">
        <v>44560.0</v>
      </c>
      <c r="AT1248" s="36" t="s">
        <v>257</v>
      </c>
      <c r="AU1248" s="36" t="s">
        <v>257</v>
      </c>
      <c r="AV1248" s="36">
        <v>0.0</v>
      </c>
      <c r="AW1248" s="38" t="s">
        <v>3956</v>
      </c>
      <c r="FL1248" s="36" t="s">
        <v>3845</v>
      </c>
      <c r="FM1248" s="36" t="s">
        <v>283</v>
      </c>
    </row>
    <row r="1249">
      <c r="A1249" s="50">
        <v>44673.61969072917</v>
      </c>
      <c r="B1249" s="36" t="s">
        <v>7</v>
      </c>
      <c r="C1249" s="36" t="s">
        <v>12</v>
      </c>
      <c r="AN1249" s="36" t="s">
        <v>3957</v>
      </c>
      <c r="AO1249" s="36" t="s">
        <v>3958</v>
      </c>
      <c r="AP1249" s="36" t="s">
        <v>3959</v>
      </c>
      <c r="AQ1249" s="36" t="s">
        <v>507</v>
      </c>
      <c r="AR1249" s="37">
        <v>44470.0</v>
      </c>
      <c r="AS1249" s="37">
        <v>44561.0</v>
      </c>
      <c r="AT1249" s="36" t="s">
        <v>257</v>
      </c>
      <c r="AU1249" s="36" t="s">
        <v>257</v>
      </c>
      <c r="AV1249" s="36">
        <v>0.0</v>
      </c>
      <c r="AW1249" s="38" t="s">
        <v>3960</v>
      </c>
      <c r="FL1249" s="36" t="s">
        <v>3961</v>
      </c>
      <c r="FM1249" s="36" t="s">
        <v>283</v>
      </c>
    </row>
    <row r="1250">
      <c r="A1250" s="50">
        <v>44673.619794791666</v>
      </c>
      <c r="B1250" s="36" t="s">
        <v>7</v>
      </c>
      <c r="C1250" s="36" t="s">
        <v>13</v>
      </c>
      <c r="AX1250" s="36" t="s">
        <v>3786</v>
      </c>
      <c r="AY1250" s="36" t="s">
        <v>3787</v>
      </c>
      <c r="AZ1250" s="36" t="s">
        <v>3962</v>
      </c>
      <c r="BA1250" s="36" t="s">
        <v>3963</v>
      </c>
      <c r="BB1250" s="36" t="s">
        <v>310</v>
      </c>
      <c r="BC1250" s="37">
        <v>44604.0</v>
      </c>
      <c r="BD1250" s="37">
        <v>44663.0</v>
      </c>
      <c r="BE1250" s="37">
        <v>44663.0</v>
      </c>
      <c r="BF1250" s="51">
        <v>0.8</v>
      </c>
      <c r="BG1250" s="36" t="s">
        <v>3964</v>
      </c>
      <c r="BH1250" s="38" t="s">
        <v>3965</v>
      </c>
      <c r="FL1250" s="36" t="s">
        <v>3790</v>
      </c>
      <c r="FM1250" s="36" t="s">
        <v>283</v>
      </c>
    </row>
    <row r="1251">
      <c r="A1251" s="50">
        <v>44673.61988804398</v>
      </c>
      <c r="B1251" s="36" t="s">
        <v>7</v>
      </c>
      <c r="C1251" s="36" t="s">
        <v>13</v>
      </c>
      <c r="AX1251" s="36" t="s">
        <v>3717</v>
      </c>
      <c r="AY1251" s="36" t="s">
        <v>3718</v>
      </c>
      <c r="AZ1251" s="36" t="s">
        <v>3966</v>
      </c>
      <c r="BA1251" s="36" t="s">
        <v>3023</v>
      </c>
      <c r="BB1251" s="36" t="s">
        <v>510</v>
      </c>
      <c r="BC1251" s="37">
        <v>44259.0</v>
      </c>
      <c r="BD1251" s="37">
        <v>44322.0</v>
      </c>
      <c r="BE1251" s="37">
        <v>44321.0</v>
      </c>
      <c r="BF1251" s="36">
        <v>85.0</v>
      </c>
      <c r="BG1251" s="36" t="s">
        <v>1503</v>
      </c>
      <c r="BH1251" s="38" t="s">
        <v>3967</v>
      </c>
      <c r="FL1251" s="36" t="s">
        <v>3721</v>
      </c>
      <c r="FM1251" s="36" t="s">
        <v>283</v>
      </c>
    </row>
    <row r="1252">
      <c r="A1252" s="50">
        <v>44673.61997591435</v>
      </c>
      <c r="B1252" s="36" t="s">
        <v>7</v>
      </c>
      <c r="C1252" s="36" t="s">
        <v>13</v>
      </c>
      <c r="AX1252" s="36" t="s">
        <v>2868</v>
      </c>
      <c r="AY1252" s="36" t="s">
        <v>2869</v>
      </c>
      <c r="AZ1252" s="36" t="s">
        <v>667</v>
      </c>
      <c r="BA1252" s="36" t="s">
        <v>337</v>
      </c>
      <c r="BB1252" s="36" t="s">
        <v>450</v>
      </c>
      <c r="BC1252" s="37">
        <v>44512.0</v>
      </c>
      <c r="BD1252" s="37">
        <v>44604.0</v>
      </c>
      <c r="BE1252" s="37">
        <v>44604.0</v>
      </c>
      <c r="BF1252" s="36">
        <v>95.69</v>
      </c>
      <c r="BG1252" s="36" t="s">
        <v>559</v>
      </c>
      <c r="BH1252" s="38" t="s">
        <v>3968</v>
      </c>
      <c r="FL1252" s="36" t="s">
        <v>2871</v>
      </c>
      <c r="FM1252" s="36" t="s">
        <v>283</v>
      </c>
    </row>
    <row r="1253">
      <c r="A1253" s="50">
        <v>44673.62028756944</v>
      </c>
      <c r="B1253" s="36" t="s">
        <v>7</v>
      </c>
      <c r="C1253" s="36" t="s">
        <v>13</v>
      </c>
      <c r="AX1253" s="36" t="s">
        <v>3758</v>
      </c>
      <c r="AY1253" s="36" t="s">
        <v>3471</v>
      </c>
      <c r="AZ1253" s="36" t="s">
        <v>2330</v>
      </c>
      <c r="BA1253" s="36" t="s">
        <v>377</v>
      </c>
      <c r="BB1253" s="36" t="s">
        <v>495</v>
      </c>
      <c r="BC1253" s="37">
        <v>44105.0</v>
      </c>
      <c r="BD1253" s="37">
        <v>44136.0</v>
      </c>
      <c r="BE1253" s="37">
        <v>44136.0</v>
      </c>
      <c r="BF1253" s="36">
        <v>100.0</v>
      </c>
      <c r="BG1253" s="36" t="s">
        <v>3969</v>
      </c>
      <c r="BH1253" s="38" t="s">
        <v>3970</v>
      </c>
      <c r="FL1253" s="36" t="s">
        <v>3474</v>
      </c>
      <c r="FM1253" s="36" t="s">
        <v>283</v>
      </c>
    </row>
    <row r="1254">
      <c r="A1254" s="50">
        <v>44673.62038577546</v>
      </c>
      <c r="B1254" s="36" t="s">
        <v>7</v>
      </c>
      <c r="C1254" s="36" t="s">
        <v>13</v>
      </c>
      <c r="AX1254" s="36" t="s">
        <v>3688</v>
      </c>
      <c r="AY1254" s="36" t="s">
        <v>3689</v>
      </c>
      <c r="AZ1254" s="36" t="s">
        <v>3971</v>
      </c>
      <c r="BA1254" s="36" t="s">
        <v>3972</v>
      </c>
      <c r="BB1254" s="36" t="s">
        <v>2555</v>
      </c>
      <c r="BC1254" s="37">
        <v>44088.0</v>
      </c>
      <c r="BD1254" s="37">
        <v>44277.0</v>
      </c>
      <c r="BE1254" s="37">
        <v>44277.0</v>
      </c>
      <c r="BF1254" s="36" t="s">
        <v>523</v>
      </c>
      <c r="BG1254" s="36" t="s">
        <v>3972</v>
      </c>
      <c r="BH1254" s="38" t="s">
        <v>3973</v>
      </c>
      <c r="FL1254" s="36" t="s">
        <v>3691</v>
      </c>
      <c r="FM1254" s="36" t="s">
        <v>283</v>
      </c>
    </row>
    <row r="1255">
      <c r="A1255" s="50">
        <v>44673.62067927083</v>
      </c>
      <c r="B1255" s="36" t="s">
        <v>7</v>
      </c>
      <c r="C1255" s="36" t="s">
        <v>13</v>
      </c>
      <c r="AX1255" s="36" t="s">
        <v>3684</v>
      </c>
      <c r="AY1255" s="36" t="s">
        <v>3685</v>
      </c>
      <c r="AZ1255" s="36" t="s">
        <v>3974</v>
      </c>
      <c r="BA1255" s="36" t="s">
        <v>3975</v>
      </c>
      <c r="BB1255" s="36" t="s">
        <v>3976</v>
      </c>
      <c r="BC1255" s="37">
        <v>44095.0</v>
      </c>
      <c r="BD1255" s="37">
        <v>44099.0</v>
      </c>
      <c r="BE1255" s="37">
        <v>44099.0</v>
      </c>
      <c r="BF1255" s="36">
        <v>75.0</v>
      </c>
      <c r="BG1255" s="36" t="s">
        <v>3977</v>
      </c>
      <c r="BH1255" s="38" t="s">
        <v>3978</v>
      </c>
      <c r="FL1255" s="36" t="s">
        <v>3687</v>
      </c>
      <c r="FM1255" s="36" t="s">
        <v>283</v>
      </c>
    </row>
    <row r="1256">
      <c r="A1256" s="50">
        <v>44673.62076196759</v>
      </c>
      <c r="B1256" s="36" t="s">
        <v>7</v>
      </c>
      <c r="C1256" s="36" t="s">
        <v>13</v>
      </c>
      <c r="AX1256" s="36" t="s">
        <v>3908</v>
      </c>
      <c r="AY1256" s="36" t="s">
        <v>3909</v>
      </c>
      <c r="AZ1256" s="36" t="s">
        <v>3979</v>
      </c>
      <c r="BA1256" s="36" t="s">
        <v>1088</v>
      </c>
      <c r="BB1256" s="36" t="s">
        <v>495</v>
      </c>
      <c r="BC1256" s="37">
        <v>44058.0</v>
      </c>
      <c r="BD1256" s="37">
        <v>44089.0</v>
      </c>
      <c r="BE1256" s="37">
        <v>44089.0</v>
      </c>
      <c r="BF1256" s="51">
        <v>1.0</v>
      </c>
      <c r="BG1256" s="36" t="s">
        <v>1375</v>
      </c>
      <c r="BH1256" s="38" t="s">
        <v>3980</v>
      </c>
      <c r="FL1256" s="36" t="s">
        <v>3912</v>
      </c>
      <c r="FM1256" s="36" t="s">
        <v>283</v>
      </c>
    </row>
    <row r="1257">
      <c r="A1257" s="50">
        <v>44673.621113194444</v>
      </c>
      <c r="B1257" s="36" t="s">
        <v>7</v>
      </c>
      <c r="C1257" s="36" t="s">
        <v>13</v>
      </c>
      <c r="AX1257" s="36" t="s">
        <v>3981</v>
      </c>
      <c r="AY1257" s="36" t="s">
        <v>3982</v>
      </c>
      <c r="AZ1257" s="36" t="s">
        <v>347</v>
      </c>
      <c r="BA1257" s="36" t="s">
        <v>337</v>
      </c>
      <c r="BB1257" s="36" t="s">
        <v>320</v>
      </c>
      <c r="BC1257" s="37">
        <v>44204.0</v>
      </c>
      <c r="BD1257" s="37">
        <v>44628.0</v>
      </c>
      <c r="BE1257" s="37">
        <v>44659.0</v>
      </c>
      <c r="BF1257" s="36" t="s">
        <v>3983</v>
      </c>
      <c r="BG1257" s="36" t="s">
        <v>3846</v>
      </c>
      <c r="BH1257" s="38" t="s">
        <v>3984</v>
      </c>
      <c r="FL1257" s="36" t="s">
        <v>3985</v>
      </c>
      <c r="FM1257" s="36" t="s">
        <v>283</v>
      </c>
    </row>
    <row r="1258">
      <c r="A1258" s="50">
        <v>44673.62114407407</v>
      </c>
      <c r="B1258" s="36" t="s">
        <v>7</v>
      </c>
      <c r="C1258" s="36" t="s">
        <v>13</v>
      </c>
      <c r="AX1258" s="36" t="s">
        <v>3986</v>
      </c>
      <c r="AY1258" s="36" t="s">
        <v>3987</v>
      </c>
      <c r="AZ1258" s="36" t="s">
        <v>687</v>
      </c>
      <c r="BA1258" s="36" t="s">
        <v>377</v>
      </c>
      <c r="BB1258" s="36" t="s">
        <v>495</v>
      </c>
      <c r="BC1258" s="37">
        <v>44266.0</v>
      </c>
      <c r="BD1258" s="37">
        <v>44322.0</v>
      </c>
      <c r="BE1258" s="37">
        <v>44322.0</v>
      </c>
      <c r="BF1258" s="36">
        <v>80.0</v>
      </c>
      <c r="BG1258" s="36" t="s">
        <v>1503</v>
      </c>
      <c r="BH1258" s="38" t="s">
        <v>3988</v>
      </c>
      <c r="FL1258" s="36" t="s">
        <v>3989</v>
      </c>
      <c r="FM1258" s="36" t="s">
        <v>283</v>
      </c>
    </row>
    <row r="1259">
      <c r="A1259" s="50">
        <v>44673.62127530093</v>
      </c>
      <c r="B1259" s="36" t="s">
        <v>7</v>
      </c>
      <c r="C1259" s="36" t="s">
        <v>13</v>
      </c>
      <c r="AX1259" s="36" t="s">
        <v>3325</v>
      </c>
      <c r="AY1259" s="36" t="s">
        <v>3326</v>
      </c>
      <c r="AZ1259" s="36" t="s">
        <v>3990</v>
      </c>
      <c r="BA1259" s="36" t="s">
        <v>3029</v>
      </c>
      <c r="BB1259" s="36" t="s">
        <v>495</v>
      </c>
      <c r="BC1259" s="37">
        <v>43965.0</v>
      </c>
      <c r="BD1259" s="37">
        <v>43996.0</v>
      </c>
      <c r="BE1259" s="37">
        <v>43996.0</v>
      </c>
      <c r="BF1259" s="51">
        <v>0.95</v>
      </c>
      <c r="BG1259" s="36" t="s">
        <v>3991</v>
      </c>
      <c r="BH1259" s="38" t="s">
        <v>3992</v>
      </c>
      <c r="FL1259" s="36" t="s">
        <v>3328</v>
      </c>
      <c r="FM1259" s="36" t="s">
        <v>283</v>
      </c>
    </row>
    <row r="1260">
      <c r="A1260" s="50">
        <v>44673.62161081018</v>
      </c>
      <c r="B1260" s="36" t="s">
        <v>7</v>
      </c>
      <c r="C1260" s="36" t="s">
        <v>13</v>
      </c>
      <c r="AX1260" s="36" t="s">
        <v>3993</v>
      </c>
      <c r="AY1260" s="36" t="s">
        <v>3994</v>
      </c>
      <c r="AZ1260" s="36" t="s">
        <v>2069</v>
      </c>
      <c r="BA1260" s="36" t="s">
        <v>377</v>
      </c>
      <c r="BB1260" s="36" t="s">
        <v>310</v>
      </c>
      <c r="BC1260" s="37">
        <v>44199.0</v>
      </c>
      <c r="BD1260" s="37">
        <v>44258.0</v>
      </c>
      <c r="BE1260" s="37">
        <v>44258.0</v>
      </c>
      <c r="BF1260" s="36" t="s">
        <v>3995</v>
      </c>
      <c r="BG1260" s="36" t="s">
        <v>3996</v>
      </c>
      <c r="BH1260" s="38" t="s">
        <v>3997</v>
      </c>
      <c r="FL1260" s="36" t="s">
        <v>3998</v>
      </c>
      <c r="FM1260" s="36" t="s">
        <v>283</v>
      </c>
    </row>
    <row r="1261">
      <c r="A1261" s="50">
        <v>44673.621819259264</v>
      </c>
      <c r="B1261" s="36" t="s">
        <v>7</v>
      </c>
      <c r="C1261" s="36" t="s">
        <v>13</v>
      </c>
      <c r="AX1261" s="36" t="s">
        <v>3940</v>
      </c>
      <c r="AY1261" s="36" t="s">
        <v>2865</v>
      </c>
      <c r="AZ1261" s="36" t="s">
        <v>566</v>
      </c>
      <c r="BA1261" s="36" t="s">
        <v>377</v>
      </c>
      <c r="BB1261" s="36" t="s">
        <v>450</v>
      </c>
      <c r="BC1261" s="37">
        <v>44448.0</v>
      </c>
      <c r="BD1261" s="37">
        <v>44539.0</v>
      </c>
      <c r="BE1261" s="37">
        <v>44539.0</v>
      </c>
      <c r="BF1261" s="36">
        <v>90.0</v>
      </c>
      <c r="BG1261" s="36" t="s">
        <v>559</v>
      </c>
      <c r="BH1261" s="38" t="s">
        <v>3999</v>
      </c>
      <c r="FL1261" s="36" t="s">
        <v>2867</v>
      </c>
      <c r="FM1261" s="36" t="s">
        <v>283</v>
      </c>
    </row>
    <row r="1262">
      <c r="A1262" s="50">
        <v>44673.621842685185</v>
      </c>
      <c r="B1262" s="36" t="s">
        <v>7</v>
      </c>
      <c r="C1262" s="36" t="s">
        <v>13</v>
      </c>
      <c r="AX1262" s="36" t="s">
        <v>3860</v>
      </c>
      <c r="AY1262" s="36" t="s">
        <v>3781</v>
      </c>
      <c r="AZ1262" s="36" t="s">
        <v>2949</v>
      </c>
      <c r="BA1262" s="36" t="s">
        <v>377</v>
      </c>
      <c r="BB1262" s="36" t="s">
        <v>1068</v>
      </c>
      <c r="BC1262" s="37">
        <v>44078.0</v>
      </c>
      <c r="BD1262" s="37">
        <v>44143.0</v>
      </c>
      <c r="BE1262" s="37">
        <v>44136.0</v>
      </c>
      <c r="BF1262" s="36">
        <v>85.0</v>
      </c>
      <c r="BG1262" s="36" t="s">
        <v>857</v>
      </c>
      <c r="BH1262" s="38" t="s">
        <v>4000</v>
      </c>
      <c r="FL1262" s="36" t="s">
        <v>3783</v>
      </c>
      <c r="FM1262" s="36" t="s">
        <v>283</v>
      </c>
    </row>
    <row r="1263">
      <c r="A1263" s="50">
        <v>44673.6219400463</v>
      </c>
      <c r="B1263" s="36" t="s">
        <v>7</v>
      </c>
      <c r="C1263" s="36" t="s">
        <v>13</v>
      </c>
      <c r="AX1263" s="36" t="s">
        <v>2868</v>
      </c>
      <c r="AY1263" s="36" t="s">
        <v>2869</v>
      </c>
      <c r="AZ1263" s="36" t="s">
        <v>571</v>
      </c>
      <c r="BA1263" s="36" t="s">
        <v>337</v>
      </c>
      <c r="BB1263" s="36" t="s">
        <v>450</v>
      </c>
      <c r="BC1263" s="37">
        <v>44448.0</v>
      </c>
      <c r="BD1263" s="37">
        <v>44539.0</v>
      </c>
      <c r="BE1263" s="37">
        <v>44539.0</v>
      </c>
      <c r="BF1263" s="36">
        <v>90.0</v>
      </c>
      <c r="BG1263" s="36" t="s">
        <v>559</v>
      </c>
      <c r="BH1263" s="38" t="s">
        <v>4001</v>
      </c>
      <c r="FL1263" s="36" t="s">
        <v>2871</v>
      </c>
      <c r="FM1263" s="36" t="s">
        <v>283</v>
      </c>
    </row>
    <row r="1264">
      <c r="A1264" s="50">
        <v>44673.62209965278</v>
      </c>
      <c r="B1264" s="36" t="s">
        <v>7</v>
      </c>
      <c r="C1264" s="36" t="s">
        <v>13</v>
      </c>
      <c r="AX1264" s="36" t="s">
        <v>3717</v>
      </c>
      <c r="AY1264" s="36" t="s">
        <v>3718</v>
      </c>
      <c r="AZ1264" s="36" t="s">
        <v>4002</v>
      </c>
      <c r="BA1264" s="36" t="s">
        <v>3023</v>
      </c>
      <c r="BB1264" s="36" t="s">
        <v>510</v>
      </c>
      <c r="BC1264" s="37">
        <v>44322.0</v>
      </c>
      <c r="BD1264" s="37">
        <v>44383.0</v>
      </c>
      <c r="BE1264" s="37">
        <v>44383.0</v>
      </c>
      <c r="BF1264" s="36">
        <v>85.0</v>
      </c>
      <c r="BG1264" s="36" t="s">
        <v>1916</v>
      </c>
      <c r="BH1264" s="38" t="s">
        <v>4003</v>
      </c>
      <c r="FL1264" s="36" t="s">
        <v>3721</v>
      </c>
      <c r="FM1264" s="36" t="s">
        <v>283</v>
      </c>
    </row>
    <row r="1265">
      <c r="A1265" s="50">
        <v>44673.62219616898</v>
      </c>
      <c r="B1265" s="36" t="s">
        <v>7</v>
      </c>
      <c r="C1265" s="36" t="s">
        <v>12</v>
      </c>
      <c r="AN1265" s="36" t="s">
        <v>4004</v>
      </c>
      <c r="AO1265" s="36" t="s">
        <v>4005</v>
      </c>
      <c r="AP1265" s="36" t="s">
        <v>4006</v>
      </c>
      <c r="AQ1265" s="36" t="s">
        <v>507</v>
      </c>
      <c r="AR1265" s="37">
        <v>44470.0</v>
      </c>
      <c r="AS1265" s="37">
        <v>44561.0</v>
      </c>
      <c r="AT1265" s="36" t="s">
        <v>257</v>
      </c>
      <c r="AU1265" s="36" t="s">
        <v>257</v>
      </c>
      <c r="AV1265" s="36">
        <v>0.0</v>
      </c>
      <c r="AW1265" s="38" t="s">
        <v>4007</v>
      </c>
      <c r="FL1265" s="36" t="s">
        <v>4008</v>
      </c>
      <c r="FM1265" s="36" t="s">
        <v>283</v>
      </c>
    </row>
    <row r="1266">
      <c r="A1266" s="50">
        <v>44673.62231097222</v>
      </c>
      <c r="B1266" s="36" t="s">
        <v>7</v>
      </c>
      <c r="C1266" s="36" t="s">
        <v>13</v>
      </c>
      <c r="AX1266" s="36" t="s">
        <v>3902</v>
      </c>
      <c r="AY1266" s="36" t="s">
        <v>3903</v>
      </c>
      <c r="AZ1266" s="36" t="s">
        <v>4009</v>
      </c>
      <c r="BA1266" s="36" t="s">
        <v>345</v>
      </c>
      <c r="BB1266" s="36" t="s">
        <v>4010</v>
      </c>
      <c r="BC1266" s="37">
        <v>44045.0</v>
      </c>
      <c r="BD1266" s="37">
        <v>44061.0</v>
      </c>
      <c r="BE1266" s="37">
        <v>44061.0</v>
      </c>
      <c r="BF1266" s="51">
        <v>0.8</v>
      </c>
      <c r="BG1266" s="36" t="s">
        <v>4011</v>
      </c>
      <c r="BH1266" s="38" t="s">
        <v>4012</v>
      </c>
      <c r="FL1266" s="36" t="s">
        <v>3907</v>
      </c>
      <c r="FM1266" s="36" t="s">
        <v>283</v>
      </c>
    </row>
    <row r="1267">
      <c r="A1267" s="50">
        <v>44673.62297982639</v>
      </c>
      <c r="B1267" s="36" t="s">
        <v>7</v>
      </c>
      <c r="C1267" s="36" t="s">
        <v>12</v>
      </c>
      <c r="AN1267" s="36" t="s">
        <v>3950</v>
      </c>
      <c r="AO1267" s="36" t="s">
        <v>3951</v>
      </c>
      <c r="AP1267" s="36" t="s">
        <v>4013</v>
      </c>
      <c r="AQ1267" s="36" t="s">
        <v>507</v>
      </c>
      <c r="AR1267" s="37">
        <v>44470.0</v>
      </c>
      <c r="AS1267" s="37">
        <v>44561.0</v>
      </c>
      <c r="AT1267" s="36" t="s">
        <v>257</v>
      </c>
      <c r="AU1267" s="36" t="s">
        <v>257</v>
      </c>
      <c r="AV1267" s="36">
        <v>0.0</v>
      </c>
      <c r="AW1267" s="38" t="s">
        <v>4014</v>
      </c>
      <c r="FL1267" s="36" t="s">
        <v>3954</v>
      </c>
      <c r="FM1267" s="36" t="s">
        <v>283</v>
      </c>
    </row>
    <row r="1268">
      <c r="A1268" s="50">
        <v>44673.622991435186</v>
      </c>
      <c r="B1268" s="36" t="s">
        <v>7</v>
      </c>
      <c r="C1268" s="36" t="s">
        <v>13</v>
      </c>
      <c r="AX1268" s="36" t="s">
        <v>4015</v>
      </c>
      <c r="AY1268" s="36" t="s">
        <v>3744</v>
      </c>
      <c r="AZ1268" s="36" t="s">
        <v>347</v>
      </c>
      <c r="BA1268" s="36" t="s">
        <v>900</v>
      </c>
      <c r="BB1268" s="36" t="s">
        <v>510</v>
      </c>
      <c r="BC1268" s="37">
        <v>44218.0</v>
      </c>
      <c r="BD1268" s="37">
        <v>44263.0</v>
      </c>
      <c r="BE1268" s="37">
        <v>44263.0</v>
      </c>
      <c r="BF1268" s="36">
        <v>89.0</v>
      </c>
      <c r="BG1268" s="36" t="s">
        <v>559</v>
      </c>
      <c r="BH1268" s="38" t="s">
        <v>4016</v>
      </c>
      <c r="FL1268" s="36" t="s">
        <v>3748</v>
      </c>
      <c r="FM1268" s="36" t="s">
        <v>283</v>
      </c>
    </row>
    <row r="1269">
      <c r="A1269" s="50">
        <v>44673.623464606484</v>
      </c>
      <c r="B1269" s="36" t="s">
        <v>7</v>
      </c>
      <c r="C1269" s="36" t="s">
        <v>13</v>
      </c>
      <c r="AX1269" s="36" t="s">
        <v>3908</v>
      </c>
      <c r="AY1269" s="36" t="s">
        <v>3909</v>
      </c>
      <c r="AZ1269" s="36" t="s">
        <v>543</v>
      </c>
      <c r="BA1269" s="36" t="s">
        <v>1088</v>
      </c>
      <c r="BB1269" s="36" t="s">
        <v>882</v>
      </c>
      <c r="BC1269" s="37">
        <v>44069.0</v>
      </c>
      <c r="BD1269" s="37">
        <v>44100.0</v>
      </c>
      <c r="BE1269" s="37">
        <v>44100.0</v>
      </c>
      <c r="BF1269" s="51">
        <v>1.0</v>
      </c>
      <c r="BG1269" s="36" t="s">
        <v>1375</v>
      </c>
      <c r="BH1269" s="38" t="s">
        <v>4017</v>
      </c>
      <c r="FL1269" s="36" t="s">
        <v>3912</v>
      </c>
      <c r="FM1269" s="36" t="s">
        <v>283</v>
      </c>
    </row>
    <row r="1270">
      <c r="A1270" s="50">
        <v>44673.6235190625</v>
      </c>
      <c r="B1270" s="36" t="s">
        <v>7</v>
      </c>
      <c r="C1270" s="36" t="s">
        <v>13</v>
      </c>
      <c r="AX1270" s="36" t="s">
        <v>3993</v>
      </c>
      <c r="AY1270" s="36" t="s">
        <v>3994</v>
      </c>
      <c r="AZ1270" s="36" t="s">
        <v>1183</v>
      </c>
      <c r="BA1270" s="36" t="s">
        <v>377</v>
      </c>
      <c r="BB1270" s="36" t="s">
        <v>450</v>
      </c>
      <c r="BC1270" s="37">
        <v>43957.0</v>
      </c>
      <c r="BD1270" s="37">
        <v>44037.0</v>
      </c>
      <c r="BE1270" s="37">
        <v>44037.0</v>
      </c>
      <c r="BF1270" s="36">
        <v>80.0</v>
      </c>
      <c r="BG1270" s="36" t="s">
        <v>1490</v>
      </c>
      <c r="BH1270" s="38" t="s">
        <v>4018</v>
      </c>
      <c r="FL1270" s="36" t="s">
        <v>3998</v>
      </c>
      <c r="FM1270" s="36" t="s">
        <v>283</v>
      </c>
    </row>
    <row r="1271">
      <c r="A1271" s="50">
        <v>44673.623527083335</v>
      </c>
      <c r="B1271" s="36" t="s">
        <v>7</v>
      </c>
      <c r="C1271" s="36" t="s">
        <v>13</v>
      </c>
      <c r="AX1271" s="36" t="s">
        <v>3239</v>
      </c>
      <c r="AY1271" s="36" t="s">
        <v>3240</v>
      </c>
      <c r="AZ1271" s="36" t="s">
        <v>347</v>
      </c>
      <c r="BA1271" s="36" t="s">
        <v>900</v>
      </c>
      <c r="BB1271" s="36" t="s">
        <v>1846</v>
      </c>
      <c r="BC1271" s="37">
        <v>44203.0</v>
      </c>
      <c r="BD1271" s="37">
        <v>44300.0</v>
      </c>
      <c r="BE1271" s="37">
        <v>44300.0</v>
      </c>
      <c r="BF1271" s="51">
        <v>0.9</v>
      </c>
      <c r="BG1271" s="36" t="s">
        <v>3770</v>
      </c>
      <c r="BH1271" s="38" t="s">
        <v>4019</v>
      </c>
      <c r="FL1271" s="36" t="s">
        <v>3242</v>
      </c>
      <c r="FM1271" s="36" t="s">
        <v>555</v>
      </c>
    </row>
    <row r="1272">
      <c r="A1272" s="50">
        <v>44673.62353005787</v>
      </c>
      <c r="B1272" s="36" t="s">
        <v>7</v>
      </c>
      <c r="C1272" s="36" t="s">
        <v>13</v>
      </c>
      <c r="AX1272" s="36" t="s">
        <v>3325</v>
      </c>
      <c r="AY1272" s="36" t="s">
        <v>3326</v>
      </c>
      <c r="AZ1272" s="36" t="s">
        <v>2949</v>
      </c>
      <c r="BA1272" s="36" t="s">
        <v>3029</v>
      </c>
      <c r="BB1272" s="36" t="s">
        <v>4020</v>
      </c>
      <c r="BC1272" s="37">
        <v>44102.0</v>
      </c>
      <c r="BD1272" s="37">
        <v>44132.0</v>
      </c>
      <c r="BE1272" s="37">
        <v>44132.0</v>
      </c>
      <c r="BF1272" s="51">
        <v>0.95</v>
      </c>
      <c r="BG1272" s="36" t="s">
        <v>4021</v>
      </c>
      <c r="BH1272" s="38" t="s">
        <v>4022</v>
      </c>
      <c r="FL1272" s="36" t="s">
        <v>3328</v>
      </c>
      <c r="FM1272" s="36" t="s">
        <v>283</v>
      </c>
    </row>
    <row r="1273">
      <c r="A1273" s="50">
        <v>44673.62383199074</v>
      </c>
      <c r="B1273" s="36" t="s">
        <v>7</v>
      </c>
      <c r="C1273" s="36" t="s">
        <v>13</v>
      </c>
      <c r="AX1273" s="36" t="s">
        <v>2868</v>
      </c>
      <c r="AY1273" s="36" t="s">
        <v>2869</v>
      </c>
      <c r="AZ1273" s="36" t="s">
        <v>687</v>
      </c>
      <c r="BA1273" s="36" t="s">
        <v>337</v>
      </c>
      <c r="BB1273" s="36" t="s">
        <v>450</v>
      </c>
      <c r="BC1273" s="37">
        <v>44598.0</v>
      </c>
      <c r="BD1273" s="37">
        <v>44322.0</v>
      </c>
      <c r="BE1273" s="37">
        <v>44322.0</v>
      </c>
      <c r="BF1273" s="36">
        <v>90.0</v>
      </c>
      <c r="BG1273" s="36" t="s">
        <v>4023</v>
      </c>
      <c r="BH1273" s="38" t="s">
        <v>4024</v>
      </c>
      <c r="FL1273" s="36" t="s">
        <v>2871</v>
      </c>
      <c r="FM1273" s="36" t="s">
        <v>283</v>
      </c>
    </row>
    <row r="1274">
      <c r="A1274" s="50">
        <v>44673.62385905093</v>
      </c>
      <c r="B1274" s="36" t="s">
        <v>7</v>
      </c>
      <c r="C1274" s="36" t="s">
        <v>13</v>
      </c>
      <c r="AX1274" s="36" t="s">
        <v>4025</v>
      </c>
      <c r="AY1274" s="36" t="s">
        <v>3840</v>
      </c>
      <c r="AZ1274" s="36" t="s">
        <v>4026</v>
      </c>
      <c r="BA1274" s="36" t="s">
        <v>345</v>
      </c>
      <c r="BB1274" s="36" t="s">
        <v>627</v>
      </c>
      <c r="BC1274" s="37">
        <v>43912.0</v>
      </c>
      <c r="BD1274" s="37">
        <v>43943.0</v>
      </c>
      <c r="BE1274" s="37">
        <v>43943.0</v>
      </c>
      <c r="BF1274" s="36">
        <v>100.0</v>
      </c>
      <c r="BG1274" s="36" t="s">
        <v>1375</v>
      </c>
      <c r="BH1274" s="38" t="s">
        <v>4027</v>
      </c>
      <c r="FL1274" s="36" t="s">
        <v>3845</v>
      </c>
      <c r="FM1274" s="36" t="s">
        <v>283</v>
      </c>
    </row>
    <row r="1275">
      <c r="A1275" s="50">
        <v>44673.62410806713</v>
      </c>
      <c r="B1275" s="36" t="s">
        <v>7</v>
      </c>
      <c r="C1275" s="36" t="s">
        <v>13</v>
      </c>
      <c r="AX1275" s="36" t="s">
        <v>3981</v>
      </c>
      <c r="AY1275" s="36" t="s">
        <v>3982</v>
      </c>
      <c r="AZ1275" s="36" t="s">
        <v>981</v>
      </c>
      <c r="BA1275" s="36" t="s">
        <v>377</v>
      </c>
      <c r="BB1275" s="36" t="s">
        <v>495</v>
      </c>
      <c r="BC1275" s="37">
        <v>43957.0</v>
      </c>
      <c r="BD1275" s="37">
        <v>43987.0</v>
      </c>
      <c r="BE1275" s="37">
        <v>43987.0</v>
      </c>
      <c r="BF1275" s="36" t="s">
        <v>1754</v>
      </c>
      <c r="BG1275" s="36" t="s">
        <v>1490</v>
      </c>
      <c r="BH1275" s="38" t="s">
        <v>4028</v>
      </c>
      <c r="FL1275" s="36" t="s">
        <v>4029</v>
      </c>
      <c r="FM1275" s="36" t="s">
        <v>283</v>
      </c>
    </row>
    <row r="1276">
      <c r="A1276" s="50">
        <v>44673.62427236111</v>
      </c>
      <c r="B1276" s="36" t="s">
        <v>7</v>
      </c>
      <c r="C1276" s="36" t="s">
        <v>13</v>
      </c>
      <c r="AX1276" s="36" t="s">
        <v>3940</v>
      </c>
      <c r="AY1276" s="36" t="s">
        <v>2865</v>
      </c>
      <c r="AZ1276" s="36" t="s">
        <v>347</v>
      </c>
      <c r="BA1276" s="36" t="s">
        <v>377</v>
      </c>
      <c r="BB1276" s="36" t="s">
        <v>450</v>
      </c>
      <c r="BC1276" s="37">
        <v>44218.0</v>
      </c>
      <c r="BD1276" s="37">
        <v>44308.0</v>
      </c>
      <c r="BE1276" s="37">
        <v>44308.0</v>
      </c>
      <c r="BF1276" s="36">
        <v>88.0</v>
      </c>
      <c r="BG1276" s="36" t="s">
        <v>559</v>
      </c>
      <c r="BH1276" s="38" t="s">
        <v>4030</v>
      </c>
      <c r="FL1276" s="36" t="s">
        <v>2867</v>
      </c>
      <c r="FM1276" s="36" t="s">
        <v>283</v>
      </c>
    </row>
    <row r="1277">
      <c r="A1277" s="50">
        <v>44673.62434012731</v>
      </c>
      <c r="B1277" s="36" t="s">
        <v>7</v>
      </c>
      <c r="C1277" s="36" t="s">
        <v>14</v>
      </c>
      <c r="BI1277" s="36" t="s">
        <v>3688</v>
      </c>
      <c r="BJ1277" s="36" t="s">
        <v>3689</v>
      </c>
      <c r="BK1277" s="36" t="s">
        <v>313</v>
      </c>
      <c r="BL1277" s="36" t="s">
        <v>172</v>
      </c>
      <c r="BM1277" s="36" t="s">
        <v>4031</v>
      </c>
      <c r="BN1277" s="36">
        <v>3.0</v>
      </c>
      <c r="BO1277" s="37">
        <v>44491.0</v>
      </c>
      <c r="BP1277" s="37">
        <v>44493.0</v>
      </c>
      <c r="BQ1277" s="36" t="s">
        <v>4032</v>
      </c>
      <c r="BR1277" s="36" t="s">
        <v>4032</v>
      </c>
      <c r="BS1277" s="36" t="s">
        <v>176</v>
      </c>
      <c r="BT1277" s="36" t="s">
        <v>156</v>
      </c>
      <c r="BV1277" s="38" t="s">
        <v>4033</v>
      </c>
      <c r="FL1277" s="36" t="s">
        <v>3691</v>
      </c>
      <c r="FM1277" s="36" t="s">
        <v>283</v>
      </c>
    </row>
    <row r="1278">
      <c r="A1278" s="50">
        <v>44673.624474131946</v>
      </c>
      <c r="B1278" s="36" t="s">
        <v>7</v>
      </c>
      <c r="C1278" s="36" t="s">
        <v>13</v>
      </c>
      <c r="AX1278" s="36" t="s">
        <v>3786</v>
      </c>
      <c r="AY1278" s="36" t="s">
        <v>3787</v>
      </c>
      <c r="AZ1278" s="36" t="s">
        <v>4034</v>
      </c>
      <c r="BA1278" s="36" t="s">
        <v>900</v>
      </c>
      <c r="BB1278" s="36" t="s">
        <v>310</v>
      </c>
      <c r="BC1278" s="37">
        <v>44562.0</v>
      </c>
      <c r="BD1278" s="37">
        <v>44646.0</v>
      </c>
      <c r="BE1278" s="37">
        <v>44646.0</v>
      </c>
      <c r="BF1278" s="51">
        <v>0.98</v>
      </c>
      <c r="BG1278" s="36" t="s">
        <v>3788</v>
      </c>
      <c r="BH1278" s="38" t="s">
        <v>4035</v>
      </c>
      <c r="FL1278" s="36" t="s">
        <v>3790</v>
      </c>
      <c r="FM1278" s="36" t="s">
        <v>283</v>
      </c>
    </row>
    <row r="1279">
      <c r="A1279" s="50">
        <v>44673.624697453706</v>
      </c>
      <c r="B1279" s="36" t="s">
        <v>7</v>
      </c>
      <c r="C1279" s="36" t="s">
        <v>20</v>
      </c>
      <c r="DX1279" s="36" t="s">
        <v>3684</v>
      </c>
      <c r="DY1279" s="36" t="s">
        <v>3685</v>
      </c>
      <c r="DZ1279" s="36" t="s">
        <v>159</v>
      </c>
      <c r="EA1279" s="36" t="s">
        <v>4036</v>
      </c>
      <c r="EB1279" s="37">
        <v>44098.0</v>
      </c>
      <c r="EC1279" s="36" t="s">
        <v>4037</v>
      </c>
      <c r="ED1279" s="38" t="s">
        <v>4038</v>
      </c>
      <c r="FL1279" s="36" t="s">
        <v>3687</v>
      </c>
      <c r="FM1279" s="36" t="s">
        <v>283</v>
      </c>
    </row>
    <row r="1280">
      <c r="A1280" s="50">
        <v>44673.62491292824</v>
      </c>
      <c r="B1280" s="36" t="s">
        <v>7</v>
      </c>
      <c r="C1280" s="36" t="s">
        <v>23</v>
      </c>
      <c r="FG1280" s="36" t="s">
        <v>3839</v>
      </c>
      <c r="FH1280" s="36" t="s">
        <v>3840</v>
      </c>
      <c r="FI1280" s="36" t="s">
        <v>745</v>
      </c>
      <c r="FJ1280" s="37">
        <v>44584.0</v>
      </c>
      <c r="FK1280" s="38" t="s">
        <v>4039</v>
      </c>
      <c r="FL1280" s="36" t="s">
        <v>3845</v>
      </c>
      <c r="FM1280" s="36" t="s">
        <v>283</v>
      </c>
    </row>
    <row r="1281">
      <c r="A1281" s="50">
        <v>44673.6250450463</v>
      </c>
      <c r="B1281" s="36" t="s">
        <v>7</v>
      </c>
      <c r="C1281" s="36" t="s">
        <v>12</v>
      </c>
      <c r="AN1281" s="36" t="s">
        <v>3993</v>
      </c>
      <c r="AO1281" s="36" t="s">
        <v>3994</v>
      </c>
      <c r="AP1281" s="36" t="s">
        <v>309</v>
      </c>
      <c r="AQ1281" s="36" t="s">
        <v>450</v>
      </c>
      <c r="AR1281" s="37">
        <v>44470.0</v>
      </c>
      <c r="AS1281" s="37">
        <v>44544.0</v>
      </c>
      <c r="AT1281" s="36" t="s">
        <v>257</v>
      </c>
      <c r="AU1281" s="36" t="s">
        <v>257</v>
      </c>
      <c r="AV1281" s="36">
        <v>0.0</v>
      </c>
      <c r="AW1281" s="38" t="s">
        <v>4040</v>
      </c>
      <c r="FL1281" s="36" t="s">
        <v>3998</v>
      </c>
      <c r="FM1281" s="36" t="s">
        <v>283</v>
      </c>
    </row>
    <row r="1282">
      <c r="A1282" s="50">
        <v>44673.62505918981</v>
      </c>
      <c r="B1282" s="36" t="s">
        <v>7</v>
      </c>
      <c r="C1282" s="36" t="s">
        <v>13</v>
      </c>
      <c r="AX1282" s="36" t="s">
        <v>4015</v>
      </c>
      <c r="AY1282" s="36" t="s">
        <v>3744</v>
      </c>
      <c r="AZ1282" s="36" t="s">
        <v>1972</v>
      </c>
      <c r="BA1282" s="36" t="s">
        <v>900</v>
      </c>
      <c r="BB1282" s="36" t="s">
        <v>310</v>
      </c>
      <c r="BC1282" s="37">
        <v>44542.0</v>
      </c>
      <c r="BD1282" s="37">
        <v>44604.0</v>
      </c>
      <c r="BE1282" s="37">
        <v>44604.0</v>
      </c>
      <c r="BF1282" s="36">
        <v>86.0</v>
      </c>
      <c r="BG1282" s="36" t="s">
        <v>559</v>
      </c>
      <c r="BH1282" s="38" t="s">
        <v>4041</v>
      </c>
      <c r="FL1282" s="36" t="s">
        <v>3748</v>
      </c>
      <c r="FM1282" s="36" t="s">
        <v>283</v>
      </c>
    </row>
    <row r="1283">
      <c r="A1283" s="50">
        <v>44673.62593355324</v>
      </c>
      <c r="B1283" s="36" t="s">
        <v>7</v>
      </c>
      <c r="C1283" s="36" t="s">
        <v>13</v>
      </c>
      <c r="AX1283" s="36" t="s">
        <v>3325</v>
      </c>
      <c r="AY1283" s="36" t="s">
        <v>3326</v>
      </c>
      <c r="AZ1283" s="36" t="s">
        <v>4042</v>
      </c>
      <c r="BA1283" s="36" t="s">
        <v>4043</v>
      </c>
      <c r="BB1283" s="36" t="s">
        <v>495</v>
      </c>
      <c r="BC1283" s="37">
        <v>44235.0</v>
      </c>
      <c r="BD1283" s="37">
        <v>44263.0</v>
      </c>
      <c r="BE1283" s="37">
        <v>44263.0</v>
      </c>
      <c r="BF1283" s="51">
        <v>0.95</v>
      </c>
      <c r="BG1283" s="36" t="s">
        <v>1527</v>
      </c>
      <c r="BH1283" s="38" t="s">
        <v>4044</v>
      </c>
      <c r="FL1283" s="36" t="s">
        <v>3328</v>
      </c>
      <c r="FM1283" s="36" t="s">
        <v>283</v>
      </c>
    </row>
    <row r="1284">
      <c r="A1284" s="50">
        <v>44673.62627447917</v>
      </c>
      <c r="B1284" s="36" t="s">
        <v>7</v>
      </c>
      <c r="C1284" s="36" t="s">
        <v>12</v>
      </c>
      <c r="AN1284" s="36" t="s">
        <v>4045</v>
      </c>
      <c r="AO1284" s="36" t="s">
        <v>4046</v>
      </c>
      <c r="AP1284" s="36" t="s">
        <v>309</v>
      </c>
      <c r="AQ1284" s="36" t="s">
        <v>450</v>
      </c>
      <c r="AR1284" s="37">
        <v>44470.0</v>
      </c>
      <c r="AS1284" s="37">
        <v>44545.0</v>
      </c>
      <c r="AT1284" s="36" t="s">
        <v>257</v>
      </c>
      <c r="AU1284" s="36" t="s">
        <v>257</v>
      </c>
      <c r="AV1284" s="36">
        <v>0.0</v>
      </c>
      <c r="AW1284" s="38" t="s">
        <v>4047</v>
      </c>
      <c r="FL1284" s="36" t="s">
        <v>4048</v>
      </c>
      <c r="FM1284" s="36" t="s">
        <v>341</v>
      </c>
    </row>
    <row r="1285">
      <c r="A1285" s="50">
        <v>44673.62631765046</v>
      </c>
      <c r="B1285" s="36" t="s">
        <v>7</v>
      </c>
      <c r="C1285" s="36" t="s">
        <v>12</v>
      </c>
      <c r="AN1285" s="36" t="s">
        <v>4049</v>
      </c>
      <c r="AO1285" s="36" t="s">
        <v>4050</v>
      </c>
      <c r="AP1285" s="36" t="s">
        <v>3342</v>
      </c>
      <c r="AQ1285" s="36" t="s">
        <v>507</v>
      </c>
      <c r="AR1285" s="37">
        <v>44478.0</v>
      </c>
      <c r="AS1285" s="37">
        <v>44548.0</v>
      </c>
      <c r="AT1285" s="36" t="s">
        <v>257</v>
      </c>
      <c r="AU1285" s="36" t="s">
        <v>257</v>
      </c>
      <c r="AV1285" s="36">
        <v>0.0</v>
      </c>
      <c r="AW1285" s="38" t="s">
        <v>4051</v>
      </c>
      <c r="FL1285" s="36" t="s">
        <v>4052</v>
      </c>
      <c r="FM1285" s="36" t="s">
        <v>283</v>
      </c>
    </row>
    <row r="1286">
      <c r="A1286" s="50">
        <v>44673.62690127315</v>
      </c>
      <c r="B1286" s="36" t="s">
        <v>7</v>
      </c>
      <c r="C1286" s="36" t="s">
        <v>12</v>
      </c>
      <c r="AN1286" s="36" t="s">
        <v>4053</v>
      </c>
      <c r="AO1286" s="36" t="s">
        <v>3982</v>
      </c>
      <c r="AP1286" s="36" t="s">
        <v>2830</v>
      </c>
      <c r="AQ1286" s="36" t="s">
        <v>507</v>
      </c>
      <c r="AR1286" s="37">
        <v>44480.0</v>
      </c>
      <c r="AS1286" s="37">
        <v>44557.0</v>
      </c>
      <c r="AT1286" s="36" t="s">
        <v>257</v>
      </c>
      <c r="AU1286" s="36" t="s">
        <v>257</v>
      </c>
      <c r="AV1286" s="36">
        <v>0.0</v>
      </c>
      <c r="AW1286" s="38" t="s">
        <v>4054</v>
      </c>
      <c r="FL1286" s="36" t="s">
        <v>3985</v>
      </c>
      <c r="FM1286" s="36" t="s">
        <v>283</v>
      </c>
    </row>
    <row r="1287">
      <c r="A1287" s="50">
        <v>44673.62734782408</v>
      </c>
      <c r="B1287" s="36" t="s">
        <v>7</v>
      </c>
      <c r="C1287" s="36" t="s">
        <v>13</v>
      </c>
      <c r="AX1287" s="36" t="s">
        <v>3325</v>
      </c>
      <c r="AY1287" s="36" t="s">
        <v>3326</v>
      </c>
      <c r="AZ1287" s="36" t="s">
        <v>4042</v>
      </c>
      <c r="BA1287" s="36" t="s">
        <v>377</v>
      </c>
      <c r="BB1287" s="36" t="s">
        <v>495</v>
      </c>
      <c r="BC1287" s="37">
        <v>44355.0</v>
      </c>
      <c r="BD1287" s="37">
        <v>44385.0</v>
      </c>
      <c r="BE1287" s="37">
        <v>44385.0</v>
      </c>
      <c r="BF1287" s="51">
        <v>0.95</v>
      </c>
      <c r="BG1287" s="36" t="s">
        <v>4055</v>
      </c>
      <c r="BH1287" s="38" t="s">
        <v>4056</v>
      </c>
      <c r="FL1287" s="36" t="s">
        <v>3328</v>
      </c>
      <c r="FM1287" s="36" t="s">
        <v>283</v>
      </c>
    </row>
    <row r="1288">
      <c r="A1288" s="50">
        <v>44673.62738002314</v>
      </c>
      <c r="B1288" s="36" t="s">
        <v>7</v>
      </c>
      <c r="C1288" s="36" t="s">
        <v>18</v>
      </c>
      <c r="DD1288" s="36" t="s">
        <v>4057</v>
      </c>
      <c r="DE1288" s="36" t="s">
        <v>1391</v>
      </c>
      <c r="DF1288" s="37">
        <v>44389.0</v>
      </c>
      <c r="DG1288" s="37">
        <v>44428.0</v>
      </c>
      <c r="DH1288" s="36">
        <v>2000.0</v>
      </c>
      <c r="DI1288" s="36" t="s">
        <v>4058</v>
      </c>
      <c r="DJ1288" s="36" t="s">
        <v>4058</v>
      </c>
      <c r="DK1288" s="36">
        <v>0.0</v>
      </c>
      <c r="DL1288" s="36">
        <v>0.0</v>
      </c>
      <c r="DM1288" s="38" t="s">
        <v>4059</v>
      </c>
      <c r="EF1288" s="36">
        <v>0.0</v>
      </c>
      <c r="FL1288" s="36" t="s">
        <v>3790</v>
      </c>
      <c r="FM1288" s="36" t="s">
        <v>283</v>
      </c>
    </row>
    <row r="1289">
      <c r="A1289" s="50">
        <v>44673.6274772801</v>
      </c>
      <c r="B1289" s="36" t="s">
        <v>7</v>
      </c>
      <c r="C1289" s="36" t="s">
        <v>12</v>
      </c>
      <c r="AN1289" s="36" t="s">
        <v>3318</v>
      </c>
      <c r="AO1289" s="36" t="s">
        <v>3319</v>
      </c>
      <c r="AP1289" s="36" t="s">
        <v>4013</v>
      </c>
      <c r="AQ1289" s="36" t="s">
        <v>507</v>
      </c>
      <c r="AR1289" s="37">
        <v>44206.0</v>
      </c>
      <c r="AS1289" s="37">
        <v>44208.0</v>
      </c>
      <c r="AT1289" s="36" t="s">
        <v>257</v>
      </c>
      <c r="AU1289" s="36" t="s">
        <v>257</v>
      </c>
      <c r="AV1289" s="36">
        <v>0.0</v>
      </c>
      <c r="AW1289" s="38" t="s">
        <v>4060</v>
      </c>
      <c r="FL1289" s="36" t="s">
        <v>3321</v>
      </c>
      <c r="FM1289" s="36" t="s">
        <v>283</v>
      </c>
    </row>
    <row r="1290">
      <c r="A1290" s="50">
        <v>44673.62772469908</v>
      </c>
      <c r="B1290" s="36" t="s">
        <v>7</v>
      </c>
      <c r="C1290" s="36" t="s">
        <v>13</v>
      </c>
      <c r="AX1290" s="36" t="s">
        <v>3908</v>
      </c>
      <c r="AY1290" s="36" t="s">
        <v>3909</v>
      </c>
      <c r="AZ1290" s="36" t="s">
        <v>3866</v>
      </c>
      <c r="BA1290" s="36" t="s">
        <v>3867</v>
      </c>
      <c r="BB1290" s="36" t="s">
        <v>973</v>
      </c>
      <c r="BC1290" s="37">
        <v>44257.0</v>
      </c>
      <c r="BD1290" s="37">
        <v>44304.0</v>
      </c>
      <c r="BE1290" s="37">
        <v>44304.0</v>
      </c>
      <c r="BF1290" s="51">
        <v>0.8</v>
      </c>
      <c r="BG1290" s="36" t="s">
        <v>4061</v>
      </c>
      <c r="BH1290" s="38" t="s">
        <v>4062</v>
      </c>
      <c r="FL1290" s="36" t="s">
        <v>3912</v>
      </c>
      <c r="FM1290" s="36" t="s">
        <v>283</v>
      </c>
    </row>
    <row r="1291">
      <c r="A1291" s="50">
        <v>44673.62806523148</v>
      </c>
      <c r="B1291" s="36" t="s">
        <v>7</v>
      </c>
      <c r="C1291" s="36" t="s">
        <v>13</v>
      </c>
      <c r="AX1291" s="36" t="s">
        <v>3860</v>
      </c>
      <c r="AY1291" s="36" t="s">
        <v>3781</v>
      </c>
      <c r="AZ1291" s="36" t="s">
        <v>4063</v>
      </c>
      <c r="BA1291" s="36" t="s">
        <v>2304</v>
      </c>
      <c r="BB1291" s="36" t="s">
        <v>310</v>
      </c>
      <c r="BC1291" s="37">
        <v>44357.0</v>
      </c>
      <c r="BD1291" s="37">
        <v>44392.0</v>
      </c>
      <c r="BE1291" s="37">
        <v>44390.0</v>
      </c>
      <c r="BF1291" s="36">
        <v>80.0</v>
      </c>
      <c r="BG1291" s="36" t="s">
        <v>4064</v>
      </c>
      <c r="BH1291" s="38" t="s">
        <v>4065</v>
      </c>
      <c r="FL1291" s="36" t="s">
        <v>3783</v>
      </c>
      <c r="FM1291" s="36" t="s">
        <v>283</v>
      </c>
    </row>
    <row r="1292">
      <c r="A1292" s="50">
        <v>44673.62814678241</v>
      </c>
      <c r="B1292" s="36" t="s">
        <v>7</v>
      </c>
      <c r="C1292" s="36" t="s">
        <v>14</v>
      </c>
      <c r="BI1292" s="36" t="s">
        <v>3684</v>
      </c>
      <c r="BJ1292" s="36" t="s">
        <v>3685</v>
      </c>
      <c r="BK1292" s="36" t="s">
        <v>159</v>
      </c>
      <c r="BL1292" s="36" t="s">
        <v>1288</v>
      </c>
      <c r="BM1292" s="36" t="s">
        <v>4066</v>
      </c>
      <c r="BN1292" s="36">
        <v>30.0</v>
      </c>
      <c r="BO1292" s="37">
        <v>44065.0</v>
      </c>
      <c r="BP1292" s="37">
        <v>44097.0</v>
      </c>
      <c r="BQ1292" s="36" t="s">
        <v>4067</v>
      </c>
      <c r="BR1292" s="36" t="s">
        <v>4068</v>
      </c>
      <c r="BS1292" s="36" t="s">
        <v>276</v>
      </c>
      <c r="BT1292" s="36" t="s">
        <v>156</v>
      </c>
      <c r="BV1292" s="38" t="s">
        <v>4069</v>
      </c>
      <c r="FL1292" s="36" t="s">
        <v>3687</v>
      </c>
      <c r="FM1292" s="36" t="s">
        <v>283</v>
      </c>
    </row>
    <row r="1293">
      <c r="A1293" s="50">
        <v>44673.6283121875</v>
      </c>
      <c r="B1293" s="36" t="s">
        <v>7</v>
      </c>
      <c r="C1293" s="36" t="s">
        <v>13</v>
      </c>
      <c r="AX1293" s="36" t="s">
        <v>4015</v>
      </c>
      <c r="AY1293" s="36" t="s">
        <v>3744</v>
      </c>
      <c r="AZ1293" s="36" t="s">
        <v>4070</v>
      </c>
      <c r="BA1293" s="36" t="s">
        <v>900</v>
      </c>
      <c r="BB1293" s="36" t="s">
        <v>348</v>
      </c>
      <c r="BC1293" s="37">
        <v>44510.0</v>
      </c>
      <c r="BD1293" s="37">
        <v>44571.0</v>
      </c>
      <c r="BE1293" s="37">
        <v>44571.0</v>
      </c>
      <c r="BF1293" s="36">
        <v>85.0</v>
      </c>
      <c r="BG1293" s="36" t="s">
        <v>4071</v>
      </c>
      <c r="BH1293" s="38" t="s">
        <v>4072</v>
      </c>
      <c r="FL1293" s="36" t="s">
        <v>3748</v>
      </c>
      <c r="FM1293" s="36" t="s">
        <v>283</v>
      </c>
    </row>
    <row r="1294">
      <c r="A1294" s="50">
        <v>44673.62985541667</v>
      </c>
      <c r="B1294" s="36" t="s">
        <v>7</v>
      </c>
      <c r="C1294" s="36" t="s">
        <v>12</v>
      </c>
      <c r="AN1294" s="36" t="s">
        <v>3318</v>
      </c>
      <c r="AO1294" s="36" t="s">
        <v>3319</v>
      </c>
      <c r="AP1294" s="36" t="s">
        <v>630</v>
      </c>
      <c r="AQ1294" s="36" t="s">
        <v>1892</v>
      </c>
      <c r="AR1294" s="37">
        <v>44338.0</v>
      </c>
      <c r="AS1294" s="37">
        <v>44367.0</v>
      </c>
      <c r="AT1294" s="36" t="s">
        <v>257</v>
      </c>
      <c r="AU1294" s="36" t="s">
        <v>257</v>
      </c>
      <c r="AV1294" s="36">
        <v>0.0</v>
      </c>
      <c r="AW1294" s="38" t="s">
        <v>4073</v>
      </c>
      <c r="FL1294" s="36" t="s">
        <v>3321</v>
      </c>
      <c r="FM1294" s="36" t="s">
        <v>283</v>
      </c>
    </row>
    <row r="1295">
      <c r="A1295" s="50">
        <v>44673.62985784722</v>
      </c>
      <c r="B1295" s="36" t="s">
        <v>7</v>
      </c>
      <c r="C1295" s="36" t="s">
        <v>12</v>
      </c>
      <c r="AN1295" s="36" t="s">
        <v>3860</v>
      </c>
      <c r="AO1295" s="36" t="s">
        <v>3781</v>
      </c>
      <c r="AP1295" s="36" t="s">
        <v>309</v>
      </c>
      <c r="AQ1295" s="36" t="s">
        <v>450</v>
      </c>
      <c r="AR1295" s="37">
        <v>44489.0</v>
      </c>
      <c r="AS1295" s="37">
        <v>44560.0</v>
      </c>
      <c r="AT1295" s="36" t="s">
        <v>257</v>
      </c>
      <c r="AU1295" s="36" t="s">
        <v>257</v>
      </c>
      <c r="AV1295" s="36">
        <v>0.0</v>
      </c>
      <c r="AW1295" s="38" t="s">
        <v>4074</v>
      </c>
      <c r="FL1295" s="36" t="s">
        <v>3783</v>
      </c>
      <c r="FM1295" s="36" t="s">
        <v>283</v>
      </c>
    </row>
    <row r="1296">
      <c r="A1296" s="50">
        <v>44673.63002278935</v>
      </c>
      <c r="B1296" s="36" t="s">
        <v>7</v>
      </c>
      <c r="C1296" s="36" t="s">
        <v>14</v>
      </c>
      <c r="BI1296" s="36" t="s">
        <v>3786</v>
      </c>
      <c r="BJ1296" s="36" t="s">
        <v>3787</v>
      </c>
      <c r="BK1296" s="36" t="s">
        <v>171</v>
      </c>
      <c r="BL1296" s="36" t="s">
        <v>172</v>
      </c>
      <c r="BM1296" s="36" t="s">
        <v>4075</v>
      </c>
      <c r="BN1296" s="36">
        <v>1.0</v>
      </c>
      <c r="BO1296" s="37">
        <v>44350.0</v>
      </c>
      <c r="BP1296" s="37">
        <v>44350.0</v>
      </c>
      <c r="BQ1296" s="36" t="s">
        <v>4076</v>
      </c>
      <c r="BR1296" s="36" t="s">
        <v>4077</v>
      </c>
      <c r="BS1296" s="36" t="s">
        <v>155</v>
      </c>
      <c r="BT1296" s="36" t="s">
        <v>156</v>
      </c>
      <c r="BV1296" s="38" t="s">
        <v>4078</v>
      </c>
      <c r="FL1296" s="36" t="s">
        <v>3790</v>
      </c>
      <c r="FM1296" s="36" t="s">
        <v>283</v>
      </c>
    </row>
    <row r="1297">
      <c r="A1297" s="50">
        <v>44673.63077337963</v>
      </c>
      <c r="B1297" s="36" t="s">
        <v>7</v>
      </c>
      <c r="C1297" s="36" t="s">
        <v>14</v>
      </c>
      <c r="BI1297" s="36" t="s">
        <v>3684</v>
      </c>
      <c r="BJ1297" s="36" t="s">
        <v>3685</v>
      </c>
      <c r="BK1297" s="36" t="s">
        <v>171</v>
      </c>
      <c r="BL1297" s="36" t="s">
        <v>1288</v>
      </c>
      <c r="BM1297" s="36" t="s">
        <v>4079</v>
      </c>
      <c r="BN1297" s="36">
        <v>3.0</v>
      </c>
      <c r="BO1297" s="37">
        <v>44491.0</v>
      </c>
      <c r="BP1297" s="37">
        <v>44493.0</v>
      </c>
      <c r="BQ1297" s="36" t="s">
        <v>4080</v>
      </c>
      <c r="BR1297" s="36" t="s">
        <v>4079</v>
      </c>
      <c r="BS1297" s="36" t="s">
        <v>176</v>
      </c>
      <c r="BT1297" s="36" t="s">
        <v>156</v>
      </c>
      <c r="BV1297" s="38" t="s">
        <v>4081</v>
      </c>
      <c r="FL1297" s="36" t="s">
        <v>3687</v>
      </c>
      <c r="FM1297" s="36" t="s">
        <v>283</v>
      </c>
    </row>
    <row r="1298">
      <c r="A1298" s="50">
        <v>44673.631030358796</v>
      </c>
      <c r="B1298" s="36" t="s">
        <v>7</v>
      </c>
      <c r="C1298" s="36" t="s">
        <v>13</v>
      </c>
      <c r="AX1298" s="36" t="s">
        <v>4082</v>
      </c>
      <c r="AY1298" s="36" t="s">
        <v>4083</v>
      </c>
      <c r="AZ1298" s="36" t="s">
        <v>4042</v>
      </c>
      <c r="BA1298" s="36" t="s">
        <v>4084</v>
      </c>
      <c r="BB1298" s="36" t="s">
        <v>310</v>
      </c>
      <c r="BC1298" s="37">
        <v>44262.0</v>
      </c>
      <c r="BD1298" s="37">
        <v>44322.0</v>
      </c>
      <c r="BE1298" s="37">
        <v>44322.0</v>
      </c>
      <c r="BF1298" s="36">
        <v>80.0</v>
      </c>
      <c r="BG1298" s="36" t="s">
        <v>1201</v>
      </c>
      <c r="BH1298" s="38" t="s">
        <v>4085</v>
      </c>
      <c r="FL1298" s="36" t="s">
        <v>4086</v>
      </c>
      <c r="FM1298" s="36" t="s">
        <v>283</v>
      </c>
    </row>
    <row r="1299">
      <c r="A1299" s="50">
        <v>44673.63123201389</v>
      </c>
      <c r="B1299" s="36" t="s">
        <v>7</v>
      </c>
      <c r="C1299" s="36" t="s">
        <v>13</v>
      </c>
      <c r="AX1299" s="36" t="s">
        <v>3705</v>
      </c>
      <c r="AY1299" s="36" t="s">
        <v>3523</v>
      </c>
      <c r="AZ1299" s="36" t="s">
        <v>4087</v>
      </c>
      <c r="BA1299" s="36" t="s">
        <v>2131</v>
      </c>
      <c r="BB1299" s="36" t="s">
        <v>320</v>
      </c>
      <c r="BC1299" s="37">
        <v>44348.0</v>
      </c>
      <c r="BD1299" s="37">
        <v>44408.0</v>
      </c>
      <c r="BE1299" s="37">
        <v>44407.0</v>
      </c>
      <c r="BF1299" s="51">
        <v>0.94</v>
      </c>
      <c r="BG1299" s="36" t="s">
        <v>1916</v>
      </c>
      <c r="BH1299" s="38" t="s">
        <v>4088</v>
      </c>
      <c r="FL1299" s="36" t="s">
        <v>3525</v>
      </c>
      <c r="FM1299" s="36" t="s">
        <v>283</v>
      </c>
    </row>
    <row r="1300">
      <c r="A1300" s="50">
        <v>44673.63124074074</v>
      </c>
      <c r="B1300" s="36" t="s">
        <v>7</v>
      </c>
      <c r="C1300" s="36" t="s">
        <v>13</v>
      </c>
      <c r="AX1300" s="36" t="s">
        <v>3311</v>
      </c>
      <c r="AY1300" s="36" t="s">
        <v>3312</v>
      </c>
      <c r="AZ1300" s="36" t="s">
        <v>347</v>
      </c>
      <c r="BA1300" s="36" t="s">
        <v>377</v>
      </c>
      <c r="BB1300" s="36" t="s">
        <v>310</v>
      </c>
      <c r="BC1300" s="37">
        <v>44207.0</v>
      </c>
      <c r="BD1300" s="37">
        <v>44265.0</v>
      </c>
      <c r="BE1300" s="37">
        <v>44265.0</v>
      </c>
      <c r="BF1300" s="51">
        <v>0.9</v>
      </c>
      <c r="BG1300" s="36" t="s">
        <v>559</v>
      </c>
      <c r="BH1300" s="38" t="s">
        <v>4089</v>
      </c>
      <c r="FL1300" s="36" t="s">
        <v>3314</v>
      </c>
      <c r="FM1300" s="36" t="s">
        <v>283</v>
      </c>
    </row>
    <row r="1301">
      <c r="A1301" s="50">
        <v>44673.631499166666</v>
      </c>
      <c r="B1301" s="36" t="s">
        <v>7</v>
      </c>
      <c r="C1301" s="36" t="s">
        <v>13</v>
      </c>
      <c r="AX1301" s="36" t="s">
        <v>4025</v>
      </c>
      <c r="AY1301" s="36" t="s">
        <v>3840</v>
      </c>
      <c r="AZ1301" s="36" t="s">
        <v>571</v>
      </c>
      <c r="BA1301" s="36" t="s">
        <v>377</v>
      </c>
      <c r="BB1301" s="36" t="s">
        <v>320</v>
      </c>
      <c r="BC1301" s="37">
        <v>44571.0</v>
      </c>
      <c r="BD1301" s="37">
        <v>44630.0</v>
      </c>
      <c r="BE1301" s="37">
        <v>44630.0</v>
      </c>
      <c r="BF1301" s="36">
        <v>100.0</v>
      </c>
      <c r="BG1301" s="36" t="s">
        <v>559</v>
      </c>
      <c r="BH1301" s="38" t="s">
        <v>4090</v>
      </c>
      <c r="FL1301" s="36" t="s">
        <v>3845</v>
      </c>
      <c r="FM1301" s="36" t="s">
        <v>283</v>
      </c>
    </row>
    <row r="1302">
      <c r="A1302" s="50">
        <v>44673.63150979167</v>
      </c>
      <c r="B1302" s="36" t="s">
        <v>7</v>
      </c>
      <c r="C1302" s="36" t="s">
        <v>13</v>
      </c>
      <c r="AX1302" s="36" t="s">
        <v>4015</v>
      </c>
      <c r="AY1302" s="36" t="s">
        <v>3744</v>
      </c>
      <c r="AZ1302" s="36" t="s">
        <v>981</v>
      </c>
      <c r="BA1302" s="36" t="s">
        <v>4091</v>
      </c>
      <c r="BB1302" s="36" t="s">
        <v>348</v>
      </c>
      <c r="BC1302" s="37">
        <v>43926.0</v>
      </c>
      <c r="BD1302" s="37">
        <v>43987.0</v>
      </c>
      <c r="BE1302" s="37">
        <v>43987.0</v>
      </c>
      <c r="BF1302" s="36">
        <v>85.0</v>
      </c>
      <c r="BG1302" s="36" t="s">
        <v>559</v>
      </c>
      <c r="BH1302" s="38" t="s">
        <v>4092</v>
      </c>
      <c r="FL1302" s="36" t="s">
        <v>3748</v>
      </c>
      <c r="FM1302" s="36" t="s">
        <v>283</v>
      </c>
    </row>
    <row r="1303">
      <c r="A1303" s="50">
        <v>44673.631537905094</v>
      </c>
      <c r="B1303" s="36" t="s">
        <v>7</v>
      </c>
      <c r="C1303" s="36" t="s">
        <v>13</v>
      </c>
      <c r="AX1303" s="36" t="s">
        <v>3688</v>
      </c>
      <c r="AY1303" s="36" t="s">
        <v>3689</v>
      </c>
      <c r="AZ1303" s="36" t="s">
        <v>4093</v>
      </c>
      <c r="BA1303" s="36" t="s">
        <v>4094</v>
      </c>
      <c r="BB1303" s="36" t="s">
        <v>4095</v>
      </c>
      <c r="BC1303" s="37">
        <v>44375.0</v>
      </c>
      <c r="BD1303" s="37">
        <v>44385.0</v>
      </c>
      <c r="BE1303" s="37">
        <v>44385.0</v>
      </c>
      <c r="BF1303" s="36" t="s">
        <v>523</v>
      </c>
      <c r="BG1303" s="36" t="s">
        <v>4094</v>
      </c>
      <c r="BH1303" s="38" t="s">
        <v>4096</v>
      </c>
      <c r="FL1303" s="36" t="s">
        <v>3691</v>
      </c>
      <c r="FM1303" s="36" t="s">
        <v>283</v>
      </c>
    </row>
    <row r="1304">
      <c r="A1304" s="50">
        <v>44673.63182582176</v>
      </c>
      <c r="B1304" s="36" t="s">
        <v>7</v>
      </c>
      <c r="C1304" s="36" t="s">
        <v>13</v>
      </c>
      <c r="AX1304" s="36" t="s">
        <v>3908</v>
      </c>
      <c r="AY1304" s="36" t="s">
        <v>3909</v>
      </c>
      <c r="AZ1304" s="36" t="s">
        <v>4097</v>
      </c>
      <c r="BA1304" s="36" t="s">
        <v>377</v>
      </c>
      <c r="BB1304" s="36" t="s">
        <v>450</v>
      </c>
      <c r="BC1304" s="37">
        <v>44563.0</v>
      </c>
      <c r="BD1304" s="37">
        <v>44650.0</v>
      </c>
      <c r="BE1304" s="37">
        <v>44650.0</v>
      </c>
      <c r="BF1304" s="51">
        <v>0.8</v>
      </c>
      <c r="BG1304" s="36" t="s">
        <v>497</v>
      </c>
      <c r="BH1304" s="38" t="s">
        <v>4098</v>
      </c>
      <c r="FL1304" s="36" t="s">
        <v>3912</v>
      </c>
      <c r="FM1304" s="36" t="s">
        <v>283</v>
      </c>
    </row>
    <row r="1305">
      <c r="A1305" s="50">
        <v>44673.632584907406</v>
      </c>
      <c r="B1305" s="36" t="s">
        <v>7</v>
      </c>
      <c r="C1305" s="36" t="s">
        <v>13</v>
      </c>
      <c r="AX1305" s="36" t="s">
        <v>3884</v>
      </c>
      <c r="AY1305" s="36" t="s">
        <v>3885</v>
      </c>
      <c r="AZ1305" s="36" t="s">
        <v>4042</v>
      </c>
      <c r="BA1305" s="36" t="s">
        <v>4099</v>
      </c>
      <c r="BB1305" s="36" t="s">
        <v>1068</v>
      </c>
      <c r="BC1305" s="37">
        <v>44233.0</v>
      </c>
      <c r="BD1305" s="37">
        <v>44322.0</v>
      </c>
      <c r="BE1305" s="37">
        <v>44322.0</v>
      </c>
      <c r="BF1305" s="36">
        <v>100.0</v>
      </c>
      <c r="BG1305" s="36" t="s">
        <v>4100</v>
      </c>
      <c r="BH1305" s="38" t="s">
        <v>4101</v>
      </c>
      <c r="FL1305" s="36" t="s">
        <v>3890</v>
      </c>
      <c r="FM1305" s="36" t="s">
        <v>283</v>
      </c>
    </row>
    <row r="1306">
      <c r="A1306" s="50">
        <v>44673.63289003472</v>
      </c>
      <c r="B1306" s="36" t="s">
        <v>7</v>
      </c>
      <c r="C1306" s="36" t="s">
        <v>13</v>
      </c>
      <c r="AX1306" s="36" t="s">
        <v>3786</v>
      </c>
      <c r="AY1306" s="36" t="s">
        <v>3787</v>
      </c>
      <c r="AZ1306" s="36" t="s">
        <v>3300</v>
      </c>
      <c r="BA1306" s="36" t="s">
        <v>2490</v>
      </c>
      <c r="BB1306" s="36" t="s">
        <v>510</v>
      </c>
      <c r="BC1306" s="37">
        <v>44204.0</v>
      </c>
      <c r="BD1306" s="37">
        <v>44263.0</v>
      </c>
      <c r="BE1306" s="37" t="s">
        <v>4102</v>
      </c>
      <c r="BF1306" s="36">
        <v>90.0</v>
      </c>
      <c r="BG1306" s="36" t="s">
        <v>4103</v>
      </c>
      <c r="BH1306" s="38" t="s">
        <v>4104</v>
      </c>
      <c r="FL1306" s="36" t="s">
        <v>3790</v>
      </c>
      <c r="FM1306" s="36" t="s">
        <v>283</v>
      </c>
    </row>
    <row r="1307">
      <c r="A1307" s="50">
        <v>44673.633046828705</v>
      </c>
      <c r="B1307" s="36" t="s">
        <v>7</v>
      </c>
      <c r="C1307" s="36" t="s">
        <v>13</v>
      </c>
      <c r="AX1307" s="36" t="s">
        <v>4025</v>
      </c>
      <c r="AY1307" s="36" t="s">
        <v>3840</v>
      </c>
      <c r="AZ1307" s="36" t="s">
        <v>347</v>
      </c>
      <c r="BA1307" s="36" t="s">
        <v>4105</v>
      </c>
      <c r="BB1307" s="36" t="s">
        <v>510</v>
      </c>
      <c r="BC1307" s="37">
        <v>44322.0</v>
      </c>
      <c r="BD1307" s="37">
        <v>44383.0</v>
      </c>
      <c r="BE1307" s="37">
        <v>44383.0</v>
      </c>
      <c r="BF1307" s="36">
        <v>100.0</v>
      </c>
      <c r="BG1307" s="36" t="s">
        <v>559</v>
      </c>
      <c r="BH1307" s="38" t="s">
        <v>4106</v>
      </c>
      <c r="FL1307" s="36" t="s">
        <v>3845</v>
      </c>
      <c r="FM1307" s="36" t="s">
        <v>283</v>
      </c>
    </row>
    <row r="1308">
      <c r="A1308" s="50">
        <v>44673.63379802083</v>
      </c>
      <c r="B1308" s="36" t="s">
        <v>7</v>
      </c>
      <c r="C1308" s="36" t="s">
        <v>12</v>
      </c>
      <c r="AN1308" s="36" t="s">
        <v>4107</v>
      </c>
      <c r="AO1308" s="36" t="s">
        <v>4083</v>
      </c>
      <c r="AP1308" s="36" t="s">
        <v>309</v>
      </c>
      <c r="AQ1308" s="36" t="s">
        <v>507</v>
      </c>
      <c r="AR1308" s="37">
        <v>44481.0</v>
      </c>
      <c r="AS1308" s="37">
        <v>44543.0</v>
      </c>
      <c r="AT1308" s="36" t="s">
        <v>257</v>
      </c>
      <c r="AU1308" s="36" t="s">
        <v>257</v>
      </c>
      <c r="AV1308" s="36">
        <v>0.0</v>
      </c>
      <c r="AW1308" s="38" t="s">
        <v>4108</v>
      </c>
      <c r="FL1308" s="36" t="s">
        <v>4086</v>
      </c>
      <c r="FM1308" s="36" t="s">
        <v>283</v>
      </c>
    </row>
    <row r="1309">
      <c r="A1309" s="50">
        <v>44673.63385048611</v>
      </c>
      <c r="B1309" s="36" t="s">
        <v>7</v>
      </c>
      <c r="C1309" s="36" t="s">
        <v>13</v>
      </c>
      <c r="AX1309" s="36" t="s">
        <v>3318</v>
      </c>
      <c r="AY1309" s="36" t="s">
        <v>4109</v>
      </c>
      <c r="AZ1309" s="36" t="s">
        <v>4110</v>
      </c>
      <c r="BA1309" s="36" t="s">
        <v>4111</v>
      </c>
      <c r="BB1309" s="36" t="s">
        <v>4112</v>
      </c>
      <c r="BC1309" s="37">
        <v>44567.0</v>
      </c>
      <c r="BD1309" s="37">
        <v>44567.0</v>
      </c>
      <c r="BE1309" s="37">
        <v>44567.0</v>
      </c>
      <c r="BF1309" s="51">
        <v>0.9</v>
      </c>
      <c r="BG1309" s="36" t="s">
        <v>4111</v>
      </c>
      <c r="BH1309" s="38" t="s">
        <v>4113</v>
      </c>
      <c r="FL1309" s="36" t="s">
        <v>3321</v>
      </c>
      <c r="FM1309" s="36" t="s">
        <v>283</v>
      </c>
    </row>
    <row r="1310">
      <c r="A1310" s="50">
        <v>44673.634098055554</v>
      </c>
      <c r="B1310" s="36" t="s">
        <v>7</v>
      </c>
      <c r="C1310" s="36" t="s">
        <v>14</v>
      </c>
      <c r="BI1310" s="36" t="s">
        <v>4053</v>
      </c>
      <c r="BJ1310" s="36" t="s">
        <v>3982</v>
      </c>
      <c r="BK1310" s="36" t="s">
        <v>313</v>
      </c>
      <c r="BL1310" s="36" t="s">
        <v>1288</v>
      </c>
      <c r="BM1310" s="36" t="s">
        <v>4114</v>
      </c>
      <c r="BN1310" s="36">
        <v>3.0</v>
      </c>
      <c r="BO1310" s="37">
        <v>44492.0</v>
      </c>
      <c r="BP1310" s="37">
        <v>44494.0</v>
      </c>
      <c r="BQ1310" s="36" t="s">
        <v>4032</v>
      </c>
      <c r="BR1310" s="36" t="s">
        <v>4115</v>
      </c>
      <c r="BS1310" s="36" t="s">
        <v>176</v>
      </c>
      <c r="BT1310" s="36" t="s">
        <v>156</v>
      </c>
      <c r="BV1310" s="38" t="s">
        <v>4116</v>
      </c>
      <c r="FL1310" s="36" t="s">
        <v>3985</v>
      </c>
      <c r="FM1310" s="36" t="s">
        <v>283</v>
      </c>
    </row>
    <row r="1311">
      <c r="A1311" s="50">
        <v>44673.63425800926</v>
      </c>
      <c r="B1311" s="36" t="s">
        <v>7</v>
      </c>
      <c r="C1311" s="36" t="s">
        <v>13</v>
      </c>
      <c r="AX1311" s="36" t="s">
        <v>4117</v>
      </c>
      <c r="AY1311" s="36" t="s">
        <v>4118</v>
      </c>
      <c r="AZ1311" s="36" t="s">
        <v>647</v>
      </c>
      <c r="BA1311" s="36" t="s">
        <v>337</v>
      </c>
      <c r="BB1311" s="36" t="s">
        <v>4119</v>
      </c>
      <c r="BC1311" s="37">
        <v>44470.0</v>
      </c>
      <c r="BD1311" s="37">
        <v>44470.0</v>
      </c>
      <c r="BE1311" s="37">
        <v>44561.0</v>
      </c>
      <c r="BF1311" s="51">
        <v>0.9</v>
      </c>
      <c r="BG1311" s="36" t="s">
        <v>4120</v>
      </c>
      <c r="BH1311" s="38" t="s">
        <v>4121</v>
      </c>
      <c r="FL1311" s="36" t="s">
        <v>4122</v>
      </c>
      <c r="FM1311" s="36" t="s">
        <v>283</v>
      </c>
    </row>
    <row r="1312">
      <c r="A1312" s="50">
        <v>44673.63452493056</v>
      </c>
      <c r="B1312" s="36" t="s">
        <v>7</v>
      </c>
      <c r="C1312" s="36" t="s">
        <v>13</v>
      </c>
      <c r="AX1312" s="36" t="s">
        <v>3786</v>
      </c>
      <c r="AY1312" s="36" t="s">
        <v>3787</v>
      </c>
      <c r="AZ1312" s="36" t="s">
        <v>1372</v>
      </c>
      <c r="BA1312" s="36" t="s">
        <v>337</v>
      </c>
      <c r="BB1312" s="36" t="s">
        <v>510</v>
      </c>
      <c r="BC1312" s="37">
        <v>43905.0</v>
      </c>
      <c r="BD1312" s="37">
        <v>43966.0</v>
      </c>
      <c r="BE1312" s="37">
        <v>43966.0</v>
      </c>
      <c r="BF1312" s="36">
        <v>95.0</v>
      </c>
      <c r="BG1312" s="36" t="s">
        <v>4103</v>
      </c>
      <c r="BH1312" s="38" t="s">
        <v>4123</v>
      </c>
      <c r="FL1312" s="36" t="s">
        <v>3790</v>
      </c>
      <c r="FM1312" s="36" t="s">
        <v>283</v>
      </c>
    </row>
    <row r="1313">
      <c r="A1313" s="50">
        <v>44673.63488038194</v>
      </c>
      <c r="B1313" s="36" t="s">
        <v>7</v>
      </c>
      <c r="C1313" s="36" t="s">
        <v>13</v>
      </c>
      <c r="AX1313" s="36" t="s">
        <v>4124</v>
      </c>
      <c r="AY1313" s="36" t="s">
        <v>4046</v>
      </c>
      <c r="AZ1313" s="36" t="s">
        <v>4125</v>
      </c>
      <c r="BA1313" s="36" t="s">
        <v>4126</v>
      </c>
      <c r="BB1313" s="36" t="s">
        <v>264</v>
      </c>
      <c r="BC1313" s="37">
        <v>44180.0</v>
      </c>
      <c r="BD1313" s="37">
        <v>44322.0</v>
      </c>
      <c r="BE1313" s="37">
        <v>44322.0</v>
      </c>
      <c r="BF1313" s="36">
        <v>80.0</v>
      </c>
      <c r="BG1313" s="36" t="s">
        <v>1201</v>
      </c>
      <c r="BH1313" s="38" t="s">
        <v>4127</v>
      </c>
      <c r="FL1313" s="36" t="s">
        <v>4048</v>
      </c>
      <c r="FM1313" s="36" t="s">
        <v>283</v>
      </c>
    </row>
    <row r="1314">
      <c r="A1314" s="50">
        <v>44673.63508310185</v>
      </c>
      <c r="B1314" s="36" t="s">
        <v>7</v>
      </c>
      <c r="C1314" s="36" t="s">
        <v>13</v>
      </c>
      <c r="AX1314" s="36" t="s">
        <v>4025</v>
      </c>
      <c r="AY1314" s="36" t="s">
        <v>3840</v>
      </c>
      <c r="AZ1314" s="36" t="s">
        <v>981</v>
      </c>
      <c r="BA1314" s="36" t="s">
        <v>2070</v>
      </c>
      <c r="BB1314" s="36" t="s">
        <v>510</v>
      </c>
      <c r="BC1314" s="37">
        <v>43961.0</v>
      </c>
      <c r="BD1314" s="37">
        <v>44027.0</v>
      </c>
      <c r="BE1314" s="37">
        <v>44027.0</v>
      </c>
      <c r="BF1314" s="36">
        <v>100.0</v>
      </c>
      <c r="BG1314" s="36" t="s">
        <v>559</v>
      </c>
      <c r="BH1314" s="38" t="s">
        <v>4128</v>
      </c>
      <c r="FL1314" s="36" t="s">
        <v>3845</v>
      </c>
      <c r="FM1314" s="36" t="s">
        <v>283</v>
      </c>
    </row>
    <row r="1315">
      <c r="A1315" s="50">
        <v>44673.635162094906</v>
      </c>
      <c r="B1315" s="36" t="s">
        <v>7</v>
      </c>
      <c r="C1315" s="36" t="s">
        <v>20</v>
      </c>
      <c r="DX1315" s="36" t="s">
        <v>3860</v>
      </c>
      <c r="DY1315" s="36" t="s">
        <v>3781</v>
      </c>
      <c r="DZ1315" s="36" t="s">
        <v>171</v>
      </c>
      <c r="EA1315" s="36" t="s">
        <v>4129</v>
      </c>
      <c r="EB1315" s="37">
        <v>44250.0</v>
      </c>
      <c r="EC1315" s="36" t="s">
        <v>4130</v>
      </c>
      <c r="ED1315" s="38" t="s">
        <v>4131</v>
      </c>
      <c r="FL1315" s="36" t="s">
        <v>3783</v>
      </c>
      <c r="FM1315" s="36" t="s">
        <v>283</v>
      </c>
    </row>
    <row r="1316">
      <c r="A1316" s="50">
        <v>44673.63522252315</v>
      </c>
      <c r="B1316" s="36" t="s">
        <v>7</v>
      </c>
      <c r="C1316" s="36" t="s">
        <v>13</v>
      </c>
      <c r="AX1316" s="36" t="s">
        <v>3311</v>
      </c>
      <c r="AY1316" s="36" t="s">
        <v>3312</v>
      </c>
      <c r="AZ1316" s="36" t="s">
        <v>928</v>
      </c>
      <c r="BA1316" s="36" t="s">
        <v>900</v>
      </c>
      <c r="BB1316" s="36" t="s">
        <v>310</v>
      </c>
      <c r="BC1316" s="37">
        <v>44348.0</v>
      </c>
      <c r="BD1316" s="37">
        <v>44407.0</v>
      </c>
      <c r="BE1316" s="37">
        <v>44407.0</v>
      </c>
      <c r="BF1316" s="51">
        <v>0.92</v>
      </c>
      <c r="BG1316" s="36" t="s">
        <v>1916</v>
      </c>
      <c r="BH1316" s="38" t="s">
        <v>4132</v>
      </c>
      <c r="FL1316" s="36" t="s">
        <v>3314</v>
      </c>
      <c r="FM1316" s="36" t="s">
        <v>283</v>
      </c>
    </row>
    <row r="1317">
      <c r="A1317" s="50">
        <v>44673.63594827546</v>
      </c>
      <c r="B1317" s="36" t="s">
        <v>7</v>
      </c>
      <c r="C1317" s="36" t="s">
        <v>12</v>
      </c>
      <c r="AN1317" s="36" t="s">
        <v>4133</v>
      </c>
      <c r="AO1317" s="36" t="s">
        <v>4134</v>
      </c>
      <c r="AP1317" s="36" t="s">
        <v>4135</v>
      </c>
      <c r="AQ1317" s="36" t="s">
        <v>4136</v>
      </c>
      <c r="AR1317" s="37">
        <v>44470.0</v>
      </c>
      <c r="AS1317" s="37">
        <v>44540.0</v>
      </c>
      <c r="AT1317" s="36" t="s">
        <v>257</v>
      </c>
      <c r="AU1317" s="36" t="s">
        <v>257</v>
      </c>
      <c r="AV1317" s="36">
        <v>0.0</v>
      </c>
      <c r="AW1317" s="38" t="s">
        <v>4137</v>
      </c>
      <c r="FL1317" s="36" t="s">
        <v>4138</v>
      </c>
      <c r="FM1317" s="36" t="s">
        <v>283</v>
      </c>
    </row>
    <row r="1318">
      <c r="A1318" s="50">
        <v>44673.636016435186</v>
      </c>
      <c r="B1318" s="36" t="s">
        <v>7</v>
      </c>
      <c r="C1318" s="36" t="s">
        <v>12</v>
      </c>
      <c r="AN1318" s="36" t="s">
        <v>4107</v>
      </c>
      <c r="AO1318" s="36" t="s">
        <v>4083</v>
      </c>
      <c r="AP1318" s="36" t="s">
        <v>309</v>
      </c>
      <c r="AQ1318" s="36" t="s">
        <v>4139</v>
      </c>
      <c r="AR1318" s="37">
        <v>44482.0</v>
      </c>
      <c r="AS1318" s="37">
        <v>44543.0</v>
      </c>
      <c r="AT1318" s="36" t="s">
        <v>257</v>
      </c>
      <c r="AU1318" s="36" t="s">
        <v>257</v>
      </c>
      <c r="AV1318" s="36">
        <v>0.0</v>
      </c>
      <c r="AW1318" s="38" t="s">
        <v>4140</v>
      </c>
      <c r="FL1318" s="36" t="s">
        <v>4086</v>
      </c>
      <c r="FM1318" s="36" t="s">
        <v>283</v>
      </c>
    </row>
    <row r="1319">
      <c r="A1319" s="50">
        <v>44673.63609329861</v>
      </c>
      <c r="B1319" s="36" t="s">
        <v>7</v>
      </c>
      <c r="C1319" s="36" t="s">
        <v>13</v>
      </c>
      <c r="AX1319" s="36" t="s">
        <v>3786</v>
      </c>
      <c r="AY1319" s="36" t="s">
        <v>3787</v>
      </c>
      <c r="AZ1319" s="36" t="s">
        <v>4141</v>
      </c>
      <c r="BA1319" s="36" t="s">
        <v>1378</v>
      </c>
      <c r="BB1319" s="36" t="s">
        <v>510</v>
      </c>
      <c r="BC1319" s="37">
        <v>43928.0</v>
      </c>
      <c r="BD1319" s="37">
        <v>43989.0</v>
      </c>
      <c r="BE1319" s="37">
        <v>43989.0</v>
      </c>
      <c r="BF1319" s="36">
        <v>95.0</v>
      </c>
      <c r="BG1319" s="36" t="s">
        <v>4142</v>
      </c>
      <c r="BH1319" s="38" t="s">
        <v>4143</v>
      </c>
      <c r="FL1319" s="36" t="s">
        <v>3790</v>
      </c>
      <c r="FM1319" s="36" t="s">
        <v>283</v>
      </c>
    </row>
    <row r="1320">
      <c r="A1320" s="50">
        <v>44673.63627050926</v>
      </c>
      <c r="B1320" s="36" t="s">
        <v>7</v>
      </c>
      <c r="C1320" s="36" t="s">
        <v>13</v>
      </c>
      <c r="AX1320" s="36" t="s">
        <v>3884</v>
      </c>
      <c r="AY1320" s="36" t="s">
        <v>3885</v>
      </c>
      <c r="AZ1320" s="36" t="s">
        <v>4144</v>
      </c>
      <c r="BA1320" s="36" t="s">
        <v>3887</v>
      </c>
      <c r="BB1320" s="36" t="s">
        <v>495</v>
      </c>
      <c r="BC1320" s="37">
        <v>44536.0</v>
      </c>
      <c r="BD1320" s="37">
        <v>44565.0</v>
      </c>
      <c r="BE1320" s="37">
        <v>44565.0</v>
      </c>
      <c r="BF1320" s="36">
        <v>100.0</v>
      </c>
      <c r="BG1320" s="36" t="s">
        <v>3888</v>
      </c>
      <c r="BH1320" s="38" t="s">
        <v>4145</v>
      </c>
      <c r="FL1320" s="36" t="s">
        <v>3890</v>
      </c>
      <c r="FM1320" s="36" t="s">
        <v>283</v>
      </c>
    </row>
    <row r="1321">
      <c r="A1321" s="50">
        <v>44673.636289699076</v>
      </c>
      <c r="B1321" s="36" t="s">
        <v>7</v>
      </c>
      <c r="C1321" s="36" t="s">
        <v>13</v>
      </c>
      <c r="AX1321" s="36" t="s">
        <v>4015</v>
      </c>
      <c r="AY1321" s="36" t="s">
        <v>3744</v>
      </c>
      <c r="AZ1321" s="36" t="s">
        <v>566</v>
      </c>
      <c r="BA1321" s="36" t="s">
        <v>900</v>
      </c>
      <c r="BB1321" s="36" t="s">
        <v>348</v>
      </c>
      <c r="BC1321" s="37">
        <v>44484.0</v>
      </c>
      <c r="BD1321" s="37">
        <v>44545.0</v>
      </c>
      <c r="BE1321" s="37">
        <v>44545.0</v>
      </c>
      <c r="BF1321" s="36">
        <v>85.0</v>
      </c>
      <c r="BG1321" s="36" t="s">
        <v>559</v>
      </c>
      <c r="BH1321" s="38" t="s">
        <v>4146</v>
      </c>
      <c r="FL1321" s="36" t="s">
        <v>3748</v>
      </c>
      <c r="FM1321" s="36" t="s">
        <v>283</v>
      </c>
    </row>
    <row r="1322">
      <c r="A1322" s="50">
        <v>44673.636503946764</v>
      </c>
      <c r="B1322" s="36" t="s">
        <v>7</v>
      </c>
      <c r="C1322" s="36" t="s">
        <v>14</v>
      </c>
      <c r="BI1322" s="36" t="s">
        <v>3864</v>
      </c>
      <c r="BJ1322" s="36" t="s">
        <v>3865</v>
      </c>
      <c r="BK1322" s="36" t="s">
        <v>171</v>
      </c>
      <c r="BL1322" s="36" t="s">
        <v>172</v>
      </c>
      <c r="BM1322" s="36" t="s">
        <v>4147</v>
      </c>
      <c r="BN1322" s="36">
        <v>30.0</v>
      </c>
      <c r="BO1322" s="37">
        <v>44188.0</v>
      </c>
      <c r="BP1322" s="37">
        <v>44219.0</v>
      </c>
      <c r="BQ1322" s="36" t="s">
        <v>4148</v>
      </c>
      <c r="BR1322" s="36" t="s">
        <v>4149</v>
      </c>
      <c r="BS1322" s="36" t="s">
        <v>276</v>
      </c>
      <c r="BT1322" s="36" t="s">
        <v>156</v>
      </c>
      <c r="BV1322" s="38" t="s">
        <v>4150</v>
      </c>
      <c r="FL1322" s="36" t="s">
        <v>3870</v>
      </c>
      <c r="FM1322" s="36" t="s">
        <v>283</v>
      </c>
    </row>
    <row r="1323">
      <c r="A1323" s="50">
        <v>44673.636560405095</v>
      </c>
      <c r="B1323" s="36" t="s">
        <v>7</v>
      </c>
      <c r="C1323" s="36" t="s">
        <v>13</v>
      </c>
      <c r="AX1323" s="36" t="s">
        <v>4151</v>
      </c>
      <c r="AY1323" s="36" t="s">
        <v>4118</v>
      </c>
      <c r="AZ1323" s="36" t="s">
        <v>4152</v>
      </c>
      <c r="BA1323" s="36" t="s">
        <v>337</v>
      </c>
      <c r="BB1323" s="36">
        <v>2021.0</v>
      </c>
      <c r="BC1323" s="37">
        <v>44470.0</v>
      </c>
      <c r="BD1323" s="37">
        <v>44501.0</v>
      </c>
      <c r="BE1323" s="37">
        <v>44502.0</v>
      </c>
      <c r="BF1323" s="51">
        <v>0.95</v>
      </c>
      <c r="BG1323" s="36" t="s">
        <v>4120</v>
      </c>
      <c r="BH1323" s="38" t="s">
        <v>4153</v>
      </c>
      <c r="FL1323" s="36" t="s">
        <v>4122</v>
      </c>
      <c r="FM1323" s="36" t="s">
        <v>283</v>
      </c>
    </row>
    <row r="1324">
      <c r="A1324" s="50">
        <v>44673.636719155096</v>
      </c>
      <c r="B1324" s="36" t="s">
        <v>7</v>
      </c>
      <c r="C1324" s="36" t="s">
        <v>13</v>
      </c>
      <c r="AX1324" s="36" t="s">
        <v>4124</v>
      </c>
      <c r="AY1324" s="36" t="s">
        <v>4046</v>
      </c>
      <c r="AZ1324" s="36" t="s">
        <v>4154</v>
      </c>
      <c r="BA1324" s="36" t="s">
        <v>4155</v>
      </c>
      <c r="BB1324" s="36" t="s">
        <v>495</v>
      </c>
      <c r="BC1324" s="37">
        <v>44044.0</v>
      </c>
      <c r="BD1324" s="37">
        <v>44074.0</v>
      </c>
      <c r="BE1324" s="37">
        <v>44074.0</v>
      </c>
      <c r="BF1324" s="51">
        <v>0.85</v>
      </c>
      <c r="BG1324" s="36" t="s">
        <v>4156</v>
      </c>
      <c r="BH1324" s="38" t="s">
        <v>4157</v>
      </c>
      <c r="FL1324" s="36" t="s">
        <v>4048</v>
      </c>
      <c r="FM1324" s="36" t="s">
        <v>283</v>
      </c>
    </row>
    <row r="1325">
      <c r="A1325" s="50">
        <v>44673.63672202546</v>
      </c>
      <c r="B1325" s="36" t="s">
        <v>7</v>
      </c>
      <c r="C1325" s="36" t="s">
        <v>13</v>
      </c>
      <c r="AX1325" s="36" t="s">
        <v>4025</v>
      </c>
      <c r="AY1325" s="36" t="s">
        <v>3840</v>
      </c>
      <c r="AZ1325" s="36" t="s">
        <v>856</v>
      </c>
      <c r="BA1325" s="36" t="s">
        <v>2070</v>
      </c>
      <c r="BB1325" s="36" t="s">
        <v>510</v>
      </c>
      <c r="BC1325" s="37">
        <v>44075.0</v>
      </c>
      <c r="BD1325" s="37">
        <v>44136.0</v>
      </c>
      <c r="BE1325" s="37">
        <v>44136.0</v>
      </c>
      <c r="BF1325" s="36">
        <v>100.0</v>
      </c>
      <c r="BG1325" s="36" t="s">
        <v>857</v>
      </c>
      <c r="BH1325" s="38" t="s">
        <v>4158</v>
      </c>
      <c r="FL1325" s="36" t="s">
        <v>3845</v>
      </c>
      <c r="FM1325" s="36" t="s">
        <v>283</v>
      </c>
    </row>
    <row r="1326">
      <c r="A1326" s="50">
        <v>44673.637431967596</v>
      </c>
      <c r="B1326" s="36" t="s">
        <v>7</v>
      </c>
      <c r="C1326" s="36" t="s">
        <v>13</v>
      </c>
      <c r="AX1326" s="36" t="s">
        <v>4159</v>
      </c>
      <c r="AY1326" s="36" t="s">
        <v>2874</v>
      </c>
      <c r="AZ1326" s="36" t="s">
        <v>1263</v>
      </c>
      <c r="BA1326" s="36" t="s">
        <v>1334</v>
      </c>
      <c r="BB1326" s="36" t="s">
        <v>450</v>
      </c>
      <c r="BC1326" s="37">
        <v>44448.0</v>
      </c>
      <c r="BD1326" s="37">
        <v>44539.0</v>
      </c>
      <c r="BE1326" s="37">
        <v>44539.0</v>
      </c>
      <c r="BF1326" s="36">
        <v>92.0</v>
      </c>
      <c r="BG1326" s="36" t="s">
        <v>559</v>
      </c>
      <c r="BH1326" s="38" t="s">
        <v>4160</v>
      </c>
      <c r="FL1326" s="36" t="s">
        <v>2876</v>
      </c>
      <c r="FM1326" s="36" t="s">
        <v>283</v>
      </c>
    </row>
    <row r="1327">
      <c r="A1327" s="50">
        <v>44673.637685787035</v>
      </c>
      <c r="B1327" s="36" t="s">
        <v>7</v>
      </c>
      <c r="C1327" s="36" t="s">
        <v>13</v>
      </c>
      <c r="AX1327" s="36" t="s">
        <v>3786</v>
      </c>
      <c r="AY1327" s="36" t="s">
        <v>3787</v>
      </c>
      <c r="AZ1327" s="36" t="s">
        <v>4161</v>
      </c>
      <c r="BA1327" s="36" t="s">
        <v>1378</v>
      </c>
      <c r="BB1327" s="36" t="s">
        <v>510</v>
      </c>
      <c r="BC1327" s="37">
        <v>43934.0</v>
      </c>
      <c r="BD1327" s="37">
        <v>43995.0</v>
      </c>
      <c r="BE1327" s="37">
        <v>43995.0</v>
      </c>
      <c r="BF1327" s="36">
        <v>95.0</v>
      </c>
      <c r="BG1327" s="36" t="s">
        <v>4162</v>
      </c>
      <c r="BH1327" s="38" t="s">
        <v>4163</v>
      </c>
      <c r="FL1327" s="36" t="s">
        <v>3790</v>
      </c>
      <c r="FM1327" s="36" t="s">
        <v>283</v>
      </c>
    </row>
    <row r="1328">
      <c r="A1328" s="50">
        <v>44673.63770443287</v>
      </c>
      <c r="B1328" s="36" t="s">
        <v>7</v>
      </c>
      <c r="C1328" s="36" t="s">
        <v>13</v>
      </c>
      <c r="AX1328" s="36" t="s">
        <v>3318</v>
      </c>
      <c r="AY1328" s="36" t="s">
        <v>3319</v>
      </c>
      <c r="AZ1328" s="36" t="s">
        <v>4164</v>
      </c>
      <c r="BA1328" s="36" t="s">
        <v>337</v>
      </c>
      <c r="BB1328" s="36" t="s">
        <v>510</v>
      </c>
      <c r="BC1328" s="37">
        <v>43960.0</v>
      </c>
      <c r="BD1328" s="37">
        <v>43960.0</v>
      </c>
      <c r="BE1328" s="37">
        <v>43960.0</v>
      </c>
      <c r="BF1328" s="51">
        <v>1.0</v>
      </c>
      <c r="BG1328" s="36" t="s">
        <v>3846</v>
      </c>
      <c r="BH1328" s="38" t="s">
        <v>4165</v>
      </c>
      <c r="FL1328" s="36" t="s">
        <v>3321</v>
      </c>
      <c r="FM1328" s="36" t="s">
        <v>283</v>
      </c>
    </row>
    <row r="1329">
      <c r="A1329" s="50">
        <v>44673.63819462963</v>
      </c>
      <c r="B1329" s="36" t="s">
        <v>7</v>
      </c>
      <c r="C1329" s="36" t="s">
        <v>13</v>
      </c>
      <c r="AX1329" s="36" t="s">
        <v>3311</v>
      </c>
      <c r="AY1329" s="36" t="s">
        <v>3312</v>
      </c>
      <c r="AZ1329" s="36" t="s">
        <v>2326</v>
      </c>
      <c r="BA1329" s="36" t="s">
        <v>900</v>
      </c>
      <c r="BB1329" s="36" t="s">
        <v>310</v>
      </c>
      <c r="BC1329" s="37">
        <v>43895.0</v>
      </c>
      <c r="BD1329" s="37">
        <v>43955.0</v>
      </c>
      <c r="BE1329" s="37">
        <v>43955.0</v>
      </c>
      <c r="BF1329" s="51">
        <v>0.95</v>
      </c>
      <c r="BG1329" s="36" t="s">
        <v>1916</v>
      </c>
      <c r="BH1329" s="38" t="s">
        <v>4166</v>
      </c>
      <c r="FL1329" s="36" t="s">
        <v>3314</v>
      </c>
      <c r="FM1329" s="36" t="s">
        <v>283</v>
      </c>
    </row>
    <row r="1330">
      <c r="A1330" s="50">
        <v>44673.63835141204</v>
      </c>
      <c r="B1330" s="36" t="s">
        <v>7</v>
      </c>
      <c r="C1330" s="36" t="s">
        <v>13</v>
      </c>
      <c r="AX1330" s="36" t="s">
        <v>4151</v>
      </c>
      <c r="AY1330" s="36" t="s">
        <v>4118</v>
      </c>
      <c r="AZ1330" s="36" t="s">
        <v>4167</v>
      </c>
      <c r="BA1330" s="36" t="s">
        <v>337</v>
      </c>
      <c r="BB1330" s="36" t="s">
        <v>313</v>
      </c>
      <c r="BC1330" s="37">
        <v>44522.0</v>
      </c>
      <c r="BD1330" s="37">
        <v>44590.0</v>
      </c>
      <c r="BE1330" s="37">
        <v>44591.0</v>
      </c>
      <c r="BF1330" s="51">
        <v>0.98</v>
      </c>
      <c r="BG1330" s="36" t="s">
        <v>4168</v>
      </c>
      <c r="BH1330" s="38" t="s">
        <v>4169</v>
      </c>
      <c r="FL1330" s="36" t="s">
        <v>4122</v>
      </c>
      <c r="FM1330" s="36" t="s">
        <v>283</v>
      </c>
    </row>
    <row r="1331">
      <c r="A1331" s="50">
        <v>44673.638619537036</v>
      </c>
      <c r="B1331" s="36" t="s">
        <v>7</v>
      </c>
      <c r="C1331" s="36" t="s">
        <v>13</v>
      </c>
      <c r="AX1331" s="36" t="s">
        <v>4025</v>
      </c>
      <c r="AY1331" s="36" t="s">
        <v>3840</v>
      </c>
      <c r="AZ1331" s="36" t="s">
        <v>347</v>
      </c>
      <c r="BA1331" s="36" t="s">
        <v>2070</v>
      </c>
      <c r="BB1331" s="36" t="s">
        <v>510</v>
      </c>
      <c r="BC1331" s="37">
        <v>44204.0</v>
      </c>
      <c r="BD1331" s="37">
        <v>44263.0</v>
      </c>
      <c r="BE1331" s="37">
        <v>44263.0</v>
      </c>
      <c r="BF1331" s="36">
        <v>100.0</v>
      </c>
      <c r="BG1331" s="36" t="s">
        <v>559</v>
      </c>
      <c r="BH1331" s="38" t="s">
        <v>4170</v>
      </c>
      <c r="FL1331" s="36" t="s">
        <v>3845</v>
      </c>
      <c r="FM1331" s="36" t="s">
        <v>283</v>
      </c>
    </row>
    <row r="1332">
      <c r="A1332" s="50">
        <v>44673.63885440972</v>
      </c>
      <c r="B1332" s="36" t="s">
        <v>7</v>
      </c>
      <c r="C1332" s="36" t="s">
        <v>13</v>
      </c>
      <c r="AX1332" s="36" t="s">
        <v>3786</v>
      </c>
      <c r="AY1332" s="36" t="s">
        <v>3787</v>
      </c>
      <c r="AZ1332" s="36" t="s">
        <v>1393</v>
      </c>
      <c r="BA1332" s="36" t="s">
        <v>1378</v>
      </c>
      <c r="BB1332" s="36" t="s">
        <v>510</v>
      </c>
      <c r="BC1332" s="37">
        <v>43907.0</v>
      </c>
      <c r="BD1332" s="37">
        <v>43968.0</v>
      </c>
      <c r="BE1332" s="37">
        <v>43968.0</v>
      </c>
      <c r="BF1332" s="36">
        <v>95.0</v>
      </c>
      <c r="BG1332" s="36" t="s">
        <v>3882</v>
      </c>
      <c r="BH1332" s="38" t="s">
        <v>4171</v>
      </c>
      <c r="FL1332" s="36" t="s">
        <v>3790</v>
      </c>
      <c r="FM1332" s="36" t="s">
        <v>283</v>
      </c>
    </row>
    <row r="1333">
      <c r="A1333" s="50">
        <v>44673.63889798611</v>
      </c>
      <c r="B1333" s="36" t="s">
        <v>7</v>
      </c>
      <c r="C1333" s="36" t="s">
        <v>13</v>
      </c>
      <c r="AX1333" s="36" t="s">
        <v>4015</v>
      </c>
      <c r="AY1333" s="36" t="s">
        <v>3744</v>
      </c>
      <c r="AZ1333" s="36" t="s">
        <v>856</v>
      </c>
      <c r="BA1333" s="36" t="s">
        <v>900</v>
      </c>
      <c r="BB1333" s="36" t="s">
        <v>348</v>
      </c>
      <c r="BC1333" s="37">
        <v>44075.0</v>
      </c>
      <c r="BD1333" s="37">
        <v>44136.0</v>
      </c>
      <c r="BE1333" s="37">
        <v>44136.0</v>
      </c>
      <c r="BF1333" s="36">
        <v>86.0</v>
      </c>
      <c r="BG1333" s="36" t="s">
        <v>857</v>
      </c>
      <c r="BH1333" s="38" t="s">
        <v>4172</v>
      </c>
      <c r="FL1333" s="36" t="s">
        <v>3748</v>
      </c>
      <c r="FM1333" s="36" t="s">
        <v>283</v>
      </c>
    </row>
    <row r="1334">
      <c r="A1334" s="50">
        <v>44673.63981761574</v>
      </c>
      <c r="B1334" s="36" t="s">
        <v>7</v>
      </c>
      <c r="C1334" s="36" t="s">
        <v>12</v>
      </c>
      <c r="AN1334" s="36" t="s">
        <v>4173</v>
      </c>
      <c r="AO1334" s="36" t="s">
        <v>4174</v>
      </c>
      <c r="AP1334" s="36" t="s">
        <v>3955</v>
      </c>
      <c r="AQ1334" s="36" t="s">
        <v>1786</v>
      </c>
      <c r="AR1334" s="37">
        <v>44470.0</v>
      </c>
      <c r="AS1334" s="37">
        <v>44540.0</v>
      </c>
      <c r="AT1334" s="36" t="s">
        <v>257</v>
      </c>
      <c r="AU1334" s="36" t="s">
        <v>257</v>
      </c>
      <c r="AV1334" s="36">
        <v>0.0</v>
      </c>
      <c r="AW1334" s="38" t="s">
        <v>4175</v>
      </c>
      <c r="FL1334" s="36" t="s">
        <v>4176</v>
      </c>
      <c r="FM1334" s="36" t="s">
        <v>283</v>
      </c>
    </row>
    <row r="1335">
      <c r="A1335" s="50">
        <v>44673.64033634259</v>
      </c>
      <c r="B1335" s="36" t="s">
        <v>7</v>
      </c>
      <c r="C1335" s="36" t="s">
        <v>13</v>
      </c>
      <c r="AX1335" s="36" t="s">
        <v>3318</v>
      </c>
      <c r="AY1335" s="36" t="s">
        <v>3319</v>
      </c>
      <c r="AZ1335" s="36" t="s">
        <v>4177</v>
      </c>
      <c r="BA1335" s="36" t="s">
        <v>337</v>
      </c>
      <c r="BB1335" s="36" t="s">
        <v>510</v>
      </c>
      <c r="BC1335" s="37">
        <v>44382.0</v>
      </c>
      <c r="BD1335" s="37">
        <v>44384.0</v>
      </c>
      <c r="BE1335" s="37">
        <v>44384.0</v>
      </c>
      <c r="BF1335" s="51">
        <v>0.95</v>
      </c>
      <c r="BG1335" s="36" t="s">
        <v>1636</v>
      </c>
      <c r="BH1335" s="38" t="s">
        <v>4178</v>
      </c>
      <c r="FL1335" s="36" t="s">
        <v>3321</v>
      </c>
      <c r="FM1335" s="36" t="s">
        <v>283</v>
      </c>
    </row>
    <row r="1336">
      <c r="A1336" s="50">
        <v>44673.640495914355</v>
      </c>
      <c r="B1336" s="36" t="s">
        <v>7</v>
      </c>
      <c r="C1336" s="36" t="s">
        <v>13</v>
      </c>
      <c r="AX1336" s="36" t="s">
        <v>3864</v>
      </c>
      <c r="AY1336" s="36" t="s">
        <v>3865</v>
      </c>
      <c r="AZ1336" s="36" t="s">
        <v>3871</v>
      </c>
      <c r="BA1336" s="36" t="s">
        <v>900</v>
      </c>
      <c r="BB1336" s="36" t="s">
        <v>4179</v>
      </c>
      <c r="BC1336" s="37">
        <v>44362.0</v>
      </c>
      <c r="BD1336" s="37">
        <v>44392.0</v>
      </c>
      <c r="BE1336" s="37">
        <v>44392.0</v>
      </c>
      <c r="BF1336" s="51">
        <v>1.0</v>
      </c>
      <c r="BG1336" s="36" t="s">
        <v>4180</v>
      </c>
      <c r="BH1336" s="38" t="s">
        <v>4181</v>
      </c>
      <c r="FL1336" s="36" t="s">
        <v>3870</v>
      </c>
      <c r="FM1336" s="36" t="s">
        <v>283</v>
      </c>
    </row>
    <row r="1337">
      <c r="A1337" s="50">
        <v>44673.64089252315</v>
      </c>
      <c r="B1337" s="36" t="s">
        <v>7</v>
      </c>
      <c r="C1337" s="36" t="s">
        <v>13</v>
      </c>
      <c r="AX1337" s="36" t="s">
        <v>4182</v>
      </c>
      <c r="AY1337" s="36" t="s">
        <v>4183</v>
      </c>
      <c r="AZ1337" s="36" t="s">
        <v>4144</v>
      </c>
      <c r="BA1337" s="36" t="s">
        <v>3887</v>
      </c>
      <c r="BB1337" s="36" t="s">
        <v>1258</v>
      </c>
      <c r="BC1337" s="37">
        <v>44536.0</v>
      </c>
      <c r="BD1337" s="37">
        <v>44565.0</v>
      </c>
      <c r="BE1337" s="37">
        <v>44565.0</v>
      </c>
      <c r="BF1337" s="36">
        <v>100.0</v>
      </c>
      <c r="BG1337" s="36" t="s">
        <v>4184</v>
      </c>
      <c r="BH1337" s="38" t="s">
        <v>4185</v>
      </c>
      <c r="FL1337" s="36" t="s">
        <v>4186</v>
      </c>
      <c r="FM1337" s="36" t="s">
        <v>283</v>
      </c>
    </row>
    <row r="1338">
      <c r="A1338" s="50">
        <v>44673.640909444446</v>
      </c>
      <c r="B1338" s="36" t="s">
        <v>7</v>
      </c>
      <c r="C1338" s="36" t="s">
        <v>13</v>
      </c>
      <c r="AX1338" s="36" t="s">
        <v>4187</v>
      </c>
      <c r="AY1338" s="36" t="s">
        <v>4188</v>
      </c>
      <c r="AZ1338" s="36" t="s">
        <v>856</v>
      </c>
      <c r="BA1338" s="36" t="s">
        <v>337</v>
      </c>
      <c r="BB1338" s="36" t="s">
        <v>1335</v>
      </c>
      <c r="BC1338" s="37">
        <v>44075.0</v>
      </c>
      <c r="BD1338" s="37">
        <v>44136.0</v>
      </c>
      <c r="BE1338" s="37">
        <v>44136.0</v>
      </c>
      <c r="BF1338" s="36">
        <v>95.0</v>
      </c>
      <c r="BG1338" s="36" t="s">
        <v>4189</v>
      </c>
      <c r="BH1338" s="38" t="s">
        <v>4190</v>
      </c>
      <c r="FL1338" s="36" t="s">
        <v>4191</v>
      </c>
      <c r="FM1338" s="36" t="s">
        <v>283</v>
      </c>
    </row>
    <row r="1339">
      <c r="A1339" s="50">
        <v>44673.641334155094</v>
      </c>
      <c r="B1339" s="36" t="s">
        <v>7</v>
      </c>
      <c r="C1339" s="36" t="s">
        <v>13</v>
      </c>
      <c r="AX1339" s="36" t="s">
        <v>3311</v>
      </c>
      <c r="AY1339" s="36" t="s">
        <v>3312</v>
      </c>
      <c r="AZ1339" s="36" t="s">
        <v>981</v>
      </c>
      <c r="BA1339" s="36" t="s">
        <v>900</v>
      </c>
      <c r="BB1339" s="36" t="s">
        <v>310</v>
      </c>
      <c r="BC1339" s="37">
        <v>43936.0</v>
      </c>
      <c r="BD1339" s="37">
        <v>43996.0</v>
      </c>
      <c r="BE1339" s="37">
        <v>43996.0</v>
      </c>
      <c r="BF1339" s="51">
        <v>0.9</v>
      </c>
      <c r="BG1339" s="36" t="s">
        <v>1916</v>
      </c>
      <c r="BH1339" s="38" t="s">
        <v>4192</v>
      </c>
      <c r="FL1339" s="36" t="s">
        <v>3314</v>
      </c>
      <c r="FM1339" s="36" t="s">
        <v>283</v>
      </c>
    </row>
    <row r="1340">
      <c r="A1340" s="50">
        <v>44673.64146640046</v>
      </c>
      <c r="B1340" s="36" t="s">
        <v>7</v>
      </c>
      <c r="C1340" s="36" t="s">
        <v>13</v>
      </c>
      <c r="AX1340" s="36" t="s">
        <v>2978</v>
      </c>
      <c r="AY1340" s="36" t="s">
        <v>2979</v>
      </c>
      <c r="AZ1340" s="36" t="s">
        <v>1972</v>
      </c>
      <c r="BA1340" s="36" t="s">
        <v>1434</v>
      </c>
      <c r="BB1340" s="36" t="s">
        <v>450</v>
      </c>
      <c r="BC1340" s="37">
        <v>44512.0</v>
      </c>
      <c r="BD1340" s="37">
        <v>44604.0</v>
      </c>
      <c r="BE1340" s="37">
        <v>44604.0</v>
      </c>
      <c r="BF1340" s="36">
        <v>98.0</v>
      </c>
      <c r="BG1340" s="36" t="s">
        <v>559</v>
      </c>
      <c r="BH1340" s="38" t="s">
        <v>4193</v>
      </c>
      <c r="FL1340" s="36" t="s">
        <v>2981</v>
      </c>
      <c r="FM1340" s="36" t="s">
        <v>283</v>
      </c>
    </row>
    <row r="1341">
      <c r="A1341" s="50">
        <v>44673.64220524306</v>
      </c>
      <c r="B1341" s="36" t="s">
        <v>7</v>
      </c>
      <c r="C1341" s="36" t="s">
        <v>13</v>
      </c>
      <c r="AX1341" s="36" t="s">
        <v>3318</v>
      </c>
      <c r="AY1341" s="36" t="s">
        <v>3319</v>
      </c>
      <c r="AZ1341" s="36" t="s">
        <v>1372</v>
      </c>
      <c r="BA1341" s="36" t="s">
        <v>337</v>
      </c>
      <c r="BB1341" s="36" t="s">
        <v>510</v>
      </c>
      <c r="BC1341" s="37">
        <v>43935.0</v>
      </c>
      <c r="BD1341" s="37">
        <v>43996.0</v>
      </c>
      <c r="BE1341" s="37">
        <v>43996.0</v>
      </c>
      <c r="BF1341" s="51">
        <v>0.95</v>
      </c>
      <c r="BG1341" s="36" t="s">
        <v>4194</v>
      </c>
      <c r="BH1341" s="38" t="s">
        <v>4195</v>
      </c>
      <c r="FL1341" s="36" t="s">
        <v>3321</v>
      </c>
      <c r="FM1341" s="36" t="s">
        <v>283</v>
      </c>
    </row>
    <row r="1342">
      <c r="A1342" s="50">
        <v>44673.64228328704</v>
      </c>
      <c r="B1342" s="36" t="s">
        <v>7</v>
      </c>
      <c r="C1342" s="36" t="s">
        <v>14</v>
      </c>
      <c r="BI1342" s="36" t="s">
        <v>3839</v>
      </c>
      <c r="BJ1342" s="36" t="s">
        <v>3840</v>
      </c>
      <c r="BK1342" s="36" t="s">
        <v>171</v>
      </c>
      <c r="BL1342" s="36" t="s">
        <v>1288</v>
      </c>
      <c r="BM1342" s="36" t="s">
        <v>4196</v>
      </c>
      <c r="BN1342" s="36">
        <v>1.0</v>
      </c>
      <c r="BO1342" s="37">
        <v>44311.0</v>
      </c>
      <c r="BP1342" s="37">
        <v>44311.0</v>
      </c>
      <c r="BQ1342" s="36" t="s">
        <v>4197</v>
      </c>
      <c r="BR1342" s="36" t="s">
        <v>4198</v>
      </c>
      <c r="BS1342" s="36" t="s">
        <v>155</v>
      </c>
      <c r="BT1342" s="36" t="s">
        <v>156</v>
      </c>
      <c r="BV1342" s="38" t="s">
        <v>4199</v>
      </c>
      <c r="FL1342" s="36" t="s">
        <v>3845</v>
      </c>
      <c r="FM1342" s="36" t="s">
        <v>283</v>
      </c>
    </row>
    <row r="1343">
      <c r="A1343" s="50">
        <v>44673.64268016204</v>
      </c>
      <c r="B1343" s="36" t="s">
        <v>7</v>
      </c>
      <c r="C1343" s="36" t="s">
        <v>13</v>
      </c>
      <c r="AX1343" s="36" t="s">
        <v>4200</v>
      </c>
      <c r="AY1343" s="36" t="s">
        <v>4183</v>
      </c>
      <c r="AZ1343" s="36" t="s">
        <v>3886</v>
      </c>
      <c r="BA1343" s="36" t="s">
        <v>3887</v>
      </c>
      <c r="BB1343" s="36" t="s">
        <v>1258</v>
      </c>
      <c r="BC1343" s="37">
        <v>44581.0</v>
      </c>
      <c r="BD1343" s="37">
        <v>44610.0</v>
      </c>
      <c r="BE1343" s="37">
        <v>44610.0</v>
      </c>
      <c r="BF1343" s="36">
        <v>100.0</v>
      </c>
      <c r="BG1343" s="36" t="s">
        <v>3888</v>
      </c>
      <c r="BH1343" s="38" t="s">
        <v>4201</v>
      </c>
      <c r="FL1343" s="36" t="s">
        <v>4202</v>
      </c>
      <c r="FM1343" s="36" t="s">
        <v>283</v>
      </c>
    </row>
    <row r="1344">
      <c r="A1344" s="50">
        <v>44673.64310311343</v>
      </c>
      <c r="B1344" s="36" t="s">
        <v>7</v>
      </c>
      <c r="C1344" s="36" t="s">
        <v>13</v>
      </c>
      <c r="AX1344" s="36" t="s">
        <v>4203</v>
      </c>
      <c r="AY1344" s="36" t="s">
        <v>3744</v>
      </c>
      <c r="AZ1344" s="36" t="s">
        <v>4204</v>
      </c>
      <c r="BA1344" s="36" t="s">
        <v>900</v>
      </c>
      <c r="BB1344" s="36" t="s">
        <v>348</v>
      </c>
      <c r="BC1344" s="37">
        <v>44082.0</v>
      </c>
      <c r="BD1344" s="37">
        <v>44143.0</v>
      </c>
      <c r="BE1344" s="37">
        <v>44143.0</v>
      </c>
      <c r="BF1344" s="36">
        <v>85.0</v>
      </c>
      <c r="BG1344" s="36" t="s">
        <v>4205</v>
      </c>
      <c r="BH1344" s="38" t="s">
        <v>4206</v>
      </c>
      <c r="FL1344" s="36" t="s">
        <v>3748</v>
      </c>
      <c r="FM1344" s="36" t="s">
        <v>283</v>
      </c>
    </row>
    <row r="1345">
      <c r="A1345" s="50">
        <v>44673.64312517361</v>
      </c>
      <c r="B1345" s="36" t="s">
        <v>7</v>
      </c>
      <c r="C1345" s="36" t="s">
        <v>13</v>
      </c>
      <c r="AX1345" s="36" t="s">
        <v>3908</v>
      </c>
      <c r="AY1345" s="36" t="s">
        <v>3909</v>
      </c>
      <c r="AZ1345" s="36" t="s">
        <v>3405</v>
      </c>
      <c r="BA1345" s="36" t="s">
        <v>4207</v>
      </c>
      <c r="BB1345" s="36" t="s">
        <v>450</v>
      </c>
      <c r="BC1345" s="37">
        <v>44502.0</v>
      </c>
      <c r="BD1345" s="37">
        <v>44574.0</v>
      </c>
      <c r="BE1345" s="37">
        <v>44574.0</v>
      </c>
      <c r="BF1345" s="51">
        <v>0.67</v>
      </c>
      <c r="BG1345" s="36" t="s">
        <v>3455</v>
      </c>
      <c r="BH1345" s="38" t="s">
        <v>4208</v>
      </c>
      <c r="FL1345" s="36" t="s">
        <v>3912</v>
      </c>
      <c r="FM1345" s="36" t="s">
        <v>283</v>
      </c>
    </row>
    <row r="1346">
      <c r="A1346" s="50">
        <v>44673.643145740745</v>
      </c>
      <c r="B1346" s="36" t="s">
        <v>7</v>
      </c>
      <c r="C1346" s="36" t="s">
        <v>13</v>
      </c>
      <c r="AX1346" s="36" t="s">
        <v>3864</v>
      </c>
      <c r="AY1346" s="36" t="s">
        <v>3865</v>
      </c>
      <c r="AZ1346" s="36" t="s">
        <v>4209</v>
      </c>
      <c r="BA1346" s="36" t="s">
        <v>4210</v>
      </c>
      <c r="BB1346" s="36" t="s">
        <v>450</v>
      </c>
      <c r="BC1346" s="37">
        <v>44362.0</v>
      </c>
      <c r="BD1346" s="37">
        <v>44423.0</v>
      </c>
      <c r="BE1346" s="37">
        <v>44423.0</v>
      </c>
      <c r="BF1346" s="51">
        <v>1.0</v>
      </c>
      <c r="BG1346" s="36" t="s">
        <v>4211</v>
      </c>
      <c r="BH1346" s="38" t="s">
        <v>4212</v>
      </c>
      <c r="FL1346" s="36" t="s">
        <v>3870</v>
      </c>
      <c r="FM1346" s="36" t="s">
        <v>283</v>
      </c>
    </row>
    <row r="1347">
      <c r="A1347" s="50">
        <v>44673.64346263889</v>
      </c>
      <c r="B1347" s="36" t="s">
        <v>7</v>
      </c>
      <c r="C1347" s="36" t="s">
        <v>13</v>
      </c>
      <c r="AX1347" s="36" t="s">
        <v>3311</v>
      </c>
      <c r="AY1347" s="36" t="s">
        <v>3312</v>
      </c>
      <c r="AZ1347" s="36" t="s">
        <v>856</v>
      </c>
      <c r="BA1347" s="36" t="s">
        <v>900</v>
      </c>
      <c r="BB1347" s="36" t="s">
        <v>310</v>
      </c>
      <c r="BC1347" s="37">
        <v>44048.0</v>
      </c>
      <c r="BD1347" s="37">
        <v>44108.0</v>
      </c>
      <c r="BE1347" s="37">
        <v>44108.0</v>
      </c>
      <c r="BF1347" s="51">
        <v>0.94</v>
      </c>
      <c r="BG1347" s="36" t="s">
        <v>4213</v>
      </c>
      <c r="BH1347" s="38" t="s">
        <v>4214</v>
      </c>
      <c r="FL1347" s="36" t="s">
        <v>3314</v>
      </c>
      <c r="FM1347" s="36" t="s">
        <v>283</v>
      </c>
    </row>
    <row r="1348">
      <c r="A1348" s="50">
        <v>44673.6437553588</v>
      </c>
      <c r="B1348" s="36" t="s">
        <v>7</v>
      </c>
      <c r="C1348" s="36" t="s">
        <v>13</v>
      </c>
      <c r="AX1348" s="36" t="s">
        <v>4215</v>
      </c>
      <c r="AY1348" s="36" t="s">
        <v>2979</v>
      </c>
      <c r="AZ1348" s="36" t="s">
        <v>571</v>
      </c>
      <c r="BA1348" s="36" t="s">
        <v>337</v>
      </c>
      <c r="BB1348" s="36" t="s">
        <v>450</v>
      </c>
      <c r="BC1348" s="37">
        <v>44454.0</v>
      </c>
      <c r="BD1348" s="37">
        <v>44545.0</v>
      </c>
      <c r="BE1348" s="37">
        <v>44545.0</v>
      </c>
      <c r="BF1348" s="36">
        <v>90.0</v>
      </c>
      <c r="BG1348" s="36" t="s">
        <v>559</v>
      </c>
      <c r="BH1348" s="38" t="s">
        <v>4216</v>
      </c>
      <c r="FL1348" s="36" t="s">
        <v>2981</v>
      </c>
      <c r="FM1348" s="36" t="s">
        <v>283</v>
      </c>
    </row>
    <row r="1349">
      <c r="A1349" s="50">
        <v>44673.64389449074</v>
      </c>
      <c r="B1349" s="36" t="s">
        <v>7</v>
      </c>
      <c r="C1349" s="36" t="s">
        <v>13</v>
      </c>
      <c r="AX1349" s="36" t="s">
        <v>4133</v>
      </c>
      <c r="AY1349" s="36" t="s">
        <v>4134</v>
      </c>
      <c r="AZ1349" s="36" t="s">
        <v>1372</v>
      </c>
      <c r="BA1349" s="36" t="s">
        <v>337</v>
      </c>
      <c r="BB1349" s="36" t="s">
        <v>2335</v>
      </c>
      <c r="BC1349" s="37">
        <v>43888.0</v>
      </c>
      <c r="BD1349" s="37">
        <v>44043.0</v>
      </c>
      <c r="BE1349" s="37">
        <v>43966.0</v>
      </c>
      <c r="BF1349" s="36">
        <v>85.0</v>
      </c>
      <c r="BG1349" s="36" t="s">
        <v>559</v>
      </c>
      <c r="BH1349" s="38" t="s">
        <v>4217</v>
      </c>
      <c r="FL1349" s="36" t="s">
        <v>4138</v>
      </c>
      <c r="FM1349" s="36" t="s">
        <v>283</v>
      </c>
    </row>
    <row r="1350">
      <c r="A1350" s="50">
        <v>44673.64409523148</v>
      </c>
      <c r="B1350" s="36" t="s">
        <v>7</v>
      </c>
      <c r="C1350" s="36" t="s">
        <v>13</v>
      </c>
      <c r="AX1350" s="36" t="s">
        <v>4187</v>
      </c>
      <c r="AY1350" s="36" t="s">
        <v>4188</v>
      </c>
      <c r="AZ1350" s="36" t="s">
        <v>347</v>
      </c>
      <c r="BA1350" s="36" t="s">
        <v>409</v>
      </c>
      <c r="BB1350" s="36" t="s">
        <v>310</v>
      </c>
      <c r="BC1350" s="37">
        <v>44261.0</v>
      </c>
      <c r="BD1350" s="37">
        <v>44322.0</v>
      </c>
      <c r="BE1350" s="37">
        <v>44322.0</v>
      </c>
      <c r="BF1350" s="36">
        <v>95.0</v>
      </c>
      <c r="BG1350" s="36" t="s">
        <v>445</v>
      </c>
      <c r="BH1350" s="38" t="s">
        <v>4218</v>
      </c>
      <c r="FL1350" s="36" t="s">
        <v>4191</v>
      </c>
      <c r="FM1350" s="36" t="s">
        <v>283</v>
      </c>
    </row>
    <row r="1351">
      <c r="A1351" s="50">
        <v>44673.64430752315</v>
      </c>
      <c r="B1351" s="36" t="s">
        <v>7</v>
      </c>
      <c r="C1351" s="36" t="s">
        <v>13</v>
      </c>
      <c r="AX1351" s="36" t="s">
        <v>3318</v>
      </c>
      <c r="AY1351" s="36" t="s">
        <v>3319</v>
      </c>
      <c r="AZ1351" s="36" t="s">
        <v>2330</v>
      </c>
      <c r="BA1351" s="36" t="s">
        <v>337</v>
      </c>
      <c r="BB1351" s="36" t="s">
        <v>510</v>
      </c>
      <c r="BC1351" s="37">
        <v>44044.0</v>
      </c>
      <c r="BD1351" s="37">
        <v>44108.0</v>
      </c>
      <c r="BE1351" s="37">
        <v>44108.0</v>
      </c>
      <c r="BF1351" s="51">
        <v>0.95</v>
      </c>
      <c r="BG1351" s="36" t="s">
        <v>4219</v>
      </c>
      <c r="BH1351" s="38" t="s">
        <v>4220</v>
      </c>
      <c r="FL1351" s="36" t="s">
        <v>3321</v>
      </c>
      <c r="FM1351" s="36" t="s">
        <v>283</v>
      </c>
    </row>
    <row r="1352">
      <c r="A1352" s="50">
        <v>44673.64497385417</v>
      </c>
      <c r="B1352" s="36" t="s">
        <v>7</v>
      </c>
      <c r="C1352" s="36" t="s">
        <v>13</v>
      </c>
      <c r="AX1352" s="36" t="s">
        <v>4159</v>
      </c>
      <c r="AY1352" s="36" t="s">
        <v>2874</v>
      </c>
      <c r="AZ1352" s="36" t="s">
        <v>4221</v>
      </c>
      <c r="BA1352" s="36" t="s">
        <v>1334</v>
      </c>
      <c r="BB1352" s="36" t="s">
        <v>1068</v>
      </c>
      <c r="BC1352" s="37">
        <v>44512.0</v>
      </c>
      <c r="BD1352" s="37">
        <v>44604.0</v>
      </c>
      <c r="BE1352" s="37">
        <v>44604.0</v>
      </c>
      <c r="BF1352" s="36">
        <v>95.8</v>
      </c>
      <c r="BG1352" s="36" t="s">
        <v>559</v>
      </c>
      <c r="BH1352" s="38" t="s">
        <v>4222</v>
      </c>
      <c r="FL1352" s="36" t="s">
        <v>4223</v>
      </c>
      <c r="FM1352" s="36" t="s">
        <v>283</v>
      </c>
    </row>
    <row r="1353">
      <c r="A1353" s="50">
        <v>44673.64505148148</v>
      </c>
      <c r="B1353" s="36" t="s">
        <v>7</v>
      </c>
      <c r="C1353" s="36" t="s">
        <v>13</v>
      </c>
      <c r="AX1353" s="36" t="s">
        <v>4200</v>
      </c>
      <c r="AY1353" s="36" t="s">
        <v>4183</v>
      </c>
      <c r="AZ1353" s="36" t="s">
        <v>4144</v>
      </c>
      <c r="BA1353" s="36" t="s">
        <v>3887</v>
      </c>
      <c r="BB1353" s="36" t="s">
        <v>1258</v>
      </c>
      <c r="BC1353" s="37">
        <v>44536.0</v>
      </c>
      <c r="BD1353" s="37">
        <v>44565.0</v>
      </c>
      <c r="BE1353" s="37">
        <v>44565.0</v>
      </c>
      <c r="BF1353" s="36">
        <v>100.0</v>
      </c>
      <c r="BG1353" s="36" t="s">
        <v>4224</v>
      </c>
      <c r="BH1353" s="38" t="s">
        <v>4225</v>
      </c>
      <c r="FL1353" s="36" t="s">
        <v>4202</v>
      </c>
      <c r="FM1353" s="36" t="s">
        <v>283</v>
      </c>
    </row>
    <row r="1354">
      <c r="A1354" s="50">
        <v>44673.64548324074</v>
      </c>
      <c r="B1354" s="36" t="s">
        <v>7</v>
      </c>
      <c r="C1354" s="36" t="s">
        <v>13</v>
      </c>
      <c r="AX1354" s="36" t="s">
        <v>4015</v>
      </c>
      <c r="AY1354" s="36" t="s">
        <v>3744</v>
      </c>
      <c r="AZ1354" s="36" t="s">
        <v>4226</v>
      </c>
      <c r="BA1354" s="36" t="s">
        <v>900</v>
      </c>
      <c r="BB1354" s="36" t="s">
        <v>348</v>
      </c>
      <c r="BC1354" s="37">
        <v>44283.0</v>
      </c>
      <c r="BD1354" s="37">
        <v>44344.0</v>
      </c>
      <c r="BE1354" s="37">
        <v>44344.0</v>
      </c>
      <c r="BF1354" s="36">
        <v>84.0</v>
      </c>
      <c r="BG1354" s="36" t="s">
        <v>4205</v>
      </c>
      <c r="BH1354" s="38" t="s">
        <v>4227</v>
      </c>
      <c r="FL1354" s="36" t="s">
        <v>3748</v>
      </c>
      <c r="FM1354" s="36" t="s">
        <v>283</v>
      </c>
    </row>
    <row r="1355">
      <c r="A1355" s="50">
        <v>44673.64563063657</v>
      </c>
      <c r="B1355" s="36" t="s">
        <v>7</v>
      </c>
      <c r="C1355" s="36" t="s">
        <v>13</v>
      </c>
      <c r="AX1355" s="36" t="s">
        <v>4173</v>
      </c>
      <c r="AY1355" s="36" t="s">
        <v>4174</v>
      </c>
      <c r="AZ1355" s="36" t="s">
        <v>1372</v>
      </c>
      <c r="BA1355" s="36" t="s">
        <v>337</v>
      </c>
      <c r="BB1355" s="36" t="s">
        <v>2335</v>
      </c>
      <c r="BC1355" s="37">
        <v>43888.0</v>
      </c>
      <c r="BD1355" s="37">
        <v>44043.0</v>
      </c>
      <c r="BE1355" s="37">
        <v>44027.0</v>
      </c>
      <c r="BF1355" s="36">
        <v>85.0</v>
      </c>
      <c r="BG1355" s="36" t="s">
        <v>1503</v>
      </c>
      <c r="BH1355" s="38" t="s">
        <v>4228</v>
      </c>
      <c r="FL1355" s="36" t="s">
        <v>4176</v>
      </c>
      <c r="FM1355" s="36" t="s">
        <v>283</v>
      </c>
    </row>
    <row r="1356">
      <c r="A1356" s="50">
        <v>44673.64642607639</v>
      </c>
      <c r="B1356" s="36" t="s">
        <v>7</v>
      </c>
      <c r="C1356" s="36" t="s">
        <v>13</v>
      </c>
      <c r="AX1356" s="36" t="s">
        <v>4215</v>
      </c>
      <c r="AY1356" s="36" t="s">
        <v>2979</v>
      </c>
      <c r="AZ1356" s="36" t="s">
        <v>687</v>
      </c>
      <c r="BA1356" s="36" t="s">
        <v>377</v>
      </c>
      <c r="BB1356" s="36" t="s">
        <v>450</v>
      </c>
      <c r="BC1356" s="37">
        <v>44583.0</v>
      </c>
      <c r="BD1356" s="37">
        <v>44673.0</v>
      </c>
      <c r="BE1356" s="37">
        <v>44673.0</v>
      </c>
      <c r="BF1356" s="36">
        <v>90.0</v>
      </c>
      <c r="BG1356" s="36" t="s">
        <v>4229</v>
      </c>
      <c r="BH1356" s="38" t="s">
        <v>4230</v>
      </c>
      <c r="FL1356" s="36" t="s">
        <v>2981</v>
      </c>
      <c r="FM1356" s="36" t="s">
        <v>283</v>
      </c>
    </row>
    <row r="1357">
      <c r="A1357" s="50">
        <v>44673.646678668985</v>
      </c>
      <c r="B1357" s="36" t="s">
        <v>7</v>
      </c>
      <c r="C1357" s="36" t="s">
        <v>13</v>
      </c>
      <c r="AX1357" s="36" t="s">
        <v>4231</v>
      </c>
      <c r="AY1357" s="36" t="s">
        <v>4232</v>
      </c>
      <c r="AZ1357" s="36" t="s">
        <v>347</v>
      </c>
      <c r="BA1357" s="36" t="s">
        <v>409</v>
      </c>
      <c r="BB1357" s="36" t="s">
        <v>310</v>
      </c>
      <c r="BC1357" s="37">
        <v>44204.0</v>
      </c>
      <c r="BD1357" s="37">
        <v>44263.0</v>
      </c>
      <c r="BE1357" s="37">
        <v>44263.0</v>
      </c>
      <c r="BF1357" s="36">
        <v>95.0</v>
      </c>
      <c r="BG1357" s="36" t="s">
        <v>445</v>
      </c>
      <c r="BH1357" s="38" t="s">
        <v>4233</v>
      </c>
      <c r="FL1357" s="36" t="s">
        <v>4234</v>
      </c>
      <c r="FM1357" s="36" t="s">
        <v>283</v>
      </c>
    </row>
    <row r="1358">
      <c r="A1358" s="50">
        <v>44673.64732238426</v>
      </c>
      <c r="B1358" s="36" t="s">
        <v>7</v>
      </c>
      <c r="C1358" s="36" t="s">
        <v>13</v>
      </c>
      <c r="AX1358" s="36" t="s">
        <v>4200</v>
      </c>
      <c r="AY1358" s="36" t="s">
        <v>4183</v>
      </c>
      <c r="AZ1358" s="36" t="s">
        <v>4042</v>
      </c>
      <c r="BA1358" s="36" t="s">
        <v>4099</v>
      </c>
      <c r="BB1358" s="36" t="s">
        <v>1068</v>
      </c>
      <c r="BC1358" s="37">
        <v>44233.0</v>
      </c>
      <c r="BD1358" s="37">
        <v>44322.0</v>
      </c>
      <c r="BE1358" s="37">
        <v>44322.0</v>
      </c>
      <c r="BF1358" s="36">
        <v>100.0</v>
      </c>
      <c r="BG1358" s="36" t="s">
        <v>4235</v>
      </c>
      <c r="BH1358" s="38" t="s">
        <v>4236</v>
      </c>
      <c r="FL1358" s="36" t="s">
        <v>4202</v>
      </c>
      <c r="FM1358" s="36" t="s">
        <v>283</v>
      </c>
    </row>
    <row r="1359">
      <c r="A1359" s="50">
        <v>44673.647572754635</v>
      </c>
      <c r="B1359" s="36" t="s">
        <v>7</v>
      </c>
      <c r="C1359" s="36" t="s">
        <v>13</v>
      </c>
      <c r="AX1359" s="36" t="s">
        <v>3864</v>
      </c>
      <c r="AY1359" s="36" t="s">
        <v>3865</v>
      </c>
      <c r="AZ1359" s="36" t="s">
        <v>4237</v>
      </c>
      <c r="BA1359" s="36" t="s">
        <v>345</v>
      </c>
      <c r="BB1359" s="36" t="s">
        <v>450</v>
      </c>
      <c r="BC1359" s="37">
        <v>43939.0</v>
      </c>
      <c r="BD1359" s="37">
        <v>44000.0</v>
      </c>
      <c r="BE1359" s="37">
        <v>44000.0</v>
      </c>
      <c r="BF1359" s="51">
        <v>1.0</v>
      </c>
      <c r="BG1359" s="36" t="s">
        <v>4238</v>
      </c>
      <c r="BH1359" s="38" t="s">
        <v>4239</v>
      </c>
      <c r="FL1359" s="36" t="s">
        <v>3870</v>
      </c>
      <c r="FM1359" s="36" t="s">
        <v>283</v>
      </c>
    </row>
    <row r="1360">
      <c r="A1360" s="50">
        <v>44673.64782702546</v>
      </c>
      <c r="B1360" s="36" t="s">
        <v>7</v>
      </c>
      <c r="C1360" s="36" t="s">
        <v>20</v>
      </c>
      <c r="DX1360" s="36" t="s">
        <v>3786</v>
      </c>
      <c r="DY1360" s="36" t="s">
        <v>3787</v>
      </c>
      <c r="DZ1360" s="36" t="s">
        <v>171</v>
      </c>
      <c r="EA1360" s="36" t="s">
        <v>4240</v>
      </c>
      <c r="EB1360" s="37">
        <v>44311.0</v>
      </c>
      <c r="EC1360" s="36" t="s">
        <v>2826</v>
      </c>
      <c r="ED1360" s="38" t="s">
        <v>4241</v>
      </c>
      <c r="FL1360" s="36" t="s">
        <v>3790</v>
      </c>
      <c r="FM1360" s="36" t="s">
        <v>283</v>
      </c>
    </row>
    <row r="1361">
      <c r="A1361" s="50">
        <v>44673.64865444445</v>
      </c>
      <c r="B1361" s="36" t="s">
        <v>7</v>
      </c>
      <c r="C1361" s="36" t="s">
        <v>13</v>
      </c>
      <c r="AX1361" s="36" t="s">
        <v>2854</v>
      </c>
      <c r="AY1361" s="36" t="s">
        <v>2855</v>
      </c>
      <c r="AZ1361" s="36" t="s">
        <v>687</v>
      </c>
      <c r="BA1361" s="36" t="s">
        <v>1434</v>
      </c>
      <c r="BB1361" s="36" t="s">
        <v>450</v>
      </c>
      <c r="BC1361" s="37">
        <v>44564.0</v>
      </c>
      <c r="BD1361" s="37">
        <v>44258.0</v>
      </c>
      <c r="BE1361" s="37">
        <v>44673.0</v>
      </c>
      <c r="BF1361" s="36">
        <v>90.0</v>
      </c>
      <c r="BG1361" s="36" t="s">
        <v>4229</v>
      </c>
      <c r="BH1361" s="38" t="s">
        <v>4242</v>
      </c>
      <c r="FL1361" s="36" t="s">
        <v>4243</v>
      </c>
      <c r="FM1361" s="36" t="s">
        <v>283</v>
      </c>
    </row>
    <row r="1362">
      <c r="A1362" s="50">
        <v>44673.64914896991</v>
      </c>
      <c r="B1362" s="36" t="s">
        <v>7</v>
      </c>
      <c r="C1362" s="36" t="s">
        <v>13</v>
      </c>
      <c r="AX1362" s="36" t="s">
        <v>4159</v>
      </c>
      <c r="AY1362" s="36" t="s">
        <v>2874</v>
      </c>
      <c r="AZ1362" s="36" t="s">
        <v>347</v>
      </c>
      <c r="BA1362" s="36" t="s">
        <v>1434</v>
      </c>
      <c r="BB1362" s="36" t="s">
        <v>1068</v>
      </c>
      <c r="BC1362" s="37">
        <v>44574.0</v>
      </c>
      <c r="BD1362" s="37">
        <v>44308.0</v>
      </c>
      <c r="BE1362" s="37">
        <v>44308.0</v>
      </c>
      <c r="BF1362" s="36">
        <v>96.0</v>
      </c>
      <c r="BG1362" s="36" t="s">
        <v>4244</v>
      </c>
      <c r="BH1362" s="38" t="s">
        <v>4245</v>
      </c>
      <c r="FL1362" s="36" t="s">
        <v>4223</v>
      </c>
      <c r="FM1362" s="36" t="s">
        <v>283</v>
      </c>
    </row>
    <row r="1363">
      <c r="A1363" s="50">
        <v>44673.64958994213</v>
      </c>
      <c r="B1363" s="36" t="s">
        <v>7</v>
      </c>
      <c r="C1363" s="36" t="s">
        <v>13</v>
      </c>
      <c r="AX1363" s="36" t="s">
        <v>4246</v>
      </c>
      <c r="AY1363" s="36" t="s">
        <v>3744</v>
      </c>
      <c r="AZ1363" s="36" t="s">
        <v>1753</v>
      </c>
      <c r="BA1363" s="36" t="s">
        <v>345</v>
      </c>
      <c r="BB1363" s="36" t="s">
        <v>348</v>
      </c>
      <c r="BC1363" s="37">
        <v>43881.0</v>
      </c>
      <c r="BD1363" s="37">
        <v>43942.0</v>
      </c>
      <c r="BE1363" s="37">
        <v>43942.0</v>
      </c>
      <c r="BF1363" s="36">
        <v>95.0</v>
      </c>
      <c r="BG1363" s="36" t="s">
        <v>4247</v>
      </c>
      <c r="BH1363" s="38" t="s">
        <v>4248</v>
      </c>
      <c r="FL1363" s="36" t="s">
        <v>3748</v>
      </c>
      <c r="FM1363" s="36" t="s">
        <v>283</v>
      </c>
    </row>
    <row r="1364">
      <c r="A1364" s="50">
        <v>44673.64977310185</v>
      </c>
      <c r="B1364" s="36" t="s">
        <v>7</v>
      </c>
      <c r="C1364" s="36" t="s">
        <v>12</v>
      </c>
      <c r="AN1364" s="36" t="s">
        <v>3311</v>
      </c>
      <c r="AO1364" s="36" t="s">
        <v>3312</v>
      </c>
      <c r="AP1364" s="36" t="s">
        <v>309</v>
      </c>
      <c r="AQ1364" s="36" t="s">
        <v>507</v>
      </c>
      <c r="AR1364" s="37">
        <v>44492.0</v>
      </c>
      <c r="AS1364" s="37">
        <v>44548.0</v>
      </c>
      <c r="AT1364" s="36" t="s">
        <v>257</v>
      </c>
      <c r="AU1364" s="36" t="s">
        <v>257</v>
      </c>
      <c r="AV1364" s="36">
        <v>0.0</v>
      </c>
      <c r="AW1364" s="38" t="s">
        <v>4249</v>
      </c>
      <c r="FL1364" s="36" t="s">
        <v>3314</v>
      </c>
      <c r="FM1364" s="36" t="s">
        <v>283</v>
      </c>
    </row>
    <row r="1365">
      <c r="A1365" s="50">
        <v>44673.649852835646</v>
      </c>
      <c r="B1365" s="36" t="s">
        <v>7</v>
      </c>
      <c r="C1365" s="36" t="s">
        <v>12</v>
      </c>
      <c r="AN1365" s="36" t="s">
        <v>3864</v>
      </c>
      <c r="AO1365" s="36" t="s">
        <v>3865</v>
      </c>
      <c r="AP1365" s="36" t="s">
        <v>4250</v>
      </c>
      <c r="AQ1365" s="36" t="s">
        <v>507</v>
      </c>
      <c r="AR1365" s="37">
        <v>44470.0</v>
      </c>
      <c r="AS1365" s="37">
        <v>44531.0</v>
      </c>
      <c r="AT1365" s="36" t="s">
        <v>257</v>
      </c>
      <c r="AU1365" s="36" t="s">
        <v>257</v>
      </c>
      <c r="AV1365" s="36">
        <v>0.0</v>
      </c>
      <c r="AW1365" s="38" t="s">
        <v>4251</v>
      </c>
      <c r="FL1365" s="36" t="s">
        <v>3870</v>
      </c>
      <c r="FM1365" s="36" t="s">
        <v>283</v>
      </c>
    </row>
    <row r="1366">
      <c r="A1366" s="50">
        <v>44673.650487384264</v>
      </c>
      <c r="B1366" s="36" t="s">
        <v>7</v>
      </c>
      <c r="C1366" s="36" t="s">
        <v>13</v>
      </c>
      <c r="AX1366" s="36" t="s">
        <v>3884</v>
      </c>
      <c r="AY1366" s="36" t="s">
        <v>3885</v>
      </c>
      <c r="AZ1366" s="36" t="s">
        <v>4252</v>
      </c>
      <c r="BA1366" s="36" t="s">
        <v>4253</v>
      </c>
      <c r="BB1366" s="36" t="s">
        <v>1258</v>
      </c>
      <c r="BC1366" s="37">
        <v>44451.0</v>
      </c>
      <c r="BD1366" s="37">
        <v>44481.0</v>
      </c>
      <c r="BE1366" s="37">
        <v>44481.0</v>
      </c>
      <c r="BF1366" s="36">
        <v>100.0</v>
      </c>
      <c r="BG1366" s="36" t="s">
        <v>4254</v>
      </c>
      <c r="BH1366" s="38" t="s">
        <v>4255</v>
      </c>
      <c r="FL1366" s="36" t="s">
        <v>3890</v>
      </c>
      <c r="FM1366" s="36" t="s">
        <v>283</v>
      </c>
    </row>
    <row r="1367">
      <c r="A1367" s="50">
        <v>44673.650626504634</v>
      </c>
      <c r="B1367" s="36" t="s">
        <v>7</v>
      </c>
      <c r="C1367" s="36" t="s">
        <v>13</v>
      </c>
      <c r="AX1367" s="36" t="s">
        <v>2854</v>
      </c>
      <c r="AY1367" s="36" t="s">
        <v>2855</v>
      </c>
      <c r="AZ1367" s="36" t="s">
        <v>667</v>
      </c>
      <c r="BA1367" s="36" t="s">
        <v>337</v>
      </c>
      <c r="BB1367" s="36" t="s">
        <v>450</v>
      </c>
      <c r="BC1367" s="37">
        <v>44513.0</v>
      </c>
      <c r="BD1367" s="37">
        <v>44605.0</v>
      </c>
      <c r="BE1367" s="37">
        <v>44605.0</v>
      </c>
      <c r="BF1367" s="36">
        <v>90.0</v>
      </c>
      <c r="BG1367" s="36" t="s">
        <v>559</v>
      </c>
      <c r="BH1367" s="38" t="s">
        <v>4256</v>
      </c>
      <c r="FL1367" s="36" t="s">
        <v>4243</v>
      </c>
      <c r="FM1367" s="36" t="s">
        <v>283</v>
      </c>
    </row>
    <row r="1368">
      <c r="A1368" s="50">
        <v>44673.65104943287</v>
      </c>
      <c r="B1368" s="36" t="s">
        <v>7</v>
      </c>
      <c r="C1368" s="36" t="s">
        <v>13</v>
      </c>
      <c r="AX1368" s="36" t="s">
        <v>3786</v>
      </c>
      <c r="AY1368" s="36" t="s">
        <v>3787</v>
      </c>
      <c r="AZ1368" s="36" t="s">
        <v>674</v>
      </c>
      <c r="BA1368" s="36" t="s">
        <v>377</v>
      </c>
      <c r="BB1368" s="36" t="s">
        <v>310</v>
      </c>
      <c r="BC1368" s="37">
        <v>43962.0</v>
      </c>
      <c r="BD1368" s="37">
        <v>44023.0</v>
      </c>
      <c r="BE1368" s="37">
        <v>44023.0</v>
      </c>
      <c r="BF1368" s="36">
        <v>95.0</v>
      </c>
      <c r="BG1368" s="36" t="s">
        <v>3788</v>
      </c>
      <c r="BH1368" s="38" t="s">
        <v>4257</v>
      </c>
      <c r="FL1368" s="36" t="s">
        <v>3790</v>
      </c>
      <c r="FM1368" s="36" t="s">
        <v>283</v>
      </c>
    </row>
    <row r="1369">
      <c r="A1369" s="50">
        <v>44673.652314837964</v>
      </c>
      <c r="B1369" s="36" t="s">
        <v>7</v>
      </c>
      <c r="C1369" s="36" t="s">
        <v>13</v>
      </c>
      <c r="AX1369" s="36" t="s">
        <v>2854</v>
      </c>
      <c r="AY1369" s="36" t="s">
        <v>2855</v>
      </c>
      <c r="AZ1369" s="36" t="s">
        <v>571</v>
      </c>
      <c r="BA1369" s="36" t="s">
        <v>337</v>
      </c>
      <c r="BB1369" s="36" t="s">
        <v>450</v>
      </c>
      <c r="BC1369" s="37">
        <v>44454.0</v>
      </c>
      <c r="BD1369" s="37">
        <v>44545.0</v>
      </c>
      <c r="BE1369" s="37">
        <v>44545.0</v>
      </c>
      <c r="BF1369" s="36">
        <v>90.0</v>
      </c>
      <c r="BG1369" s="36" t="s">
        <v>559</v>
      </c>
      <c r="BH1369" s="38" t="s">
        <v>4258</v>
      </c>
      <c r="FL1369" s="36" t="s">
        <v>4243</v>
      </c>
      <c r="FM1369" s="36" t="s">
        <v>283</v>
      </c>
    </row>
    <row r="1370">
      <c r="A1370" s="50">
        <v>44673.65246915509</v>
      </c>
      <c r="B1370" s="36" t="s">
        <v>7</v>
      </c>
      <c r="C1370" s="36" t="s">
        <v>13</v>
      </c>
      <c r="AX1370" s="36" t="s">
        <v>4015</v>
      </c>
      <c r="AY1370" s="36" t="s">
        <v>3744</v>
      </c>
      <c r="AZ1370" s="36" t="s">
        <v>4259</v>
      </c>
      <c r="BA1370" s="36" t="s">
        <v>3874</v>
      </c>
      <c r="BB1370" s="36" t="s">
        <v>417</v>
      </c>
      <c r="BC1370" s="37">
        <v>44195.0</v>
      </c>
      <c r="BD1370" s="37">
        <v>44270.0</v>
      </c>
      <c r="BE1370" s="37">
        <v>44270.0</v>
      </c>
      <c r="BF1370" s="36">
        <v>95.0</v>
      </c>
      <c r="BG1370" s="36" t="s">
        <v>4260</v>
      </c>
      <c r="BH1370" s="38" t="s">
        <v>4261</v>
      </c>
      <c r="FL1370" s="36" t="s">
        <v>3748</v>
      </c>
      <c r="FM1370" s="36" t="s">
        <v>283</v>
      </c>
    </row>
    <row r="1371">
      <c r="A1371" s="50">
        <v>44673.6529609375</v>
      </c>
      <c r="B1371" s="36" t="s">
        <v>7</v>
      </c>
      <c r="C1371" s="36" t="s">
        <v>14</v>
      </c>
      <c r="BI1371" s="36" t="s">
        <v>3318</v>
      </c>
      <c r="BJ1371" s="36" t="s">
        <v>3319</v>
      </c>
      <c r="BK1371" s="36" t="s">
        <v>313</v>
      </c>
      <c r="BL1371" s="36" t="s">
        <v>1288</v>
      </c>
      <c r="BM1371" s="36" t="s">
        <v>4262</v>
      </c>
      <c r="BN1371" s="36">
        <v>2.0</v>
      </c>
      <c r="BO1371" s="37">
        <v>43729.0</v>
      </c>
      <c r="BP1371" s="37">
        <v>43730.0</v>
      </c>
      <c r="BQ1371" s="36" t="s">
        <v>630</v>
      </c>
      <c r="BR1371" s="36" t="s">
        <v>4263</v>
      </c>
      <c r="BS1371" s="36" t="s">
        <v>276</v>
      </c>
      <c r="BT1371" s="36" t="s">
        <v>632</v>
      </c>
      <c r="BU1371" s="36">
        <v>300.0</v>
      </c>
      <c r="BV1371" s="38" t="s">
        <v>4264</v>
      </c>
      <c r="FL1371" s="36" t="s">
        <v>3321</v>
      </c>
      <c r="FM1371" s="36" t="s">
        <v>283</v>
      </c>
    </row>
    <row r="1372">
      <c r="A1372" s="50">
        <v>44673.65393797454</v>
      </c>
      <c r="B1372" s="36" t="s">
        <v>7</v>
      </c>
      <c r="C1372" s="36" t="s">
        <v>20</v>
      </c>
      <c r="DX1372" s="36" t="s">
        <v>4265</v>
      </c>
      <c r="DY1372" s="36" t="s">
        <v>3744</v>
      </c>
      <c r="DZ1372" s="36" t="s">
        <v>171</v>
      </c>
      <c r="EA1372" s="36" t="s">
        <v>4266</v>
      </c>
      <c r="EB1372" s="37">
        <v>44353.0</v>
      </c>
      <c r="EC1372" s="36" t="s">
        <v>3230</v>
      </c>
      <c r="ED1372" s="38" t="s">
        <v>4267</v>
      </c>
      <c r="FL1372" s="36" t="s">
        <v>3748</v>
      </c>
      <c r="FM1372" s="36" t="s">
        <v>283</v>
      </c>
    </row>
    <row r="1373">
      <c r="A1373" s="50">
        <v>44673.65482296296</v>
      </c>
      <c r="B1373" s="36" t="s">
        <v>7</v>
      </c>
      <c r="C1373" s="36" t="s">
        <v>13</v>
      </c>
      <c r="AX1373" s="36" t="s">
        <v>4268</v>
      </c>
      <c r="AY1373" s="36" t="s">
        <v>4269</v>
      </c>
      <c r="AZ1373" s="36" t="s">
        <v>981</v>
      </c>
      <c r="BA1373" s="36" t="s">
        <v>4270</v>
      </c>
      <c r="BB1373" s="36" t="s">
        <v>450</v>
      </c>
      <c r="BC1373" s="37">
        <v>43966.0</v>
      </c>
      <c r="BD1373" s="37">
        <v>44027.0</v>
      </c>
      <c r="BE1373" s="37">
        <v>44027.0</v>
      </c>
      <c r="BF1373" s="36">
        <v>100.0</v>
      </c>
      <c r="BG1373" s="36" t="s">
        <v>3788</v>
      </c>
      <c r="BH1373" s="38" t="s">
        <v>4271</v>
      </c>
      <c r="FL1373" s="36" t="s">
        <v>3870</v>
      </c>
      <c r="FM1373" s="36" t="s">
        <v>283</v>
      </c>
    </row>
    <row r="1374">
      <c r="A1374" s="50">
        <v>44673.65521627315</v>
      </c>
      <c r="B1374" s="36" t="s">
        <v>7</v>
      </c>
      <c r="C1374" s="36" t="s">
        <v>20</v>
      </c>
      <c r="DX1374" s="36" t="s">
        <v>4272</v>
      </c>
      <c r="DY1374" s="36" t="s">
        <v>3319</v>
      </c>
      <c r="DZ1374" s="36" t="s">
        <v>171</v>
      </c>
      <c r="EA1374" s="36" t="s">
        <v>2274</v>
      </c>
      <c r="EB1374" s="37">
        <v>44374.0</v>
      </c>
      <c r="EC1374" s="36" t="s">
        <v>4273</v>
      </c>
      <c r="ED1374" s="38" t="s">
        <v>4274</v>
      </c>
      <c r="FL1374" s="36" t="s">
        <v>3321</v>
      </c>
      <c r="FM1374" s="36" t="s">
        <v>283</v>
      </c>
    </row>
    <row r="1375">
      <c r="A1375" s="50">
        <v>44673.65534790509</v>
      </c>
      <c r="B1375" s="36" t="s">
        <v>7</v>
      </c>
      <c r="C1375" s="36" t="s">
        <v>14</v>
      </c>
      <c r="BI1375" s="36" t="s">
        <v>3311</v>
      </c>
      <c r="BJ1375" s="36" t="s">
        <v>3312</v>
      </c>
      <c r="BK1375" s="36" t="s">
        <v>313</v>
      </c>
      <c r="BL1375" s="36" t="s">
        <v>1288</v>
      </c>
      <c r="BM1375" s="36" t="s">
        <v>4275</v>
      </c>
      <c r="BN1375" s="36">
        <v>2.0</v>
      </c>
      <c r="BO1375" s="37">
        <v>44513.0</v>
      </c>
      <c r="BP1375" s="37">
        <v>44514.0</v>
      </c>
      <c r="BQ1375" s="36" t="s">
        <v>4276</v>
      </c>
      <c r="BR1375" s="36" t="s">
        <v>4276</v>
      </c>
      <c r="BS1375" s="36" t="s">
        <v>276</v>
      </c>
      <c r="BT1375" s="36" t="s">
        <v>632</v>
      </c>
      <c r="BU1375" s="36">
        <v>150.0</v>
      </c>
      <c r="BV1375" s="38" t="s">
        <v>4277</v>
      </c>
      <c r="FL1375" s="36" t="s">
        <v>3314</v>
      </c>
      <c r="FM1375" s="36" t="s">
        <v>283</v>
      </c>
    </row>
    <row r="1376">
      <c r="A1376" s="50">
        <v>44673.65549020833</v>
      </c>
      <c r="B1376" s="36" t="s">
        <v>7</v>
      </c>
      <c r="C1376" s="36" t="s">
        <v>20</v>
      </c>
      <c r="DX1376" s="36" t="s">
        <v>4015</v>
      </c>
      <c r="DY1376" s="36" t="s">
        <v>3744</v>
      </c>
      <c r="DZ1376" s="36" t="s">
        <v>313</v>
      </c>
      <c r="EA1376" s="36" t="s">
        <v>4278</v>
      </c>
      <c r="EB1376" s="37">
        <v>44659.0</v>
      </c>
      <c r="EC1376" s="36" t="s">
        <v>3874</v>
      </c>
      <c r="ED1376" s="38" t="s">
        <v>4279</v>
      </c>
      <c r="FL1376" s="36" t="s">
        <v>3748</v>
      </c>
      <c r="FM1376" s="36" t="s">
        <v>283</v>
      </c>
    </row>
    <row r="1377">
      <c r="A1377" s="50">
        <v>44673.65570224537</v>
      </c>
      <c r="B1377" s="36" t="s">
        <v>7</v>
      </c>
      <c r="C1377" s="36" t="s">
        <v>14</v>
      </c>
      <c r="BI1377" s="36" t="s">
        <v>3864</v>
      </c>
      <c r="BJ1377" s="36" t="s">
        <v>3865</v>
      </c>
      <c r="BK1377" s="36" t="s">
        <v>159</v>
      </c>
      <c r="BL1377" s="36" t="s">
        <v>1288</v>
      </c>
      <c r="BM1377" s="36" t="s">
        <v>4280</v>
      </c>
      <c r="BN1377" s="36">
        <v>30.0</v>
      </c>
      <c r="BO1377" s="37">
        <v>44009.0</v>
      </c>
      <c r="BP1377" s="37">
        <v>44039.0</v>
      </c>
      <c r="BQ1377" s="36" t="s">
        <v>4281</v>
      </c>
      <c r="BR1377" s="36" t="s">
        <v>4282</v>
      </c>
      <c r="BS1377" s="36" t="s">
        <v>155</v>
      </c>
      <c r="BT1377" s="36" t="s">
        <v>156</v>
      </c>
      <c r="BV1377" s="38" t="s">
        <v>4283</v>
      </c>
      <c r="FL1377" s="36" t="s">
        <v>3870</v>
      </c>
      <c r="FM1377" s="36" t="s">
        <v>283</v>
      </c>
    </row>
    <row r="1378">
      <c r="A1378" s="50">
        <v>44673.656695451384</v>
      </c>
      <c r="B1378" s="36" t="s">
        <v>7</v>
      </c>
      <c r="C1378" s="36" t="s">
        <v>13</v>
      </c>
      <c r="AX1378" s="36" t="s">
        <v>4284</v>
      </c>
      <c r="AY1378" s="36" t="s">
        <v>3319</v>
      </c>
      <c r="AZ1378" s="36" t="s">
        <v>3300</v>
      </c>
      <c r="BA1378" s="36" t="s">
        <v>337</v>
      </c>
      <c r="BB1378" s="36" t="s">
        <v>510</v>
      </c>
      <c r="BC1378" s="37">
        <v>44201.0</v>
      </c>
      <c r="BD1378" s="37">
        <v>44260.0</v>
      </c>
      <c r="BE1378" s="37">
        <v>44260.0</v>
      </c>
      <c r="BF1378" s="51">
        <v>0.95</v>
      </c>
      <c r="BG1378" s="36" t="s">
        <v>4285</v>
      </c>
      <c r="BH1378" s="38" t="s">
        <v>4286</v>
      </c>
      <c r="FL1378" s="36" t="s">
        <v>3321</v>
      </c>
      <c r="FM1378" s="36" t="s">
        <v>283</v>
      </c>
    </row>
    <row r="1379">
      <c r="A1379" s="50">
        <v>44673.659252453705</v>
      </c>
      <c r="B1379" s="36" t="s">
        <v>7</v>
      </c>
      <c r="C1379" s="36" t="s">
        <v>12</v>
      </c>
      <c r="AN1379" s="36" t="s">
        <v>4287</v>
      </c>
      <c r="AO1379" s="36" t="s">
        <v>4083</v>
      </c>
      <c r="AP1379" s="36" t="s">
        <v>309</v>
      </c>
      <c r="AQ1379" s="36" t="s">
        <v>450</v>
      </c>
      <c r="AR1379" s="37">
        <v>44470.0</v>
      </c>
      <c r="AS1379" s="37">
        <v>44545.0</v>
      </c>
      <c r="AT1379" s="36" t="s">
        <v>257</v>
      </c>
      <c r="AU1379" s="36" t="s">
        <v>257</v>
      </c>
      <c r="AV1379" s="36">
        <v>0.0</v>
      </c>
      <c r="AW1379" s="38" t="s">
        <v>4288</v>
      </c>
      <c r="FL1379" s="36" t="s">
        <v>4086</v>
      </c>
      <c r="FM1379" s="36" t="s">
        <v>283</v>
      </c>
    </row>
    <row r="1380">
      <c r="A1380" s="50">
        <v>44673.65975670139</v>
      </c>
      <c r="B1380" s="36" t="s">
        <v>7</v>
      </c>
      <c r="C1380" s="36" t="s">
        <v>13</v>
      </c>
      <c r="AX1380" s="36" t="s">
        <v>4203</v>
      </c>
      <c r="AY1380" s="36" t="s">
        <v>3744</v>
      </c>
      <c r="AZ1380" s="36" t="s">
        <v>422</v>
      </c>
      <c r="BA1380" s="36" t="s">
        <v>582</v>
      </c>
      <c r="BB1380" s="36" t="s">
        <v>670</v>
      </c>
      <c r="BC1380" s="37">
        <v>44532.0</v>
      </c>
      <c r="BD1380" s="37">
        <v>44568.0</v>
      </c>
      <c r="BE1380" s="37">
        <v>44568.0</v>
      </c>
      <c r="BF1380" s="36">
        <v>85.0</v>
      </c>
      <c r="BG1380" s="36" t="s">
        <v>4289</v>
      </c>
      <c r="BH1380" s="38" t="s">
        <v>4290</v>
      </c>
      <c r="FL1380" s="36" t="s">
        <v>3748</v>
      </c>
      <c r="FM1380" s="36" t="s">
        <v>283</v>
      </c>
    </row>
    <row r="1381">
      <c r="A1381" s="50">
        <v>44673.66054096065</v>
      </c>
      <c r="B1381" s="36" t="s">
        <v>7</v>
      </c>
      <c r="C1381" s="36" t="s">
        <v>14</v>
      </c>
      <c r="BI1381" s="36" t="s">
        <v>3864</v>
      </c>
      <c r="BJ1381" s="36" t="s">
        <v>3865</v>
      </c>
      <c r="BK1381" s="36" t="s">
        <v>159</v>
      </c>
      <c r="BL1381" s="36" t="s">
        <v>1288</v>
      </c>
      <c r="BM1381" s="36" t="s">
        <v>2441</v>
      </c>
      <c r="BN1381" s="36">
        <v>1.0</v>
      </c>
      <c r="BO1381" s="37">
        <v>44008.0</v>
      </c>
      <c r="BP1381" s="37">
        <v>44008.0</v>
      </c>
      <c r="BQ1381" s="36" t="s">
        <v>4281</v>
      </c>
      <c r="BR1381" s="36" t="s">
        <v>4281</v>
      </c>
      <c r="BS1381" s="36" t="s">
        <v>155</v>
      </c>
      <c r="BT1381" s="36" t="s">
        <v>156</v>
      </c>
      <c r="BV1381" s="38" t="s">
        <v>4291</v>
      </c>
      <c r="FL1381" s="36" t="s">
        <v>3870</v>
      </c>
      <c r="FM1381" s="36" t="s">
        <v>283</v>
      </c>
    </row>
    <row r="1382">
      <c r="A1382" s="50">
        <v>44673.66073034723</v>
      </c>
      <c r="B1382" s="36" t="s">
        <v>7</v>
      </c>
      <c r="C1382" s="36" t="s">
        <v>20</v>
      </c>
      <c r="DX1382" s="36" t="s">
        <v>3839</v>
      </c>
      <c r="DY1382" s="36" t="s">
        <v>3840</v>
      </c>
      <c r="DZ1382" s="36" t="s">
        <v>171</v>
      </c>
      <c r="EA1382" s="36" t="s">
        <v>4292</v>
      </c>
      <c r="EB1382" s="37">
        <v>44534.0</v>
      </c>
      <c r="EC1382" s="36" t="s">
        <v>4293</v>
      </c>
      <c r="ED1382" s="38" t="s">
        <v>4294</v>
      </c>
      <c r="FL1382" s="36" t="s">
        <v>3845</v>
      </c>
      <c r="FM1382" s="36" t="s">
        <v>283</v>
      </c>
    </row>
    <row r="1383">
      <c r="A1383" s="50">
        <v>44673.66106912037</v>
      </c>
      <c r="B1383" s="36" t="s">
        <v>7</v>
      </c>
      <c r="C1383" s="36" t="s">
        <v>13</v>
      </c>
      <c r="AX1383" s="36" t="s">
        <v>4203</v>
      </c>
      <c r="AY1383" s="36" t="s">
        <v>3744</v>
      </c>
      <c r="AZ1383" s="36" t="s">
        <v>4295</v>
      </c>
      <c r="BA1383" s="36" t="s">
        <v>582</v>
      </c>
      <c r="BB1383" s="36" t="s">
        <v>670</v>
      </c>
      <c r="BC1383" s="37">
        <v>44572.0</v>
      </c>
      <c r="BD1383" s="37">
        <v>44603.0</v>
      </c>
      <c r="BE1383" s="37">
        <v>44603.0</v>
      </c>
      <c r="BF1383" s="36">
        <v>86.0</v>
      </c>
      <c r="BG1383" s="36" t="s">
        <v>4289</v>
      </c>
      <c r="BH1383" s="38" t="s">
        <v>4296</v>
      </c>
      <c r="FL1383" s="36" t="s">
        <v>3748</v>
      </c>
      <c r="FM1383" s="36" t="s">
        <v>283</v>
      </c>
    </row>
    <row r="1384">
      <c r="A1384" s="50">
        <v>44673.66114445602</v>
      </c>
      <c r="B1384" s="36" t="s">
        <v>7</v>
      </c>
      <c r="C1384" s="36" t="s">
        <v>13</v>
      </c>
      <c r="AX1384" s="36" t="s">
        <v>4268</v>
      </c>
      <c r="AY1384" s="36" t="s">
        <v>4269</v>
      </c>
      <c r="AZ1384" s="36" t="s">
        <v>4252</v>
      </c>
      <c r="BA1384" s="36" t="s">
        <v>4253</v>
      </c>
      <c r="BB1384" s="36" t="s">
        <v>1258</v>
      </c>
      <c r="BC1384" s="37">
        <v>44481.0</v>
      </c>
      <c r="BD1384" s="37">
        <v>44512.0</v>
      </c>
      <c r="BE1384" s="37">
        <v>44512.0</v>
      </c>
      <c r="BF1384" s="36">
        <v>100.0</v>
      </c>
      <c r="BG1384" s="36" t="s">
        <v>4254</v>
      </c>
      <c r="BH1384" s="38" t="s">
        <v>4297</v>
      </c>
      <c r="FL1384" s="36" t="s">
        <v>3870</v>
      </c>
      <c r="FM1384" s="36" t="s">
        <v>283</v>
      </c>
    </row>
    <row r="1385">
      <c r="A1385" s="50">
        <v>44673.661602685184</v>
      </c>
      <c r="B1385" s="36" t="s">
        <v>7</v>
      </c>
      <c r="C1385" s="36" t="s">
        <v>13</v>
      </c>
      <c r="AX1385" s="36" t="s">
        <v>4298</v>
      </c>
      <c r="AY1385" s="36" t="s">
        <v>4083</v>
      </c>
      <c r="AZ1385" s="36" t="s">
        <v>347</v>
      </c>
      <c r="BA1385" s="36" t="s">
        <v>900</v>
      </c>
      <c r="BB1385" s="36" t="s">
        <v>264</v>
      </c>
      <c r="BC1385" s="37">
        <v>44170.0</v>
      </c>
      <c r="BD1385" s="37">
        <v>44322.0</v>
      </c>
      <c r="BE1385" s="37">
        <v>44322.0</v>
      </c>
      <c r="BF1385" s="36">
        <v>81.0</v>
      </c>
      <c r="BG1385" s="36">
        <v>79.0</v>
      </c>
      <c r="BH1385" s="38" t="s">
        <v>4299</v>
      </c>
      <c r="FL1385" s="36" t="s">
        <v>4086</v>
      </c>
      <c r="FM1385" s="36" t="s">
        <v>283</v>
      </c>
    </row>
    <row r="1386">
      <c r="A1386" s="50">
        <v>44673.66178606481</v>
      </c>
      <c r="B1386" s="36" t="s">
        <v>7</v>
      </c>
      <c r="C1386" s="36" t="s">
        <v>20</v>
      </c>
      <c r="DX1386" s="36" t="s">
        <v>4300</v>
      </c>
      <c r="DY1386" s="36" t="s">
        <v>4046</v>
      </c>
      <c r="DZ1386" s="36" t="s">
        <v>4301</v>
      </c>
      <c r="EA1386" s="36" t="s">
        <v>4302</v>
      </c>
      <c r="EB1386" s="37">
        <v>44648.0</v>
      </c>
      <c r="EC1386" s="36" t="s">
        <v>4303</v>
      </c>
      <c r="ED1386" s="38" t="s">
        <v>4304</v>
      </c>
      <c r="FL1386" s="36" t="s">
        <v>4048</v>
      </c>
      <c r="FM1386" s="36" t="s">
        <v>283</v>
      </c>
    </row>
    <row r="1387">
      <c r="A1387" s="50">
        <v>44673.66209503472</v>
      </c>
      <c r="B1387" s="36" t="s">
        <v>7</v>
      </c>
      <c r="C1387" s="36" t="s">
        <v>20</v>
      </c>
      <c r="DX1387" s="36" t="s">
        <v>3839</v>
      </c>
      <c r="DY1387" s="36" t="s">
        <v>3840</v>
      </c>
      <c r="DZ1387" s="36" t="s">
        <v>159</v>
      </c>
      <c r="EA1387" s="36" t="s">
        <v>4305</v>
      </c>
      <c r="EB1387" s="37">
        <v>44149.0</v>
      </c>
      <c r="EC1387" s="36" t="s">
        <v>4293</v>
      </c>
      <c r="ED1387" s="38" t="s">
        <v>4306</v>
      </c>
      <c r="FL1387" s="36" t="s">
        <v>3845</v>
      </c>
      <c r="FM1387" s="36" t="s">
        <v>283</v>
      </c>
    </row>
    <row r="1388">
      <c r="A1388" s="50">
        <v>44673.664541261576</v>
      </c>
      <c r="B1388" s="36" t="s">
        <v>7</v>
      </c>
      <c r="C1388" s="36" t="s">
        <v>13</v>
      </c>
      <c r="AX1388" s="36" t="s">
        <v>4268</v>
      </c>
      <c r="AY1388" s="36" t="s">
        <v>3865</v>
      </c>
      <c r="AZ1388" s="36" t="s">
        <v>4307</v>
      </c>
      <c r="BA1388" s="36" t="s">
        <v>345</v>
      </c>
      <c r="BB1388" s="36" t="s">
        <v>450</v>
      </c>
      <c r="BC1388" s="37">
        <v>44042.0</v>
      </c>
      <c r="BD1388" s="37">
        <v>44104.0</v>
      </c>
      <c r="BE1388" s="37">
        <v>44104.0</v>
      </c>
      <c r="BF1388" s="36">
        <v>100.0</v>
      </c>
      <c r="BG1388" s="36" t="s">
        <v>1375</v>
      </c>
      <c r="BH1388" s="38" t="s">
        <v>4308</v>
      </c>
      <c r="FL1388" s="36" t="s">
        <v>3870</v>
      </c>
      <c r="FM1388" s="36" t="s">
        <v>283</v>
      </c>
    </row>
    <row r="1389">
      <c r="A1389" s="50">
        <v>44673.66515327546</v>
      </c>
      <c r="B1389" s="36" t="s">
        <v>7</v>
      </c>
      <c r="C1389" s="36" t="s">
        <v>20</v>
      </c>
      <c r="DX1389" s="36" t="s">
        <v>4309</v>
      </c>
      <c r="DY1389" s="36" t="s">
        <v>4083</v>
      </c>
      <c r="DZ1389" s="36" t="s">
        <v>313</v>
      </c>
      <c r="EA1389" s="36" t="s">
        <v>4310</v>
      </c>
      <c r="EB1389" s="37">
        <v>44628.0</v>
      </c>
      <c r="EC1389" s="36" t="s">
        <v>2212</v>
      </c>
      <c r="ED1389" s="38" t="s">
        <v>4311</v>
      </c>
      <c r="FL1389" s="36" t="s">
        <v>4086</v>
      </c>
      <c r="FM1389" s="36" t="s">
        <v>283</v>
      </c>
    </row>
    <row r="1390">
      <c r="A1390" s="50">
        <v>44673.66598204861</v>
      </c>
      <c r="B1390" s="36" t="s">
        <v>7</v>
      </c>
      <c r="C1390" s="36" t="s">
        <v>13</v>
      </c>
      <c r="AX1390" s="36" t="s">
        <v>3864</v>
      </c>
      <c r="AY1390" s="36" t="s">
        <v>3865</v>
      </c>
      <c r="AZ1390" s="36" t="s">
        <v>4312</v>
      </c>
      <c r="BA1390" s="36" t="s">
        <v>345</v>
      </c>
      <c r="BB1390" s="36" t="s">
        <v>450</v>
      </c>
      <c r="BC1390" s="37">
        <v>43939.0</v>
      </c>
      <c r="BD1390" s="37">
        <v>44000.0</v>
      </c>
      <c r="BE1390" s="37">
        <v>44000.0</v>
      </c>
      <c r="BF1390" s="51">
        <v>1.0</v>
      </c>
      <c r="BG1390" s="36" t="s">
        <v>1375</v>
      </c>
      <c r="BH1390" s="38" t="s">
        <v>4313</v>
      </c>
      <c r="FL1390" s="36" t="s">
        <v>3870</v>
      </c>
      <c r="FM1390" s="36" t="s">
        <v>283</v>
      </c>
    </row>
    <row r="1391">
      <c r="A1391" s="50">
        <v>44673.66646649306</v>
      </c>
      <c r="B1391" s="36" t="s">
        <v>7</v>
      </c>
      <c r="C1391" s="36" t="s">
        <v>13</v>
      </c>
      <c r="AX1391" s="36" t="s">
        <v>4268</v>
      </c>
      <c r="AY1391" s="36" t="s">
        <v>3865</v>
      </c>
      <c r="AZ1391" s="36" t="s">
        <v>4252</v>
      </c>
      <c r="BA1391" s="36" t="s">
        <v>4253</v>
      </c>
      <c r="BB1391" s="36" t="s">
        <v>495</v>
      </c>
      <c r="BC1391" s="37">
        <v>44481.0</v>
      </c>
      <c r="BD1391" s="37">
        <v>44512.0</v>
      </c>
      <c r="BE1391" s="37">
        <v>44512.0</v>
      </c>
      <c r="BF1391" s="36">
        <v>100.0</v>
      </c>
      <c r="BG1391" s="36" t="s">
        <v>4314</v>
      </c>
      <c r="BH1391" s="38" t="s">
        <v>4315</v>
      </c>
      <c r="FL1391" s="36" t="s">
        <v>3870</v>
      </c>
      <c r="FM1391" s="36" t="s">
        <v>283</v>
      </c>
    </row>
    <row r="1392">
      <c r="A1392" s="50">
        <v>44673.81878619213</v>
      </c>
      <c r="B1392" s="36" t="s">
        <v>7</v>
      </c>
      <c r="C1392" s="36" t="s">
        <v>13</v>
      </c>
      <c r="AX1392" s="36" t="s">
        <v>4316</v>
      </c>
      <c r="AY1392" s="36" t="s">
        <v>4050</v>
      </c>
      <c r="AZ1392" s="36" t="s">
        <v>4317</v>
      </c>
      <c r="BA1392" s="36" t="s">
        <v>337</v>
      </c>
      <c r="BB1392" s="36" t="s">
        <v>4318</v>
      </c>
      <c r="BC1392" s="37">
        <v>44206.0</v>
      </c>
      <c r="BD1392" s="37">
        <v>44296.0</v>
      </c>
      <c r="BE1392" s="37">
        <v>44296.0</v>
      </c>
      <c r="BF1392" s="36">
        <v>93.0</v>
      </c>
      <c r="BG1392" s="36" t="s">
        <v>4319</v>
      </c>
      <c r="BH1392" s="38" t="s">
        <v>4320</v>
      </c>
      <c r="FL1392" s="36" t="s">
        <v>4052</v>
      </c>
      <c r="FM1392" s="36" t="s">
        <v>283</v>
      </c>
    </row>
    <row r="1393">
      <c r="A1393" s="50">
        <v>44673.82092791666</v>
      </c>
      <c r="B1393" s="36" t="s">
        <v>7</v>
      </c>
      <c r="C1393" s="36" t="s">
        <v>13</v>
      </c>
      <c r="AX1393" s="36" t="s">
        <v>4321</v>
      </c>
      <c r="AY1393" s="36" t="s">
        <v>4050</v>
      </c>
      <c r="AZ1393" s="36" t="s">
        <v>4317</v>
      </c>
      <c r="BA1393" s="36" t="s">
        <v>337</v>
      </c>
      <c r="BB1393" s="36" t="s">
        <v>417</v>
      </c>
      <c r="BC1393" s="37">
        <v>44261.0</v>
      </c>
      <c r="BD1393" s="37">
        <v>44322.0</v>
      </c>
      <c r="BE1393" s="37">
        <v>44322.0</v>
      </c>
      <c r="BF1393" s="36">
        <v>93.0</v>
      </c>
      <c r="BG1393" s="36" t="s">
        <v>4319</v>
      </c>
      <c r="BH1393" s="38" t="s">
        <v>4322</v>
      </c>
      <c r="FL1393" s="36" t="s">
        <v>4052</v>
      </c>
      <c r="FM1393" s="36" t="s">
        <v>283</v>
      </c>
    </row>
    <row r="1394">
      <c r="A1394" s="50">
        <v>44673.82851209491</v>
      </c>
      <c r="B1394" s="36" t="s">
        <v>7</v>
      </c>
      <c r="C1394" s="36" t="s">
        <v>13</v>
      </c>
      <c r="AX1394" s="36" t="s">
        <v>4321</v>
      </c>
      <c r="AY1394" s="36" t="s">
        <v>4050</v>
      </c>
      <c r="AZ1394" s="36" t="s">
        <v>4323</v>
      </c>
      <c r="BA1394" s="36" t="s">
        <v>337</v>
      </c>
      <c r="BB1394" s="36" t="s">
        <v>2692</v>
      </c>
      <c r="BC1394" s="37">
        <v>44382.0</v>
      </c>
      <c r="BD1394" s="37">
        <v>44539.0</v>
      </c>
      <c r="BE1394" s="37">
        <v>44539.0</v>
      </c>
      <c r="BF1394" s="36">
        <v>93.51</v>
      </c>
      <c r="BG1394" s="36" t="s">
        <v>4324</v>
      </c>
      <c r="BH1394" s="38" t="s">
        <v>4325</v>
      </c>
      <c r="FL1394" s="36" t="s">
        <v>4052</v>
      </c>
      <c r="FM1394" s="36" t="s">
        <v>283</v>
      </c>
    </row>
    <row r="1395">
      <c r="A1395" s="50">
        <v>44673.83217263889</v>
      </c>
      <c r="B1395" s="36" t="s">
        <v>7</v>
      </c>
      <c r="C1395" s="36" t="s">
        <v>13</v>
      </c>
      <c r="AX1395" s="36" t="s">
        <v>4321</v>
      </c>
      <c r="AY1395" s="36" t="s">
        <v>4050</v>
      </c>
      <c r="AZ1395" s="36" t="s">
        <v>4167</v>
      </c>
      <c r="BA1395" s="36" t="s">
        <v>337</v>
      </c>
      <c r="BB1395" s="36" t="s">
        <v>2692</v>
      </c>
      <c r="BC1395" s="37">
        <v>44452.0</v>
      </c>
      <c r="BD1395" s="37">
        <v>44604.0</v>
      </c>
      <c r="BE1395" s="37">
        <v>44604.0</v>
      </c>
      <c r="BF1395" s="36">
        <v>93.18</v>
      </c>
      <c r="BG1395" s="36" t="s">
        <v>4319</v>
      </c>
      <c r="BH1395" s="38" t="s">
        <v>4326</v>
      </c>
      <c r="FL1395" s="36" t="s">
        <v>4052</v>
      </c>
      <c r="FM1395" s="36" t="s">
        <v>283</v>
      </c>
    </row>
    <row r="1396">
      <c r="A1396" s="50">
        <v>44673.8366583912</v>
      </c>
      <c r="B1396" s="36" t="s">
        <v>7</v>
      </c>
      <c r="C1396" s="36" t="s">
        <v>13</v>
      </c>
      <c r="AX1396" s="36" t="s">
        <v>4321</v>
      </c>
      <c r="AY1396" s="36" t="s">
        <v>4050</v>
      </c>
      <c r="AZ1396" s="36" t="s">
        <v>4327</v>
      </c>
      <c r="BA1396" s="36" t="s">
        <v>337</v>
      </c>
      <c r="BB1396" s="36" t="s">
        <v>2692</v>
      </c>
      <c r="BC1396" s="37">
        <v>44406.0</v>
      </c>
      <c r="BD1396" s="37">
        <v>44559.0</v>
      </c>
      <c r="BE1396" s="37">
        <v>44559.0</v>
      </c>
      <c r="BF1396" s="36">
        <v>93.59</v>
      </c>
      <c r="BG1396" s="36" t="s">
        <v>4319</v>
      </c>
      <c r="BH1396" s="38" t="s">
        <v>4328</v>
      </c>
      <c r="FL1396" s="36" t="s">
        <v>4052</v>
      </c>
      <c r="FM1396" s="36" t="s">
        <v>283</v>
      </c>
    </row>
    <row r="1397">
      <c r="A1397" s="50">
        <v>44673.83953799769</v>
      </c>
      <c r="B1397" s="36" t="s">
        <v>7</v>
      </c>
      <c r="C1397" s="36" t="s">
        <v>13</v>
      </c>
      <c r="AX1397" s="36" t="s">
        <v>4321</v>
      </c>
      <c r="AY1397" s="36" t="s">
        <v>4050</v>
      </c>
      <c r="AZ1397" s="36" t="s">
        <v>2575</v>
      </c>
      <c r="BA1397" s="36" t="s">
        <v>337</v>
      </c>
      <c r="BB1397" s="36" t="s">
        <v>348</v>
      </c>
      <c r="BC1397" s="37">
        <v>44623.0</v>
      </c>
      <c r="BD1397" s="37">
        <v>44669.0</v>
      </c>
      <c r="BE1397" s="37">
        <v>44669.0</v>
      </c>
      <c r="BF1397" s="36">
        <v>98.6</v>
      </c>
      <c r="BG1397" s="36" t="s">
        <v>4329</v>
      </c>
      <c r="BH1397" s="38" t="s">
        <v>4330</v>
      </c>
      <c r="FL1397" s="36" t="s">
        <v>4052</v>
      </c>
      <c r="FM1397" s="36" t="s">
        <v>283</v>
      </c>
    </row>
    <row r="1398">
      <c r="A1398" s="50">
        <v>44673.85324599537</v>
      </c>
      <c r="B1398" s="36" t="s">
        <v>7</v>
      </c>
      <c r="C1398" s="36" t="s">
        <v>13</v>
      </c>
      <c r="AX1398" s="36" t="s">
        <v>4321</v>
      </c>
      <c r="AY1398" s="36" t="s">
        <v>4050</v>
      </c>
      <c r="AZ1398" s="36" t="s">
        <v>4331</v>
      </c>
      <c r="BA1398" s="36" t="s">
        <v>4332</v>
      </c>
      <c r="BB1398" s="36" t="s">
        <v>196</v>
      </c>
      <c r="BC1398" s="37">
        <v>44250.0</v>
      </c>
      <c r="BD1398" s="37">
        <v>44250.0</v>
      </c>
      <c r="BE1398" s="37">
        <v>44250.0</v>
      </c>
      <c r="BF1398" s="36">
        <v>80.0</v>
      </c>
      <c r="BG1398" s="36" t="s">
        <v>4333</v>
      </c>
      <c r="BH1398" s="38" t="s">
        <v>4334</v>
      </c>
      <c r="FL1398" s="36" t="s">
        <v>4052</v>
      </c>
      <c r="FM1398" s="36" t="s">
        <v>283</v>
      </c>
    </row>
    <row r="1399">
      <c r="A1399" s="50">
        <v>44673.86242547454</v>
      </c>
      <c r="B1399" s="36" t="s">
        <v>7</v>
      </c>
      <c r="C1399" s="36" t="s">
        <v>12</v>
      </c>
      <c r="AN1399" s="36" t="s">
        <v>4335</v>
      </c>
      <c r="AO1399" s="36" t="s">
        <v>4336</v>
      </c>
      <c r="AP1399" s="36" t="s">
        <v>4337</v>
      </c>
      <c r="AQ1399" s="36" t="s">
        <v>1786</v>
      </c>
      <c r="AR1399" s="37">
        <v>44470.0</v>
      </c>
      <c r="AS1399" s="37">
        <v>44536.0</v>
      </c>
      <c r="AT1399" s="36" t="s">
        <v>257</v>
      </c>
      <c r="AU1399" s="36" t="s">
        <v>257</v>
      </c>
      <c r="AV1399" s="36">
        <v>0.0</v>
      </c>
      <c r="AW1399" s="38" t="s">
        <v>4338</v>
      </c>
      <c r="FL1399" s="36" t="s">
        <v>4339</v>
      </c>
      <c r="FM1399" s="36" t="s">
        <v>283</v>
      </c>
    </row>
    <row r="1400">
      <c r="A1400" s="50">
        <v>44673.87473435185</v>
      </c>
      <c r="B1400" s="36" t="s">
        <v>7</v>
      </c>
      <c r="C1400" s="36" t="s">
        <v>13</v>
      </c>
      <c r="AX1400" s="36" t="s">
        <v>4321</v>
      </c>
      <c r="AY1400" s="36" t="s">
        <v>4050</v>
      </c>
      <c r="AZ1400" s="36" t="s">
        <v>4006</v>
      </c>
      <c r="BA1400" s="36" t="s">
        <v>4006</v>
      </c>
      <c r="BB1400" s="36" t="s">
        <v>450</v>
      </c>
      <c r="BC1400" s="37">
        <v>44485.0</v>
      </c>
      <c r="BD1400" s="37">
        <v>44521.0</v>
      </c>
      <c r="BE1400" s="37">
        <v>44521.0</v>
      </c>
      <c r="BF1400" s="36">
        <v>90.0</v>
      </c>
      <c r="BG1400" s="36" t="s">
        <v>4340</v>
      </c>
      <c r="BH1400" s="38" t="s">
        <v>4341</v>
      </c>
      <c r="FL1400" s="36" t="s">
        <v>4052</v>
      </c>
      <c r="FM1400" s="36" t="s">
        <v>283</v>
      </c>
    </row>
    <row r="1401">
      <c r="A1401" s="50">
        <v>44673.88201869213</v>
      </c>
      <c r="B1401" s="36" t="s">
        <v>7</v>
      </c>
      <c r="C1401" s="36" t="s">
        <v>13</v>
      </c>
      <c r="AX1401" s="36" t="s">
        <v>4335</v>
      </c>
      <c r="AY1401" s="36" t="s">
        <v>4336</v>
      </c>
      <c r="AZ1401" s="36" t="s">
        <v>3761</v>
      </c>
      <c r="BA1401" s="36" t="s">
        <v>3023</v>
      </c>
      <c r="BB1401" s="36" t="s">
        <v>378</v>
      </c>
      <c r="BC1401" s="37">
        <v>43888.0</v>
      </c>
      <c r="BD1401" s="37">
        <v>44043.0</v>
      </c>
      <c r="BE1401" s="37">
        <v>44017.0</v>
      </c>
      <c r="BF1401" s="36">
        <v>90.0</v>
      </c>
      <c r="BG1401" s="36" t="s">
        <v>1503</v>
      </c>
      <c r="BH1401" s="38" t="s">
        <v>4342</v>
      </c>
      <c r="FL1401" s="36" t="s">
        <v>4339</v>
      </c>
      <c r="FM1401" s="36" t="s">
        <v>283</v>
      </c>
    </row>
    <row r="1402">
      <c r="A1402" s="50">
        <v>44673.88383133102</v>
      </c>
      <c r="B1402" s="36" t="s">
        <v>7</v>
      </c>
      <c r="C1402" s="36" t="s">
        <v>13</v>
      </c>
      <c r="AX1402" s="36" t="s">
        <v>4321</v>
      </c>
      <c r="AY1402" s="36" t="s">
        <v>4050</v>
      </c>
      <c r="AZ1402" s="36" t="s">
        <v>4343</v>
      </c>
      <c r="BA1402" s="36" t="s">
        <v>4343</v>
      </c>
      <c r="BB1402" s="36" t="s">
        <v>417</v>
      </c>
      <c r="BC1402" s="37">
        <v>44485.0</v>
      </c>
      <c r="BD1402" s="37">
        <v>44516.0</v>
      </c>
      <c r="BE1402" s="37">
        <v>44516.0</v>
      </c>
      <c r="BF1402" s="36">
        <v>90.0</v>
      </c>
      <c r="BG1402" s="36" t="s">
        <v>4344</v>
      </c>
      <c r="BH1402" s="38" t="s">
        <v>4345</v>
      </c>
      <c r="FL1402" s="36" t="s">
        <v>4052</v>
      </c>
      <c r="FM1402" s="36" t="s">
        <v>283</v>
      </c>
    </row>
    <row r="1403">
      <c r="A1403" s="50">
        <v>44673.890735023146</v>
      </c>
      <c r="B1403" s="36" t="s">
        <v>7</v>
      </c>
      <c r="C1403" s="36" t="s">
        <v>13</v>
      </c>
      <c r="AX1403" s="36" t="s">
        <v>4335</v>
      </c>
      <c r="AY1403" s="36" t="s">
        <v>4336</v>
      </c>
      <c r="AZ1403" s="36" t="s">
        <v>3300</v>
      </c>
      <c r="BA1403" s="36" t="s">
        <v>3023</v>
      </c>
      <c r="BB1403" s="36" t="s">
        <v>1956</v>
      </c>
      <c r="BC1403" s="37">
        <v>44166.0</v>
      </c>
      <c r="BD1403" s="37">
        <v>44258.0</v>
      </c>
      <c r="BE1403" s="37">
        <v>44256.0</v>
      </c>
      <c r="BF1403" s="36">
        <v>93.0</v>
      </c>
      <c r="BG1403" s="36" t="s">
        <v>1636</v>
      </c>
      <c r="BH1403" s="38" t="s">
        <v>4346</v>
      </c>
      <c r="FL1403" s="36" t="s">
        <v>4339</v>
      </c>
      <c r="FM1403" s="36" t="s">
        <v>283</v>
      </c>
    </row>
    <row r="1404">
      <c r="A1404" s="50">
        <v>44673.891087592594</v>
      </c>
      <c r="B1404" s="36" t="s">
        <v>7</v>
      </c>
      <c r="C1404" s="36" t="s">
        <v>13</v>
      </c>
      <c r="AX1404" s="36" t="s">
        <v>4321</v>
      </c>
      <c r="AY1404" s="36" t="s">
        <v>4050</v>
      </c>
      <c r="AZ1404" s="36" t="s">
        <v>4343</v>
      </c>
      <c r="BA1404" s="36" t="s">
        <v>4343</v>
      </c>
      <c r="BB1404" s="36" t="s">
        <v>417</v>
      </c>
      <c r="BC1404" s="37">
        <v>44485.0</v>
      </c>
      <c r="BD1404" s="37">
        <v>44538.0</v>
      </c>
      <c r="BE1404" s="37">
        <v>44538.0</v>
      </c>
      <c r="BF1404" s="36">
        <v>89.0</v>
      </c>
      <c r="BG1404" s="36" t="s">
        <v>4347</v>
      </c>
      <c r="BH1404" s="38" t="s">
        <v>4348</v>
      </c>
      <c r="FL1404" s="36" t="s">
        <v>4052</v>
      </c>
      <c r="FM1404" s="36" t="s">
        <v>283</v>
      </c>
    </row>
    <row r="1405">
      <c r="A1405" s="50">
        <v>44673.894077199075</v>
      </c>
      <c r="B1405" s="36" t="s">
        <v>7</v>
      </c>
      <c r="C1405" s="36" t="s">
        <v>13</v>
      </c>
      <c r="AX1405" s="36" t="s">
        <v>4335</v>
      </c>
      <c r="AY1405" s="36" t="s">
        <v>4336</v>
      </c>
      <c r="AZ1405" s="36" t="s">
        <v>4349</v>
      </c>
      <c r="BA1405" s="36" t="s">
        <v>4350</v>
      </c>
      <c r="BB1405" s="36" t="s">
        <v>1956</v>
      </c>
      <c r="BC1405" s="37">
        <v>43922.0</v>
      </c>
      <c r="BD1405" s="37">
        <v>44043.0</v>
      </c>
      <c r="BE1405" s="37">
        <v>44027.0</v>
      </c>
      <c r="BF1405" s="36">
        <v>90.0</v>
      </c>
      <c r="BG1405" s="36" t="s">
        <v>4351</v>
      </c>
      <c r="BH1405" s="38" t="s">
        <v>4352</v>
      </c>
      <c r="FL1405" s="36" t="s">
        <v>4339</v>
      </c>
      <c r="FM1405" s="36" t="s">
        <v>283</v>
      </c>
    </row>
    <row r="1406">
      <c r="A1406" s="50">
        <v>44673.90146109954</v>
      </c>
      <c r="B1406" s="36" t="s">
        <v>7</v>
      </c>
      <c r="C1406" s="36" t="s">
        <v>13</v>
      </c>
      <c r="AX1406" s="36" t="s">
        <v>4321</v>
      </c>
      <c r="AY1406" s="36" t="s">
        <v>4050</v>
      </c>
      <c r="AZ1406" s="36" t="s">
        <v>4353</v>
      </c>
      <c r="BA1406" s="36" t="s">
        <v>4354</v>
      </c>
      <c r="BB1406" s="36" t="s">
        <v>4355</v>
      </c>
      <c r="BC1406" s="37">
        <v>44524.0</v>
      </c>
      <c r="BD1406" s="37">
        <v>45282.0</v>
      </c>
      <c r="BE1406" s="37">
        <v>44547.0</v>
      </c>
      <c r="BF1406" s="36">
        <v>75.0</v>
      </c>
      <c r="BG1406" s="36" t="s">
        <v>4356</v>
      </c>
      <c r="BH1406" s="38" t="s">
        <v>4357</v>
      </c>
      <c r="FL1406" s="36" t="s">
        <v>4052</v>
      </c>
      <c r="FM1406" s="36" t="s">
        <v>283</v>
      </c>
    </row>
    <row r="1407">
      <c r="A1407" s="50">
        <v>44673.90672940972</v>
      </c>
      <c r="B1407" s="36" t="s">
        <v>7</v>
      </c>
      <c r="C1407" s="36" t="s">
        <v>13</v>
      </c>
      <c r="AX1407" s="36" t="s">
        <v>4335</v>
      </c>
      <c r="AY1407" s="36" t="s">
        <v>4336</v>
      </c>
      <c r="AZ1407" s="36" t="s">
        <v>2330</v>
      </c>
      <c r="BA1407" s="36" t="s">
        <v>3023</v>
      </c>
      <c r="BB1407" s="36" t="s">
        <v>503</v>
      </c>
      <c r="BC1407" s="37">
        <v>44044.0</v>
      </c>
      <c r="BD1407" s="37">
        <v>44134.0</v>
      </c>
      <c r="BE1407" s="37">
        <v>44132.0</v>
      </c>
      <c r="BF1407" s="36">
        <v>93.0</v>
      </c>
      <c r="BG1407" s="36" t="s">
        <v>4358</v>
      </c>
      <c r="BH1407" s="38" t="s">
        <v>4359</v>
      </c>
      <c r="FL1407" s="36" t="s">
        <v>4339</v>
      </c>
      <c r="FM1407" s="36" t="s">
        <v>283</v>
      </c>
    </row>
    <row r="1408">
      <c r="A1408" s="50">
        <v>44673.914851134265</v>
      </c>
      <c r="B1408" s="36" t="s">
        <v>7</v>
      </c>
      <c r="C1408" s="36" t="s">
        <v>14</v>
      </c>
      <c r="BI1408" s="36" t="s">
        <v>4335</v>
      </c>
      <c r="BJ1408" s="36" t="s">
        <v>4336</v>
      </c>
      <c r="BK1408" s="36" t="s">
        <v>171</v>
      </c>
      <c r="BL1408" s="36" t="s">
        <v>1288</v>
      </c>
      <c r="BM1408" s="36" t="s">
        <v>4360</v>
      </c>
      <c r="BN1408" s="36">
        <v>15.0</v>
      </c>
      <c r="BO1408" s="37">
        <v>44480.0</v>
      </c>
      <c r="BP1408" s="37">
        <v>44494.0</v>
      </c>
      <c r="BQ1408" s="36" t="s">
        <v>4361</v>
      </c>
      <c r="BR1408" s="36" t="s">
        <v>4362</v>
      </c>
      <c r="BS1408" s="36" t="s">
        <v>176</v>
      </c>
      <c r="BT1408" s="36" t="s">
        <v>156</v>
      </c>
      <c r="BV1408" s="38" t="s">
        <v>4363</v>
      </c>
      <c r="FL1408" s="36" t="s">
        <v>4339</v>
      </c>
      <c r="FM1408" s="36" t="s">
        <v>283</v>
      </c>
    </row>
    <row r="1409">
      <c r="A1409" s="50">
        <v>44673.91892181713</v>
      </c>
      <c r="B1409" s="36" t="s">
        <v>7</v>
      </c>
      <c r="C1409" s="36" t="s">
        <v>12</v>
      </c>
      <c r="AN1409" s="36" t="s">
        <v>4364</v>
      </c>
      <c r="AO1409" s="36" t="s">
        <v>4365</v>
      </c>
      <c r="AP1409" s="36" t="s">
        <v>309</v>
      </c>
      <c r="AQ1409" s="36" t="s">
        <v>4366</v>
      </c>
      <c r="AR1409" s="37">
        <v>44470.0</v>
      </c>
      <c r="AS1409" s="37">
        <v>44551.0</v>
      </c>
      <c r="AT1409" s="36" t="s">
        <v>257</v>
      </c>
      <c r="AU1409" s="36" t="s">
        <v>257</v>
      </c>
      <c r="AV1409" s="36">
        <v>0.0</v>
      </c>
      <c r="AW1409" s="38" t="s">
        <v>4367</v>
      </c>
      <c r="FL1409" s="36" t="s">
        <v>4368</v>
      </c>
      <c r="FM1409" s="36" t="s">
        <v>283</v>
      </c>
    </row>
    <row r="1410">
      <c r="A1410" s="50">
        <v>44673.92138181713</v>
      </c>
      <c r="B1410" s="36" t="s">
        <v>7</v>
      </c>
      <c r="C1410" s="36" t="s">
        <v>12</v>
      </c>
      <c r="AN1410" s="36" t="s">
        <v>4364</v>
      </c>
      <c r="AO1410" s="36" t="s">
        <v>4365</v>
      </c>
      <c r="AP1410" s="36" t="s">
        <v>309</v>
      </c>
      <c r="AQ1410" s="36" t="s">
        <v>378</v>
      </c>
      <c r="AR1410" s="37">
        <v>44244.0</v>
      </c>
      <c r="AS1410" s="37">
        <v>44347.0</v>
      </c>
      <c r="AT1410" s="36" t="s">
        <v>257</v>
      </c>
      <c r="AU1410" s="36" t="s">
        <v>257</v>
      </c>
      <c r="AV1410" s="36">
        <v>0.0</v>
      </c>
      <c r="AW1410" s="38" t="s">
        <v>4369</v>
      </c>
      <c r="FL1410" s="36" t="s">
        <v>4368</v>
      </c>
      <c r="FM1410" s="36" t="s">
        <v>283</v>
      </c>
    </row>
    <row r="1411">
      <c r="A1411" s="50">
        <v>44673.92293878472</v>
      </c>
      <c r="B1411" s="36" t="s">
        <v>7</v>
      </c>
      <c r="C1411" s="36" t="s">
        <v>12</v>
      </c>
      <c r="AN1411" s="36" t="s">
        <v>4364</v>
      </c>
      <c r="AO1411" s="36" t="s">
        <v>4365</v>
      </c>
      <c r="AP1411" s="36" t="s">
        <v>309</v>
      </c>
      <c r="AQ1411" s="36" t="s">
        <v>378</v>
      </c>
      <c r="AR1411" s="37">
        <v>44420.0</v>
      </c>
      <c r="AS1411" s="37">
        <v>44501.0</v>
      </c>
      <c r="AT1411" s="36" t="s">
        <v>257</v>
      </c>
      <c r="AU1411" s="36" t="s">
        <v>257</v>
      </c>
      <c r="AV1411" s="36">
        <v>0.0</v>
      </c>
      <c r="AW1411" s="38" t="s">
        <v>4370</v>
      </c>
      <c r="FL1411" s="36" t="s">
        <v>4368</v>
      </c>
      <c r="FM1411" s="36" t="s">
        <v>283</v>
      </c>
    </row>
    <row r="1412">
      <c r="A1412" s="50">
        <v>44673.92310685186</v>
      </c>
      <c r="B1412" s="36" t="s">
        <v>7</v>
      </c>
      <c r="C1412" s="36" t="s">
        <v>13</v>
      </c>
      <c r="AX1412" s="36" t="s">
        <v>4173</v>
      </c>
      <c r="AY1412" s="36" t="s">
        <v>4174</v>
      </c>
      <c r="AZ1412" s="36" t="s">
        <v>3300</v>
      </c>
      <c r="BA1412" s="36" t="s">
        <v>337</v>
      </c>
      <c r="BB1412" s="36" t="s">
        <v>2335</v>
      </c>
      <c r="BC1412" s="37">
        <v>44111.0</v>
      </c>
      <c r="BD1412" s="37">
        <v>44263.0</v>
      </c>
      <c r="BE1412" s="37">
        <v>44263.0</v>
      </c>
      <c r="BF1412" s="36">
        <v>70.0</v>
      </c>
      <c r="BG1412" s="36" t="s">
        <v>1503</v>
      </c>
      <c r="BH1412" s="38" t="s">
        <v>4371</v>
      </c>
      <c r="FL1412" s="36" t="s">
        <v>4176</v>
      </c>
      <c r="FM1412" s="36" t="s">
        <v>283</v>
      </c>
    </row>
    <row r="1413">
      <c r="A1413" s="50">
        <v>44673.92442336805</v>
      </c>
      <c r="B1413" s="36" t="s">
        <v>7</v>
      </c>
      <c r="C1413" s="36" t="s">
        <v>13</v>
      </c>
      <c r="AX1413" s="36" t="s">
        <v>4335</v>
      </c>
      <c r="AY1413" s="36" t="s">
        <v>4336</v>
      </c>
      <c r="AZ1413" s="36" t="s">
        <v>4372</v>
      </c>
      <c r="BA1413" s="36" t="s">
        <v>3023</v>
      </c>
      <c r="BB1413" s="36" t="s">
        <v>1956</v>
      </c>
      <c r="BC1413" s="37">
        <v>44550.0</v>
      </c>
      <c r="BD1413" s="37">
        <v>44676.0</v>
      </c>
      <c r="BE1413" s="37">
        <v>44662.0</v>
      </c>
      <c r="BF1413" s="36">
        <v>80.0</v>
      </c>
      <c r="BG1413" s="36" t="s">
        <v>4358</v>
      </c>
      <c r="BH1413" s="38" t="s">
        <v>4373</v>
      </c>
      <c r="FL1413" s="36" t="s">
        <v>4339</v>
      </c>
      <c r="FM1413" s="36" t="s">
        <v>283</v>
      </c>
    </row>
    <row r="1414">
      <c r="A1414" s="50">
        <v>44673.92504328703</v>
      </c>
      <c r="B1414" s="36" t="s">
        <v>7</v>
      </c>
      <c r="C1414" s="36" t="s">
        <v>12</v>
      </c>
      <c r="AN1414" s="36" t="s">
        <v>4364</v>
      </c>
      <c r="AO1414" s="36" t="s">
        <v>4365</v>
      </c>
      <c r="AP1414" s="36" t="s">
        <v>309</v>
      </c>
      <c r="AQ1414" s="36" t="s">
        <v>378</v>
      </c>
      <c r="AR1414" s="37">
        <v>44533.0</v>
      </c>
      <c r="AS1414" s="37">
        <v>44681.0</v>
      </c>
      <c r="AT1414" s="36" t="s">
        <v>257</v>
      </c>
      <c r="AU1414" s="36" t="s">
        <v>257</v>
      </c>
      <c r="AV1414" s="36">
        <v>0.0</v>
      </c>
      <c r="AW1414" s="38" t="s">
        <v>4374</v>
      </c>
      <c r="FL1414" s="36" t="s">
        <v>4368</v>
      </c>
      <c r="FM1414" s="36" t="s">
        <v>283</v>
      </c>
    </row>
    <row r="1415">
      <c r="A1415" s="50">
        <v>44673.92895478009</v>
      </c>
      <c r="B1415" s="36" t="s">
        <v>7</v>
      </c>
      <c r="C1415" s="36" t="s">
        <v>13</v>
      </c>
      <c r="AX1415" s="36" t="s">
        <v>4173</v>
      </c>
      <c r="AY1415" s="36" t="s">
        <v>4174</v>
      </c>
      <c r="AZ1415" s="36" t="s">
        <v>1367</v>
      </c>
      <c r="BA1415" s="36" t="s">
        <v>337</v>
      </c>
      <c r="BB1415" s="36" t="s">
        <v>4375</v>
      </c>
      <c r="BC1415" s="37">
        <v>44301.0</v>
      </c>
      <c r="BD1415" s="37">
        <v>44545.0</v>
      </c>
      <c r="BE1415" s="37">
        <v>44545.0</v>
      </c>
      <c r="BF1415" s="36">
        <v>80.0</v>
      </c>
      <c r="BG1415" s="36" t="s">
        <v>1503</v>
      </c>
      <c r="BH1415" s="38" t="s">
        <v>4376</v>
      </c>
      <c r="FL1415" s="36" t="s">
        <v>4176</v>
      </c>
      <c r="FM1415" s="36" t="s">
        <v>283</v>
      </c>
    </row>
    <row r="1416">
      <c r="A1416" s="50">
        <v>44673.93223672453</v>
      </c>
      <c r="B1416" s="36" t="s">
        <v>7</v>
      </c>
      <c r="C1416" s="36" t="s">
        <v>13</v>
      </c>
      <c r="AX1416" s="36" t="s">
        <v>4335</v>
      </c>
      <c r="AY1416" s="36" t="s">
        <v>4336</v>
      </c>
      <c r="AZ1416" s="36" t="s">
        <v>4377</v>
      </c>
      <c r="BA1416" s="36" t="s">
        <v>3023</v>
      </c>
      <c r="BB1416" s="36" t="s">
        <v>4378</v>
      </c>
      <c r="BC1416" s="37">
        <v>44495.0</v>
      </c>
      <c r="BD1416" s="37">
        <v>44681.0</v>
      </c>
      <c r="BE1416" s="37">
        <v>44644.0</v>
      </c>
      <c r="BF1416" s="36">
        <v>95.0</v>
      </c>
      <c r="BG1416" s="36" t="s">
        <v>1503</v>
      </c>
      <c r="BH1416" s="38" t="s">
        <v>4379</v>
      </c>
      <c r="FL1416" s="36" t="s">
        <v>4339</v>
      </c>
      <c r="FM1416" s="36" t="s">
        <v>283</v>
      </c>
    </row>
    <row r="1417">
      <c r="A1417" s="50">
        <v>44673.93244167824</v>
      </c>
      <c r="B1417" s="36" t="s">
        <v>7</v>
      </c>
      <c r="C1417" s="36" t="s">
        <v>13</v>
      </c>
      <c r="AX1417" s="36" t="s">
        <v>4173</v>
      </c>
      <c r="AY1417" s="36" t="s">
        <v>4174</v>
      </c>
      <c r="AZ1417" s="36" t="s">
        <v>4380</v>
      </c>
      <c r="BA1417" s="36" t="s">
        <v>337</v>
      </c>
      <c r="BB1417" s="36" t="s">
        <v>4375</v>
      </c>
      <c r="BC1417" s="37">
        <v>44477.0</v>
      </c>
      <c r="BD1417" s="37">
        <v>44703.0</v>
      </c>
      <c r="BE1417" s="37">
        <v>44604.0</v>
      </c>
      <c r="BF1417" s="36">
        <v>80.0</v>
      </c>
      <c r="BG1417" s="36" t="s">
        <v>559</v>
      </c>
      <c r="BH1417" s="38" t="s">
        <v>4381</v>
      </c>
      <c r="FL1417" s="36" t="s">
        <v>4176</v>
      </c>
      <c r="FM1417" s="36" t="s">
        <v>283</v>
      </c>
    </row>
    <row r="1418">
      <c r="A1418" s="50">
        <v>44673.934740937504</v>
      </c>
      <c r="B1418" s="36" t="s">
        <v>7</v>
      </c>
      <c r="C1418" s="36" t="s">
        <v>13</v>
      </c>
      <c r="AX1418" s="36" t="s">
        <v>4364</v>
      </c>
      <c r="AY1418" s="36" t="s">
        <v>4365</v>
      </c>
      <c r="AZ1418" s="36" t="s">
        <v>4382</v>
      </c>
      <c r="BA1418" s="36" t="s">
        <v>3023</v>
      </c>
      <c r="BB1418" s="36" t="s">
        <v>378</v>
      </c>
      <c r="BC1418" s="37">
        <v>43882.0</v>
      </c>
      <c r="BD1418" s="37">
        <v>44347.0</v>
      </c>
      <c r="BE1418" s="37">
        <v>44319.0</v>
      </c>
      <c r="BF1418" s="36">
        <v>90.0</v>
      </c>
      <c r="BG1418" s="36" t="s">
        <v>559</v>
      </c>
      <c r="BH1418" s="38" t="s">
        <v>4383</v>
      </c>
      <c r="FL1418" s="36" t="s">
        <v>4368</v>
      </c>
      <c r="FM1418" s="36" t="s">
        <v>283</v>
      </c>
    </row>
    <row r="1419">
      <c r="A1419" s="50">
        <v>44673.9365669213</v>
      </c>
      <c r="B1419" s="36" t="s">
        <v>7</v>
      </c>
      <c r="C1419" s="36" t="s">
        <v>13</v>
      </c>
      <c r="AX1419" s="36" t="s">
        <v>4335</v>
      </c>
      <c r="AY1419" s="36" t="s">
        <v>4336</v>
      </c>
      <c r="AZ1419" s="36" t="s">
        <v>4384</v>
      </c>
      <c r="BA1419" s="36" t="s">
        <v>1378</v>
      </c>
      <c r="BB1419" s="36" t="s">
        <v>1892</v>
      </c>
      <c r="BC1419" s="37">
        <v>43900.0</v>
      </c>
      <c r="BD1419" s="37">
        <v>43971.0</v>
      </c>
      <c r="BE1419" s="37">
        <v>43971.0</v>
      </c>
      <c r="BF1419" s="36">
        <v>95.62</v>
      </c>
      <c r="BG1419" s="36" t="s">
        <v>4385</v>
      </c>
      <c r="BH1419" s="38" t="s">
        <v>4386</v>
      </c>
      <c r="FL1419" s="36" t="s">
        <v>4339</v>
      </c>
      <c r="FM1419" s="36" t="s">
        <v>283</v>
      </c>
    </row>
    <row r="1420">
      <c r="A1420" s="50">
        <v>44673.93918706018</v>
      </c>
      <c r="B1420" s="36" t="s">
        <v>7</v>
      </c>
      <c r="C1420" s="36" t="s">
        <v>13</v>
      </c>
      <c r="AX1420" s="36" t="s">
        <v>4364</v>
      </c>
      <c r="AY1420" s="36" t="s">
        <v>4365</v>
      </c>
      <c r="AZ1420" s="36" t="s">
        <v>856</v>
      </c>
      <c r="BA1420" s="36" t="s">
        <v>3023</v>
      </c>
      <c r="BB1420" s="36" t="s">
        <v>378</v>
      </c>
      <c r="BC1420" s="37">
        <v>44430.0</v>
      </c>
      <c r="BD1420" s="37">
        <v>44530.0</v>
      </c>
      <c r="BE1420" s="37">
        <v>44530.0</v>
      </c>
      <c r="BF1420" s="36">
        <v>90.0</v>
      </c>
      <c r="BG1420" s="36" t="s">
        <v>857</v>
      </c>
      <c r="BH1420" s="38" t="s">
        <v>4387</v>
      </c>
      <c r="FL1420" s="36" t="s">
        <v>4368</v>
      </c>
      <c r="FM1420" s="36" t="s">
        <v>283</v>
      </c>
    </row>
    <row r="1421">
      <c r="A1421" s="50">
        <v>44673.94187599537</v>
      </c>
      <c r="B1421" s="36" t="s">
        <v>7</v>
      </c>
      <c r="C1421" s="36" t="s">
        <v>13</v>
      </c>
      <c r="AX1421" s="36" t="s">
        <v>4364</v>
      </c>
      <c r="AY1421" s="36" t="s">
        <v>4365</v>
      </c>
      <c r="AZ1421" s="36" t="s">
        <v>4388</v>
      </c>
      <c r="BA1421" s="36" t="s">
        <v>3023</v>
      </c>
      <c r="BB1421" s="36" t="s">
        <v>378</v>
      </c>
      <c r="BC1421" s="37">
        <v>44531.0</v>
      </c>
      <c r="BD1421" s="37">
        <v>44666.0</v>
      </c>
      <c r="BE1421" s="37">
        <v>44666.0</v>
      </c>
      <c r="BF1421" s="36">
        <v>80.0</v>
      </c>
      <c r="BG1421" s="36" t="s">
        <v>3964</v>
      </c>
      <c r="BH1421" s="38" t="s">
        <v>4389</v>
      </c>
      <c r="FL1421" s="36" t="s">
        <v>4368</v>
      </c>
      <c r="FM1421" s="36" t="s">
        <v>283</v>
      </c>
    </row>
    <row r="1422">
      <c r="A1422" s="50">
        <v>44673.94597061342</v>
      </c>
      <c r="B1422" s="36" t="s">
        <v>7</v>
      </c>
      <c r="C1422" s="36" t="s">
        <v>14</v>
      </c>
      <c r="BI1422" s="36" t="s">
        <v>4364</v>
      </c>
      <c r="BJ1422" s="36" t="s">
        <v>4365</v>
      </c>
      <c r="BK1422" s="36" t="s">
        <v>171</v>
      </c>
      <c r="BL1422" s="36" t="s">
        <v>1288</v>
      </c>
      <c r="BM1422" s="36" t="s">
        <v>4390</v>
      </c>
      <c r="BN1422" s="36">
        <v>2.0</v>
      </c>
      <c r="BO1422" s="37">
        <v>44513.0</v>
      </c>
      <c r="BP1422" s="37">
        <v>44514.0</v>
      </c>
      <c r="BQ1422" s="36" t="s">
        <v>217</v>
      </c>
      <c r="BR1422" s="36" t="s">
        <v>4391</v>
      </c>
      <c r="BS1422" s="36" t="s">
        <v>276</v>
      </c>
      <c r="BT1422" s="36" t="s">
        <v>632</v>
      </c>
      <c r="BU1422" s="36">
        <v>50.0</v>
      </c>
      <c r="BV1422" s="38" t="s">
        <v>4392</v>
      </c>
      <c r="FL1422" s="36" t="s">
        <v>4368</v>
      </c>
      <c r="FM1422" s="36" t="s">
        <v>283</v>
      </c>
    </row>
    <row r="1423">
      <c r="A1423" s="50">
        <v>44673.95003706019</v>
      </c>
      <c r="B1423" s="36" t="s">
        <v>7</v>
      </c>
      <c r="C1423" s="36" t="s">
        <v>14</v>
      </c>
      <c r="BI1423" s="36" t="s">
        <v>4173</v>
      </c>
      <c r="BJ1423" s="36" t="s">
        <v>4174</v>
      </c>
      <c r="BK1423" s="36" t="s">
        <v>171</v>
      </c>
      <c r="BL1423" s="36" t="s">
        <v>172</v>
      </c>
      <c r="BM1423" s="36" t="s">
        <v>4393</v>
      </c>
      <c r="BN1423" s="36">
        <v>1.0</v>
      </c>
      <c r="BO1423" s="37">
        <v>44469.0</v>
      </c>
      <c r="BP1423" s="37">
        <v>44469.0</v>
      </c>
      <c r="BQ1423" s="36" t="s">
        <v>337</v>
      </c>
      <c r="BR1423" s="36" t="s">
        <v>4394</v>
      </c>
      <c r="BS1423" s="36" t="s">
        <v>155</v>
      </c>
      <c r="BT1423" s="36" t="s">
        <v>156</v>
      </c>
      <c r="BU1423" s="36">
        <v>0.0</v>
      </c>
      <c r="BV1423" s="38" t="s">
        <v>4395</v>
      </c>
      <c r="FL1423" s="36" t="s">
        <v>4176</v>
      </c>
      <c r="FM1423" s="36" t="s">
        <v>283</v>
      </c>
    </row>
    <row r="1424">
      <c r="A1424" s="50">
        <v>44674.355573113426</v>
      </c>
      <c r="B1424" s="36" t="s">
        <v>7</v>
      </c>
      <c r="C1424" s="36" t="s">
        <v>13</v>
      </c>
      <c r="AX1424" s="36" t="s">
        <v>4133</v>
      </c>
      <c r="AY1424" s="36" t="s">
        <v>4134</v>
      </c>
      <c r="AZ1424" s="36" t="s">
        <v>3300</v>
      </c>
      <c r="BA1424" s="36" t="s">
        <v>337</v>
      </c>
      <c r="BB1424" s="36" t="s">
        <v>1956</v>
      </c>
      <c r="BC1424" s="37">
        <v>44206.0</v>
      </c>
      <c r="BD1424" s="37">
        <v>44322.0</v>
      </c>
      <c r="BE1424" s="37">
        <v>44265.0</v>
      </c>
      <c r="BF1424" s="36">
        <v>95.0</v>
      </c>
      <c r="BG1424" s="36" t="s">
        <v>559</v>
      </c>
      <c r="BH1424" s="38" t="s">
        <v>4396</v>
      </c>
      <c r="FL1424" s="36" t="s">
        <v>4138</v>
      </c>
      <c r="FM1424" s="36" t="s">
        <v>283</v>
      </c>
    </row>
    <row r="1425">
      <c r="A1425" s="50">
        <v>44674.35898680556</v>
      </c>
      <c r="B1425" s="36" t="s">
        <v>7</v>
      </c>
      <c r="C1425" s="36" t="s">
        <v>13</v>
      </c>
      <c r="AX1425" s="36" t="s">
        <v>4133</v>
      </c>
      <c r="AY1425" s="36" t="s">
        <v>4134</v>
      </c>
      <c r="AZ1425" s="36" t="s">
        <v>1367</v>
      </c>
      <c r="BA1425" s="36" t="s">
        <v>337</v>
      </c>
      <c r="BB1425" s="36" t="s">
        <v>503</v>
      </c>
      <c r="BC1425" s="37">
        <v>44479.0</v>
      </c>
      <c r="BD1425" s="37">
        <v>44545.0</v>
      </c>
      <c r="BE1425" s="37">
        <v>44545.0</v>
      </c>
      <c r="BF1425" s="36">
        <v>90.0</v>
      </c>
      <c r="BG1425" s="36" t="s">
        <v>559</v>
      </c>
      <c r="BH1425" s="38" t="s">
        <v>4397</v>
      </c>
      <c r="FL1425" s="36" t="s">
        <v>4138</v>
      </c>
      <c r="FM1425" s="36" t="s">
        <v>283</v>
      </c>
    </row>
    <row r="1426">
      <c r="A1426" s="50">
        <v>44674.36177365741</v>
      </c>
      <c r="B1426" s="36" t="s">
        <v>7</v>
      </c>
      <c r="C1426" s="36" t="s">
        <v>13</v>
      </c>
      <c r="AX1426" s="36" t="s">
        <v>4133</v>
      </c>
      <c r="AY1426" s="36" t="s">
        <v>4134</v>
      </c>
      <c r="AZ1426" s="36" t="s">
        <v>4398</v>
      </c>
      <c r="BA1426" s="36" t="s">
        <v>337</v>
      </c>
      <c r="BB1426" s="36" t="s">
        <v>4378</v>
      </c>
      <c r="BC1426" s="37">
        <v>44477.0</v>
      </c>
      <c r="BD1426" s="37">
        <v>44712.0</v>
      </c>
      <c r="BE1426" s="37">
        <v>44604.0</v>
      </c>
      <c r="BF1426" s="36">
        <v>90.0</v>
      </c>
      <c r="BG1426" s="36" t="s">
        <v>559</v>
      </c>
      <c r="BH1426" s="38" t="s">
        <v>4399</v>
      </c>
      <c r="FL1426" s="36" t="s">
        <v>4138</v>
      </c>
      <c r="FM1426" s="36" t="s">
        <v>283</v>
      </c>
    </row>
    <row r="1427">
      <c r="A1427" s="50">
        <v>44674.39305796297</v>
      </c>
      <c r="B1427" s="36" t="s">
        <v>7</v>
      </c>
      <c r="C1427" s="36" t="s">
        <v>12</v>
      </c>
      <c r="AN1427" s="36" t="s">
        <v>4400</v>
      </c>
      <c r="AO1427" s="36" t="s">
        <v>4401</v>
      </c>
      <c r="AP1427" s="36" t="s">
        <v>309</v>
      </c>
      <c r="AQ1427" s="36">
        <v>3.0</v>
      </c>
      <c r="AR1427" s="37">
        <v>44473.0</v>
      </c>
      <c r="AS1427" s="37">
        <v>44561.0</v>
      </c>
      <c r="AT1427" s="36" t="s">
        <v>257</v>
      </c>
      <c r="AU1427" s="36" t="s">
        <v>257</v>
      </c>
      <c r="AV1427" s="36">
        <v>0.0</v>
      </c>
      <c r="AW1427" s="38" t="s">
        <v>4402</v>
      </c>
      <c r="FL1427" s="36" t="s">
        <v>4403</v>
      </c>
      <c r="FM1427" s="36" t="s">
        <v>341</v>
      </c>
    </row>
    <row r="1428">
      <c r="A1428" s="50">
        <v>44674.39760405093</v>
      </c>
      <c r="B1428" s="36" t="s">
        <v>7</v>
      </c>
      <c r="C1428" s="36" t="s">
        <v>13</v>
      </c>
      <c r="AX1428" s="36" t="s">
        <v>4335</v>
      </c>
      <c r="AY1428" s="36" t="s">
        <v>4336</v>
      </c>
      <c r="AZ1428" s="36" t="s">
        <v>4404</v>
      </c>
      <c r="BA1428" s="36" t="s">
        <v>1378</v>
      </c>
      <c r="BB1428" s="36" t="s">
        <v>973</v>
      </c>
      <c r="BC1428" s="37">
        <v>43934.0</v>
      </c>
      <c r="BD1428" s="37">
        <v>43983.0</v>
      </c>
      <c r="BE1428" s="37">
        <v>43983.0</v>
      </c>
      <c r="BF1428" s="36">
        <v>93.0</v>
      </c>
      <c r="BG1428" s="36" t="s">
        <v>4358</v>
      </c>
      <c r="BH1428" s="38" t="s">
        <v>4405</v>
      </c>
      <c r="FL1428" s="36" t="s">
        <v>4339</v>
      </c>
      <c r="FM1428" s="36" t="s">
        <v>283</v>
      </c>
    </row>
    <row r="1429">
      <c r="A1429" s="50">
        <v>44674.3996471875</v>
      </c>
      <c r="B1429" s="36" t="s">
        <v>7</v>
      </c>
      <c r="C1429" s="36" t="s">
        <v>13</v>
      </c>
      <c r="AX1429" s="36" t="s">
        <v>4335</v>
      </c>
      <c r="AY1429" s="36" t="s">
        <v>4336</v>
      </c>
      <c r="AZ1429" s="36" t="s">
        <v>4406</v>
      </c>
      <c r="BA1429" s="36" t="s">
        <v>1378</v>
      </c>
      <c r="BB1429" s="36" t="s">
        <v>3346</v>
      </c>
      <c r="BC1429" s="37">
        <v>43954.0</v>
      </c>
      <c r="BD1429" s="37">
        <v>43981.0</v>
      </c>
      <c r="BE1429" s="37">
        <v>43977.0</v>
      </c>
      <c r="BF1429" s="36">
        <v>92.73</v>
      </c>
      <c r="BG1429" s="36" t="s">
        <v>4358</v>
      </c>
      <c r="BH1429" s="38" t="s">
        <v>4407</v>
      </c>
      <c r="FL1429" s="36" t="s">
        <v>4339</v>
      </c>
      <c r="FM1429" s="36" t="s">
        <v>283</v>
      </c>
    </row>
    <row r="1430">
      <c r="A1430" s="50">
        <v>44674.4022105787</v>
      </c>
      <c r="B1430" s="36" t="s">
        <v>7</v>
      </c>
      <c r="C1430" s="36" t="s">
        <v>13</v>
      </c>
      <c r="AX1430" s="36" t="s">
        <v>4335</v>
      </c>
      <c r="AY1430" s="36" t="s">
        <v>4336</v>
      </c>
      <c r="AZ1430" s="36" t="s">
        <v>4408</v>
      </c>
      <c r="BA1430" s="36" t="s">
        <v>1378</v>
      </c>
      <c r="BB1430" s="36" t="s">
        <v>3843</v>
      </c>
      <c r="BC1430" s="37">
        <v>43952.0</v>
      </c>
      <c r="BD1430" s="37">
        <v>44012.0</v>
      </c>
      <c r="BE1430" s="37">
        <v>43995.0</v>
      </c>
      <c r="BF1430" s="36">
        <v>97.5</v>
      </c>
      <c r="BG1430" s="36" t="s">
        <v>4032</v>
      </c>
      <c r="BH1430" s="38" t="s">
        <v>4409</v>
      </c>
      <c r="FL1430" s="36" t="s">
        <v>4339</v>
      </c>
      <c r="FM1430" s="36" t="s">
        <v>283</v>
      </c>
    </row>
    <row r="1431">
      <c r="A1431" s="50">
        <v>44674.40409725695</v>
      </c>
      <c r="B1431" s="36" t="s">
        <v>7</v>
      </c>
      <c r="C1431" s="36" t="s">
        <v>13</v>
      </c>
      <c r="AX1431" s="36" t="s">
        <v>4410</v>
      </c>
      <c r="AY1431" s="36" t="s">
        <v>4401</v>
      </c>
      <c r="AZ1431" s="36" t="s">
        <v>4411</v>
      </c>
      <c r="BA1431" s="36" t="s">
        <v>3029</v>
      </c>
      <c r="BB1431" s="36">
        <v>3.0</v>
      </c>
      <c r="BC1431" s="37">
        <v>43839.0</v>
      </c>
      <c r="BD1431" s="37">
        <v>43939.0</v>
      </c>
      <c r="BE1431" s="37">
        <v>43941.0</v>
      </c>
      <c r="BF1431" s="36">
        <v>100.0</v>
      </c>
      <c r="BG1431" s="36" t="s">
        <v>1201</v>
      </c>
      <c r="BH1431" s="38" t="s">
        <v>4412</v>
      </c>
      <c r="FL1431" s="36" t="s">
        <v>4403</v>
      </c>
      <c r="FM1431" s="36" t="s">
        <v>414</v>
      </c>
    </row>
    <row r="1432">
      <c r="A1432" s="50">
        <v>44674.404759375</v>
      </c>
      <c r="B1432" s="36" t="s">
        <v>7</v>
      </c>
      <c r="C1432" s="36" t="s">
        <v>13</v>
      </c>
      <c r="AX1432" s="36" t="s">
        <v>4335</v>
      </c>
      <c r="AY1432" s="36" t="s">
        <v>4336</v>
      </c>
      <c r="AZ1432" s="36" t="s">
        <v>4413</v>
      </c>
      <c r="BA1432" s="36" t="s">
        <v>1378</v>
      </c>
      <c r="BB1432" s="36" t="s">
        <v>1892</v>
      </c>
      <c r="BC1432" s="37">
        <v>43952.0</v>
      </c>
      <c r="BD1432" s="37">
        <v>43982.0</v>
      </c>
      <c r="BE1432" s="37">
        <v>43976.0</v>
      </c>
      <c r="BF1432" s="36">
        <v>94.16</v>
      </c>
      <c r="BG1432" s="36" t="s">
        <v>4414</v>
      </c>
      <c r="BH1432" s="38" t="s">
        <v>4415</v>
      </c>
      <c r="FL1432" s="36" t="s">
        <v>4339</v>
      </c>
      <c r="FM1432" s="36" t="s">
        <v>283</v>
      </c>
    </row>
    <row r="1433">
      <c r="A1433" s="50">
        <v>44674.40660423611</v>
      </c>
      <c r="B1433" s="36" t="s">
        <v>7</v>
      </c>
      <c r="C1433" s="36" t="s">
        <v>13</v>
      </c>
      <c r="AX1433" s="36" t="s">
        <v>4400</v>
      </c>
      <c r="AY1433" s="36" t="s">
        <v>4401</v>
      </c>
      <c r="AZ1433" s="36" t="s">
        <v>4416</v>
      </c>
      <c r="BA1433" s="36" t="s">
        <v>377</v>
      </c>
      <c r="BB1433" s="36" t="s">
        <v>450</v>
      </c>
      <c r="BC1433" s="37">
        <v>44581.0</v>
      </c>
      <c r="BD1433" s="37">
        <v>44666.0</v>
      </c>
      <c r="BE1433" s="37">
        <v>44666.0</v>
      </c>
      <c r="BF1433" s="36">
        <v>85.0</v>
      </c>
      <c r="BG1433" s="36" t="s">
        <v>4417</v>
      </c>
      <c r="BH1433" s="38" t="s">
        <v>4418</v>
      </c>
      <c r="FL1433" s="36" t="s">
        <v>4403</v>
      </c>
      <c r="FM1433" s="36" t="s">
        <v>283</v>
      </c>
    </row>
    <row r="1434">
      <c r="A1434" s="50">
        <v>44674.407721111114</v>
      </c>
      <c r="B1434" s="36" t="s">
        <v>7</v>
      </c>
      <c r="C1434" s="36" t="s">
        <v>13</v>
      </c>
      <c r="AX1434" s="36" t="s">
        <v>4419</v>
      </c>
      <c r="AY1434" s="36" t="s">
        <v>4420</v>
      </c>
      <c r="AZ1434" s="36" t="s">
        <v>4421</v>
      </c>
      <c r="BA1434" s="36" t="s">
        <v>377</v>
      </c>
      <c r="BB1434" s="36" t="s">
        <v>450</v>
      </c>
      <c r="BC1434" s="37">
        <v>43891.0</v>
      </c>
      <c r="BD1434" s="37">
        <v>43983.0</v>
      </c>
      <c r="BE1434" s="37">
        <v>43983.0</v>
      </c>
      <c r="BF1434" s="36">
        <v>89.0</v>
      </c>
      <c r="BG1434" s="36" t="s">
        <v>339</v>
      </c>
      <c r="BH1434" s="38" t="s">
        <v>4422</v>
      </c>
      <c r="FL1434" s="36" t="s">
        <v>4423</v>
      </c>
      <c r="FM1434" s="36" t="s">
        <v>283</v>
      </c>
    </row>
    <row r="1435">
      <c r="A1435" s="50">
        <v>44674.408515648145</v>
      </c>
      <c r="B1435" s="36" t="s">
        <v>7</v>
      </c>
      <c r="C1435" s="36" t="s">
        <v>13</v>
      </c>
      <c r="AX1435" s="36" t="s">
        <v>4400</v>
      </c>
      <c r="AY1435" s="36" t="s">
        <v>4401</v>
      </c>
      <c r="AZ1435" s="36" t="s">
        <v>856</v>
      </c>
      <c r="BA1435" s="36" t="s">
        <v>377</v>
      </c>
      <c r="BB1435" s="36" t="s">
        <v>378</v>
      </c>
      <c r="BC1435" s="37">
        <v>44346.0</v>
      </c>
      <c r="BD1435" s="37">
        <v>44469.0</v>
      </c>
      <c r="BE1435" s="37">
        <v>44469.0</v>
      </c>
      <c r="BF1435" s="36">
        <v>88.0</v>
      </c>
      <c r="BG1435" s="36" t="s">
        <v>4424</v>
      </c>
      <c r="BH1435" s="38" t="s">
        <v>4425</v>
      </c>
      <c r="FL1435" s="36" t="s">
        <v>4403</v>
      </c>
      <c r="FM1435" s="36" t="s">
        <v>283</v>
      </c>
    </row>
    <row r="1436">
      <c r="A1436" s="50">
        <v>44674.4090633912</v>
      </c>
      <c r="B1436" s="36" t="s">
        <v>7</v>
      </c>
      <c r="C1436" s="36" t="s">
        <v>13</v>
      </c>
      <c r="AX1436" s="36" t="s">
        <v>4426</v>
      </c>
      <c r="AY1436" s="36" t="s">
        <v>4427</v>
      </c>
      <c r="AZ1436" s="36" t="s">
        <v>4428</v>
      </c>
      <c r="BA1436" s="36" t="s">
        <v>4429</v>
      </c>
      <c r="BB1436" s="36">
        <v>1.0</v>
      </c>
      <c r="BC1436" s="37">
        <v>44049.0</v>
      </c>
      <c r="BD1436" s="37">
        <v>44071.0</v>
      </c>
      <c r="BE1436" s="37">
        <v>44071.0</v>
      </c>
      <c r="BF1436" s="36" t="s">
        <v>4430</v>
      </c>
      <c r="BG1436" s="36" t="s">
        <v>4431</v>
      </c>
      <c r="BH1436" s="38" t="s">
        <v>4432</v>
      </c>
      <c r="FL1436" s="36" t="s">
        <v>4433</v>
      </c>
      <c r="FM1436" s="36" t="s">
        <v>555</v>
      </c>
    </row>
    <row r="1437">
      <c r="A1437" s="50">
        <v>44674.410168194445</v>
      </c>
      <c r="B1437" s="36" t="s">
        <v>7</v>
      </c>
      <c r="C1437" s="36" t="s">
        <v>13</v>
      </c>
      <c r="AX1437" s="36" t="s">
        <v>4400</v>
      </c>
      <c r="AY1437" s="36" t="s">
        <v>4401</v>
      </c>
      <c r="AZ1437" s="36" t="s">
        <v>2367</v>
      </c>
      <c r="BA1437" s="36" t="s">
        <v>377</v>
      </c>
      <c r="BB1437" s="36" t="s">
        <v>417</v>
      </c>
      <c r="BC1437" s="37">
        <v>44589.0</v>
      </c>
      <c r="BD1437" s="37">
        <v>44667.0</v>
      </c>
      <c r="BE1437" s="37">
        <v>44667.0</v>
      </c>
      <c r="BF1437" s="36">
        <v>90.0</v>
      </c>
      <c r="BG1437" s="36" t="s">
        <v>4434</v>
      </c>
      <c r="BH1437" s="38" t="s">
        <v>4435</v>
      </c>
      <c r="FL1437" s="36" t="s">
        <v>4403</v>
      </c>
      <c r="FM1437" s="36" t="s">
        <v>283</v>
      </c>
    </row>
    <row r="1438">
      <c r="A1438" s="50">
        <v>44674.41028546296</v>
      </c>
      <c r="B1438" s="36" t="s">
        <v>7</v>
      </c>
      <c r="C1438" s="36" t="s">
        <v>13</v>
      </c>
      <c r="AX1438" s="36" t="s">
        <v>4419</v>
      </c>
      <c r="AY1438" s="36" t="s">
        <v>4420</v>
      </c>
      <c r="AZ1438" s="36" t="s">
        <v>4436</v>
      </c>
      <c r="BA1438" s="36" t="s">
        <v>377</v>
      </c>
      <c r="BB1438" s="36" t="s">
        <v>450</v>
      </c>
      <c r="BC1438" s="37">
        <v>44166.0</v>
      </c>
      <c r="BD1438" s="37">
        <v>44256.0</v>
      </c>
      <c r="BE1438" s="37">
        <v>44255.0</v>
      </c>
      <c r="BF1438" s="36">
        <v>90.0</v>
      </c>
      <c r="BG1438" s="36" t="s">
        <v>4437</v>
      </c>
      <c r="BH1438" s="38" t="s">
        <v>4438</v>
      </c>
      <c r="FL1438" s="36" t="s">
        <v>4423</v>
      </c>
      <c r="FM1438" s="36" t="s">
        <v>283</v>
      </c>
    </row>
    <row r="1439">
      <c r="A1439" s="50">
        <v>44674.41237486112</v>
      </c>
      <c r="B1439" s="36" t="s">
        <v>7</v>
      </c>
      <c r="C1439" s="36" t="s">
        <v>13</v>
      </c>
      <c r="AX1439" s="36" t="s">
        <v>4419</v>
      </c>
      <c r="AY1439" s="36" t="s">
        <v>4420</v>
      </c>
      <c r="AZ1439" s="36" t="s">
        <v>4439</v>
      </c>
      <c r="BA1439" s="36" t="s">
        <v>377</v>
      </c>
      <c r="BB1439" s="36" t="s">
        <v>450</v>
      </c>
      <c r="BC1439" s="37">
        <v>43986.0</v>
      </c>
      <c r="BD1439" s="37">
        <v>44078.0</v>
      </c>
      <c r="BE1439" s="37">
        <v>44077.0</v>
      </c>
      <c r="BF1439" s="36">
        <v>90.0</v>
      </c>
      <c r="BG1439" s="36" t="s">
        <v>4189</v>
      </c>
      <c r="BH1439" s="38" t="s">
        <v>4440</v>
      </c>
      <c r="FL1439" s="36" t="s">
        <v>4423</v>
      </c>
      <c r="FM1439" s="36" t="s">
        <v>283</v>
      </c>
    </row>
    <row r="1440">
      <c r="A1440" s="50">
        <v>44674.41246021991</v>
      </c>
      <c r="B1440" s="36" t="s">
        <v>7</v>
      </c>
      <c r="C1440" s="36" t="s">
        <v>13</v>
      </c>
      <c r="AX1440" s="36" t="s">
        <v>4400</v>
      </c>
      <c r="AY1440" s="36" t="s">
        <v>4401</v>
      </c>
      <c r="AZ1440" s="36" t="s">
        <v>347</v>
      </c>
      <c r="BA1440" s="36" t="s">
        <v>377</v>
      </c>
      <c r="BB1440" s="36" t="s">
        <v>417</v>
      </c>
      <c r="BC1440" s="37">
        <v>44243.0</v>
      </c>
      <c r="BD1440" s="37">
        <v>44322.0</v>
      </c>
      <c r="BE1440" s="37">
        <v>44322.0</v>
      </c>
      <c r="BF1440" s="36">
        <v>91.0</v>
      </c>
      <c r="BG1440" s="36" t="s">
        <v>4441</v>
      </c>
      <c r="BH1440" s="38" t="s">
        <v>4442</v>
      </c>
      <c r="FL1440" s="36" t="s">
        <v>4403</v>
      </c>
      <c r="FM1440" s="36" t="s">
        <v>283</v>
      </c>
    </row>
    <row r="1441">
      <c r="A1441" s="50">
        <v>44674.41512348379</v>
      </c>
      <c r="B1441" s="36" t="s">
        <v>7</v>
      </c>
      <c r="C1441" s="36" t="s">
        <v>13</v>
      </c>
      <c r="AX1441" s="36" t="s">
        <v>4443</v>
      </c>
      <c r="AY1441" s="36" t="s">
        <v>4427</v>
      </c>
      <c r="AZ1441" s="36" t="s">
        <v>4444</v>
      </c>
      <c r="BA1441" s="36" t="s">
        <v>823</v>
      </c>
      <c r="BB1441" s="36" t="s">
        <v>1854</v>
      </c>
      <c r="BC1441" s="37">
        <v>43729.0</v>
      </c>
      <c r="BD1441" s="37">
        <v>43730.0</v>
      </c>
      <c r="BE1441" s="37">
        <v>43730.0</v>
      </c>
      <c r="BF1441" s="36">
        <v>100.0</v>
      </c>
      <c r="BG1441" s="36" t="s">
        <v>4445</v>
      </c>
      <c r="BH1441" s="38" t="s">
        <v>4446</v>
      </c>
      <c r="FL1441" s="36" t="s">
        <v>4433</v>
      </c>
      <c r="FM1441" s="36" t="s">
        <v>382</v>
      </c>
    </row>
    <row r="1442">
      <c r="A1442" s="50">
        <v>44674.41963131944</v>
      </c>
      <c r="B1442" s="36" t="s">
        <v>7</v>
      </c>
      <c r="C1442" s="36" t="s">
        <v>13</v>
      </c>
      <c r="AX1442" s="36" t="s">
        <v>4447</v>
      </c>
      <c r="AY1442" s="36" t="s">
        <v>4427</v>
      </c>
      <c r="AZ1442" s="36" t="s">
        <v>4448</v>
      </c>
      <c r="BA1442" s="36" t="s">
        <v>4449</v>
      </c>
      <c r="BB1442" s="36" t="s">
        <v>4450</v>
      </c>
      <c r="BC1442" s="37">
        <v>44323.0</v>
      </c>
      <c r="BD1442" s="37">
        <v>44323.0</v>
      </c>
      <c r="BE1442" s="37">
        <v>44323.0</v>
      </c>
      <c r="BF1442" s="36">
        <v>100.0</v>
      </c>
      <c r="BG1442" s="36" t="s">
        <v>4451</v>
      </c>
      <c r="BH1442" s="38" t="s">
        <v>4452</v>
      </c>
      <c r="FL1442" s="36" t="s">
        <v>4433</v>
      </c>
      <c r="FM1442" s="36" t="s">
        <v>283</v>
      </c>
    </row>
    <row r="1443">
      <c r="A1443" s="50">
        <v>44674.4223330324</v>
      </c>
      <c r="B1443" s="36" t="s">
        <v>7</v>
      </c>
      <c r="C1443" s="36" t="s">
        <v>12</v>
      </c>
      <c r="AN1443" s="36" t="s">
        <v>4447</v>
      </c>
      <c r="AO1443" s="36" t="s">
        <v>4427</v>
      </c>
      <c r="AP1443" s="36" t="s">
        <v>443</v>
      </c>
      <c r="AQ1443" s="36" t="s">
        <v>348</v>
      </c>
      <c r="AR1443" s="37">
        <v>44491.0</v>
      </c>
      <c r="AS1443" s="37">
        <v>44540.0</v>
      </c>
      <c r="AT1443" s="36" t="s">
        <v>257</v>
      </c>
      <c r="AU1443" s="36" t="s">
        <v>257</v>
      </c>
      <c r="AV1443" s="36">
        <v>0.0</v>
      </c>
      <c r="AW1443" s="38" t="s">
        <v>4453</v>
      </c>
      <c r="FL1443" s="36" t="s">
        <v>4433</v>
      </c>
      <c r="FM1443" s="36" t="s">
        <v>283</v>
      </c>
    </row>
    <row r="1444">
      <c r="A1444" s="50">
        <v>44674.42673172454</v>
      </c>
      <c r="B1444" s="36" t="s">
        <v>7</v>
      </c>
      <c r="C1444" s="36" t="s">
        <v>13</v>
      </c>
      <c r="AX1444" s="36" t="s">
        <v>4447</v>
      </c>
      <c r="AY1444" s="36" t="s">
        <v>4427</v>
      </c>
      <c r="AZ1444" s="36" t="s">
        <v>2367</v>
      </c>
      <c r="BA1444" s="36" t="s">
        <v>377</v>
      </c>
      <c r="BB1444" s="36">
        <v>3.0</v>
      </c>
      <c r="BC1444" s="37">
        <v>44581.0</v>
      </c>
      <c r="BD1444" s="37">
        <v>44666.0</v>
      </c>
      <c r="BE1444" s="37">
        <v>44666.0</v>
      </c>
      <c r="BF1444" s="36">
        <v>95.0</v>
      </c>
      <c r="BG1444" s="36" t="s">
        <v>3892</v>
      </c>
      <c r="BH1444" s="38" t="s">
        <v>4454</v>
      </c>
      <c r="FL1444" s="36" t="s">
        <v>4433</v>
      </c>
      <c r="FM1444" s="36" t="s">
        <v>283</v>
      </c>
    </row>
    <row r="1445">
      <c r="A1445" s="50">
        <v>44674.4286425926</v>
      </c>
      <c r="B1445" s="36" t="s">
        <v>7</v>
      </c>
      <c r="C1445" s="36" t="s">
        <v>13</v>
      </c>
      <c r="AX1445" s="36" t="s">
        <v>4447</v>
      </c>
      <c r="AY1445" s="36" t="s">
        <v>4427</v>
      </c>
      <c r="AZ1445" s="36" t="s">
        <v>786</v>
      </c>
      <c r="BA1445" s="36" t="s">
        <v>377</v>
      </c>
      <c r="BB1445" s="36" t="s">
        <v>417</v>
      </c>
      <c r="BC1445" s="37">
        <v>44580.0</v>
      </c>
      <c r="BD1445" s="37">
        <v>44666.0</v>
      </c>
      <c r="BE1445" s="37">
        <v>44666.0</v>
      </c>
      <c r="BF1445" s="36">
        <v>100.0</v>
      </c>
      <c r="BG1445" s="36" t="s">
        <v>3892</v>
      </c>
      <c r="BH1445" s="38" t="s">
        <v>4455</v>
      </c>
      <c r="FL1445" s="36" t="s">
        <v>4433</v>
      </c>
      <c r="FM1445" s="36" t="s">
        <v>283</v>
      </c>
    </row>
    <row r="1446">
      <c r="A1446" s="50">
        <v>44674.430539305555</v>
      </c>
      <c r="B1446" s="36" t="s">
        <v>7</v>
      </c>
      <c r="C1446" s="36" t="s">
        <v>13</v>
      </c>
      <c r="AX1446" s="36" t="s">
        <v>4447</v>
      </c>
      <c r="AY1446" s="36" t="s">
        <v>4427</v>
      </c>
      <c r="AZ1446" s="36" t="s">
        <v>399</v>
      </c>
      <c r="BA1446" s="36" t="s">
        <v>377</v>
      </c>
      <c r="BB1446" s="36" t="s">
        <v>4456</v>
      </c>
      <c r="BC1446" s="37">
        <v>44218.0</v>
      </c>
      <c r="BD1446" s="37">
        <v>44322.0</v>
      </c>
      <c r="BE1446" s="37">
        <v>44322.0</v>
      </c>
      <c r="BF1446" s="36">
        <v>100.0</v>
      </c>
      <c r="BG1446" s="36" t="s">
        <v>4457</v>
      </c>
      <c r="BH1446" s="38" t="s">
        <v>4458</v>
      </c>
      <c r="FL1446" s="36" t="s">
        <v>4433</v>
      </c>
      <c r="FM1446" s="36" t="s">
        <v>283</v>
      </c>
    </row>
    <row r="1447">
      <c r="A1447" s="50">
        <v>44674.44747994213</v>
      </c>
      <c r="B1447" s="36" t="s">
        <v>7</v>
      </c>
      <c r="C1447" s="36" t="s">
        <v>20</v>
      </c>
      <c r="DX1447" s="36" t="s">
        <v>3864</v>
      </c>
      <c r="DY1447" s="36" t="s">
        <v>3865</v>
      </c>
      <c r="DZ1447" s="36" t="s">
        <v>171</v>
      </c>
      <c r="EA1447" s="36" t="s">
        <v>4459</v>
      </c>
      <c r="EB1447" s="37">
        <v>44171.0</v>
      </c>
      <c r="EC1447" s="36" t="s">
        <v>4460</v>
      </c>
      <c r="ED1447" s="38" t="s">
        <v>4461</v>
      </c>
      <c r="FL1447" s="36" t="s">
        <v>3870</v>
      </c>
      <c r="FM1447" s="36" t="s">
        <v>283</v>
      </c>
    </row>
    <row r="1448">
      <c r="A1448" s="50">
        <v>44674.45185841435</v>
      </c>
      <c r="B1448" s="36" t="s">
        <v>7</v>
      </c>
      <c r="C1448" s="36" t="s">
        <v>13</v>
      </c>
      <c r="AX1448" s="36" t="s">
        <v>4462</v>
      </c>
      <c r="AY1448" s="36" t="s">
        <v>4463</v>
      </c>
      <c r="AZ1448" s="36" t="s">
        <v>4464</v>
      </c>
      <c r="BA1448" s="36" t="s">
        <v>4465</v>
      </c>
      <c r="BB1448" s="36" t="s">
        <v>4466</v>
      </c>
      <c r="BC1448" s="37">
        <v>43929.0</v>
      </c>
      <c r="BD1448" s="37">
        <v>43959.0</v>
      </c>
      <c r="BE1448" s="37">
        <v>44081.0</v>
      </c>
      <c r="BF1448" s="51">
        <v>0.99</v>
      </c>
      <c r="BG1448" s="36" t="s">
        <v>4467</v>
      </c>
      <c r="BH1448" s="38" t="s">
        <v>4468</v>
      </c>
      <c r="FL1448" s="36" t="s">
        <v>4469</v>
      </c>
      <c r="FM1448" s="36" t="s">
        <v>283</v>
      </c>
    </row>
    <row r="1449">
      <c r="A1449" s="50">
        <v>44674.50440690972</v>
      </c>
      <c r="B1449" s="36" t="s">
        <v>7</v>
      </c>
      <c r="C1449" s="36" t="s">
        <v>23</v>
      </c>
      <c r="FG1449" s="36" t="s">
        <v>4082</v>
      </c>
      <c r="FH1449" s="36" t="s">
        <v>4083</v>
      </c>
      <c r="FI1449" s="36" t="s">
        <v>745</v>
      </c>
      <c r="FJ1449" s="37">
        <v>44619.0</v>
      </c>
      <c r="FK1449" s="38" t="s">
        <v>4470</v>
      </c>
      <c r="FL1449" s="36" t="s">
        <v>4086</v>
      </c>
      <c r="FM1449" s="36" t="s">
        <v>283</v>
      </c>
    </row>
    <row r="1450">
      <c r="A1450" s="50">
        <v>44674.54337998843</v>
      </c>
      <c r="B1450" s="36" t="s">
        <v>7</v>
      </c>
      <c r="C1450" s="36" t="s">
        <v>13</v>
      </c>
      <c r="AX1450" s="36" t="s">
        <v>4471</v>
      </c>
      <c r="AY1450" s="36" t="s">
        <v>4472</v>
      </c>
      <c r="AZ1450" s="36" t="s">
        <v>4473</v>
      </c>
      <c r="BA1450" s="36" t="s">
        <v>377</v>
      </c>
      <c r="BB1450" s="36" t="s">
        <v>410</v>
      </c>
      <c r="BC1450" s="37">
        <v>43925.0</v>
      </c>
      <c r="BD1450" s="37">
        <v>43955.0</v>
      </c>
      <c r="BE1450" s="37">
        <v>43955.0</v>
      </c>
      <c r="BF1450" s="51">
        <v>0.95</v>
      </c>
      <c r="BG1450" s="36" t="s">
        <v>4055</v>
      </c>
      <c r="BH1450" s="38" t="s">
        <v>4474</v>
      </c>
      <c r="FL1450" s="36" t="s">
        <v>4475</v>
      </c>
      <c r="FM1450" s="36" t="s">
        <v>283</v>
      </c>
    </row>
    <row r="1451">
      <c r="A1451" s="50">
        <v>44674.5460578125</v>
      </c>
      <c r="B1451" s="36" t="s">
        <v>7</v>
      </c>
      <c r="C1451" s="36" t="s">
        <v>13</v>
      </c>
      <c r="AX1451" s="36" t="s">
        <v>4476</v>
      </c>
      <c r="AY1451" s="36" t="s">
        <v>4472</v>
      </c>
      <c r="AZ1451" s="36" t="s">
        <v>4477</v>
      </c>
      <c r="BA1451" s="36" t="s">
        <v>1434</v>
      </c>
      <c r="BB1451" s="36" t="s">
        <v>1258</v>
      </c>
      <c r="BC1451" s="37">
        <v>44355.0</v>
      </c>
      <c r="BD1451" s="37">
        <v>44385.0</v>
      </c>
      <c r="BE1451" s="37">
        <v>44385.0</v>
      </c>
      <c r="BF1451" s="51">
        <v>0.9</v>
      </c>
      <c r="BG1451" s="36" t="s">
        <v>1527</v>
      </c>
      <c r="BH1451" s="38" t="s">
        <v>4478</v>
      </c>
      <c r="FL1451" s="36" t="s">
        <v>4475</v>
      </c>
      <c r="FM1451" s="36" t="s">
        <v>283</v>
      </c>
    </row>
    <row r="1452">
      <c r="A1452" s="50">
        <v>44674.548145127315</v>
      </c>
      <c r="B1452" s="36" t="s">
        <v>7</v>
      </c>
      <c r="C1452" s="36" t="s">
        <v>13</v>
      </c>
      <c r="AX1452" s="36" t="s">
        <v>4476</v>
      </c>
      <c r="AY1452" s="36" t="s">
        <v>4472</v>
      </c>
      <c r="AZ1452" s="36" t="s">
        <v>4479</v>
      </c>
      <c r="BA1452" s="36" t="s">
        <v>377</v>
      </c>
      <c r="BB1452" s="36" t="s">
        <v>1258</v>
      </c>
      <c r="BC1452" s="37">
        <v>43965.0</v>
      </c>
      <c r="BD1452" s="37">
        <v>43996.0</v>
      </c>
      <c r="BE1452" s="37">
        <v>43996.0</v>
      </c>
      <c r="BF1452" s="51">
        <v>0.95</v>
      </c>
      <c r="BG1452" s="36" t="s">
        <v>4055</v>
      </c>
      <c r="BH1452" s="38" t="s">
        <v>4480</v>
      </c>
      <c r="FL1452" s="36" t="s">
        <v>4475</v>
      </c>
      <c r="FM1452" s="36" t="s">
        <v>283</v>
      </c>
    </row>
    <row r="1453">
      <c r="A1453" s="50">
        <v>44674.55004886574</v>
      </c>
      <c r="B1453" s="36" t="s">
        <v>7</v>
      </c>
      <c r="C1453" s="36" t="s">
        <v>13</v>
      </c>
      <c r="AX1453" s="36" t="s">
        <v>4471</v>
      </c>
      <c r="AY1453" s="36" t="s">
        <v>4472</v>
      </c>
      <c r="AZ1453" s="36" t="s">
        <v>4481</v>
      </c>
      <c r="BA1453" s="36" t="s">
        <v>377</v>
      </c>
      <c r="BB1453" s="36" t="s">
        <v>1258</v>
      </c>
      <c r="BC1453" s="37">
        <v>44104.0</v>
      </c>
      <c r="BD1453" s="37">
        <v>44134.0</v>
      </c>
      <c r="BE1453" s="37">
        <v>44134.0</v>
      </c>
      <c r="BF1453" s="51">
        <v>0.95</v>
      </c>
      <c r="BG1453" s="36" t="s">
        <v>4482</v>
      </c>
      <c r="BH1453" s="38" t="s">
        <v>4483</v>
      </c>
      <c r="FL1453" s="36" t="s">
        <v>4475</v>
      </c>
      <c r="FM1453" s="36" t="s">
        <v>283</v>
      </c>
    </row>
    <row r="1454">
      <c r="A1454" s="50">
        <v>44674.5519625</v>
      </c>
      <c r="B1454" s="36" t="s">
        <v>7</v>
      </c>
      <c r="C1454" s="36" t="s">
        <v>13</v>
      </c>
      <c r="AX1454" s="36" t="s">
        <v>4476</v>
      </c>
      <c r="AY1454" s="36" t="s">
        <v>4472</v>
      </c>
      <c r="AZ1454" s="36" t="s">
        <v>4484</v>
      </c>
      <c r="BA1454" s="36" t="s">
        <v>377</v>
      </c>
      <c r="BB1454" s="36" t="s">
        <v>495</v>
      </c>
      <c r="BC1454" s="37">
        <v>44235.0</v>
      </c>
      <c r="BD1454" s="37">
        <v>44263.0</v>
      </c>
      <c r="BE1454" s="37">
        <v>44263.0</v>
      </c>
      <c r="BF1454" s="51">
        <v>0.95</v>
      </c>
      <c r="BG1454" s="36" t="s">
        <v>4485</v>
      </c>
      <c r="BH1454" s="38" t="s">
        <v>4486</v>
      </c>
      <c r="FL1454" s="36" t="s">
        <v>4475</v>
      </c>
      <c r="FM1454" s="36" t="s">
        <v>283</v>
      </c>
    </row>
    <row r="1455">
      <c r="A1455" s="50">
        <v>44674.694821296296</v>
      </c>
      <c r="B1455" s="36" t="s">
        <v>7</v>
      </c>
      <c r="C1455" s="36" t="s">
        <v>12</v>
      </c>
      <c r="AN1455" s="36" t="s">
        <v>4487</v>
      </c>
      <c r="AO1455" s="36" t="s">
        <v>4488</v>
      </c>
      <c r="AP1455" s="36" t="s">
        <v>2131</v>
      </c>
      <c r="AQ1455" s="36" t="s">
        <v>507</v>
      </c>
      <c r="AR1455" s="37">
        <v>44470.0</v>
      </c>
      <c r="AS1455" s="37">
        <v>44560.0</v>
      </c>
      <c r="AT1455" s="36" t="s">
        <v>257</v>
      </c>
      <c r="AU1455" s="36" t="s">
        <v>257</v>
      </c>
      <c r="AV1455" s="36">
        <v>0.0</v>
      </c>
      <c r="AW1455" s="38" t="s">
        <v>4489</v>
      </c>
      <c r="FL1455" s="36" t="s">
        <v>4490</v>
      </c>
      <c r="FM1455" s="36" t="s">
        <v>283</v>
      </c>
    </row>
    <row r="1456">
      <c r="A1456" s="50">
        <v>44674.72309326389</v>
      </c>
      <c r="B1456" s="36" t="s">
        <v>7</v>
      </c>
      <c r="C1456" s="36" t="s">
        <v>13</v>
      </c>
      <c r="AX1456" s="36" t="s">
        <v>4491</v>
      </c>
      <c r="AY1456" s="36" t="s">
        <v>2971</v>
      </c>
      <c r="AZ1456" s="36" t="s">
        <v>566</v>
      </c>
      <c r="BA1456" s="36" t="s">
        <v>2490</v>
      </c>
      <c r="BB1456" s="36" t="s">
        <v>1068</v>
      </c>
      <c r="BC1456" s="37">
        <v>44478.0</v>
      </c>
      <c r="BD1456" s="37">
        <v>44539.0</v>
      </c>
      <c r="BE1456" s="37">
        <v>44539.0</v>
      </c>
      <c r="BF1456" s="51">
        <v>0.9</v>
      </c>
      <c r="BG1456" s="36" t="s">
        <v>559</v>
      </c>
      <c r="BH1456" s="38" t="s">
        <v>4492</v>
      </c>
      <c r="FL1456" s="36" t="s">
        <v>4493</v>
      </c>
      <c r="FM1456" s="36" t="s">
        <v>283</v>
      </c>
    </row>
    <row r="1457">
      <c r="A1457" s="50">
        <v>44674.72602472222</v>
      </c>
      <c r="B1457" s="36" t="s">
        <v>7</v>
      </c>
      <c r="C1457" s="36" t="s">
        <v>13</v>
      </c>
      <c r="AX1457" s="36" t="s">
        <v>2970</v>
      </c>
      <c r="AY1457" s="36" t="s">
        <v>2971</v>
      </c>
      <c r="AZ1457" s="36" t="s">
        <v>347</v>
      </c>
      <c r="BA1457" s="36" t="s">
        <v>2490</v>
      </c>
      <c r="BB1457" s="36" t="s">
        <v>1068</v>
      </c>
      <c r="BC1457" s="37">
        <v>44218.0</v>
      </c>
      <c r="BD1457" s="37">
        <v>44308.0</v>
      </c>
      <c r="BE1457" s="37">
        <v>44308.0</v>
      </c>
      <c r="BF1457" s="51">
        <v>0.9</v>
      </c>
      <c r="BG1457" s="36" t="s">
        <v>4229</v>
      </c>
      <c r="BH1457" s="38" t="s">
        <v>4494</v>
      </c>
      <c r="FL1457" s="36" t="s">
        <v>4493</v>
      </c>
      <c r="FM1457" s="36" t="s">
        <v>283</v>
      </c>
    </row>
    <row r="1458">
      <c r="A1458" s="50">
        <v>44674.72662140046</v>
      </c>
      <c r="B1458" s="36" t="s">
        <v>7</v>
      </c>
      <c r="C1458" s="36" t="s">
        <v>13</v>
      </c>
      <c r="AX1458" s="36" t="s">
        <v>4487</v>
      </c>
      <c r="AY1458" s="36" t="s">
        <v>4488</v>
      </c>
      <c r="AZ1458" s="36" t="s">
        <v>4495</v>
      </c>
      <c r="BA1458" s="36" t="s">
        <v>377</v>
      </c>
      <c r="BB1458" s="36" t="s">
        <v>264</v>
      </c>
      <c r="BC1458" s="37">
        <v>44495.0</v>
      </c>
      <c r="BD1458" s="37">
        <v>44681.0</v>
      </c>
      <c r="BE1458" s="37">
        <v>44650.0</v>
      </c>
      <c r="BF1458" s="51">
        <v>0.92</v>
      </c>
      <c r="BG1458" s="36" t="s">
        <v>4496</v>
      </c>
      <c r="BH1458" s="38" t="s">
        <v>4497</v>
      </c>
      <c r="FL1458" s="36" t="s">
        <v>4490</v>
      </c>
      <c r="FM1458" s="36" t="s">
        <v>283</v>
      </c>
    </row>
    <row r="1459">
      <c r="A1459" s="50">
        <v>44674.72955474537</v>
      </c>
      <c r="B1459" s="36" t="s">
        <v>7</v>
      </c>
      <c r="C1459" s="36" t="s">
        <v>13</v>
      </c>
      <c r="AX1459" s="36" t="s">
        <v>2970</v>
      </c>
      <c r="AY1459" s="36" t="s">
        <v>2971</v>
      </c>
      <c r="AZ1459" s="36" t="s">
        <v>1972</v>
      </c>
      <c r="BA1459" s="36" t="s">
        <v>337</v>
      </c>
      <c r="BB1459" s="36" t="s">
        <v>1068</v>
      </c>
      <c r="BC1459" s="37">
        <v>44512.0</v>
      </c>
      <c r="BD1459" s="37">
        <v>44604.0</v>
      </c>
      <c r="BE1459" s="37">
        <v>44604.0</v>
      </c>
      <c r="BF1459" s="51">
        <v>0.96</v>
      </c>
      <c r="BG1459" s="36" t="s">
        <v>559</v>
      </c>
      <c r="BH1459" s="38" t="s">
        <v>4498</v>
      </c>
      <c r="FL1459" s="36" t="s">
        <v>4493</v>
      </c>
      <c r="FM1459" s="36" t="s">
        <v>283</v>
      </c>
    </row>
    <row r="1460">
      <c r="A1460" s="50">
        <v>44674.77458611111</v>
      </c>
      <c r="B1460" s="36" t="s">
        <v>7</v>
      </c>
      <c r="C1460" s="36" t="s">
        <v>13</v>
      </c>
      <c r="AX1460" s="36" t="s">
        <v>4499</v>
      </c>
      <c r="AY1460" s="36" t="s">
        <v>3247</v>
      </c>
      <c r="AZ1460" s="36" t="s">
        <v>647</v>
      </c>
      <c r="BA1460" s="36" t="s">
        <v>900</v>
      </c>
      <c r="BB1460" s="36" t="s">
        <v>1846</v>
      </c>
      <c r="BC1460" s="37">
        <v>44290.0</v>
      </c>
      <c r="BD1460" s="37">
        <v>44386.0</v>
      </c>
      <c r="BE1460" s="37">
        <v>44386.0</v>
      </c>
      <c r="BF1460" s="51">
        <v>0.7</v>
      </c>
      <c r="BG1460" s="36" t="s">
        <v>4500</v>
      </c>
      <c r="BH1460" s="38" t="s">
        <v>4501</v>
      </c>
      <c r="FL1460" s="36" t="s">
        <v>3253</v>
      </c>
      <c r="FM1460" s="36" t="s">
        <v>555</v>
      </c>
    </row>
    <row r="1461">
      <c r="A1461" s="50">
        <v>44674.77674644676</v>
      </c>
      <c r="B1461" s="36" t="s">
        <v>7</v>
      </c>
      <c r="C1461" s="36" t="s">
        <v>12</v>
      </c>
      <c r="AN1461" s="36" t="s">
        <v>4502</v>
      </c>
      <c r="AO1461" s="36" t="s">
        <v>3247</v>
      </c>
      <c r="AP1461" s="36" t="s">
        <v>4503</v>
      </c>
      <c r="AQ1461" s="36" t="s">
        <v>507</v>
      </c>
      <c r="AR1461" s="37">
        <v>44477.0</v>
      </c>
      <c r="AS1461" s="37">
        <v>44546.0</v>
      </c>
      <c r="AT1461" s="36" t="s">
        <v>257</v>
      </c>
      <c r="AU1461" s="36" t="s">
        <v>257</v>
      </c>
      <c r="AV1461" s="36">
        <v>0.0</v>
      </c>
      <c r="AW1461" s="38" t="s">
        <v>4504</v>
      </c>
      <c r="FL1461" s="36" t="s">
        <v>3253</v>
      </c>
      <c r="FM1461" s="36" t="s">
        <v>341</v>
      </c>
    </row>
    <row r="1462">
      <c r="A1462" s="50">
        <v>44674.783729965275</v>
      </c>
      <c r="B1462" s="36" t="s">
        <v>7</v>
      </c>
      <c r="C1462" s="36" t="s">
        <v>13</v>
      </c>
      <c r="AX1462" s="36" t="s">
        <v>4499</v>
      </c>
      <c r="AY1462" s="36" t="s">
        <v>3247</v>
      </c>
      <c r="AZ1462" s="36" t="s">
        <v>4505</v>
      </c>
      <c r="BA1462" s="36" t="s">
        <v>4506</v>
      </c>
      <c r="BB1462" s="36" t="s">
        <v>3607</v>
      </c>
      <c r="BC1462" s="37">
        <v>44667.0</v>
      </c>
      <c r="BD1462" s="37">
        <v>44667.0</v>
      </c>
      <c r="BE1462" s="37">
        <v>44667.0</v>
      </c>
      <c r="BF1462" s="51">
        <v>0.6</v>
      </c>
      <c r="BG1462" s="36" t="s">
        <v>4507</v>
      </c>
      <c r="BH1462" s="38" t="s">
        <v>4508</v>
      </c>
      <c r="FL1462" s="36" t="s">
        <v>3253</v>
      </c>
      <c r="FM1462" s="36" t="s">
        <v>341</v>
      </c>
    </row>
    <row r="1463">
      <c r="A1463" s="50">
        <v>44674.78553631944</v>
      </c>
      <c r="B1463" s="36" t="s">
        <v>7</v>
      </c>
      <c r="C1463" s="36" t="s">
        <v>13</v>
      </c>
      <c r="AX1463" s="36" t="s">
        <v>4502</v>
      </c>
      <c r="AY1463" s="36" t="s">
        <v>3247</v>
      </c>
      <c r="AZ1463" s="36" t="s">
        <v>4509</v>
      </c>
      <c r="BA1463" s="36" t="s">
        <v>4506</v>
      </c>
      <c r="BB1463" s="36" t="s">
        <v>4510</v>
      </c>
      <c r="BC1463" s="37">
        <v>44666.0</v>
      </c>
      <c r="BD1463" s="37">
        <v>44665.0</v>
      </c>
      <c r="BE1463" s="37">
        <v>44665.0</v>
      </c>
      <c r="BF1463" s="51">
        <v>0.8</v>
      </c>
      <c r="BG1463" s="36" t="s">
        <v>289</v>
      </c>
      <c r="BH1463" s="38" t="s">
        <v>4511</v>
      </c>
      <c r="FL1463" s="36" t="s">
        <v>3253</v>
      </c>
      <c r="FM1463" s="36" t="s">
        <v>283</v>
      </c>
    </row>
    <row r="1464">
      <c r="A1464" s="50">
        <v>44674.79166861111</v>
      </c>
      <c r="B1464" s="36" t="s">
        <v>7</v>
      </c>
      <c r="C1464" s="36" t="s">
        <v>13</v>
      </c>
      <c r="AX1464" s="36" t="s">
        <v>4487</v>
      </c>
      <c r="AY1464" s="36" t="s">
        <v>4488</v>
      </c>
      <c r="AZ1464" s="36" t="s">
        <v>2069</v>
      </c>
      <c r="BA1464" s="36" t="s">
        <v>377</v>
      </c>
      <c r="BB1464" s="36" t="s">
        <v>475</v>
      </c>
      <c r="BC1464" s="37">
        <v>44166.0</v>
      </c>
      <c r="BD1464" s="37">
        <v>44260.0</v>
      </c>
      <c r="BE1464" s="37">
        <v>44260.0</v>
      </c>
      <c r="BF1464" s="51">
        <v>0.93</v>
      </c>
      <c r="BG1464" s="36" t="s">
        <v>4512</v>
      </c>
      <c r="BH1464" s="38" t="s">
        <v>4513</v>
      </c>
      <c r="FL1464" s="36" t="s">
        <v>4490</v>
      </c>
      <c r="FM1464" s="36" t="s">
        <v>283</v>
      </c>
    </row>
    <row r="1465">
      <c r="A1465" s="50">
        <v>44674.79527324074</v>
      </c>
      <c r="B1465" s="36" t="s">
        <v>7</v>
      </c>
      <c r="C1465" s="36" t="s">
        <v>13</v>
      </c>
      <c r="AX1465" s="36" t="s">
        <v>4487</v>
      </c>
      <c r="AY1465" s="36" t="s">
        <v>4488</v>
      </c>
      <c r="AZ1465" s="36" t="s">
        <v>2715</v>
      </c>
      <c r="BA1465" s="36" t="s">
        <v>377</v>
      </c>
      <c r="BB1465" s="36" t="s">
        <v>4514</v>
      </c>
      <c r="BC1465" s="37">
        <v>43952.0</v>
      </c>
      <c r="BD1465" s="37">
        <v>44077.0</v>
      </c>
      <c r="BE1465" s="37">
        <v>44077.0</v>
      </c>
      <c r="BF1465" s="51">
        <v>0.96</v>
      </c>
      <c r="BG1465" s="36" t="s">
        <v>4515</v>
      </c>
      <c r="BH1465" s="38" t="s">
        <v>4516</v>
      </c>
      <c r="FL1465" s="36" t="s">
        <v>4490</v>
      </c>
      <c r="FM1465" s="36" t="s">
        <v>283</v>
      </c>
    </row>
    <row r="1466">
      <c r="A1466" s="50">
        <v>44674.79561210648</v>
      </c>
      <c r="B1466" s="36" t="s">
        <v>7</v>
      </c>
      <c r="C1466" s="36" t="s">
        <v>13</v>
      </c>
      <c r="AX1466" s="36" t="s">
        <v>4502</v>
      </c>
      <c r="AY1466" s="36" t="s">
        <v>3247</v>
      </c>
      <c r="AZ1466" s="36" t="s">
        <v>4517</v>
      </c>
      <c r="BA1466" s="36" t="s">
        <v>4518</v>
      </c>
      <c r="BB1466" s="36" t="s">
        <v>4519</v>
      </c>
      <c r="BC1466" s="37">
        <v>44652.0</v>
      </c>
      <c r="BD1466" s="37">
        <v>44652.0</v>
      </c>
      <c r="BE1466" s="37">
        <v>44652.0</v>
      </c>
      <c r="BF1466" s="51">
        <v>0.8</v>
      </c>
      <c r="BG1466" s="36" t="s">
        <v>4520</v>
      </c>
      <c r="BH1466" s="38" t="s">
        <v>4521</v>
      </c>
      <c r="FL1466" s="36" t="s">
        <v>3253</v>
      </c>
      <c r="FM1466" s="36" t="s">
        <v>323</v>
      </c>
    </row>
    <row r="1467">
      <c r="A1467" s="50">
        <v>44674.7985934375</v>
      </c>
      <c r="B1467" s="36" t="s">
        <v>7</v>
      </c>
      <c r="C1467" s="36" t="s">
        <v>13</v>
      </c>
      <c r="AX1467" s="36" t="s">
        <v>3246</v>
      </c>
      <c r="AY1467" s="36" t="s">
        <v>3247</v>
      </c>
      <c r="AZ1467" s="36" t="s">
        <v>4522</v>
      </c>
      <c r="BA1467" s="36" t="s">
        <v>4523</v>
      </c>
      <c r="BB1467" s="36" t="s">
        <v>1469</v>
      </c>
      <c r="BC1467" s="37">
        <v>44653.0</v>
      </c>
      <c r="BD1467" s="37">
        <v>44653.0</v>
      </c>
      <c r="BE1467" s="37">
        <v>44653.0</v>
      </c>
      <c r="BF1467" s="51">
        <v>0.7</v>
      </c>
      <c r="BG1467" s="36" t="s">
        <v>4524</v>
      </c>
      <c r="BH1467" s="38" t="s">
        <v>4525</v>
      </c>
      <c r="FL1467" s="36" t="s">
        <v>3253</v>
      </c>
      <c r="FM1467" s="36" t="s">
        <v>323</v>
      </c>
    </row>
    <row r="1468">
      <c r="A1468" s="50">
        <v>44674.80399594907</v>
      </c>
      <c r="B1468" s="36" t="s">
        <v>7</v>
      </c>
      <c r="C1468" s="36" t="s">
        <v>13</v>
      </c>
      <c r="AX1468" s="36" t="s">
        <v>4502</v>
      </c>
      <c r="AY1468" s="36" t="s">
        <v>3247</v>
      </c>
      <c r="AZ1468" s="36" t="s">
        <v>4526</v>
      </c>
      <c r="BA1468" s="36" t="s">
        <v>4527</v>
      </c>
      <c r="BB1468" s="36" t="s">
        <v>4528</v>
      </c>
      <c r="BC1468" s="37">
        <v>44655.0</v>
      </c>
      <c r="BD1468" s="37">
        <v>44655.0</v>
      </c>
      <c r="BE1468" s="37">
        <v>44655.0</v>
      </c>
      <c r="BF1468" s="51">
        <v>0.7</v>
      </c>
      <c r="BG1468" s="36" t="s">
        <v>1970</v>
      </c>
      <c r="BH1468" s="38" t="s">
        <v>4529</v>
      </c>
      <c r="FL1468" s="36" t="s">
        <v>3253</v>
      </c>
      <c r="FM1468" s="36" t="s">
        <v>341</v>
      </c>
    </row>
    <row r="1469">
      <c r="A1469" s="50">
        <v>44674.80402570602</v>
      </c>
      <c r="B1469" s="36" t="s">
        <v>7</v>
      </c>
      <c r="C1469" s="36" t="s">
        <v>13</v>
      </c>
      <c r="AX1469" s="36" t="s">
        <v>3256</v>
      </c>
      <c r="AY1469" s="36" t="s">
        <v>3257</v>
      </c>
      <c r="AZ1469" s="36" t="s">
        <v>719</v>
      </c>
      <c r="BA1469" s="36" t="s">
        <v>4530</v>
      </c>
      <c r="BB1469" s="36" t="s">
        <v>450</v>
      </c>
      <c r="BC1469" s="37">
        <v>43923.0</v>
      </c>
      <c r="BD1469" s="37">
        <v>43983.0</v>
      </c>
      <c r="BE1469" s="37">
        <v>43983.0</v>
      </c>
      <c r="BF1469" s="51">
        <v>0.75</v>
      </c>
      <c r="BG1469" s="36" t="s">
        <v>339</v>
      </c>
      <c r="BH1469" s="38" t="s">
        <v>4531</v>
      </c>
      <c r="FL1469" s="36" t="s">
        <v>3259</v>
      </c>
      <c r="FM1469" s="36" t="s">
        <v>283</v>
      </c>
    </row>
    <row r="1470">
      <c r="A1470" s="50">
        <v>44674.804063055555</v>
      </c>
      <c r="B1470" s="36" t="s">
        <v>7</v>
      </c>
      <c r="C1470" s="36" t="s">
        <v>13</v>
      </c>
      <c r="AX1470" s="36" t="s">
        <v>3182</v>
      </c>
      <c r="AY1470" s="36" t="s">
        <v>3183</v>
      </c>
      <c r="AZ1470" s="36" t="s">
        <v>719</v>
      </c>
      <c r="BA1470" s="36" t="s">
        <v>4532</v>
      </c>
      <c r="BB1470" s="36" t="s">
        <v>450</v>
      </c>
      <c r="BC1470" s="37">
        <v>43923.0</v>
      </c>
      <c r="BD1470" s="37">
        <v>43978.0</v>
      </c>
      <c r="BE1470" s="37">
        <v>43978.0</v>
      </c>
      <c r="BF1470" s="51">
        <v>0.73</v>
      </c>
      <c r="BG1470" s="36" t="s">
        <v>339</v>
      </c>
      <c r="BH1470" s="38" t="s">
        <v>4533</v>
      </c>
      <c r="FL1470" s="36" t="s">
        <v>3185</v>
      </c>
      <c r="FM1470" s="36" t="s">
        <v>283</v>
      </c>
    </row>
    <row r="1471">
      <c r="A1471" s="50">
        <v>44674.8063333912</v>
      </c>
      <c r="B1471" s="36" t="s">
        <v>7</v>
      </c>
      <c r="C1471" s="36" t="s">
        <v>13</v>
      </c>
      <c r="AX1471" s="36" t="s">
        <v>4502</v>
      </c>
      <c r="AY1471" s="36" t="s">
        <v>3247</v>
      </c>
      <c r="AZ1471" s="36" t="s">
        <v>4534</v>
      </c>
      <c r="BA1471" s="36" t="s">
        <v>3899</v>
      </c>
      <c r="BB1471" s="36" t="s">
        <v>196</v>
      </c>
      <c r="BC1471" s="37">
        <v>44657.0</v>
      </c>
      <c r="BD1471" s="37">
        <v>44658.0</v>
      </c>
      <c r="BE1471" s="37">
        <v>44658.0</v>
      </c>
      <c r="BF1471" s="51">
        <v>0.9</v>
      </c>
      <c r="BG1471" s="36" t="s">
        <v>4520</v>
      </c>
      <c r="BH1471" s="38" t="s">
        <v>4535</v>
      </c>
      <c r="FL1471" s="36" t="s">
        <v>3253</v>
      </c>
      <c r="FM1471" s="36" t="s">
        <v>341</v>
      </c>
    </row>
    <row r="1472">
      <c r="A1472" s="50">
        <v>44674.80680722222</v>
      </c>
      <c r="B1472" s="36" t="s">
        <v>7</v>
      </c>
      <c r="C1472" s="36" t="s">
        <v>13</v>
      </c>
      <c r="AX1472" s="36" t="s">
        <v>3256</v>
      </c>
      <c r="AY1472" s="36" t="s">
        <v>3257</v>
      </c>
      <c r="AZ1472" s="36" t="s">
        <v>856</v>
      </c>
      <c r="BA1472" s="36" t="s">
        <v>4530</v>
      </c>
      <c r="BB1472" s="36" t="s">
        <v>450</v>
      </c>
      <c r="BC1472" s="37">
        <v>44005.0</v>
      </c>
      <c r="BD1472" s="37">
        <v>44072.0</v>
      </c>
      <c r="BE1472" s="37">
        <v>44072.0</v>
      </c>
      <c r="BF1472" s="51">
        <v>0.9</v>
      </c>
      <c r="BG1472" s="36" t="s">
        <v>857</v>
      </c>
      <c r="BH1472" s="38" t="s">
        <v>4536</v>
      </c>
      <c r="FL1472" s="36" t="s">
        <v>3259</v>
      </c>
      <c r="FM1472" s="36" t="s">
        <v>283</v>
      </c>
    </row>
    <row r="1473">
      <c r="A1473" s="50">
        <v>44674.80688171297</v>
      </c>
      <c r="B1473" s="36" t="s">
        <v>7</v>
      </c>
      <c r="C1473" s="36" t="s">
        <v>13</v>
      </c>
      <c r="AX1473" s="36" t="s">
        <v>3182</v>
      </c>
      <c r="AY1473" s="36" t="s">
        <v>3183</v>
      </c>
      <c r="AZ1473" s="36" t="s">
        <v>856</v>
      </c>
      <c r="BA1473" s="36" t="s">
        <v>4532</v>
      </c>
      <c r="BB1473" s="36" t="s">
        <v>450</v>
      </c>
      <c r="BC1473" s="37">
        <v>44005.0</v>
      </c>
      <c r="BD1473" s="37">
        <v>44072.0</v>
      </c>
      <c r="BE1473" s="37">
        <v>44072.0</v>
      </c>
      <c r="BF1473" s="51">
        <v>0.95</v>
      </c>
      <c r="BG1473" s="36" t="s">
        <v>857</v>
      </c>
      <c r="BH1473" s="38" t="s">
        <v>4537</v>
      </c>
      <c r="FL1473" s="36" t="s">
        <v>3185</v>
      </c>
      <c r="FM1473" s="36" t="s">
        <v>283</v>
      </c>
    </row>
    <row r="1474">
      <c r="A1474" s="50">
        <v>44674.80804699074</v>
      </c>
      <c r="B1474" s="36" t="s">
        <v>7</v>
      </c>
      <c r="C1474" s="36" t="s">
        <v>13</v>
      </c>
      <c r="AX1474" s="36" t="s">
        <v>4502</v>
      </c>
      <c r="AY1474" s="36" t="s">
        <v>3247</v>
      </c>
      <c r="AZ1474" s="36" t="s">
        <v>4538</v>
      </c>
      <c r="BA1474" s="36" t="s">
        <v>3899</v>
      </c>
      <c r="BB1474" s="36" t="s">
        <v>4450</v>
      </c>
      <c r="BC1474" s="37">
        <v>44659.0</v>
      </c>
      <c r="BD1474" s="37">
        <v>44660.0</v>
      </c>
      <c r="BE1474" s="37">
        <v>44660.0</v>
      </c>
      <c r="BF1474" s="51">
        <v>0.8</v>
      </c>
      <c r="BG1474" s="36" t="s">
        <v>4539</v>
      </c>
      <c r="BH1474" s="38" t="s">
        <v>4540</v>
      </c>
      <c r="FL1474" s="36" t="s">
        <v>3253</v>
      </c>
      <c r="FM1474" s="36" t="s">
        <v>283</v>
      </c>
    </row>
    <row r="1475">
      <c r="A1475" s="50">
        <v>44674.80925011574</v>
      </c>
      <c r="B1475" s="36" t="s">
        <v>7</v>
      </c>
      <c r="C1475" s="36" t="s">
        <v>13</v>
      </c>
      <c r="AX1475" s="36" t="s">
        <v>4502</v>
      </c>
      <c r="AY1475" s="36" t="s">
        <v>3247</v>
      </c>
      <c r="AZ1475" s="36" t="s">
        <v>4541</v>
      </c>
      <c r="BA1475" s="36" t="s">
        <v>4518</v>
      </c>
      <c r="BB1475" s="36" t="s">
        <v>4528</v>
      </c>
      <c r="BC1475" s="37">
        <v>44665.0</v>
      </c>
      <c r="BD1475" s="37">
        <v>44665.0</v>
      </c>
      <c r="BE1475" s="37">
        <v>44665.0</v>
      </c>
      <c r="BF1475" s="51">
        <v>0.8</v>
      </c>
      <c r="BG1475" s="36" t="s">
        <v>4520</v>
      </c>
      <c r="BH1475" s="38" t="s">
        <v>4542</v>
      </c>
      <c r="FL1475" s="36" t="s">
        <v>3253</v>
      </c>
      <c r="FM1475" s="36" t="s">
        <v>323</v>
      </c>
    </row>
    <row r="1476">
      <c r="A1476" s="50">
        <v>44674.811267743054</v>
      </c>
      <c r="B1476" s="36" t="s">
        <v>7</v>
      </c>
      <c r="C1476" s="36" t="s">
        <v>13</v>
      </c>
      <c r="AX1476" s="36" t="s">
        <v>3256</v>
      </c>
      <c r="AY1476" s="36" t="s">
        <v>3257</v>
      </c>
      <c r="AZ1476" s="36" t="s">
        <v>571</v>
      </c>
      <c r="BA1476" s="36" t="s">
        <v>4530</v>
      </c>
      <c r="BB1476" s="36" t="s">
        <v>450</v>
      </c>
      <c r="BC1476" s="37">
        <v>44090.0</v>
      </c>
      <c r="BD1476" s="37">
        <v>44180.0</v>
      </c>
      <c r="BE1476" s="37">
        <v>44180.0</v>
      </c>
      <c r="BF1476" s="51">
        <v>0.85</v>
      </c>
      <c r="BG1476" s="36" t="s">
        <v>559</v>
      </c>
      <c r="BH1476" s="38" t="s">
        <v>4543</v>
      </c>
      <c r="FL1476" s="36" t="s">
        <v>3259</v>
      </c>
      <c r="FM1476" s="36" t="s">
        <v>283</v>
      </c>
    </row>
    <row r="1477">
      <c r="A1477" s="50">
        <v>44674.81137402778</v>
      </c>
      <c r="B1477" s="36" t="s">
        <v>7</v>
      </c>
      <c r="C1477" s="36" t="s">
        <v>13</v>
      </c>
      <c r="AX1477" s="36" t="s">
        <v>3182</v>
      </c>
      <c r="AY1477" s="36" t="s">
        <v>3183</v>
      </c>
      <c r="AZ1477" s="36" t="s">
        <v>571</v>
      </c>
      <c r="BA1477" s="36" t="s">
        <v>4532</v>
      </c>
      <c r="BB1477" s="36" t="s">
        <v>378</v>
      </c>
      <c r="BC1477" s="37">
        <v>44465.0</v>
      </c>
      <c r="BD1477" s="37">
        <v>44545.0</v>
      </c>
      <c r="BE1477" s="37">
        <v>44545.0</v>
      </c>
      <c r="BF1477" s="51">
        <v>0.87</v>
      </c>
      <c r="BG1477" s="36" t="s">
        <v>559</v>
      </c>
      <c r="BH1477" s="38" t="s">
        <v>4544</v>
      </c>
      <c r="FL1477" s="36" t="s">
        <v>3185</v>
      </c>
      <c r="FM1477" s="36" t="s">
        <v>283</v>
      </c>
    </row>
    <row r="1478">
      <c r="A1478" s="50">
        <v>44674.8115318287</v>
      </c>
      <c r="B1478" s="36" t="s">
        <v>7</v>
      </c>
      <c r="C1478" s="36" t="s">
        <v>13</v>
      </c>
      <c r="AX1478" s="36" t="s">
        <v>4502</v>
      </c>
      <c r="AY1478" s="36" t="s">
        <v>3247</v>
      </c>
      <c r="AZ1478" s="36" t="s">
        <v>4545</v>
      </c>
      <c r="BA1478" s="36" t="s">
        <v>4546</v>
      </c>
      <c r="BB1478" s="36" t="s">
        <v>4528</v>
      </c>
      <c r="BC1478" s="37">
        <v>44666.0</v>
      </c>
      <c r="BD1478" s="37">
        <v>44666.0</v>
      </c>
      <c r="BE1478" s="37">
        <v>44666.0</v>
      </c>
      <c r="BF1478" s="51">
        <v>0.7</v>
      </c>
      <c r="BG1478" s="36" t="s">
        <v>4547</v>
      </c>
      <c r="BH1478" s="38" t="s">
        <v>4548</v>
      </c>
      <c r="FL1478" s="36" t="s">
        <v>3253</v>
      </c>
      <c r="FM1478" s="36" t="s">
        <v>341</v>
      </c>
    </row>
    <row r="1479">
      <c r="A1479" s="50">
        <v>44674.81322848379</v>
      </c>
      <c r="B1479" s="36" t="s">
        <v>7</v>
      </c>
      <c r="C1479" s="36" t="s">
        <v>13</v>
      </c>
      <c r="AX1479" s="36" t="s">
        <v>4502</v>
      </c>
      <c r="AY1479" s="36" t="s">
        <v>3247</v>
      </c>
      <c r="AZ1479" s="36" t="s">
        <v>4549</v>
      </c>
      <c r="BA1479" s="36" t="s">
        <v>3899</v>
      </c>
      <c r="BB1479" s="36" t="s">
        <v>4550</v>
      </c>
      <c r="BC1479" s="37">
        <v>44666.0</v>
      </c>
      <c r="BD1479" s="37">
        <v>44666.0</v>
      </c>
      <c r="BE1479" s="37">
        <v>44666.0</v>
      </c>
      <c r="BF1479" s="51">
        <v>0.9</v>
      </c>
      <c r="BG1479" s="36" t="s">
        <v>289</v>
      </c>
      <c r="BH1479" s="38" t="s">
        <v>4551</v>
      </c>
      <c r="FL1479" s="36" t="s">
        <v>3253</v>
      </c>
      <c r="FM1479" s="36" t="s">
        <v>283</v>
      </c>
    </row>
    <row r="1480">
      <c r="A1480" s="50">
        <v>44674.81460053241</v>
      </c>
      <c r="B1480" s="36" t="s">
        <v>7</v>
      </c>
      <c r="C1480" s="36" t="s">
        <v>13</v>
      </c>
      <c r="AX1480" s="36" t="s">
        <v>3182</v>
      </c>
      <c r="AY1480" s="36" t="s">
        <v>3183</v>
      </c>
      <c r="AZ1480" s="36" t="s">
        <v>667</v>
      </c>
      <c r="BA1480" s="36" t="s">
        <v>4532</v>
      </c>
      <c r="BB1480" s="36" t="s">
        <v>310</v>
      </c>
      <c r="BC1480" s="37">
        <v>44548.0</v>
      </c>
      <c r="BD1480" s="37">
        <v>44604.0</v>
      </c>
      <c r="BE1480" s="37">
        <v>44604.0</v>
      </c>
      <c r="BF1480" s="51">
        <v>0.83</v>
      </c>
      <c r="BG1480" s="36" t="s">
        <v>559</v>
      </c>
      <c r="BH1480" s="38" t="s">
        <v>4552</v>
      </c>
      <c r="FL1480" s="36" t="s">
        <v>3185</v>
      </c>
      <c r="FM1480" s="36" t="s">
        <v>283</v>
      </c>
    </row>
    <row r="1481">
      <c r="A1481" s="50">
        <v>44674.815180844904</v>
      </c>
      <c r="B1481" s="36" t="s">
        <v>7</v>
      </c>
      <c r="C1481" s="36" t="s">
        <v>13</v>
      </c>
      <c r="AX1481" s="36" t="s">
        <v>3256</v>
      </c>
      <c r="AY1481" s="36" t="s">
        <v>3257</v>
      </c>
      <c r="AZ1481" s="36" t="s">
        <v>667</v>
      </c>
      <c r="BA1481" s="36" t="s">
        <v>4530</v>
      </c>
      <c r="BB1481" s="36" t="s">
        <v>310</v>
      </c>
      <c r="BC1481" s="37">
        <v>44548.0</v>
      </c>
      <c r="BD1481" s="37">
        <v>44604.0</v>
      </c>
      <c r="BE1481" s="37">
        <v>44604.0</v>
      </c>
      <c r="BF1481" s="51">
        <v>0.8</v>
      </c>
      <c r="BG1481" s="36" t="s">
        <v>559</v>
      </c>
      <c r="BH1481" s="38" t="s">
        <v>4553</v>
      </c>
      <c r="FL1481" s="36" t="s">
        <v>3259</v>
      </c>
      <c r="FM1481" s="36" t="s">
        <v>283</v>
      </c>
    </row>
    <row r="1482">
      <c r="A1482" s="50">
        <v>44674.818432534725</v>
      </c>
      <c r="B1482" s="36" t="s">
        <v>7</v>
      </c>
      <c r="C1482" s="36" t="s">
        <v>13</v>
      </c>
      <c r="AX1482" s="36" t="s">
        <v>3256</v>
      </c>
      <c r="AY1482" s="36" t="s">
        <v>3257</v>
      </c>
      <c r="AZ1482" s="36" t="s">
        <v>687</v>
      </c>
      <c r="BA1482" s="36" t="s">
        <v>4530</v>
      </c>
      <c r="BB1482" s="36" t="s">
        <v>310</v>
      </c>
      <c r="BC1482" s="37">
        <v>44188.0</v>
      </c>
      <c r="BD1482" s="37">
        <v>44255.0</v>
      </c>
      <c r="BE1482" s="37">
        <v>44255.0</v>
      </c>
      <c r="BF1482" s="51">
        <v>0.8</v>
      </c>
      <c r="BG1482" s="36" t="s">
        <v>4229</v>
      </c>
      <c r="BH1482" s="38" t="s">
        <v>4554</v>
      </c>
      <c r="FL1482" s="36" t="s">
        <v>3259</v>
      </c>
      <c r="FM1482" s="36" t="s">
        <v>283</v>
      </c>
    </row>
    <row r="1483">
      <c r="A1483" s="50">
        <v>44674.81900378472</v>
      </c>
      <c r="B1483" s="36" t="s">
        <v>7</v>
      </c>
      <c r="C1483" s="36" t="s">
        <v>13</v>
      </c>
      <c r="AX1483" s="36" t="s">
        <v>3182</v>
      </c>
      <c r="AY1483" s="36" t="s">
        <v>3183</v>
      </c>
      <c r="AZ1483" s="36" t="s">
        <v>502</v>
      </c>
      <c r="BA1483" s="36" t="s">
        <v>4555</v>
      </c>
      <c r="BB1483" s="36" t="s">
        <v>4010</v>
      </c>
      <c r="BC1483" s="37">
        <v>44652.0</v>
      </c>
      <c r="BD1483" s="37">
        <v>44666.0</v>
      </c>
      <c r="BE1483" s="37">
        <v>44666.0</v>
      </c>
      <c r="BF1483" s="51">
        <v>1.0</v>
      </c>
      <c r="BG1483" s="36" t="s">
        <v>559</v>
      </c>
      <c r="BH1483" s="38" t="s">
        <v>4556</v>
      </c>
      <c r="FL1483" s="36" t="s">
        <v>3185</v>
      </c>
      <c r="FM1483" s="36" t="s">
        <v>283</v>
      </c>
    </row>
    <row r="1484">
      <c r="A1484" s="50">
        <v>44674.82407928241</v>
      </c>
      <c r="B1484" s="36" t="s">
        <v>7</v>
      </c>
      <c r="C1484" s="36" t="s">
        <v>13</v>
      </c>
      <c r="AX1484" s="36" t="s">
        <v>3256</v>
      </c>
      <c r="AY1484" s="36" t="s">
        <v>3257</v>
      </c>
      <c r="AZ1484" s="36" t="s">
        <v>4557</v>
      </c>
      <c r="BA1484" s="36" t="s">
        <v>345</v>
      </c>
      <c r="BB1484" s="36" t="s">
        <v>882</v>
      </c>
      <c r="BC1484" s="37">
        <v>44021.0</v>
      </c>
      <c r="BD1484" s="37">
        <v>44049.0</v>
      </c>
      <c r="BE1484" s="37">
        <v>44049.0</v>
      </c>
      <c r="BF1484" s="51">
        <v>0.95</v>
      </c>
      <c r="BG1484" s="36" t="s">
        <v>1031</v>
      </c>
      <c r="BH1484" s="38" t="s">
        <v>4558</v>
      </c>
      <c r="FL1484" s="36" t="s">
        <v>3259</v>
      </c>
      <c r="FM1484" s="36" t="s">
        <v>283</v>
      </c>
    </row>
    <row r="1485">
      <c r="A1485" s="50">
        <v>44674.8243653588</v>
      </c>
      <c r="B1485" s="36" t="s">
        <v>7</v>
      </c>
      <c r="C1485" s="36" t="s">
        <v>13</v>
      </c>
      <c r="AX1485" s="36" t="s">
        <v>3182</v>
      </c>
      <c r="AY1485" s="36" t="s">
        <v>3183</v>
      </c>
      <c r="AZ1485" s="36" t="s">
        <v>4559</v>
      </c>
      <c r="BA1485" s="36" t="s">
        <v>2416</v>
      </c>
      <c r="BB1485" s="36" t="s">
        <v>495</v>
      </c>
      <c r="BC1485" s="37">
        <v>44051.0</v>
      </c>
      <c r="BD1485" s="37">
        <v>44082.0</v>
      </c>
      <c r="BE1485" s="37">
        <v>44082.0</v>
      </c>
      <c r="BF1485" s="51">
        <v>0.95</v>
      </c>
      <c r="BG1485" s="36" t="s">
        <v>1031</v>
      </c>
      <c r="BH1485" s="38" t="s">
        <v>4560</v>
      </c>
      <c r="FL1485" s="36" t="s">
        <v>3185</v>
      </c>
      <c r="FM1485" s="36" t="s">
        <v>283</v>
      </c>
    </row>
    <row r="1486">
      <c r="A1486" s="50">
        <v>44674.82715915509</v>
      </c>
      <c r="B1486" s="36" t="s">
        <v>7</v>
      </c>
      <c r="C1486" s="36" t="s">
        <v>13</v>
      </c>
      <c r="AX1486" s="36" t="s">
        <v>3256</v>
      </c>
      <c r="AY1486" s="36" t="s">
        <v>3257</v>
      </c>
      <c r="AZ1486" s="36" t="s">
        <v>1541</v>
      </c>
      <c r="BA1486" s="36" t="s">
        <v>345</v>
      </c>
      <c r="BB1486" s="36" t="s">
        <v>4561</v>
      </c>
      <c r="BC1486" s="37">
        <v>43942.0</v>
      </c>
      <c r="BD1486" s="37">
        <v>43977.0</v>
      </c>
      <c r="BE1486" s="37">
        <v>43977.0</v>
      </c>
      <c r="BF1486" s="51">
        <v>0.85</v>
      </c>
      <c r="BG1486" s="36" t="s">
        <v>1031</v>
      </c>
      <c r="BH1486" s="38" t="s">
        <v>4562</v>
      </c>
      <c r="FL1486" s="36" t="s">
        <v>3259</v>
      </c>
      <c r="FM1486" s="36" t="s">
        <v>283</v>
      </c>
    </row>
    <row r="1487">
      <c r="A1487" s="50">
        <v>44674.827248842594</v>
      </c>
      <c r="B1487" s="36" t="s">
        <v>7</v>
      </c>
      <c r="C1487" s="36" t="s">
        <v>13</v>
      </c>
      <c r="AX1487" s="36" t="s">
        <v>3182</v>
      </c>
      <c r="AY1487" s="36" t="s">
        <v>3183</v>
      </c>
      <c r="AZ1487" s="36" t="s">
        <v>4563</v>
      </c>
      <c r="BA1487" s="36" t="s">
        <v>4532</v>
      </c>
      <c r="BB1487" s="36" t="s">
        <v>450</v>
      </c>
      <c r="BC1487" s="37">
        <v>44574.0</v>
      </c>
      <c r="BD1487" s="37">
        <v>44667.0</v>
      </c>
      <c r="BE1487" s="37">
        <v>44667.0</v>
      </c>
      <c r="BF1487" s="51">
        <v>0.83</v>
      </c>
      <c r="BG1487" s="36" t="s">
        <v>339</v>
      </c>
      <c r="BH1487" s="38" t="s">
        <v>4564</v>
      </c>
      <c r="FL1487" s="36" t="s">
        <v>3185</v>
      </c>
      <c r="FM1487" s="36" t="s">
        <v>283</v>
      </c>
    </row>
    <row r="1488">
      <c r="A1488" s="50">
        <v>44674.82988491898</v>
      </c>
      <c r="B1488" s="36" t="s">
        <v>7</v>
      </c>
      <c r="C1488" s="36" t="s">
        <v>13</v>
      </c>
      <c r="AX1488" s="36" t="s">
        <v>3182</v>
      </c>
      <c r="AY1488" s="36" t="s">
        <v>3183</v>
      </c>
      <c r="AZ1488" s="36" t="s">
        <v>1569</v>
      </c>
      <c r="BA1488" s="36" t="s">
        <v>4565</v>
      </c>
      <c r="BB1488" s="36" t="s">
        <v>495</v>
      </c>
      <c r="BC1488" s="37">
        <v>43997.0</v>
      </c>
      <c r="BD1488" s="37">
        <v>44027.0</v>
      </c>
      <c r="BE1488" s="37">
        <v>44027.0</v>
      </c>
      <c r="BF1488" s="51">
        <v>0.99</v>
      </c>
      <c r="BG1488" s="36" t="s">
        <v>1031</v>
      </c>
      <c r="BH1488" s="38" t="s">
        <v>4566</v>
      </c>
      <c r="FL1488" s="36" t="s">
        <v>3185</v>
      </c>
      <c r="FM1488" s="36" t="s">
        <v>283</v>
      </c>
    </row>
    <row r="1489">
      <c r="A1489" s="50">
        <v>44674.83138065972</v>
      </c>
      <c r="B1489" s="36" t="s">
        <v>7</v>
      </c>
      <c r="C1489" s="36" t="s">
        <v>14</v>
      </c>
      <c r="BI1489" s="36" t="s">
        <v>3256</v>
      </c>
      <c r="BJ1489" s="36" t="s">
        <v>3257</v>
      </c>
      <c r="BK1489" s="36" t="s">
        <v>159</v>
      </c>
      <c r="BL1489" s="36" t="s">
        <v>1288</v>
      </c>
      <c r="BM1489" s="36" t="s">
        <v>4567</v>
      </c>
      <c r="BN1489" s="36">
        <v>3.0</v>
      </c>
      <c r="BO1489" s="37">
        <v>43798.0</v>
      </c>
      <c r="BP1489" s="37">
        <v>43800.0</v>
      </c>
      <c r="BQ1489" s="36" t="s">
        <v>4568</v>
      </c>
      <c r="BR1489" s="36" t="s">
        <v>1031</v>
      </c>
      <c r="BS1489" s="36" t="s">
        <v>276</v>
      </c>
      <c r="BT1489" s="36" t="s">
        <v>632</v>
      </c>
      <c r="BU1489" s="36">
        <v>500.0</v>
      </c>
      <c r="BV1489" s="38" t="s">
        <v>4569</v>
      </c>
      <c r="FL1489" s="36" t="s">
        <v>3259</v>
      </c>
      <c r="FM1489" s="36" t="s">
        <v>283</v>
      </c>
    </row>
    <row r="1490">
      <c r="A1490" s="50">
        <v>44674.8319565625</v>
      </c>
      <c r="B1490" s="36" t="s">
        <v>7</v>
      </c>
      <c r="C1490" s="36" t="s">
        <v>13</v>
      </c>
      <c r="AX1490" s="36" t="s">
        <v>3182</v>
      </c>
      <c r="AY1490" s="36" t="s">
        <v>3183</v>
      </c>
      <c r="AZ1490" s="36" t="s">
        <v>4570</v>
      </c>
      <c r="BA1490" s="36" t="s">
        <v>4565</v>
      </c>
      <c r="BB1490" s="36" t="s">
        <v>495</v>
      </c>
      <c r="BC1490" s="37">
        <v>44060.0</v>
      </c>
      <c r="BD1490" s="37">
        <v>44091.0</v>
      </c>
      <c r="BE1490" s="37">
        <v>44091.0</v>
      </c>
      <c r="BF1490" s="51">
        <v>0.92</v>
      </c>
      <c r="BG1490" s="36" t="s">
        <v>1031</v>
      </c>
      <c r="BH1490" s="38" t="s">
        <v>4571</v>
      </c>
      <c r="FL1490" s="36" t="s">
        <v>3185</v>
      </c>
      <c r="FM1490" s="36" t="s">
        <v>283</v>
      </c>
    </row>
    <row r="1491">
      <c r="A1491" s="50">
        <v>44674.83418523148</v>
      </c>
      <c r="B1491" s="36" t="s">
        <v>7</v>
      </c>
      <c r="C1491" s="36" t="s">
        <v>13</v>
      </c>
      <c r="AX1491" s="36" t="s">
        <v>3182</v>
      </c>
      <c r="AY1491" s="36" t="s">
        <v>3183</v>
      </c>
      <c r="AZ1491" s="36" t="s">
        <v>1095</v>
      </c>
      <c r="BA1491" s="36" t="s">
        <v>2416</v>
      </c>
      <c r="BB1491" s="36" t="s">
        <v>310</v>
      </c>
      <c r="BC1491" s="37">
        <v>43959.0</v>
      </c>
      <c r="BD1491" s="37">
        <v>44020.0</v>
      </c>
      <c r="BE1491" s="37">
        <v>44020.0</v>
      </c>
      <c r="BF1491" s="51">
        <v>0.89</v>
      </c>
      <c r="BG1491" s="36" t="s">
        <v>1031</v>
      </c>
      <c r="BH1491" s="38" t="s">
        <v>4572</v>
      </c>
      <c r="FL1491" s="36" t="s">
        <v>3185</v>
      </c>
      <c r="FM1491" s="36" t="s">
        <v>283</v>
      </c>
    </row>
    <row r="1492">
      <c r="A1492" s="50">
        <v>44674.837055324075</v>
      </c>
      <c r="B1492" s="36" t="s">
        <v>7</v>
      </c>
      <c r="C1492" s="36" t="s">
        <v>13</v>
      </c>
      <c r="AX1492" s="36" t="s">
        <v>3182</v>
      </c>
      <c r="AY1492" s="36" t="s">
        <v>3183</v>
      </c>
      <c r="AZ1492" s="36" t="s">
        <v>4573</v>
      </c>
      <c r="BA1492" s="36" t="s">
        <v>4574</v>
      </c>
      <c r="BB1492" s="36" t="s">
        <v>4010</v>
      </c>
      <c r="BC1492" s="37">
        <v>44653.0</v>
      </c>
      <c r="BD1492" s="37">
        <v>44667.0</v>
      </c>
      <c r="BE1492" s="37">
        <v>44667.0</v>
      </c>
      <c r="BF1492" s="51">
        <v>0.9</v>
      </c>
      <c r="BG1492" s="36" t="s">
        <v>1031</v>
      </c>
      <c r="BH1492" s="38" t="s">
        <v>4575</v>
      </c>
      <c r="FL1492" s="36" t="s">
        <v>3185</v>
      </c>
      <c r="FM1492" s="36" t="s">
        <v>283</v>
      </c>
    </row>
    <row r="1493">
      <c r="A1493" s="50">
        <v>44674.83743223379</v>
      </c>
      <c r="B1493" s="36" t="s">
        <v>7</v>
      </c>
      <c r="C1493" s="36" t="s">
        <v>12</v>
      </c>
      <c r="AN1493" s="36" t="s">
        <v>4576</v>
      </c>
      <c r="AO1493" s="36" t="s">
        <v>3257</v>
      </c>
      <c r="AP1493" s="36" t="s">
        <v>4577</v>
      </c>
      <c r="AQ1493" s="36" t="s">
        <v>310</v>
      </c>
      <c r="AR1493" s="37">
        <v>44571.0</v>
      </c>
      <c r="AS1493" s="37">
        <v>44630.0</v>
      </c>
      <c r="AT1493" s="36" t="s">
        <v>257</v>
      </c>
      <c r="AU1493" s="36" t="s">
        <v>256</v>
      </c>
      <c r="AV1493" s="36">
        <v>1200.0</v>
      </c>
      <c r="AW1493" s="38" t="s">
        <v>4578</v>
      </c>
      <c r="FL1493" s="36" t="s">
        <v>3259</v>
      </c>
      <c r="FM1493" s="36" t="s">
        <v>283</v>
      </c>
    </row>
    <row r="1494">
      <c r="A1494" s="50">
        <v>44674.83872465278</v>
      </c>
      <c r="B1494" s="36" t="s">
        <v>7</v>
      </c>
      <c r="C1494" s="36" t="s">
        <v>13</v>
      </c>
      <c r="AX1494" s="36" t="s">
        <v>4579</v>
      </c>
      <c r="AY1494" s="36" t="s">
        <v>3183</v>
      </c>
      <c r="AZ1494" s="36" t="s">
        <v>2008</v>
      </c>
      <c r="BA1494" s="36" t="s">
        <v>4580</v>
      </c>
      <c r="BB1494" s="36" t="s">
        <v>310</v>
      </c>
      <c r="BC1494" s="37">
        <v>43992.0</v>
      </c>
      <c r="BD1494" s="37">
        <v>44053.0</v>
      </c>
      <c r="BE1494" s="37">
        <v>44053.0</v>
      </c>
      <c r="BF1494" s="51">
        <v>0.91</v>
      </c>
      <c r="BG1494" s="36" t="s">
        <v>1031</v>
      </c>
      <c r="BH1494" s="38" t="s">
        <v>4581</v>
      </c>
      <c r="FL1494" s="36" t="s">
        <v>3185</v>
      </c>
      <c r="FM1494" s="36" t="s">
        <v>283</v>
      </c>
    </row>
    <row r="1495">
      <c r="A1495" s="50">
        <v>44674.8401812963</v>
      </c>
      <c r="B1495" s="36" t="s">
        <v>7</v>
      </c>
      <c r="C1495" s="36" t="s">
        <v>12</v>
      </c>
      <c r="AN1495" s="36" t="s">
        <v>3256</v>
      </c>
      <c r="AO1495" s="36" t="s">
        <v>3257</v>
      </c>
      <c r="AP1495" s="36" t="s">
        <v>4582</v>
      </c>
      <c r="AQ1495" s="36" t="s">
        <v>507</v>
      </c>
      <c r="AR1495" s="37">
        <v>44485.0</v>
      </c>
      <c r="AS1495" s="37">
        <v>44555.0</v>
      </c>
      <c r="AT1495" s="36" t="s">
        <v>257</v>
      </c>
      <c r="AU1495" s="36" t="s">
        <v>257</v>
      </c>
      <c r="AV1495" s="36">
        <v>0.0</v>
      </c>
      <c r="AW1495" s="38" t="s">
        <v>4583</v>
      </c>
      <c r="FL1495" s="36" t="s">
        <v>3259</v>
      </c>
      <c r="FM1495" s="36" t="s">
        <v>283</v>
      </c>
    </row>
    <row r="1496">
      <c r="A1496" s="50">
        <v>44674.84166638889</v>
      </c>
      <c r="B1496" s="36" t="s">
        <v>7</v>
      </c>
      <c r="C1496" s="36" t="s">
        <v>26</v>
      </c>
      <c r="FL1496" s="36" t="s">
        <v>3259</v>
      </c>
      <c r="FM1496" s="36" t="s">
        <v>283</v>
      </c>
      <c r="FZ1496" s="36" t="s">
        <v>4576</v>
      </c>
      <c r="GA1496" s="36" t="s">
        <v>3257</v>
      </c>
      <c r="GB1496" s="36" t="s">
        <v>3310</v>
      </c>
      <c r="GC1496" s="37">
        <v>43709.0</v>
      </c>
      <c r="GE1496" s="37">
        <v>44674.0</v>
      </c>
    </row>
    <row r="1497">
      <c r="A1497" s="50">
        <v>44674.85005866898</v>
      </c>
      <c r="B1497" s="36" t="s">
        <v>7</v>
      </c>
      <c r="C1497" s="36" t="s">
        <v>12</v>
      </c>
      <c r="AN1497" s="36" t="s">
        <v>4584</v>
      </c>
      <c r="AO1497" s="36" t="s">
        <v>4585</v>
      </c>
      <c r="AP1497" s="36" t="s">
        <v>4586</v>
      </c>
      <c r="AQ1497" s="36" t="s">
        <v>310</v>
      </c>
      <c r="AR1497" s="37">
        <v>44520.0</v>
      </c>
      <c r="AS1497" s="37">
        <v>44581.0</v>
      </c>
      <c r="AT1497" s="36" t="s">
        <v>257</v>
      </c>
      <c r="AU1497" s="36" t="s">
        <v>256</v>
      </c>
      <c r="AV1497" s="36">
        <v>1400.0</v>
      </c>
      <c r="AW1497" s="38" t="s">
        <v>4587</v>
      </c>
      <c r="FL1497" s="36" t="s">
        <v>4588</v>
      </c>
      <c r="FM1497" s="36" t="s">
        <v>283</v>
      </c>
    </row>
    <row r="1498">
      <c r="A1498" s="50">
        <v>44674.85695631945</v>
      </c>
      <c r="B1498" s="36" t="s">
        <v>7</v>
      </c>
      <c r="C1498" s="36" t="s">
        <v>12</v>
      </c>
      <c r="AN1498" s="36" t="s">
        <v>4584</v>
      </c>
      <c r="AO1498" s="36" t="s">
        <v>4585</v>
      </c>
      <c r="AP1498" s="36" t="s">
        <v>4589</v>
      </c>
      <c r="AQ1498" s="36" t="s">
        <v>507</v>
      </c>
      <c r="AR1498" s="37">
        <v>44470.0</v>
      </c>
      <c r="AS1498" s="37">
        <v>44561.0</v>
      </c>
      <c r="AT1498" s="36" t="s">
        <v>257</v>
      </c>
      <c r="AU1498" s="36" t="s">
        <v>257</v>
      </c>
      <c r="AV1498" s="36">
        <v>0.0</v>
      </c>
      <c r="AW1498" s="38" t="s">
        <v>4590</v>
      </c>
      <c r="FL1498" s="36" t="s">
        <v>4588</v>
      </c>
      <c r="FM1498" s="36" t="s">
        <v>283</v>
      </c>
    </row>
    <row r="1499">
      <c r="A1499" s="50">
        <v>44674.87747278935</v>
      </c>
      <c r="B1499" s="36" t="s">
        <v>6</v>
      </c>
      <c r="C1499" s="36" t="s">
        <v>13</v>
      </c>
      <c r="AX1499" s="36" t="s">
        <v>3436</v>
      </c>
      <c r="AY1499" s="36" t="s">
        <v>3437</v>
      </c>
      <c r="AZ1499" s="36" t="s">
        <v>719</v>
      </c>
      <c r="BA1499" s="36" t="s">
        <v>377</v>
      </c>
      <c r="BB1499" s="36" t="s">
        <v>882</v>
      </c>
      <c r="BC1499" s="37">
        <v>43647.0</v>
      </c>
      <c r="BD1499" s="37">
        <v>43676.0</v>
      </c>
      <c r="BE1499" s="37">
        <v>43676.0</v>
      </c>
      <c r="BF1499" s="36">
        <v>100.0</v>
      </c>
      <c r="BG1499" s="36" t="s">
        <v>4591</v>
      </c>
      <c r="BH1499" s="38" t="s">
        <v>4592</v>
      </c>
      <c r="FL1499" s="36" t="s">
        <v>3439</v>
      </c>
      <c r="FM1499" s="36" t="s">
        <v>555</v>
      </c>
    </row>
    <row r="1500">
      <c r="A1500" s="50">
        <v>44674.919963761575</v>
      </c>
      <c r="B1500" s="36" t="s">
        <v>6</v>
      </c>
      <c r="C1500" s="36" t="s">
        <v>13</v>
      </c>
      <c r="AX1500" s="36" t="s">
        <v>3436</v>
      </c>
      <c r="AY1500" s="36" t="s">
        <v>3437</v>
      </c>
      <c r="AZ1500" s="36" t="s">
        <v>685</v>
      </c>
      <c r="BA1500" s="36" t="s">
        <v>377</v>
      </c>
      <c r="BB1500" s="36" t="s">
        <v>882</v>
      </c>
      <c r="BC1500" s="37">
        <v>43930.0</v>
      </c>
      <c r="BD1500" s="37">
        <v>43960.0</v>
      </c>
      <c r="BE1500" s="37">
        <v>43960.0</v>
      </c>
      <c r="BF1500" s="36">
        <v>100.0</v>
      </c>
      <c r="BG1500" s="36" t="s">
        <v>559</v>
      </c>
      <c r="BH1500" s="38" t="s">
        <v>4593</v>
      </c>
      <c r="FL1500" s="36" t="s">
        <v>3439</v>
      </c>
      <c r="FM1500" s="36" t="s">
        <v>323</v>
      </c>
    </row>
    <row r="1501">
      <c r="A1501" s="50">
        <v>44674.92151208333</v>
      </c>
      <c r="B1501" s="36" t="s">
        <v>6</v>
      </c>
      <c r="C1501" s="36" t="s">
        <v>13</v>
      </c>
      <c r="AX1501" s="36" t="s">
        <v>3436</v>
      </c>
      <c r="AY1501" s="36" t="s">
        <v>3437</v>
      </c>
      <c r="AZ1501" s="36" t="s">
        <v>351</v>
      </c>
      <c r="BA1501" s="36" t="s">
        <v>377</v>
      </c>
      <c r="BB1501" s="36" t="s">
        <v>882</v>
      </c>
      <c r="BC1501" s="37">
        <v>43645.0</v>
      </c>
      <c r="BD1501" s="37">
        <v>43675.0</v>
      </c>
      <c r="BE1501" s="37">
        <v>43675.0</v>
      </c>
      <c r="BF1501" s="36">
        <v>100.0</v>
      </c>
      <c r="BG1501" s="36" t="s">
        <v>559</v>
      </c>
      <c r="BH1501" s="38" t="s">
        <v>4594</v>
      </c>
      <c r="FL1501" s="36" t="s">
        <v>3439</v>
      </c>
      <c r="FM1501" s="36" t="s">
        <v>555</v>
      </c>
    </row>
    <row r="1502">
      <c r="A1502" s="50">
        <v>44674.92230255787</v>
      </c>
      <c r="B1502" s="36" t="s">
        <v>7</v>
      </c>
      <c r="C1502" s="36" t="s">
        <v>13</v>
      </c>
      <c r="AX1502" s="36" t="s">
        <v>4595</v>
      </c>
      <c r="AY1502" s="36" t="s">
        <v>4596</v>
      </c>
      <c r="AZ1502" s="36" t="s">
        <v>647</v>
      </c>
      <c r="BA1502" s="36" t="s">
        <v>2819</v>
      </c>
      <c r="BB1502" s="36" t="s">
        <v>310</v>
      </c>
      <c r="BC1502" s="37">
        <v>44204.0</v>
      </c>
      <c r="BD1502" s="37">
        <v>44263.0</v>
      </c>
      <c r="BE1502" s="37">
        <v>44263.0</v>
      </c>
      <c r="BF1502" s="36">
        <v>90.0</v>
      </c>
      <c r="BG1502" s="36" t="s">
        <v>4597</v>
      </c>
      <c r="BH1502" s="38" t="s">
        <v>4598</v>
      </c>
      <c r="FL1502" s="36" t="s">
        <v>4599</v>
      </c>
      <c r="FM1502" s="36" t="s">
        <v>283</v>
      </c>
    </row>
    <row r="1503">
      <c r="A1503" s="50">
        <v>44674.92303773148</v>
      </c>
      <c r="B1503" s="36" t="s">
        <v>6</v>
      </c>
      <c r="C1503" s="36" t="s">
        <v>13</v>
      </c>
      <c r="AX1503" s="36" t="s">
        <v>3436</v>
      </c>
      <c r="AY1503" s="36" t="s">
        <v>3437</v>
      </c>
      <c r="AZ1503" s="36" t="s">
        <v>571</v>
      </c>
      <c r="BA1503" s="36" t="s">
        <v>377</v>
      </c>
      <c r="BB1503" s="36" t="s">
        <v>882</v>
      </c>
      <c r="BC1503" s="37">
        <v>44348.0</v>
      </c>
      <c r="BD1503" s="37">
        <v>44378.0</v>
      </c>
      <c r="BE1503" s="37">
        <v>44378.0</v>
      </c>
      <c r="BF1503" s="36">
        <v>100.0</v>
      </c>
      <c r="BG1503" s="36" t="s">
        <v>559</v>
      </c>
      <c r="BH1503" s="38" t="s">
        <v>4600</v>
      </c>
      <c r="FL1503" s="36" t="s">
        <v>3439</v>
      </c>
      <c r="FM1503" s="36" t="s">
        <v>283</v>
      </c>
    </row>
    <row r="1504">
      <c r="A1504" s="50">
        <v>44674.92435054398</v>
      </c>
      <c r="B1504" s="36" t="s">
        <v>6</v>
      </c>
      <c r="C1504" s="36" t="s">
        <v>13</v>
      </c>
      <c r="AX1504" s="36" t="s">
        <v>3436</v>
      </c>
      <c r="AY1504" s="36" t="s">
        <v>3437</v>
      </c>
      <c r="AZ1504" s="36" t="s">
        <v>356</v>
      </c>
      <c r="BA1504" s="36" t="s">
        <v>377</v>
      </c>
      <c r="BB1504" s="36" t="s">
        <v>882</v>
      </c>
      <c r="BC1504" s="37">
        <v>44293.0</v>
      </c>
      <c r="BD1504" s="37">
        <v>44323.0</v>
      </c>
      <c r="BE1504" s="37">
        <v>44323.0</v>
      </c>
      <c r="BF1504" s="36">
        <v>100.0</v>
      </c>
      <c r="BG1504" s="36" t="s">
        <v>559</v>
      </c>
      <c r="BH1504" s="38" t="s">
        <v>4601</v>
      </c>
      <c r="FL1504" s="36" t="s">
        <v>3439</v>
      </c>
      <c r="FM1504" s="36" t="s">
        <v>283</v>
      </c>
    </row>
    <row r="1505">
      <c r="A1505" s="50">
        <v>44674.92619576389</v>
      </c>
      <c r="B1505" s="36" t="s">
        <v>6</v>
      </c>
      <c r="C1505" s="36" t="s">
        <v>13</v>
      </c>
      <c r="AX1505" s="36" t="s">
        <v>3436</v>
      </c>
      <c r="AY1505" s="36" t="s">
        <v>3437</v>
      </c>
      <c r="AZ1505" s="36" t="s">
        <v>2367</v>
      </c>
      <c r="BA1505" s="36" t="s">
        <v>377</v>
      </c>
      <c r="BB1505" s="36" t="s">
        <v>882</v>
      </c>
      <c r="BC1505" s="37">
        <v>43917.0</v>
      </c>
      <c r="BD1505" s="37">
        <v>43948.0</v>
      </c>
      <c r="BE1505" s="37">
        <v>43948.0</v>
      </c>
      <c r="BF1505" s="36">
        <v>100.0</v>
      </c>
      <c r="BG1505" s="36" t="s">
        <v>3674</v>
      </c>
      <c r="BH1505" s="38" t="s">
        <v>4602</v>
      </c>
      <c r="FL1505" s="36" t="s">
        <v>3439</v>
      </c>
      <c r="FM1505" s="36" t="s">
        <v>283</v>
      </c>
    </row>
    <row r="1506">
      <c r="A1506" s="50">
        <v>44674.92815086806</v>
      </c>
      <c r="B1506" s="36" t="s">
        <v>6</v>
      </c>
      <c r="C1506" s="36" t="s">
        <v>13</v>
      </c>
      <c r="AX1506" s="36" t="s">
        <v>3436</v>
      </c>
      <c r="AY1506" s="36" t="s">
        <v>3437</v>
      </c>
      <c r="AZ1506" s="36" t="s">
        <v>687</v>
      </c>
      <c r="BA1506" s="36" t="s">
        <v>377</v>
      </c>
      <c r="BB1506" s="36" t="s">
        <v>882</v>
      </c>
      <c r="BC1506" s="37">
        <v>44414.0</v>
      </c>
      <c r="BD1506" s="37">
        <v>44445.0</v>
      </c>
      <c r="BE1506" s="37">
        <v>44445.0</v>
      </c>
      <c r="BF1506" s="36">
        <v>100.0</v>
      </c>
      <c r="BG1506" s="36" t="s">
        <v>559</v>
      </c>
      <c r="BH1506" s="38" t="s">
        <v>4603</v>
      </c>
      <c r="FL1506" s="36" t="s">
        <v>3439</v>
      </c>
      <c r="FM1506" s="36" t="s">
        <v>278</v>
      </c>
    </row>
    <row r="1507">
      <c r="A1507" s="50">
        <v>44674.92834237269</v>
      </c>
      <c r="B1507" s="36" t="s">
        <v>7</v>
      </c>
      <c r="C1507" s="36" t="s">
        <v>13</v>
      </c>
      <c r="AX1507" s="36" t="s">
        <v>4604</v>
      </c>
      <c r="AY1507" s="36" t="s">
        <v>4596</v>
      </c>
      <c r="AZ1507" s="36" t="s">
        <v>856</v>
      </c>
      <c r="BA1507" s="36" t="s">
        <v>2819</v>
      </c>
      <c r="BB1507" s="36" t="s">
        <v>348</v>
      </c>
      <c r="BC1507" s="37">
        <v>44015.0</v>
      </c>
      <c r="BD1507" s="37">
        <v>44077.0</v>
      </c>
      <c r="BE1507" s="37">
        <v>44077.0</v>
      </c>
      <c r="BF1507" s="36">
        <v>92.0</v>
      </c>
      <c r="BG1507" s="36" t="s">
        <v>857</v>
      </c>
      <c r="BH1507" s="38" t="s">
        <v>4605</v>
      </c>
      <c r="FL1507" s="36" t="s">
        <v>4599</v>
      </c>
      <c r="FM1507" s="36" t="s">
        <v>283</v>
      </c>
    </row>
    <row r="1508">
      <c r="A1508" s="50">
        <v>44674.9314218287</v>
      </c>
      <c r="B1508" s="36" t="s">
        <v>6</v>
      </c>
      <c r="C1508" s="36" t="s">
        <v>13</v>
      </c>
      <c r="AX1508" s="36" t="s">
        <v>3436</v>
      </c>
      <c r="AY1508" s="36" t="s">
        <v>3437</v>
      </c>
      <c r="AZ1508" s="36" t="s">
        <v>603</v>
      </c>
      <c r="BA1508" s="36" t="s">
        <v>1869</v>
      </c>
      <c r="BB1508" s="36" t="s">
        <v>882</v>
      </c>
      <c r="BC1508" s="37">
        <v>44632.0</v>
      </c>
      <c r="BD1508" s="37">
        <v>44663.0</v>
      </c>
      <c r="BE1508" s="37">
        <v>44663.0</v>
      </c>
      <c r="BF1508" s="36">
        <v>100.0</v>
      </c>
      <c r="BG1508" s="36" t="s">
        <v>4606</v>
      </c>
      <c r="BH1508" s="38" t="s">
        <v>4607</v>
      </c>
      <c r="FL1508" s="36" t="s">
        <v>3439</v>
      </c>
      <c r="FM1508" s="36" t="s">
        <v>260</v>
      </c>
    </row>
    <row r="1509">
      <c r="A1509" s="50">
        <v>44674.93149671296</v>
      </c>
      <c r="B1509" s="36" t="s">
        <v>7</v>
      </c>
      <c r="C1509" s="36" t="s">
        <v>13</v>
      </c>
      <c r="AX1509" s="36" t="s">
        <v>4608</v>
      </c>
      <c r="AY1509" s="36" t="s">
        <v>4609</v>
      </c>
      <c r="AZ1509" s="36" t="s">
        <v>4610</v>
      </c>
      <c r="BA1509" s="36" t="s">
        <v>377</v>
      </c>
      <c r="BB1509" s="36" t="s">
        <v>310</v>
      </c>
      <c r="BC1509" s="37">
        <v>44016.0</v>
      </c>
      <c r="BD1509" s="37">
        <v>44086.0</v>
      </c>
      <c r="BE1509" s="37">
        <v>44086.0</v>
      </c>
      <c r="BF1509" s="36">
        <v>89.0</v>
      </c>
      <c r="BG1509" s="36" t="s">
        <v>857</v>
      </c>
      <c r="BH1509" s="38" t="s">
        <v>4611</v>
      </c>
      <c r="FL1509" s="36" t="s">
        <v>4612</v>
      </c>
      <c r="FM1509" s="36" t="s">
        <v>283</v>
      </c>
    </row>
    <row r="1510">
      <c r="A1510" s="50">
        <v>44674.93227872685</v>
      </c>
      <c r="B1510" s="36" t="s">
        <v>7</v>
      </c>
      <c r="C1510" s="36" t="s">
        <v>13</v>
      </c>
      <c r="AX1510" s="36" t="s">
        <v>4595</v>
      </c>
      <c r="AY1510" s="36" t="s">
        <v>4596</v>
      </c>
      <c r="AZ1510" s="36" t="s">
        <v>1263</v>
      </c>
      <c r="BA1510" s="36" t="s">
        <v>2819</v>
      </c>
      <c r="BB1510" s="36" t="s">
        <v>4613</v>
      </c>
      <c r="BC1510" s="37">
        <v>44621.0</v>
      </c>
      <c r="BD1510" s="37">
        <v>44650.0</v>
      </c>
      <c r="BE1510" s="37">
        <v>44650.0</v>
      </c>
      <c r="BF1510" s="36">
        <v>94.0</v>
      </c>
      <c r="BG1510" s="36" t="s">
        <v>3397</v>
      </c>
      <c r="BH1510" s="38" t="s">
        <v>4614</v>
      </c>
      <c r="FL1510" s="36" t="s">
        <v>4599</v>
      </c>
      <c r="FM1510" s="36" t="s">
        <v>283</v>
      </c>
    </row>
    <row r="1511">
      <c r="A1511" s="50">
        <v>44674.93279527778</v>
      </c>
      <c r="B1511" s="36" t="s">
        <v>6</v>
      </c>
      <c r="C1511" s="36" t="s">
        <v>13</v>
      </c>
      <c r="AX1511" s="36" t="s">
        <v>3436</v>
      </c>
      <c r="AY1511" s="36" t="s">
        <v>3437</v>
      </c>
      <c r="AZ1511" s="36" t="s">
        <v>4615</v>
      </c>
      <c r="BA1511" s="36" t="s">
        <v>1869</v>
      </c>
      <c r="BB1511" s="36" t="s">
        <v>882</v>
      </c>
      <c r="BC1511" s="37">
        <v>44639.0</v>
      </c>
      <c r="BD1511" s="37">
        <v>44670.0</v>
      </c>
      <c r="BE1511" s="37">
        <v>44670.0</v>
      </c>
      <c r="BF1511" s="36">
        <v>100.0</v>
      </c>
      <c r="BG1511" s="36" t="s">
        <v>4606</v>
      </c>
      <c r="BH1511" s="38" t="s">
        <v>4616</v>
      </c>
      <c r="FL1511" s="36" t="s">
        <v>3439</v>
      </c>
      <c r="FM1511" s="36" t="s">
        <v>283</v>
      </c>
    </row>
    <row r="1512">
      <c r="A1512" s="50">
        <v>44674.93406832176</v>
      </c>
      <c r="B1512" s="36" t="s">
        <v>7</v>
      </c>
      <c r="C1512" s="36" t="s">
        <v>13</v>
      </c>
      <c r="AX1512" s="36" t="s">
        <v>4608</v>
      </c>
      <c r="AY1512" s="36" t="s">
        <v>4609</v>
      </c>
      <c r="AZ1512" s="36" t="s">
        <v>347</v>
      </c>
      <c r="BA1512" s="36" t="s">
        <v>377</v>
      </c>
      <c r="BB1512" s="36" t="s">
        <v>310</v>
      </c>
      <c r="BC1512" s="37">
        <v>44232.0</v>
      </c>
      <c r="BD1512" s="37">
        <v>44308.0</v>
      </c>
      <c r="BE1512" s="37">
        <v>44308.0</v>
      </c>
      <c r="BF1512" s="36">
        <v>91.0</v>
      </c>
      <c r="BG1512" s="36" t="s">
        <v>4617</v>
      </c>
      <c r="BH1512" s="38" t="s">
        <v>4618</v>
      </c>
      <c r="FL1512" s="36" t="s">
        <v>4612</v>
      </c>
      <c r="FM1512" s="36" t="s">
        <v>283</v>
      </c>
    </row>
    <row r="1513">
      <c r="A1513" s="50">
        <v>44674.93434789352</v>
      </c>
      <c r="B1513" s="36" t="s">
        <v>6</v>
      </c>
      <c r="C1513" s="36" t="s">
        <v>13</v>
      </c>
      <c r="AX1513" s="36" t="s">
        <v>3436</v>
      </c>
      <c r="AY1513" s="36" t="s">
        <v>3437</v>
      </c>
      <c r="AZ1513" s="36" t="s">
        <v>422</v>
      </c>
      <c r="BA1513" s="36" t="s">
        <v>309</v>
      </c>
      <c r="BB1513" s="36" t="s">
        <v>670</v>
      </c>
      <c r="BC1513" s="37">
        <v>44512.0</v>
      </c>
      <c r="BD1513" s="37">
        <v>44542.0</v>
      </c>
      <c r="BE1513" s="37">
        <v>44542.0</v>
      </c>
      <c r="BF1513" s="36">
        <v>100.0</v>
      </c>
      <c r="BG1513" s="36" t="s">
        <v>559</v>
      </c>
      <c r="BH1513" s="38" t="s">
        <v>4619</v>
      </c>
      <c r="FL1513" s="36" t="s">
        <v>3439</v>
      </c>
      <c r="FM1513" s="36" t="s">
        <v>278</v>
      </c>
    </row>
    <row r="1514">
      <c r="A1514" s="50">
        <v>44674.93685273148</v>
      </c>
      <c r="B1514" s="36" t="s">
        <v>6</v>
      </c>
      <c r="C1514" s="36" t="s">
        <v>15</v>
      </c>
      <c r="BW1514" s="36" t="s">
        <v>3436</v>
      </c>
      <c r="BX1514" s="36" t="s">
        <v>3437</v>
      </c>
      <c r="BZ1514" s="36" t="s">
        <v>159</v>
      </c>
      <c r="CA1514" s="36" t="s">
        <v>455</v>
      </c>
      <c r="CB1514" s="36" t="s">
        <v>4620</v>
      </c>
      <c r="CC1514" s="36" t="s">
        <v>475</v>
      </c>
      <c r="CD1514" s="37">
        <v>44075.0</v>
      </c>
      <c r="CE1514" s="37">
        <v>44185.0</v>
      </c>
      <c r="CF1514" s="36">
        <v>90.0</v>
      </c>
      <c r="CG1514" s="38" t="s">
        <v>4621</v>
      </c>
      <c r="FL1514" s="36" t="s">
        <v>3439</v>
      </c>
      <c r="FM1514" s="36" t="s">
        <v>323</v>
      </c>
    </row>
    <row r="1515">
      <c r="A1515" s="50">
        <v>44674.93758628472</v>
      </c>
      <c r="B1515" s="36" t="s">
        <v>7</v>
      </c>
      <c r="C1515" s="36" t="s">
        <v>13</v>
      </c>
      <c r="AX1515" s="36" t="s">
        <v>4595</v>
      </c>
      <c r="AY1515" s="36" t="s">
        <v>4596</v>
      </c>
      <c r="AZ1515" s="36" t="s">
        <v>4622</v>
      </c>
      <c r="BA1515" s="36" t="s">
        <v>4623</v>
      </c>
      <c r="BB1515" s="36" t="s">
        <v>310</v>
      </c>
      <c r="BC1515" s="37">
        <v>44621.0</v>
      </c>
      <c r="BD1515" s="37">
        <v>44670.0</v>
      </c>
      <c r="BE1515" s="37">
        <v>44670.0</v>
      </c>
      <c r="BF1515" s="36">
        <v>95.0</v>
      </c>
      <c r="BG1515" s="36" t="s">
        <v>4624</v>
      </c>
      <c r="BH1515" s="38" t="s">
        <v>4625</v>
      </c>
      <c r="FL1515" s="36" t="s">
        <v>4599</v>
      </c>
      <c r="FM1515" s="36" t="s">
        <v>283</v>
      </c>
    </row>
    <row r="1516">
      <c r="A1516" s="50">
        <v>44674.94081663195</v>
      </c>
      <c r="B1516" s="36" t="s">
        <v>7</v>
      </c>
      <c r="C1516" s="36" t="s">
        <v>13</v>
      </c>
      <c r="AX1516" s="36" t="s">
        <v>4626</v>
      </c>
      <c r="AY1516" s="36" t="s">
        <v>4596</v>
      </c>
      <c r="AZ1516" s="36" t="s">
        <v>4517</v>
      </c>
      <c r="BA1516" s="36" t="s">
        <v>4627</v>
      </c>
      <c r="BB1516" s="36" t="s">
        <v>495</v>
      </c>
      <c r="BC1516" s="37">
        <v>44630.0</v>
      </c>
      <c r="BD1516" s="37">
        <v>44661.0</v>
      </c>
      <c r="BE1516" s="37">
        <v>44661.0</v>
      </c>
      <c r="BF1516" s="36">
        <v>92.0</v>
      </c>
      <c r="BG1516" s="36" t="s">
        <v>4627</v>
      </c>
      <c r="BH1516" s="38" t="s">
        <v>4628</v>
      </c>
      <c r="FL1516" s="36" t="s">
        <v>4599</v>
      </c>
      <c r="FM1516" s="36" t="s">
        <v>283</v>
      </c>
    </row>
    <row r="1517">
      <c r="A1517" s="50">
        <v>44674.941233460646</v>
      </c>
      <c r="B1517" s="36" t="s">
        <v>7</v>
      </c>
      <c r="C1517" s="36" t="s">
        <v>13</v>
      </c>
      <c r="AX1517" s="36" t="s">
        <v>4608</v>
      </c>
      <c r="AY1517" s="36" t="s">
        <v>4609</v>
      </c>
      <c r="AZ1517" s="36" t="s">
        <v>571</v>
      </c>
      <c r="BA1517" s="36" t="s">
        <v>377</v>
      </c>
      <c r="BB1517" s="36" t="s">
        <v>310</v>
      </c>
      <c r="BC1517" s="37">
        <v>44566.0</v>
      </c>
      <c r="BD1517" s="37">
        <v>44649.0</v>
      </c>
      <c r="BE1517" s="37">
        <v>44649.0</v>
      </c>
      <c r="BF1517" s="36">
        <v>92.0</v>
      </c>
      <c r="BG1517" s="36" t="s">
        <v>445</v>
      </c>
      <c r="BH1517" s="38" t="s">
        <v>4629</v>
      </c>
      <c r="FL1517" s="36" t="s">
        <v>4612</v>
      </c>
      <c r="FM1517" s="36" t="s">
        <v>283</v>
      </c>
    </row>
    <row r="1518">
      <c r="A1518" s="50">
        <v>44674.94229305556</v>
      </c>
      <c r="B1518" s="36" t="s">
        <v>6</v>
      </c>
      <c r="C1518" s="36" t="s">
        <v>14</v>
      </c>
      <c r="BI1518" s="36" t="s">
        <v>3436</v>
      </c>
      <c r="BJ1518" s="36" t="s">
        <v>3437</v>
      </c>
      <c r="BK1518" s="36" t="s">
        <v>159</v>
      </c>
      <c r="BL1518" s="36" t="s">
        <v>1288</v>
      </c>
      <c r="BM1518" s="36" t="s">
        <v>4630</v>
      </c>
      <c r="BN1518" s="36">
        <v>5.0</v>
      </c>
      <c r="BO1518" s="37">
        <v>44084.0</v>
      </c>
      <c r="BP1518" s="37">
        <v>44089.0</v>
      </c>
      <c r="BQ1518" s="36" t="s">
        <v>4631</v>
      </c>
      <c r="BR1518" s="36" t="s">
        <v>4632</v>
      </c>
      <c r="BS1518" s="36" t="s">
        <v>155</v>
      </c>
      <c r="BT1518" s="36" t="s">
        <v>632</v>
      </c>
      <c r="BU1518" s="36">
        <v>250.0</v>
      </c>
      <c r="BV1518" s="38" t="s">
        <v>4633</v>
      </c>
      <c r="FL1518" s="36" t="s">
        <v>3439</v>
      </c>
      <c r="FM1518" s="36" t="s">
        <v>323</v>
      </c>
    </row>
    <row r="1519">
      <c r="A1519" s="50">
        <v>44674.943148171296</v>
      </c>
      <c r="B1519" s="36" t="s">
        <v>7</v>
      </c>
      <c r="C1519" s="36" t="s">
        <v>13</v>
      </c>
      <c r="AX1519" s="36" t="s">
        <v>4626</v>
      </c>
      <c r="AY1519" s="36" t="s">
        <v>4596</v>
      </c>
      <c r="AZ1519" s="36" t="s">
        <v>4634</v>
      </c>
      <c r="BA1519" s="36" t="s">
        <v>4623</v>
      </c>
      <c r="BB1519" s="36" t="s">
        <v>495</v>
      </c>
      <c r="BC1519" s="37">
        <v>44638.0</v>
      </c>
      <c r="BD1519" s="37">
        <v>44669.0</v>
      </c>
      <c r="BE1519" s="37">
        <v>44669.0</v>
      </c>
      <c r="BF1519" s="36">
        <v>94.0</v>
      </c>
      <c r="BG1519" s="36" t="s">
        <v>4624</v>
      </c>
      <c r="BH1519" s="38" t="s">
        <v>4635</v>
      </c>
      <c r="FL1519" s="36" t="s">
        <v>4599</v>
      </c>
      <c r="FM1519" s="36" t="s">
        <v>283</v>
      </c>
    </row>
    <row r="1520">
      <c r="A1520" s="50">
        <v>44674.94389149305</v>
      </c>
      <c r="B1520" s="36" t="s">
        <v>6</v>
      </c>
      <c r="C1520" s="36" t="s">
        <v>12</v>
      </c>
      <c r="AN1520" s="36" t="s">
        <v>3436</v>
      </c>
      <c r="AO1520" s="36" t="s">
        <v>3437</v>
      </c>
      <c r="AP1520" s="36" t="s">
        <v>2131</v>
      </c>
      <c r="AQ1520" s="36" t="s">
        <v>507</v>
      </c>
      <c r="AR1520" s="37">
        <v>44470.0</v>
      </c>
      <c r="AS1520" s="37">
        <v>44531.0</v>
      </c>
      <c r="AT1520" s="36" t="s">
        <v>257</v>
      </c>
      <c r="AU1520" s="36" t="s">
        <v>257</v>
      </c>
      <c r="AV1520" s="36">
        <v>0.0</v>
      </c>
      <c r="AW1520" s="38" t="s">
        <v>4636</v>
      </c>
      <c r="FL1520" s="36" t="s">
        <v>3439</v>
      </c>
      <c r="FM1520" s="36" t="s">
        <v>278</v>
      </c>
    </row>
    <row r="1521">
      <c r="A1521" s="50">
        <v>44674.94516146991</v>
      </c>
      <c r="B1521" s="36" t="s">
        <v>6</v>
      </c>
      <c r="C1521" s="36" t="s">
        <v>12</v>
      </c>
      <c r="AN1521" s="36" t="s">
        <v>3436</v>
      </c>
      <c r="AO1521" s="36" t="s">
        <v>3437</v>
      </c>
      <c r="AP1521" s="36" t="s">
        <v>4637</v>
      </c>
      <c r="AQ1521" s="36" t="s">
        <v>310</v>
      </c>
      <c r="AR1521" s="37">
        <v>44564.0</v>
      </c>
      <c r="AS1521" s="37">
        <v>44623.0</v>
      </c>
      <c r="AT1521" s="36" t="s">
        <v>256</v>
      </c>
      <c r="AU1521" s="36" t="s">
        <v>257</v>
      </c>
      <c r="AV1521" s="36">
        <v>0.0</v>
      </c>
      <c r="AW1521" s="38" t="s">
        <v>4638</v>
      </c>
      <c r="FL1521" s="36" t="s">
        <v>3439</v>
      </c>
      <c r="FM1521" s="36" t="s">
        <v>278</v>
      </c>
    </row>
    <row r="1522">
      <c r="A1522" s="50">
        <v>44674.945314004624</v>
      </c>
      <c r="B1522" s="36" t="s">
        <v>7</v>
      </c>
      <c r="C1522" s="36" t="s">
        <v>13</v>
      </c>
      <c r="AX1522" s="36" t="s">
        <v>4626</v>
      </c>
      <c r="AY1522" s="36" t="s">
        <v>4596</v>
      </c>
      <c r="AZ1522" s="36" t="s">
        <v>4639</v>
      </c>
      <c r="BA1522" s="36" t="s">
        <v>4623</v>
      </c>
      <c r="BB1522" s="36" t="s">
        <v>495</v>
      </c>
      <c r="BC1522" s="37">
        <v>44637.0</v>
      </c>
      <c r="BD1522" s="37">
        <v>44668.0</v>
      </c>
      <c r="BE1522" s="37">
        <v>44668.0</v>
      </c>
      <c r="BF1522" s="36">
        <v>89.0</v>
      </c>
      <c r="BG1522" s="36" t="s">
        <v>4624</v>
      </c>
      <c r="BH1522" s="38" t="s">
        <v>4640</v>
      </c>
      <c r="FL1522" s="36" t="s">
        <v>4599</v>
      </c>
      <c r="FM1522" s="36" t="s">
        <v>283</v>
      </c>
    </row>
    <row r="1523">
      <c r="A1523" s="50">
        <v>44674.946256400464</v>
      </c>
      <c r="B1523" s="36" t="s">
        <v>6</v>
      </c>
      <c r="C1523" s="36" t="s">
        <v>12</v>
      </c>
      <c r="AN1523" s="36" t="s">
        <v>3436</v>
      </c>
      <c r="AO1523" s="36" t="s">
        <v>3437</v>
      </c>
      <c r="AP1523" s="36" t="s">
        <v>4641</v>
      </c>
      <c r="AQ1523" s="36" t="s">
        <v>264</v>
      </c>
      <c r="AR1523" s="37">
        <v>44623.0</v>
      </c>
      <c r="AS1523" s="37">
        <v>44807.0</v>
      </c>
      <c r="AT1523" s="36" t="s">
        <v>256</v>
      </c>
      <c r="AU1523" s="36" t="s">
        <v>257</v>
      </c>
      <c r="AV1523" s="36">
        <v>0.0</v>
      </c>
      <c r="AW1523" s="38" t="s">
        <v>4642</v>
      </c>
      <c r="FL1523" s="36" t="s">
        <v>3439</v>
      </c>
      <c r="FM1523" s="36" t="s">
        <v>260</v>
      </c>
    </row>
    <row r="1524">
      <c r="A1524" s="50">
        <v>44674.947801608796</v>
      </c>
      <c r="B1524" s="36" t="s">
        <v>7</v>
      </c>
      <c r="C1524" s="36" t="s">
        <v>13</v>
      </c>
      <c r="AX1524" s="36" t="s">
        <v>3220</v>
      </c>
      <c r="AY1524" s="36" t="s">
        <v>3221</v>
      </c>
      <c r="AZ1524" s="36" t="s">
        <v>4643</v>
      </c>
      <c r="BA1524" s="36" t="s">
        <v>3029</v>
      </c>
      <c r="BB1524" s="36" t="s">
        <v>1846</v>
      </c>
      <c r="BC1524" s="37">
        <v>44495.0</v>
      </c>
      <c r="BD1524" s="37">
        <v>44681.0</v>
      </c>
      <c r="BE1524" s="37">
        <v>44650.0</v>
      </c>
      <c r="BF1524" s="52">
        <v>0.978</v>
      </c>
      <c r="BG1524" s="36" t="s">
        <v>339</v>
      </c>
      <c r="BH1524" s="38" t="s">
        <v>4644</v>
      </c>
      <c r="FL1524" s="36" t="s">
        <v>3223</v>
      </c>
      <c r="FM1524" s="36" t="s">
        <v>283</v>
      </c>
    </row>
    <row r="1525">
      <c r="A1525" s="50">
        <v>44674.9478065625</v>
      </c>
      <c r="B1525" s="36" t="s">
        <v>7</v>
      </c>
      <c r="C1525" s="36" t="s">
        <v>13</v>
      </c>
      <c r="AX1525" s="36" t="s">
        <v>4608</v>
      </c>
      <c r="AY1525" s="36" t="s">
        <v>4609</v>
      </c>
      <c r="AZ1525" s="36" t="s">
        <v>4645</v>
      </c>
      <c r="BA1525" s="36" t="s">
        <v>4013</v>
      </c>
      <c r="BB1525" s="36" t="s">
        <v>310</v>
      </c>
      <c r="BC1525" s="37">
        <v>44600.0</v>
      </c>
      <c r="BD1525" s="37">
        <v>44671.0</v>
      </c>
      <c r="BE1525" s="37">
        <v>44671.0</v>
      </c>
      <c r="BF1525" s="36">
        <v>90.0</v>
      </c>
      <c r="BG1525" s="36" t="s">
        <v>4646</v>
      </c>
      <c r="BH1525" s="38" t="s">
        <v>4647</v>
      </c>
      <c r="FL1525" s="36" t="s">
        <v>4612</v>
      </c>
      <c r="FM1525" s="36" t="s">
        <v>283</v>
      </c>
    </row>
    <row r="1526">
      <c r="A1526" s="50">
        <v>44674.9509884375</v>
      </c>
      <c r="B1526" s="36" t="s">
        <v>6</v>
      </c>
      <c r="C1526" s="36" t="s">
        <v>20</v>
      </c>
      <c r="DX1526" s="36" t="s">
        <v>3436</v>
      </c>
      <c r="DY1526" s="36" t="s">
        <v>3437</v>
      </c>
      <c r="DZ1526" s="36" t="s">
        <v>313</v>
      </c>
      <c r="EA1526" s="36" t="s">
        <v>4648</v>
      </c>
      <c r="EB1526" s="37">
        <v>44461.0</v>
      </c>
      <c r="EC1526" s="36" t="s">
        <v>985</v>
      </c>
      <c r="ED1526" s="38" t="s">
        <v>4649</v>
      </c>
      <c r="FL1526" s="36" t="s">
        <v>3439</v>
      </c>
      <c r="FM1526" s="36" t="s">
        <v>278</v>
      </c>
    </row>
    <row r="1527">
      <c r="A1527" s="50">
        <v>44674.952937326394</v>
      </c>
      <c r="B1527" s="36" t="s">
        <v>7</v>
      </c>
      <c r="C1527" s="36" t="s">
        <v>13</v>
      </c>
      <c r="AX1527" s="36" t="s">
        <v>4608</v>
      </c>
      <c r="AY1527" s="36" t="s">
        <v>4609</v>
      </c>
      <c r="AZ1527" s="36" t="s">
        <v>4634</v>
      </c>
      <c r="BA1527" s="36" t="s">
        <v>1791</v>
      </c>
      <c r="BB1527" s="36" t="s">
        <v>3462</v>
      </c>
      <c r="BC1527" s="37">
        <v>44602.0</v>
      </c>
      <c r="BD1527" s="37">
        <v>44674.0</v>
      </c>
      <c r="BE1527" s="37">
        <v>44674.0</v>
      </c>
      <c r="BF1527" s="36">
        <v>93.0</v>
      </c>
      <c r="BG1527" s="36" t="s">
        <v>4624</v>
      </c>
      <c r="BH1527" s="38" t="s">
        <v>4650</v>
      </c>
      <c r="FL1527" s="36" t="s">
        <v>4612</v>
      </c>
      <c r="FM1527" s="36" t="s">
        <v>283</v>
      </c>
    </row>
    <row r="1528">
      <c r="A1528" s="50">
        <v>44674.95346704861</v>
      </c>
      <c r="B1528" s="36" t="s">
        <v>6</v>
      </c>
      <c r="C1528" s="36" t="s">
        <v>26</v>
      </c>
      <c r="FL1528" s="36" t="s">
        <v>3439</v>
      </c>
      <c r="FM1528" s="36" t="s">
        <v>414</v>
      </c>
      <c r="FZ1528" s="36" t="s">
        <v>3436</v>
      </c>
      <c r="GA1528" s="36" t="s">
        <v>3437</v>
      </c>
      <c r="GB1528" s="36" t="s">
        <v>3310</v>
      </c>
      <c r="GC1528" s="37">
        <v>43301.0</v>
      </c>
      <c r="GE1528" s="37">
        <v>43666.0</v>
      </c>
    </row>
    <row r="1529">
      <c r="A1529" s="50">
        <v>44674.956909155095</v>
      </c>
      <c r="B1529" s="36" t="s">
        <v>6</v>
      </c>
      <c r="C1529" s="36" t="s">
        <v>27</v>
      </c>
      <c r="FL1529" s="36" t="s">
        <v>3439</v>
      </c>
      <c r="FM1529" s="36" t="s">
        <v>278</v>
      </c>
      <c r="GF1529" s="36" t="s">
        <v>3436</v>
      </c>
      <c r="GG1529" s="36" t="s">
        <v>3437</v>
      </c>
      <c r="GH1529" s="36" t="s">
        <v>263</v>
      </c>
      <c r="GI1529" s="37">
        <v>44582.0</v>
      </c>
      <c r="GJ1529" s="38" t="s">
        <v>4651</v>
      </c>
      <c r="GK1529" s="36" t="s">
        <v>4652</v>
      </c>
      <c r="GL1529" s="36" t="s">
        <v>2469</v>
      </c>
    </row>
    <row r="1530">
      <c r="A1530" s="50">
        <v>44674.95822179398</v>
      </c>
      <c r="B1530" s="36" t="s">
        <v>6</v>
      </c>
      <c r="C1530" s="36" t="s">
        <v>27</v>
      </c>
      <c r="FL1530" s="36" t="s">
        <v>3439</v>
      </c>
      <c r="FM1530" s="36" t="s">
        <v>278</v>
      </c>
      <c r="GF1530" s="36" t="s">
        <v>3436</v>
      </c>
      <c r="GG1530" s="36" t="s">
        <v>3437</v>
      </c>
      <c r="GH1530" s="36" t="s">
        <v>269</v>
      </c>
      <c r="GI1530" s="37">
        <v>44513.0</v>
      </c>
      <c r="GJ1530" s="38" t="s">
        <v>4653</v>
      </c>
      <c r="GK1530" s="36" t="s">
        <v>656</v>
      </c>
      <c r="GL1530" s="36" t="s">
        <v>657</v>
      </c>
    </row>
    <row r="1531">
      <c r="A1531" s="50">
        <v>44674.95935577546</v>
      </c>
      <c r="B1531" s="36" t="s">
        <v>6</v>
      </c>
      <c r="C1531" s="36" t="s">
        <v>27</v>
      </c>
      <c r="FL1531" s="36" t="s">
        <v>3439</v>
      </c>
      <c r="FM1531" s="36" t="s">
        <v>278</v>
      </c>
      <c r="GF1531" s="36" t="s">
        <v>3436</v>
      </c>
      <c r="GG1531" s="36" t="s">
        <v>3437</v>
      </c>
      <c r="GH1531" s="36" t="s">
        <v>4637</v>
      </c>
      <c r="GI1531" s="37">
        <v>44553.0</v>
      </c>
      <c r="GJ1531" s="38" t="s">
        <v>4654</v>
      </c>
      <c r="GK1531" s="36" t="s">
        <v>656</v>
      </c>
      <c r="GL1531" s="36" t="s">
        <v>2469</v>
      </c>
    </row>
    <row r="1532">
      <c r="A1532" s="50">
        <v>44674.963596076384</v>
      </c>
      <c r="B1532" s="36" t="s">
        <v>6</v>
      </c>
      <c r="C1532" s="36" t="s">
        <v>27</v>
      </c>
      <c r="FL1532" s="36" t="s">
        <v>3439</v>
      </c>
      <c r="FM1532" s="36" t="s">
        <v>278</v>
      </c>
      <c r="GF1532" s="36" t="s">
        <v>3436</v>
      </c>
      <c r="GG1532" s="36" t="s">
        <v>3437</v>
      </c>
      <c r="GH1532" s="36" t="s">
        <v>1703</v>
      </c>
      <c r="GI1532" s="37">
        <v>44524.0</v>
      </c>
      <c r="GJ1532" s="38" t="s">
        <v>4655</v>
      </c>
      <c r="GK1532" s="36" t="s">
        <v>656</v>
      </c>
      <c r="GL1532" s="36" t="s">
        <v>2687</v>
      </c>
    </row>
    <row r="1533">
      <c r="A1533" s="50">
        <v>44674.96553902778</v>
      </c>
      <c r="B1533" s="36" t="s">
        <v>6</v>
      </c>
      <c r="C1533" s="36" t="s">
        <v>27</v>
      </c>
      <c r="FL1533" s="36" t="s">
        <v>3439</v>
      </c>
      <c r="FM1533" s="36" t="s">
        <v>278</v>
      </c>
      <c r="GF1533" s="36" t="s">
        <v>3436</v>
      </c>
      <c r="GG1533" s="36" t="s">
        <v>3437</v>
      </c>
      <c r="GH1533" s="36" t="s">
        <v>985</v>
      </c>
      <c r="GI1533" s="37">
        <v>44490.0</v>
      </c>
      <c r="GJ1533" s="38" t="s">
        <v>4656</v>
      </c>
      <c r="GK1533" s="36" t="s">
        <v>656</v>
      </c>
      <c r="GL1533" s="36" t="s">
        <v>2687</v>
      </c>
    </row>
    <row r="1534">
      <c r="A1534" s="50">
        <v>44674.966546111114</v>
      </c>
      <c r="B1534" s="36" t="s">
        <v>6</v>
      </c>
      <c r="C1534" s="36" t="s">
        <v>27</v>
      </c>
      <c r="FL1534" s="36" t="s">
        <v>3439</v>
      </c>
      <c r="FM1534" s="36" t="s">
        <v>260</v>
      </c>
      <c r="GF1534" s="36" t="s">
        <v>3436</v>
      </c>
      <c r="GG1534" s="36" t="s">
        <v>3437</v>
      </c>
      <c r="GH1534" s="36" t="s">
        <v>4641</v>
      </c>
      <c r="GI1534" s="37">
        <v>44621.0</v>
      </c>
      <c r="GJ1534" s="38" t="s">
        <v>4657</v>
      </c>
      <c r="GK1534" s="36" t="s">
        <v>656</v>
      </c>
      <c r="GL1534" s="36" t="s">
        <v>4658</v>
      </c>
    </row>
    <row r="1535">
      <c r="A1535" s="50">
        <v>44674.97248271991</v>
      </c>
      <c r="B1535" s="36" t="s">
        <v>6</v>
      </c>
      <c r="C1535" s="36" t="s">
        <v>13</v>
      </c>
      <c r="AX1535" s="36" t="s">
        <v>3436</v>
      </c>
      <c r="AY1535" s="36" t="s">
        <v>3437</v>
      </c>
      <c r="AZ1535" s="36" t="s">
        <v>2525</v>
      </c>
      <c r="BA1535" s="36" t="s">
        <v>2139</v>
      </c>
      <c r="BB1535" s="36">
        <v>1.0</v>
      </c>
      <c r="BC1535" s="37">
        <v>43977.0</v>
      </c>
      <c r="BD1535" s="37">
        <v>43979.0</v>
      </c>
      <c r="BE1535" s="37">
        <v>43979.0</v>
      </c>
      <c r="BF1535" s="36">
        <v>96.0</v>
      </c>
      <c r="BG1535" s="36" t="s">
        <v>4659</v>
      </c>
      <c r="BH1535" s="38" t="s">
        <v>4660</v>
      </c>
      <c r="FL1535" s="36" t="s">
        <v>3439</v>
      </c>
      <c r="FM1535" s="36" t="s">
        <v>323</v>
      </c>
    </row>
    <row r="1536">
      <c r="A1536" s="50">
        <v>44674.974271921295</v>
      </c>
      <c r="B1536" s="36" t="s">
        <v>6</v>
      </c>
      <c r="C1536" s="36" t="s">
        <v>14</v>
      </c>
      <c r="BI1536" s="36" t="s">
        <v>3436</v>
      </c>
      <c r="BJ1536" s="36" t="s">
        <v>3437</v>
      </c>
      <c r="BK1536" s="36" t="s">
        <v>159</v>
      </c>
      <c r="BL1536" s="36" t="s">
        <v>172</v>
      </c>
      <c r="BM1536" s="36" t="s">
        <v>4661</v>
      </c>
      <c r="BN1536" s="36">
        <v>1.0</v>
      </c>
      <c r="BO1536" s="37">
        <v>44032.0</v>
      </c>
      <c r="BP1536" s="37">
        <v>44032.0</v>
      </c>
      <c r="BQ1536" s="36" t="s">
        <v>1758</v>
      </c>
      <c r="BR1536" s="36" t="s">
        <v>4662</v>
      </c>
      <c r="BS1536" s="36" t="s">
        <v>155</v>
      </c>
      <c r="BT1536" s="36" t="s">
        <v>156</v>
      </c>
      <c r="BV1536" s="38" t="s">
        <v>4663</v>
      </c>
      <c r="FL1536" s="36" t="s">
        <v>3439</v>
      </c>
      <c r="FM1536" s="36" t="s">
        <v>323</v>
      </c>
    </row>
    <row r="1537">
      <c r="A1537" s="50">
        <v>44675.34759103009</v>
      </c>
      <c r="B1537" s="36" t="s">
        <v>7</v>
      </c>
      <c r="C1537" s="36" t="s">
        <v>13</v>
      </c>
      <c r="AX1537" s="36" t="s">
        <v>3277</v>
      </c>
      <c r="AY1537" s="36" t="s">
        <v>3269</v>
      </c>
      <c r="AZ1537" s="36" t="s">
        <v>4664</v>
      </c>
      <c r="BA1537" s="36" t="s">
        <v>4589</v>
      </c>
      <c r="BB1537" s="36" t="s">
        <v>507</v>
      </c>
      <c r="BC1537" s="37">
        <v>44479.0</v>
      </c>
      <c r="BD1537" s="37">
        <v>44540.0</v>
      </c>
      <c r="BE1537" s="37">
        <v>44479.0</v>
      </c>
      <c r="BF1537" s="36" t="s">
        <v>3292</v>
      </c>
      <c r="BG1537" s="36" t="s">
        <v>4665</v>
      </c>
      <c r="BH1537" s="38" t="s">
        <v>4666</v>
      </c>
      <c r="FL1537" s="36" t="s">
        <v>3271</v>
      </c>
      <c r="FM1537" s="36" t="s">
        <v>283</v>
      </c>
    </row>
    <row r="1538">
      <c r="A1538" s="50">
        <v>44675.35233925926</v>
      </c>
      <c r="B1538" s="36" t="s">
        <v>7</v>
      </c>
      <c r="C1538" s="36" t="s">
        <v>14</v>
      </c>
      <c r="BI1538" s="36" t="s">
        <v>4667</v>
      </c>
      <c r="BJ1538" s="36" t="s">
        <v>3269</v>
      </c>
      <c r="BK1538" s="36" t="s">
        <v>171</v>
      </c>
      <c r="BL1538" s="36" t="s">
        <v>1288</v>
      </c>
      <c r="BM1538" s="36" t="s">
        <v>4668</v>
      </c>
      <c r="BN1538" s="36">
        <v>3.0</v>
      </c>
      <c r="BO1538" s="37">
        <v>43881.0</v>
      </c>
      <c r="BP1538" s="37">
        <v>43883.0</v>
      </c>
      <c r="BQ1538" s="36" t="s">
        <v>4669</v>
      </c>
      <c r="BR1538" s="36" t="s">
        <v>3292</v>
      </c>
      <c r="BS1538" s="36" t="s">
        <v>276</v>
      </c>
      <c r="BT1538" s="36" t="s">
        <v>632</v>
      </c>
      <c r="BU1538" s="36">
        <v>300.0</v>
      </c>
      <c r="BV1538" s="38" t="s">
        <v>4670</v>
      </c>
      <c r="FL1538" s="36" t="s">
        <v>3271</v>
      </c>
      <c r="FM1538" s="36" t="s">
        <v>283</v>
      </c>
    </row>
    <row r="1539">
      <c r="A1539" s="50">
        <v>44675.35823491898</v>
      </c>
      <c r="B1539" s="36" t="s">
        <v>7</v>
      </c>
      <c r="C1539" s="36" t="s">
        <v>13</v>
      </c>
      <c r="AX1539" s="36" t="s">
        <v>3277</v>
      </c>
      <c r="AY1539" s="36" t="s">
        <v>3269</v>
      </c>
      <c r="AZ1539" s="36" t="s">
        <v>4671</v>
      </c>
      <c r="BA1539" s="36" t="s">
        <v>1758</v>
      </c>
      <c r="BB1539" s="36" t="s">
        <v>1850</v>
      </c>
      <c r="BC1539" s="37">
        <v>44046.0</v>
      </c>
      <c r="BD1539" s="37">
        <v>44061.0</v>
      </c>
      <c r="BE1539" s="37">
        <v>44060.0</v>
      </c>
      <c r="BF1539" s="36" t="s">
        <v>472</v>
      </c>
      <c r="BG1539" s="36" t="s">
        <v>472</v>
      </c>
      <c r="BH1539" s="38" t="s">
        <v>4672</v>
      </c>
      <c r="FL1539" s="36" t="s">
        <v>3271</v>
      </c>
      <c r="FM1539" s="36" t="s">
        <v>283</v>
      </c>
    </row>
    <row r="1540">
      <c r="A1540" s="50">
        <v>44675.36495503472</v>
      </c>
      <c r="B1540" s="36" t="s">
        <v>7</v>
      </c>
      <c r="C1540" s="36" t="s">
        <v>13</v>
      </c>
      <c r="AX1540" s="36" t="s">
        <v>4673</v>
      </c>
      <c r="AY1540" s="36" t="s">
        <v>3309</v>
      </c>
      <c r="AZ1540" s="36" t="s">
        <v>981</v>
      </c>
      <c r="BA1540" s="36" t="s">
        <v>377</v>
      </c>
      <c r="BB1540" s="36" t="s">
        <v>4674</v>
      </c>
      <c r="BC1540" s="37">
        <v>43831.0</v>
      </c>
      <c r="BD1540" s="37">
        <v>43928.0</v>
      </c>
      <c r="BE1540" s="37">
        <v>43928.0</v>
      </c>
      <c r="BF1540" s="36" t="s">
        <v>472</v>
      </c>
      <c r="BG1540" s="36" t="s">
        <v>4675</v>
      </c>
      <c r="BH1540" s="38" t="s">
        <v>4676</v>
      </c>
      <c r="FL1540" s="36" t="s">
        <v>3307</v>
      </c>
      <c r="FM1540" s="36" t="s">
        <v>283</v>
      </c>
    </row>
    <row r="1541">
      <c r="A1541" s="50">
        <v>44675.3736919213</v>
      </c>
      <c r="B1541" s="36" t="s">
        <v>7</v>
      </c>
      <c r="C1541" s="36" t="s">
        <v>13</v>
      </c>
      <c r="AX1541" s="36" t="s">
        <v>4673</v>
      </c>
      <c r="AY1541" s="36" t="s">
        <v>3309</v>
      </c>
      <c r="AZ1541" s="36" t="s">
        <v>2949</v>
      </c>
      <c r="BA1541" s="36" t="s">
        <v>337</v>
      </c>
      <c r="BB1541" s="36" t="s">
        <v>1846</v>
      </c>
      <c r="BC1541" s="37">
        <v>43987.0</v>
      </c>
      <c r="BD1541" s="37">
        <v>44078.0</v>
      </c>
      <c r="BE1541" s="37">
        <v>44078.0</v>
      </c>
      <c r="BF1541" s="36" t="s">
        <v>472</v>
      </c>
      <c r="BG1541" s="36" t="s">
        <v>4677</v>
      </c>
      <c r="BH1541" s="38" t="s">
        <v>4678</v>
      </c>
      <c r="FL1541" s="36" t="s">
        <v>3307</v>
      </c>
      <c r="FM1541" s="36" t="s">
        <v>283</v>
      </c>
    </row>
    <row r="1542">
      <c r="A1542" s="50">
        <v>44675.380968125</v>
      </c>
      <c r="B1542" s="36" t="s">
        <v>7</v>
      </c>
      <c r="C1542" s="36" t="s">
        <v>14</v>
      </c>
      <c r="BI1542" s="36" t="s">
        <v>4673</v>
      </c>
      <c r="BJ1542" s="36" t="s">
        <v>3309</v>
      </c>
      <c r="BK1542" s="36" t="s">
        <v>159</v>
      </c>
      <c r="BL1542" s="36" t="s">
        <v>1288</v>
      </c>
      <c r="BM1542" s="36" t="s">
        <v>1288</v>
      </c>
      <c r="BN1542" s="36">
        <v>3.0</v>
      </c>
      <c r="BO1542" s="37">
        <v>43881.0</v>
      </c>
      <c r="BP1542" s="37">
        <v>43883.0</v>
      </c>
      <c r="BQ1542" s="36" t="s">
        <v>4679</v>
      </c>
      <c r="BR1542" s="36" t="s">
        <v>472</v>
      </c>
      <c r="BS1542" s="36" t="s">
        <v>276</v>
      </c>
      <c r="BT1542" s="36" t="s">
        <v>632</v>
      </c>
      <c r="BU1542" s="36">
        <v>300.0</v>
      </c>
      <c r="BV1542" s="38" t="s">
        <v>4680</v>
      </c>
      <c r="FL1542" s="36" t="s">
        <v>3307</v>
      </c>
      <c r="FM1542" s="36" t="s">
        <v>283</v>
      </c>
    </row>
    <row r="1543">
      <c r="A1543" s="50">
        <v>44675.383334768514</v>
      </c>
      <c r="B1543" s="36" t="s">
        <v>7</v>
      </c>
      <c r="C1543" s="36" t="s">
        <v>13</v>
      </c>
      <c r="AX1543" s="36" t="s">
        <v>4673</v>
      </c>
      <c r="AY1543" s="36" t="s">
        <v>3309</v>
      </c>
      <c r="AZ1543" s="36" t="s">
        <v>4681</v>
      </c>
      <c r="BA1543" s="36" t="s">
        <v>4682</v>
      </c>
      <c r="BB1543" s="36" t="s">
        <v>882</v>
      </c>
      <c r="BC1543" s="37">
        <v>44338.0</v>
      </c>
      <c r="BD1543" s="37">
        <v>44367.0</v>
      </c>
      <c r="BE1543" s="37">
        <v>44367.0</v>
      </c>
      <c r="BF1543" s="36" t="s">
        <v>472</v>
      </c>
      <c r="BG1543" s="36" t="s">
        <v>472</v>
      </c>
      <c r="BH1543" s="38" t="s">
        <v>4683</v>
      </c>
      <c r="FL1543" s="36" t="s">
        <v>3307</v>
      </c>
      <c r="FM1543" s="36" t="s">
        <v>283</v>
      </c>
    </row>
    <row r="1544">
      <c r="A1544" s="50">
        <v>44675.38872565972</v>
      </c>
      <c r="B1544" s="36" t="s">
        <v>7</v>
      </c>
      <c r="C1544" s="36" t="s">
        <v>13</v>
      </c>
      <c r="AX1544" s="36" t="s">
        <v>4673</v>
      </c>
      <c r="AY1544" s="36" t="s">
        <v>3309</v>
      </c>
      <c r="AZ1544" s="36" t="s">
        <v>3871</v>
      </c>
      <c r="BA1544" s="36" t="s">
        <v>377</v>
      </c>
      <c r="BB1544" s="36" t="s">
        <v>882</v>
      </c>
      <c r="BC1544" s="37">
        <v>44348.0</v>
      </c>
      <c r="BD1544" s="37">
        <v>44378.0</v>
      </c>
      <c r="BE1544" s="37">
        <v>44378.0</v>
      </c>
      <c r="BF1544" s="36" t="s">
        <v>472</v>
      </c>
      <c r="BG1544" s="36" t="s">
        <v>472</v>
      </c>
      <c r="BH1544" s="38" t="s">
        <v>4684</v>
      </c>
      <c r="FL1544" s="36" t="s">
        <v>3307</v>
      </c>
      <c r="FM1544" s="36" t="s">
        <v>283</v>
      </c>
    </row>
    <row r="1545">
      <c r="A1545" s="50">
        <v>44675.3917197338</v>
      </c>
      <c r="B1545" s="36" t="s">
        <v>7</v>
      </c>
      <c r="C1545" s="36" t="s">
        <v>13</v>
      </c>
      <c r="AX1545" s="36" t="s">
        <v>4673</v>
      </c>
      <c r="AY1545" s="36" t="s">
        <v>3309</v>
      </c>
      <c r="AZ1545" s="36" t="s">
        <v>347</v>
      </c>
      <c r="BA1545" s="36" t="s">
        <v>4685</v>
      </c>
      <c r="BB1545" s="36" t="s">
        <v>475</v>
      </c>
      <c r="BC1545" s="37">
        <v>44202.0</v>
      </c>
      <c r="BD1545" s="37">
        <v>44293.0</v>
      </c>
      <c r="BE1545" s="37">
        <v>44293.0</v>
      </c>
      <c r="BF1545" s="36" t="s">
        <v>472</v>
      </c>
      <c r="BG1545" s="36" t="s">
        <v>3770</v>
      </c>
      <c r="BH1545" s="38" t="s">
        <v>4686</v>
      </c>
      <c r="FL1545" s="36" t="s">
        <v>3307</v>
      </c>
      <c r="FM1545" s="36" t="s">
        <v>283</v>
      </c>
    </row>
    <row r="1546">
      <c r="A1546" s="50">
        <v>44675.39374108796</v>
      </c>
      <c r="B1546" s="36" t="s">
        <v>7</v>
      </c>
      <c r="C1546" s="36" t="s">
        <v>13</v>
      </c>
      <c r="AX1546" s="36" t="s">
        <v>4673</v>
      </c>
      <c r="AY1546" s="36" t="s">
        <v>3309</v>
      </c>
      <c r="AZ1546" s="36" t="s">
        <v>566</v>
      </c>
      <c r="BA1546" s="36" t="s">
        <v>377</v>
      </c>
      <c r="BB1546" s="36" t="s">
        <v>1846</v>
      </c>
      <c r="BC1546" s="37">
        <v>44454.0</v>
      </c>
      <c r="BD1546" s="37">
        <v>44545.0</v>
      </c>
      <c r="BE1546" s="37">
        <v>44545.0</v>
      </c>
      <c r="BF1546" s="36" t="s">
        <v>472</v>
      </c>
      <c r="BG1546" s="36" t="s">
        <v>1503</v>
      </c>
      <c r="BH1546" s="38" t="s">
        <v>4687</v>
      </c>
      <c r="FL1546" s="36" t="s">
        <v>3307</v>
      </c>
      <c r="FM1546" s="36" t="s">
        <v>283</v>
      </c>
    </row>
    <row r="1547">
      <c r="A1547" s="50">
        <v>44675.39524854167</v>
      </c>
      <c r="B1547" s="36" t="s">
        <v>7</v>
      </c>
      <c r="C1547" s="36" t="s">
        <v>13</v>
      </c>
      <c r="AX1547" s="36" t="s">
        <v>4673</v>
      </c>
      <c r="AY1547" s="36" t="s">
        <v>3309</v>
      </c>
      <c r="AZ1547" s="36" t="s">
        <v>4688</v>
      </c>
      <c r="BA1547" s="36" t="s">
        <v>377</v>
      </c>
      <c r="BB1547" s="36" t="s">
        <v>1846</v>
      </c>
      <c r="BC1547" s="37">
        <v>44513.0</v>
      </c>
      <c r="BD1547" s="37">
        <v>44604.0</v>
      </c>
      <c r="BE1547" s="37">
        <v>44604.0</v>
      </c>
      <c r="BF1547" s="36" t="s">
        <v>472</v>
      </c>
      <c r="BG1547" s="36" t="s">
        <v>472</v>
      </c>
      <c r="BH1547" s="38" t="s">
        <v>4689</v>
      </c>
      <c r="FL1547" s="36" t="s">
        <v>3307</v>
      </c>
      <c r="FM1547" s="36" t="s">
        <v>283</v>
      </c>
    </row>
    <row r="1548">
      <c r="A1548" s="50">
        <v>44675.424968402775</v>
      </c>
      <c r="B1548" s="36" t="s">
        <v>7</v>
      </c>
      <c r="C1548" s="36" t="s">
        <v>13</v>
      </c>
      <c r="AX1548" s="36" t="s">
        <v>4690</v>
      </c>
      <c r="AY1548" s="36" t="s">
        <v>4691</v>
      </c>
      <c r="AZ1548" s="36" t="s">
        <v>981</v>
      </c>
      <c r="BA1548" s="36" t="s">
        <v>4692</v>
      </c>
      <c r="BB1548" s="53" t="s">
        <v>4693</v>
      </c>
      <c r="BC1548" s="37">
        <v>43843.0</v>
      </c>
      <c r="BD1548" s="37">
        <v>43934.0</v>
      </c>
      <c r="BE1548" s="37">
        <v>43934.0</v>
      </c>
      <c r="BF1548" s="36" t="s">
        <v>472</v>
      </c>
      <c r="BG1548" s="36" t="s">
        <v>4694</v>
      </c>
      <c r="BH1548" s="38" t="s">
        <v>4695</v>
      </c>
      <c r="FL1548" s="36" t="s">
        <v>4696</v>
      </c>
      <c r="FM1548" s="36" t="s">
        <v>283</v>
      </c>
    </row>
    <row r="1549">
      <c r="A1549" s="50">
        <v>44675.43013340278</v>
      </c>
      <c r="B1549" s="36" t="s">
        <v>7</v>
      </c>
      <c r="C1549" s="36" t="s">
        <v>13</v>
      </c>
      <c r="AX1549" s="36" t="s">
        <v>4690</v>
      </c>
      <c r="AY1549" s="36" t="s">
        <v>4691</v>
      </c>
      <c r="AZ1549" s="36" t="s">
        <v>856</v>
      </c>
      <c r="BA1549" s="36" t="s">
        <v>2892</v>
      </c>
      <c r="BB1549" s="36" t="s">
        <v>1846</v>
      </c>
      <c r="BC1549" s="37">
        <v>43998.0</v>
      </c>
      <c r="BD1549" s="37">
        <v>44089.0</v>
      </c>
      <c r="BE1549" s="37">
        <v>44089.0</v>
      </c>
      <c r="BF1549" s="36" t="s">
        <v>472</v>
      </c>
      <c r="BG1549" s="36" t="s">
        <v>4697</v>
      </c>
      <c r="BH1549" s="38" t="s">
        <v>4698</v>
      </c>
      <c r="FL1549" s="36" t="s">
        <v>4696</v>
      </c>
      <c r="FM1549" s="36" t="s">
        <v>283</v>
      </c>
    </row>
    <row r="1550">
      <c r="A1550" s="50">
        <v>44675.43450413195</v>
      </c>
      <c r="B1550" s="36" t="s">
        <v>7</v>
      </c>
      <c r="C1550" s="36" t="s">
        <v>13</v>
      </c>
      <c r="AX1550" s="36" t="s">
        <v>4690</v>
      </c>
      <c r="AY1550" s="36" t="s">
        <v>4691</v>
      </c>
      <c r="AZ1550" s="36" t="s">
        <v>347</v>
      </c>
      <c r="BA1550" s="36" t="s">
        <v>3932</v>
      </c>
      <c r="BB1550" s="36" t="s">
        <v>1846</v>
      </c>
      <c r="BC1550" s="37">
        <v>44251.0</v>
      </c>
      <c r="BD1550" s="37">
        <v>44322.0</v>
      </c>
      <c r="BE1550" s="37">
        <v>44322.0</v>
      </c>
      <c r="BF1550" s="36" t="s">
        <v>472</v>
      </c>
      <c r="BG1550" s="36" t="s">
        <v>4694</v>
      </c>
      <c r="BH1550" s="38" t="s">
        <v>4699</v>
      </c>
      <c r="FL1550" s="36" t="s">
        <v>4696</v>
      </c>
      <c r="FM1550" s="36" t="s">
        <v>283</v>
      </c>
    </row>
    <row r="1551">
      <c r="A1551" s="50">
        <v>44675.43826793981</v>
      </c>
      <c r="B1551" s="36" t="s">
        <v>7</v>
      </c>
      <c r="C1551" s="36" t="s">
        <v>13</v>
      </c>
      <c r="AX1551" s="36" t="s">
        <v>4690</v>
      </c>
      <c r="AY1551" s="36" t="s">
        <v>4691</v>
      </c>
      <c r="AZ1551" s="36" t="s">
        <v>4097</v>
      </c>
      <c r="BA1551" s="36" t="s">
        <v>2892</v>
      </c>
      <c r="BB1551" s="36" t="s">
        <v>1846</v>
      </c>
      <c r="BC1551" s="37">
        <v>44485.0</v>
      </c>
      <c r="BD1551" s="37">
        <v>44545.0</v>
      </c>
      <c r="BE1551" s="37">
        <v>44545.0</v>
      </c>
      <c r="BF1551" s="36" t="s">
        <v>472</v>
      </c>
      <c r="BG1551" s="36" t="s">
        <v>1231</v>
      </c>
      <c r="BH1551" s="38" t="s">
        <v>4700</v>
      </c>
      <c r="FL1551" s="36" t="s">
        <v>4696</v>
      </c>
      <c r="FM1551" s="36" t="s">
        <v>283</v>
      </c>
    </row>
    <row r="1552">
      <c r="A1552" s="50">
        <v>44675.44192849537</v>
      </c>
      <c r="B1552" s="36" t="s">
        <v>7</v>
      </c>
      <c r="C1552" s="36" t="s">
        <v>13</v>
      </c>
      <c r="AX1552" s="36" t="s">
        <v>4690</v>
      </c>
      <c r="AY1552" s="36" t="s">
        <v>4691</v>
      </c>
      <c r="AZ1552" s="36" t="s">
        <v>4701</v>
      </c>
      <c r="BA1552" s="36" t="s">
        <v>2892</v>
      </c>
      <c r="BB1552" s="36" t="s">
        <v>1846</v>
      </c>
      <c r="BC1552" s="37">
        <v>44514.0</v>
      </c>
      <c r="BD1552" s="37">
        <v>44605.0</v>
      </c>
      <c r="BE1552" s="37">
        <v>44605.0</v>
      </c>
      <c r="BF1552" s="36" t="s">
        <v>472</v>
      </c>
      <c r="BG1552" s="36" t="s">
        <v>1231</v>
      </c>
      <c r="BH1552" s="38" t="s">
        <v>4702</v>
      </c>
      <c r="FL1552" s="36" t="s">
        <v>4696</v>
      </c>
      <c r="FM1552" s="36" t="s">
        <v>283</v>
      </c>
    </row>
    <row r="1553">
      <c r="A1553" s="50">
        <v>44675.4474190162</v>
      </c>
      <c r="B1553" s="36" t="s">
        <v>7</v>
      </c>
      <c r="C1553" s="36" t="s">
        <v>12</v>
      </c>
      <c r="AN1553" s="36" t="s">
        <v>4690</v>
      </c>
      <c r="AO1553" s="36" t="s">
        <v>4691</v>
      </c>
      <c r="AP1553" s="36" t="s">
        <v>568</v>
      </c>
      <c r="AQ1553" s="36" t="s">
        <v>882</v>
      </c>
      <c r="AR1553" s="37">
        <v>44338.0</v>
      </c>
      <c r="AS1553" s="37">
        <v>44367.0</v>
      </c>
      <c r="AT1553" s="36" t="s">
        <v>257</v>
      </c>
      <c r="AU1553" s="36" t="s">
        <v>257</v>
      </c>
      <c r="AV1553" s="36">
        <v>0.0</v>
      </c>
      <c r="AW1553" s="38" t="s">
        <v>4703</v>
      </c>
      <c r="FL1553" s="36" t="s">
        <v>4696</v>
      </c>
      <c r="FM1553" s="36" t="s">
        <v>283</v>
      </c>
    </row>
    <row r="1554">
      <c r="A1554" s="50">
        <v>44675.47253951389</v>
      </c>
      <c r="B1554" s="36" t="s">
        <v>7</v>
      </c>
      <c r="C1554" s="36" t="s">
        <v>12</v>
      </c>
      <c r="AN1554" s="36" t="s">
        <v>4690</v>
      </c>
      <c r="AO1554" s="36" t="s">
        <v>4691</v>
      </c>
      <c r="AP1554" s="36" t="s">
        <v>4704</v>
      </c>
      <c r="AQ1554" s="36" t="s">
        <v>507</v>
      </c>
      <c r="AR1554" s="37">
        <v>44470.0</v>
      </c>
      <c r="AS1554" s="37">
        <v>44539.0</v>
      </c>
      <c r="AT1554" s="36" t="s">
        <v>257</v>
      </c>
      <c r="AU1554" s="36" t="s">
        <v>257</v>
      </c>
      <c r="AV1554" s="36">
        <v>0.0</v>
      </c>
      <c r="AW1554" s="38" t="s">
        <v>4705</v>
      </c>
      <c r="FL1554" s="36" t="s">
        <v>4696</v>
      </c>
      <c r="FM1554" s="36" t="s">
        <v>283</v>
      </c>
    </row>
    <row r="1555">
      <c r="A1555" s="50">
        <v>44675.47608582176</v>
      </c>
      <c r="B1555" s="36" t="s">
        <v>7</v>
      </c>
      <c r="C1555" s="36" t="s">
        <v>13</v>
      </c>
      <c r="AX1555" s="36" t="s">
        <v>3226</v>
      </c>
      <c r="AY1555" s="36" t="s">
        <v>3227</v>
      </c>
      <c r="AZ1555" s="36" t="s">
        <v>571</v>
      </c>
      <c r="BA1555" s="36" t="s">
        <v>2819</v>
      </c>
      <c r="BB1555" s="36" t="s">
        <v>1846</v>
      </c>
      <c r="BC1555" s="37">
        <v>44495.0</v>
      </c>
      <c r="BD1555" s="37">
        <v>44681.0</v>
      </c>
      <c r="BE1555" s="37">
        <v>44681.0</v>
      </c>
      <c r="BF1555" s="51">
        <v>0.92</v>
      </c>
      <c r="BG1555" s="36" t="s">
        <v>4706</v>
      </c>
      <c r="BH1555" s="38" t="s">
        <v>4707</v>
      </c>
      <c r="FL1555" s="36" t="s">
        <v>3229</v>
      </c>
      <c r="FM1555" s="36" t="s">
        <v>283</v>
      </c>
    </row>
    <row r="1556">
      <c r="A1556" s="50">
        <v>44675.53409215278</v>
      </c>
      <c r="B1556" s="36" t="s">
        <v>7</v>
      </c>
      <c r="C1556" s="36" t="s">
        <v>12</v>
      </c>
      <c r="AN1556" s="36" t="s">
        <v>4708</v>
      </c>
      <c r="AO1556" s="36" t="s">
        <v>4709</v>
      </c>
      <c r="AP1556" s="36" t="s">
        <v>309</v>
      </c>
      <c r="AQ1556" s="36" t="s">
        <v>4710</v>
      </c>
      <c r="AR1556" s="37">
        <v>44485.0</v>
      </c>
      <c r="AS1556" s="37">
        <v>44531.0</v>
      </c>
      <c r="AT1556" s="36" t="s">
        <v>257</v>
      </c>
      <c r="AU1556" s="36" t="s">
        <v>257</v>
      </c>
      <c r="AV1556" s="36">
        <v>0.0</v>
      </c>
      <c r="AW1556" s="38" t="s">
        <v>4711</v>
      </c>
      <c r="FL1556" s="36" t="s">
        <v>4712</v>
      </c>
      <c r="FM1556" s="36" t="s">
        <v>283</v>
      </c>
    </row>
    <row r="1557">
      <c r="A1557" s="50">
        <v>44675.57625009259</v>
      </c>
      <c r="B1557" s="36" t="s">
        <v>7</v>
      </c>
      <c r="C1557" s="36" t="s">
        <v>13</v>
      </c>
      <c r="AX1557" s="36" t="s">
        <v>4713</v>
      </c>
      <c r="AY1557" s="36" t="s">
        <v>4714</v>
      </c>
      <c r="AZ1557" s="36" t="s">
        <v>1183</v>
      </c>
      <c r="BA1557" s="36" t="s">
        <v>3023</v>
      </c>
      <c r="BB1557" s="36" t="s">
        <v>1846</v>
      </c>
      <c r="BC1557" s="37">
        <v>43860.0</v>
      </c>
      <c r="BD1557" s="37">
        <v>43952.0</v>
      </c>
      <c r="BE1557" s="37">
        <v>43952.0</v>
      </c>
      <c r="BF1557" s="36" t="s">
        <v>472</v>
      </c>
      <c r="BG1557" s="36" t="s">
        <v>3868</v>
      </c>
      <c r="BH1557" s="38" t="s">
        <v>4715</v>
      </c>
      <c r="FL1557" s="36" t="s">
        <v>4716</v>
      </c>
      <c r="FM1557" s="36" t="s">
        <v>283</v>
      </c>
    </row>
    <row r="1558">
      <c r="A1558" s="50">
        <v>44675.58620996527</v>
      </c>
      <c r="B1558" s="36" t="s">
        <v>7</v>
      </c>
      <c r="C1558" s="36" t="s">
        <v>13</v>
      </c>
      <c r="AX1558" s="36" t="s">
        <v>4713</v>
      </c>
      <c r="AY1558" s="36" t="s">
        <v>4717</v>
      </c>
      <c r="AZ1558" s="36" t="s">
        <v>856</v>
      </c>
      <c r="BA1558" s="36" t="s">
        <v>3023</v>
      </c>
      <c r="BB1558" s="36" t="s">
        <v>1846</v>
      </c>
      <c r="BC1558" s="37">
        <v>43998.0</v>
      </c>
      <c r="BD1558" s="37">
        <v>44089.0</v>
      </c>
      <c r="BE1558" s="37">
        <v>44089.0</v>
      </c>
      <c r="BF1558" s="36" t="s">
        <v>472</v>
      </c>
      <c r="BG1558" s="36" t="s">
        <v>4718</v>
      </c>
      <c r="BH1558" s="38" t="s">
        <v>4719</v>
      </c>
      <c r="FL1558" s="36" t="s">
        <v>4716</v>
      </c>
      <c r="FM1558" s="36" t="s">
        <v>283</v>
      </c>
    </row>
    <row r="1559">
      <c r="A1559" s="50">
        <v>44675.59017927083</v>
      </c>
      <c r="B1559" s="36" t="s">
        <v>7</v>
      </c>
      <c r="C1559" s="36" t="s">
        <v>13</v>
      </c>
      <c r="AX1559" s="36" t="s">
        <v>4713</v>
      </c>
      <c r="AY1559" s="36" t="s">
        <v>4717</v>
      </c>
      <c r="AZ1559" s="36" t="s">
        <v>347</v>
      </c>
      <c r="BA1559" s="36" t="s">
        <v>3023</v>
      </c>
      <c r="BB1559" s="36" t="s">
        <v>1846</v>
      </c>
      <c r="BC1559" s="37">
        <v>43865.0</v>
      </c>
      <c r="BD1559" s="37">
        <v>43957.0</v>
      </c>
      <c r="BE1559" s="37">
        <v>43957.0</v>
      </c>
      <c r="BF1559" s="36" t="s">
        <v>472</v>
      </c>
      <c r="BG1559" s="36" t="s">
        <v>3868</v>
      </c>
      <c r="BH1559" s="38" t="s">
        <v>4720</v>
      </c>
      <c r="FL1559" s="36" t="s">
        <v>4716</v>
      </c>
      <c r="FM1559" s="36" t="s">
        <v>283</v>
      </c>
    </row>
    <row r="1560">
      <c r="A1560" s="50">
        <v>44675.59138002315</v>
      </c>
      <c r="B1560" s="36" t="s">
        <v>7</v>
      </c>
      <c r="C1560" s="36" t="s">
        <v>13</v>
      </c>
      <c r="AX1560" s="36" t="s">
        <v>4721</v>
      </c>
      <c r="AY1560" s="36" t="s">
        <v>4722</v>
      </c>
      <c r="AZ1560" s="36" t="s">
        <v>856</v>
      </c>
      <c r="BA1560" s="36" t="s">
        <v>337</v>
      </c>
      <c r="BB1560" s="36" t="s">
        <v>1846</v>
      </c>
      <c r="BC1560" s="37">
        <v>43995.0</v>
      </c>
      <c r="BD1560" s="37">
        <v>44087.0</v>
      </c>
      <c r="BE1560" s="37">
        <v>44087.0</v>
      </c>
      <c r="BF1560" s="36" t="s">
        <v>472</v>
      </c>
      <c r="BG1560" s="36" t="s">
        <v>4723</v>
      </c>
      <c r="BH1560" s="38" t="s">
        <v>4724</v>
      </c>
      <c r="FL1560" s="36" t="s">
        <v>4725</v>
      </c>
      <c r="FM1560" s="36" t="s">
        <v>283</v>
      </c>
    </row>
    <row r="1561">
      <c r="A1561" s="50">
        <v>44675.59279484954</v>
      </c>
      <c r="B1561" s="36" t="s">
        <v>7</v>
      </c>
      <c r="C1561" s="36" t="s">
        <v>12</v>
      </c>
      <c r="AN1561" s="36" t="s">
        <v>4713</v>
      </c>
      <c r="AO1561" s="36" t="s">
        <v>4717</v>
      </c>
      <c r="AP1561" s="36" t="s">
        <v>4589</v>
      </c>
      <c r="AQ1561" s="36" t="s">
        <v>507</v>
      </c>
      <c r="AR1561" s="37">
        <v>44470.0</v>
      </c>
      <c r="AS1561" s="37">
        <v>44539.0</v>
      </c>
      <c r="AT1561" s="36" t="s">
        <v>257</v>
      </c>
      <c r="AU1561" s="36" t="s">
        <v>257</v>
      </c>
      <c r="AV1561" s="36">
        <v>0.0</v>
      </c>
      <c r="AW1561" s="38" t="s">
        <v>4726</v>
      </c>
      <c r="FL1561" s="36" t="s">
        <v>4716</v>
      </c>
      <c r="FM1561" s="36" t="s">
        <v>283</v>
      </c>
    </row>
    <row r="1562">
      <c r="A1562" s="50">
        <v>44675.59298086805</v>
      </c>
      <c r="B1562" s="36" t="s">
        <v>7</v>
      </c>
      <c r="C1562" s="36" t="s">
        <v>13</v>
      </c>
      <c r="AX1562" s="36" t="s">
        <v>4721</v>
      </c>
      <c r="AY1562" s="36" t="s">
        <v>4722</v>
      </c>
      <c r="AZ1562" s="36" t="s">
        <v>347</v>
      </c>
      <c r="BA1562" s="36" t="s">
        <v>4727</v>
      </c>
      <c r="BB1562" s="36" t="s">
        <v>1846</v>
      </c>
      <c r="BC1562" s="37">
        <v>44233.0</v>
      </c>
      <c r="BD1562" s="37">
        <v>44322.0</v>
      </c>
      <c r="BE1562" s="37">
        <v>44322.0</v>
      </c>
      <c r="BF1562" s="36" t="s">
        <v>472</v>
      </c>
      <c r="BG1562" s="36" t="s">
        <v>289</v>
      </c>
      <c r="BH1562" s="38" t="s">
        <v>4728</v>
      </c>
      <c r="FL1562" s="36" t="s">
        <v>4725</v>
      </c>
      <c r="FM1562" s="36" t="s">
        <v>283</v>
      </c>
    </row>
    <row r="1563">
      <c r="A1563" s="50">
        <v>44675.595341631946</v>
      </c>
      <c r="B1563" s="36" t="s">
        <v>7</v>
      </c>
      <c r="C1563" s="36" t="s">
        <v>13</v>
      </c>
      <c r="AX1563" s="36" t="s">
        <v>4721</v>
      </c>
      <c r="AY1563" s="36" t="s">
        <v>4722</v>
      </c>
      <c r="AZ1563" s="36" t="s">
        <v>4729</v>
      </c>
      <c r="BA1563" s="36" t="s">
        <v>1238</v>
      </c>
      <c r="BB1563" s="36" t="s">
        <v>4730</v>
      </c>
      <c r="BC1563" s="37">
        <v>44337.0</v>
      </c>
      <c r="BD1563" s="37">
        <v>44349.0</v>
      </c>
      <c r="BE1563" s="37">
        <v>44349.0</v>
      </c>
      <c r="BF1563" s="36" t="s">
        <v>472</v>
      </c>
      <c r="BG1563" s="36" t="s">
        <v>472</v>
      </c>
      <c r="BH1563" s="38" t="s">
        <v>4731</v>
      </c>
      <c r="FL1563" s="36" t="s">
        <v>4725</v>
      </c>
      <c r="FM1563" s="36" t="s">
        <v>283</v>
      </c>
    </row>
    <row r="1564">
      <c r="A1564" s="50">
        <v>44675.59645668982</v>
      </c>
      <c r="B1564" s="36" t="s">
        <v>7</v>
      </c>
      <c r="C1564" s="36" t="s">
        <v>13</v>
      </c>
      <c r="AX1564" s="36" t="s">
        <v>4721</v>
      </c>
      <c r="AY1564" s="36" t="s">
        <v>4722</v>
      </c>
      <c r="AZ1564" s="36" t="s">
        <v>3204</v>
      </c>
      <c r="BA1564" s="36" t="s">
        <v>1238</v>
      </c>
      <c r="BB1564" s="36" t="s">
        <v>4730</v>
      </c>
      <c r="BC1564" s="37">
        <v>44270.0</v>
      </c>
      <c r="BD1564" s="37">
        <v>44286.0</v>
      </c>
      <c r="BE1564" s="37">
        <v>44286.0</v>
      </c>
      <c r="BF1564" s="36" t="s">
        <v>472</v>
      </c>
      <c r="BG1564" s="36" t="s">
        <v>472</v>
      </c>
      <c r="BH1564" s="38" t="s">
        <v>4732</v>
      </c>
      <c r="FL1564" s="36" t="s">
        <v>4725</v>
      </c>
      <c r="FM1564" s="36" t="s">
        <v>283</v>
      </c>
    </row>
    <row r="1565">
      <c r="A1565" s="50">
        <v>44675.61420133102</v>
      </c>
      <c r="B1565" s="36" t="s">
        <v>7</v>
      </c>
      <c r="C1565" s="36" t="s">
        <v>13</v>
      </c>
      <c r="AX1565" s="36" t="s">
        <v>4733</v>
      </c>
      <c r="AY1565" s="36" t="s">
        <v>4734</v>
      </c>
      <c r="AZ1565" s="36" t="s">
        <v>4735</v>
      </c>
      <c r="BA1565" s="36" t="s">
        <v>1452</v>
      </c>
      <c r="BB1565" s="36" t="s">
        <v>4736</v>
      </c>
      <c r="BC1565" s="37">
        <v>44609.0</v>
      </c>
      <c r="BD1565" s="37">
        <v>44616.0</v>
      </c>
      <c r="BE1565" s="37">
        <v>44616.0</v>
      </c>
      <c r="BF1565" s="36" t="s">
        <v>472</v>
      </c>
      <c r="BG1565" s="36" t="s">
        <v>4737</v>
      </c>
      <c r="BH1565" s="38" t="s">
        <v>4738</v>
      </c>
      <c r="FL1565" s="36" t="s">
        <v>4739</v>
      </c>
      <c r="FM1565" s="36" t="s">
        <v>283</v>
      </c>
    </row>
    <row r="1566">
      <c r="A1566" s="50">
        <v>44675.615968576385</v>
      </c>
      <c r="B1566" s="36" t="s">
        <v>7</v>
      </c>
      <c r="C1566" s="36" t="s">
        <v>13</v>
      </c>
      <c r="AX1566" s="36" t="s">
        <v>4721</v>
      </c>
      <c r="AY1566" s="36" t="s">
        <v>4722</v>
      </c>
      <c r="AZ1566" s="36" t="s">
        <v>4740</v>
      </c>
      <c r="BA1566" s="36" t="s">
        <v>1238</v>
      </c>
      <c r="BB1566" s="36" t="s">
        <v>4730</v>
      </c>
      <c r="BC1566" s="37">
        <v>44229.0</v>
      </c>
      <c r="BD1566" s="37">
        <v>44243.0</v>
      </c>
      <c r="BE1566" s="37">
        <v>44243.0</v>
      </c>
      <c r="BF1566" s="36" t="s">
        <v>472</v>
      </c>
      <c r="BG1566" s="36" t="s">
        <v>472</v>
      </c>
      <c r="BH1566" s="38" t="s">
        <v>4741</v>
      </c>
      <c r="FL1566" s="36" t="s">
        <v>4725</v>
      </c>
      <c r="FM1566" s="36" t="s">
        <v>283</v>
      </c>
    </row>
    <row r="1567">
      <c r="A1567" s="50">
        <v>44675.61703476852</v>
      </c>
      <c r="B1567" s="36" t="s">
        <v>7</v>
      </c>
      <c r="C1567" s="36" t="s">
        <v>13</v>
      </c>
      <c r="AX1567" s="36" t="s">
        <v>4721</v>
      </c>
      <c r="AY1567" s="36" t="s">
        <v>4722</v>
      </c>
      <c r="AZ1567" s="36" t="s">
        <v>4742</v>
      </c>
      <c r="BA1567" s="36" t="s">
        <v>1238</v>
      </c>
      <c r="BB1567" s="36" t="s">
        <v>4730</v>
      </c>
      <c r="BC1567" s="37">
        <v>44563.0</v>
      </c>
      <c r="BD1567" s="37">
        <v>44577.0</v>
      </c>
      <c r="BE1567" s="37">
        <v>44577.0</v>
      </c>
      <c r="BF1567" s="36" t="s">
        <v>472</v>
      </c>
      <c r="BG1567" s="36" t="s">
        <v>472</v>
      </c>
      <c r="BH1567" s="38" t="s">
        <v>4743</v>
      </c>
      <c r="FL1567" s="36" t="s">
        <v>4725</v>
      </c>
      <c r="FM1567" s="36" t="s">
        <v>283</v>
      </c>
    </row>
    <row r="1568">
      <c r="A1568" s="50">
        <v>44675.61870983796</v>
      </c>
      <c r="B1568" s="36" t="s">
        <v>7</v>
      </c>
      <c r="C1568" s="36" t="s">
        <v>13</v>
      </c>
      <c r="AX1568" s="36" t="s">
        <v>4721</v>
      </c>
      <c r="AY1568" s="36" t="s">
        <v>4722</v>
      </c>
      <c r="AZ1568" s="36" t="s">
        <v>4744</v>
      </c>
      <c r="BA1568" s="36" t="s">
        <v>4745</v>
      </c>
      <c r="BB1568" s="36" t="s">
        <v>4730</v>
      </c>
      <c r="BC1568" s="37">
        <v>44013.0</v>
      </c>
      <c r="BD1568" s="37">
        <v>44027.0</v>
      </c>
      <c r="BE1568" s="37">
        <v>44041.0</v>
      </c>
      <c r="BF1568" s="36" t="s">
        <v>472</v>
      </c>
      <c r="BG1568" s="36" t="s">
        <v>472</v>
      </c>
      <c r="BH1568" s="38" t="s">
        <v>4746</v>
      </c>
      <c r="FL1568" s="36" t="s">
        <v>4725</v>
      </c>
      <c r="FM1568" s="36" t="s">
        <v>283</v>
      </c>
    </row>
    <row r="1569">
      <c r="A1569" s="50">
        <v>44675.623562175926</v>
      </c>
      <c r="B1569" s="36" t="s">
        <v>7</v>
      </c>
      <c r="C1569" s="36" t="s">
        <v>13</v>
      </c>
      <c r="AX1569" s="36" t="s">
        <v>4721</v>
      </c>
      <c r="AY1569" s="36" t="s">
        <v>4722</v>
      </c>
      <c r="AZ1569" s="36" t="s">
        <v>1753</v>
      </c>
      <c r="BA1569" s="36" t="s">
        <v>4747</v>
      </c>
      <c r="BB1569" s="36" t="s">
        <v>4730</v>
      </c>
      <c r="BC1569" s="37">
        <v>44075.0</v>
      </c>
      <c r="BD1569" s="37">
        <v>44089.0</v>
      </c>
      <c r="BE1569" s="37">
        <v>44089.0</v>
      </c>
      <c r="BF1569" s="36" t="s">
        <v>472</v>
      </c>
      <c r="BG1569" s="36" t="s">
        <v>472</v>
      </c>
      <c r="BH1569" s="38" t="s">
        <v>4748</v>
      </c>
      <c r="FL1569" s="36" t="s">
        <v>4725</v>
      </c>
      <c r="FM1569" s="36" t="s">
        <v>283</v>
      </c>
    </row>
    <row r="1570">
      <c r="A1570" s="50">
        <v>44675.62773417824</v>
      </c>
      <c r="B1570" s="36" t="s">
        <v>7</v>
      </c>
      <c r="C1570" s="36" t="s">
        <v>13</v>
      </c>
      <c r="AX1570" s="36" t="s">
        <v>4721</v>
      </c>
      <c r="AY1570" s="36" t="s">
        <v>4722</v>
      </c>
      <c r="AZ1570" s="36" t="s">
        <v>687</v>
      </c>
      <c r="BA1570" s="36" t="s">
        <v>4727</v>
      </c>
      <c r="BB1570" s="36" t="s">
        <v>1846</v>
      </c>
      <c r="BC1570" s="37">
        <v>44293.0</v>
      </c>
      <c r="BD1570" s="37">
        <v>44392.0</v>
      </c>
      <c r="BE1570" s="37">
        <v>44392.0</v>
      </c>
      <c r="BF1570" s="36" t="s">
        <v>472</v>
      </c>
      <c r="BG1570" s="36" t="s">
        <v>289</v>
      </c>
      <c r="BH1570" s="38" t="s">
        <v>4749</v>
      </c>
      <c r="FL1570" s="36" t="s">
        <v>4725</v>
      </c>
      <c r="FM1570" s="36" t="s">
        <v>283</v>
      </c>
    </row>
    <row r="1571">
      <c r="A1571" s="50">
        <v>44675.6293915162</v>
      </c>
      <c r="B1571" s="36" t="s">
        <v>7</v>
      </c>
      <c r="C1571" s="36" t="s">
        <v>13</v>
      </c>
      <c r="AX1571" s="36" t="s">
        <v>4721</v>
      </c>
      <c r="AY1571" s="36" t="s">
        <v>4722</v>
      </c>
      <c r="AZ1571" s="36" t="s">
        <v>719</v>
      </c>
      <c r="BA1571" s="36" t="s">
        <v>4727</v>
      </c>
      <c r="BB1571" s="36">
        <v>13.0</v>
      </c>
      <c r="BC1571" s="37">
        <v>43862.0</v>
      </c>
      <c r="BD1571" s="37">
        <v>43957.0</v>
      </c>
      <c r="BE1571" s="37">
        <v>43957.0</v>
      </c>
      <c r="BF1571" s="36" t="s">
        <v>472</v>
      </c>
      <c r="BG1571" s="36" t="s">
        <v>472</v>
      </c>
      <c r="BH1571" s="38" t="s">
        <v>4750</v>
      </c>
      <c r="FL1571" s="36" t="s">
        <v>4725</v>
      </c>
      <c r="FM1571" s="36" t="s">
        <v>283</v>
      </c>
    </row>
    <row r="1572">
      <c r="A1572" s="50">
        <v>44675.63110957176</v>
      </c>
      <c r="B1572" s="36" t="s">
        <v>7</v>
      </c>
      <c r="C1572" s="36" t="s">
        <v>12</v>
      </c>
      <c r="AN1572" s="36" t="s">
        <v>4721</v>
      </c>
      <c r="AO1572" s="36" t="s">
        <v>4722</v>
      </c>
      <c r="AP1572" s="36" t="s">
        <v>4013</v>
      </c>
      <c r="AQ1572" s="36" t="s">
        <v>507</v>
      </c>
      <c r="AR1572" s="37">
        <v>44470.0</v>
      </c>
      <c r="AS1572" s="37">
        <v>44539.0</v>
      </c>
      <c r="AT1572" s="36" t="s">
        <v>257</v>
      </c>
      <c r="AU1572" s="36" t="s">
        <v>257</v>
      </c>
      <c r="AV1572" s="36">
        <v>0.0</v>
      </c>
      <c r="AW1572" s="38" t="s">
        <v>4751</v>
      </c>
      <c r="FL1572" s="36" t="s">
        <v>4725</v>
      </c>
      <c r="FM1572" s="36" t="s">
        <v>283</v>
      </c>
    </row>
    <row r="1573">
      <c r="A1573" s="50">
        <v>44675.64722237269</v>
      </c>
      <c r="B1573" s="36" t="s">
        <v>7</v>
      </c>
      <c r="C1573" s="36" t="s">
        <v>12</v>
      </c>
      <c r="AN1573" s="36" t="s">
        <v>4752</v>
      </c>
      <c r="AO1573" s="36" t="s">
        <v>4753</v>
      </c>
      <c r="AP1573" s="36" t="s">
        <v>4754</v>
      </c>
      <c r="AQ1573" s="36" t="s">
        <v>495</v>
      </c>
      <c r="AR1573" s="37">
        <v>44060.0</v>
      </c>
      <c r="AS1573" s="37">
        <v>44091.0</v>
      </c>
      <c r="AT1573" s="36" t="s">
        <v>257</v>
      </c>
      <c r="AU1573" s="36" t="s">
        <v>256</v>
      </c>
      <c r="AV1573" s="36">
        <v>4000.0</v>
      </c>
      <c r="AW1573" s="38" t="s">
        <v>4755</v>
      </c>
      <c r="FL1573" s="36" t="s">
        <v>4756</v>
      </c>
      <c r="FM1573" s="36" t="s">
        <v>283</v>
      </c>
    </row>
    <row r="1574">
      <c r="A1574" s="50">
        <v>44675.64914851852</v>
      </c>
      <c r="B1574" s="36" t="s">
        <v>7</v>
      </c>
      <c r="C1574" s="36" t="s">
        <v>12</v>
      </c>
      <c r="AN1574" s="36" t="s">
        <v>4752</v>
      </c>
      <c r="AO1574" s="36" t="s">
        <v>4753</v>
      </c>
      <c r="AP1574" s="36" t="s">
        <v>4754</v>
      </c>
      <c r="AQ1574" s="36" t="s">
        <v>495</v>
      </c>
      <c r="AR1574" s="37">
        <v>44060.0</v>
      </c>
      <c r="AS1574" s="37">
        <v>44091.0</v>
      </c>
      <c r="AT1574" s="36" t="s">
        <v>257</v>
      </c>
      <c r="AU1574" s="36" t="s">
        <v>256</v>
      </c>
      <c r="AV1574" s="36">
        <v>4000.0</v>
      </c>
      <c r="AW1574" s="38" t="s">
        <v>4757</v>
      </c>
      <c r="FL1574" s="36" t="s">
        <v>4756</v>
      </c>
      <c r="FM1574" s="36" t="s">
        <v>283</v>
      </c>
    </row>
    <row r="1575">
      <c r="A1575" s="50">
        <v>44675.651246724534</v>
      </c>
      <c r="B1575" s="36" t="s">
        <v>7</v>
      </c>
      <c r="C1575" s="36" t="s">
        <v>12</v>
      </c>
      <c r="AN1575" s="36" t="s">
        <v>4752</v>
      </c>
      <c r="AO1575" s="36" t="s">
        <v>4753</v>
      </c>
      <c r="AP1575" s="36" t="s">
        <v>4758</v>
      </c>
      <c r="AQ1575" s="36" t="s">
        <v>507</v>
      </c>
      <c r="AR1575" s="37">
        <v>44494.0</v>
      </c>
      <c r="AS1575" s="37">
        <v>44550.0</v>
      </c>
      <c r="AT1575" s="36" t="s">
        <v>257</v>
      </c>
      <c r="AU1575" s="36" t="s">
        <v>257</v>
      </c>
      <c r="AV1575" s="36">
        <v>0.0</v>
      </c>
      <c r="AW1575" s="38" t="s">
        <v>4759</v>
      </c>
      <c r="FL1575" s="36" t="s">
        <v>4756</v>
      </c>
      <c r="FM1575" s="36" t="s">
        <v>283</v>
      </c>
    </row>
    <row r="1576">
      <c r="A1576" s="50">
        <v>44675.655387349536</v>
      </c>
      <c r="B1576" s="36" t="s">
        <v>7</v>
      </c>
      <c r="C1576" s="36" t="s">
        <v>13</v>
      </c>
      <c r="AX1576" s="36" t="s">
        <v>4752</v>
      </c>
      <c r="AY1576" s="36" t="s">
        <v>4753</v>
      </c>
      <c r="AZ1576" s="36" t="s">
        <v>4760</v>
      </c>
      <c r="BA1576" s="36" t="s">
        <v>4761</v>
      </c>
      <c r="BB1576" s="36" t="s">
        <v>450</v>
      </c>
      <c r="BC1576" s="37">
        <v>43901.0</v>
      </c>
      <c r="BD1576" s="37">
        <v>43961.0</v>
      </c>
      <c r="BE1576" s="37">
        <v>43962.0</v>
      </c>
      <c r="BF1576" s="36">
        <v>96.0</v>
      </c>
      <c r="BG1576" s="36" t="s">
        <v>559</v>
      </c>
      <c r="BH1576" s="38" t="s">
        <v>4762</v>
      </c>
      <c r="FL1576" s="36" t="s">
        <v>4756</v>
      </c>
      <c r="FM1576" s="36" t="s">
        <v>283</v>
      </c>
    </row>
    <row r="1577">
      <c r="A1577" s="50">
        <v>44675.6576312963</v>
      </c>
      <c r="B1577" s="36" t="s">
        <v>7</v>
      </c>
      <c r="C1577" s="36" t="s">
        <v>13</v>
      </c>
      <c r="AX1577" s="36" t="s">
        <v>4752</v>
      </c>
      <c r="AY1577" s="36" t="s">
        <v>4753</v>
      </c>
      <c r="AZ1577" s="36" t="s">
        <v>4763</v>
      </c>
      <c r="BA1577" s="36" t="s">
        <v>409</v>
      </c>
      <c r="BB1577" s="36" t="s">
        <v>450</v>
      </c>
      <c r="BC1577" s="37">
        <v>44447.0</v>
      </c>
      <c r="BD1577" s="37">
        <v>44538.0</v>
      </c>
      <c r="BE1577" s="37">
        <v>44539.0</v>
      </c>
      <c r="BF1577" s="36">
        <v>95.0</v>
      </c>
      <c r="BG1577" s="36" t="s">
        <v>559</v>
      </c>
      <c r="BH1577" s="38" t="s">
        <v>4764</v>
      </c>
      <c r="FL1577" s="36" t="s">
        <v>4756</v>
      </c>
      <c r="FM1577" s="36" t="s">
        <v>283</v>
      </c>
    </row>
    <row r="1578">
      <c r="A1578" s="50">
        <v>44675.6598309838</v>
      </c>
      <c r="B1578" s="36" t="s">
        <v>7</v>
      </c>
      <c r="C1578" s="36" t="s">
        <v>13</v>
      </c>
      <c r="AX1578" s="36" t="s">
        <v>4752</v>
      </c>
      <c r="AY1578" s="36" t="s">
        <v>4753</v>
      </c>
      <c r="AZ1578" s="36" t="s">
        <v>4765</v>
      </c>
      <c r="BA1578" s="36" t="s">
        <v>4766</v>
      </c>
      <c r="BB1578" s="36" t="s">
        <v>450</v>
      </c>
      <c r="BC1578" s="37">
        <v>44300.0</v>
      </c>
      <c r="BD1578" s="37">
        <v>44391.0</v>
      </c>
      <c r="BE1578" s="37">
        <v>44392.0</v>
      </c>
      <c r="BF1578" s="36">
        <v>93.0</v>
      </c>
      <c r="BG1578" s="36" t="s">
        <v>559</v>
      </c>
      <c r="BH1578" s="38" t="s">
        <v>4767</v>
      </c>
      <c r="FL1578" s="36" t="s">
        <v>4756</v>
      </c>
      <c r="FM1578" s="36" t="s">
        <v>283</v>
      </c>
    </row>
    <row r="1579">
      <c r="A1579" s="50">
        <v>44675.66212178241</v>
      </c>
      <c r="B1579" s="36" t="s">
        <v>7</v>
      </c>
      <c r="C1579" s="36" t="s">
        <v>13</v>
      </c>
      <c r="AX1579" s="36" t="s">
        <v>4752</v>
      </c>
      <c r="AY1579" s="36" t="s">
        <v>4753</v>
      </c>
      <c r="AZ1579" s="36" t="s">
        <v>4768</v>
      </c>
      <c r="BA1579" s="36" t="s">
        <v>409</v>
      </c>
      <c r="BB1579" s="36" t="s">
        <v>450</v>
      </c>
      <c r="BC1579" s="37">
        <v>44006.0</v>
      </c>
      <c r="BD1579" s="37">
        <v>44098.0</v>
      </c>
      <c r="BE1579" s="37">
        <v>44100.0</v>
      </c>
      <c r="BF1579" s="36">
        <v>94.0</v>
      </c>
      <c r="BG1579" s="36" t="s">
        <v>857</v>
      </c>
      <c r="BH1579" s="38" t="s">
        <v>4769</v>
      </c>
      <c r="FL1579" s="36" t="s">
        <v>4756</v>
      </c>
      <c r="FM1579" s="36" t="s">
        <v>283</v>
      </c>
    </row>
    <row r="1580">
      <c r="A1580" s="50">
        <v>44675.66512089121</v>
      </c>
      <c r="B1580" s="36" t="s">
        <v>7</v>
      </c>
      <c r="C1580" s="36" t="s">
        <v>13</v>
      </c>
      <c r="AX1580" s="36" t="s">
        <v>4752</v>
      </c>
      <c r="AY1580" s="36" t="s">
        <v>4753</v>
      </c>
      <c r="AZ1580" s="36" t="s">
        <v>4770</v>
      </c>
      <c r="BA1580" s="36" t="s">
        <v>409</v>
      </c>
      <c r="BB1580" s="36" t="s">
        <v>450</v>
      </c>
      <c r="BC1580" s="37">
        <v>44230.0</v>
      </c>
      <c r="BD1580" s="37">
        <v>44320.0</v>
      </c>
      <c r="BE1580" s="37">
        <v>44322.0</v>
      </c>
      <c r="BF1580" s="36">
        <v>92.0</v>
      </c>
      <c r="BG1580" s="36" t="s">
        <v>559</v>
      </c>
      <c r="BH1580" s="38" t="s">
        <v>4771</v>
      </c>
      <c r="FL1580" s="36" t="s">
        <v>4756</v>
      </c>
      <c r="FM1580" s="36" t="s">
        <v>283</v>
      </c>
    </row>
    <row r="1581">
      <c r="A1581" s="50">
        <v>44675.668131805556</v>
      </c>
      <c r="B1581" s="36" t="s">
        <v>7</v>
      </c>
      <c r="C1581" s="36" t="s">
        <v>13</v>
      </c>
      <c r="AX1581" s="36" t="s">
        <v>4752</v>
      </c>
      <c r="AY1581" s="36" t="s">
        <v>4753</v>
      </c>
      <c r="AZ1581" s="36" t="s">
        <v>4772</v>
      </c>
      <c r="BA1581" s="36" t="s">
        <v>409</v>
      </c>
      <c r="BB1581" s="36" t="s">
        <v>450</v>
      </c>
      <c r="BC1581" s="37">
        <v>44533.0</v>
      </c>
      <c r="BD1581" s="37">
        <v>44598.0</v>
      </c>
      <c r="BE1581" s="37">
        <v>44604.0</v>
      </c>
      <c r="BF1581" s="36">
        <v>95.0</v>
      </c>
      <c r="BG1581" s="36" t="s">
        <v>559</v>
      </c>
      <c r="BH1581" s="38" t="s">
        <v>4773</v>
      </c>
      <c r="FL1581" s="36" t="s">
        <v>4756</v>
      </c>
      <c r="FM1581" s="36" t="s">
        <v>283</v>
      </c>
    </row>
    <row r="1582">
      <c r="A1582" s="50">
        <v>44675.6699771412</v>
      </c>
      <c r="B1582" s="36" t="s">
        <v>7</v>
      </c>
      <c r="C1582" s="36" t="s">
        <v>23</v>
      </c>
      <c r="FG1582" s="36" t="s">
        <v>4752</v>
      </c>
      <c r="FH1582" s="36" t="s">
        <v>4753</v>
      </c>
      <c r="FI1582" s="36" t="s">
        <v>2189</v>
      </c>
      <c r="FJ1582" s="37">
        <v>44621.0</v>
      </c>
      <c r="FK1582" s="38" t="s">
        <v>4774</v>
      </c>
      <c r="FL1582" s="36" t="s">
        <v>4756</v>
      </c>
      <c r="FM1582" s="36" t="s">
        <v>283</v>
      </c>
    </row>
    <row r="1583">
      <c r="A1583" s="50">
        <v>44675.67307142361</v>
      </c>
      <c r="B1583" s="36" t="s">
        <v>7</v>
      </c>
      <c r="C1583" s="36" t="s">
        <v>14</v>
      </c>
      <c r="BI1583" s="36" t="s">
        <v>4752</v>
      </c>
      <c r="BJ1583" s="36" t="s">
        <v>4753</v>
      </c>
      <c r="BK1583" s="36" t="s">
        <v>159</v>
      </c>
      <c r="BL1583" s="36" t="s">
        <v>1288</v>
      </c>
      <c r="BM1583" s="36" t="s">
        <v>4775</v>
      </c>
      <c r="BN1583" s="36">
        <v>1.0</v>
      </c>
      <c r="BO1583" s="37">
        <v>44008.0</v>
      </c>
      <c r="BP1583" s="37">
        <v>44008.0</v>
      </c>
      <c r="BQ1583" s="36" t="s">
        <v>4776</v>
      </c>
      <c r="BR1583" s="36" t="s">
        <v>4777</v>
      </c>
      <c r="BS1583" s="36" t="s">
        <v>155</v>
      </c>
      <c r="BT1583" s="36" t="s">
        <v>156</v>
      </c>
      <c r="BU1583" s="36">
        <v>0.0</v>
      </c>
      <c r="BV1583" s="38" t="s">
        <v>4778</v>
      </c>
      <c r="FL1583" s="36" t="s">
        <v>4756</v>
      </c>
      <c r="FM1583" s="36" t="s">
        <v>283</v>
      </c>
    </row>
    <row r="1584">
      <c r="A1584" s="50">
        <v>44675.676745115736</v>
      </c>
      <c r="B1584" s="36" t="s">
        <v>7</v>
      </c>
      <c r="C1584" s="36" t="s">
        <v>25</v>
      </c>
      <c r="FL1584" s="36" t="s">
        <v>4756</v>
      </c>
      <c r="FM1584" s="36" t="s">
        <v>283</v>
      </c>
      <c r="FT1584" s="36" t="s">
        <v>4752</v>
      </c>
      <c r="FU1584" s="36" t="s">
        <v>4753</v>
      </c>
      <c r="FV1584" s="36" t="s">
        <v>4779</v>
      </c>
      <c r="FW1584" s="37">
        <v>44114.0</v>
      </c>
      <c r="FX1584" s="36" t="s">
        <v>4780</v>
      </c>
      <c r="FY1584" s="38" t="s">
        <v>4781</v>
      </c>
    </row>
    <row r="1585">
      <c r="A1585" s="50">
        <v>44675.72318409722</v>
      </c>
      <c r="B1585" s="36" t="s">
        <v>7</v>
      </c>
      <c r="C1585" s="36" t="s">
        <v>13</v>
      </c>
      <c r="AX1585" s="36" t="s">
        <v>3303</v>
      </c>
      <c r="AY1585" s="36" t="s">
        <v>3304</v>
      </c>
      <c r="AZ1585" s="36" t="s">
        <v>4782</v>
      </c>
      <c r="BA1585" s="36" t="s">
        <v>345</v>
      </c>
      <c r="BB1585" s="36" t="s">
        <v>4561</v>
      </c>
      <c r="BC1585" s="37">
        <v>44065.0</v>
      </c>
      <c r="BD1585" s="37">
        <v>44103.0</v>
      </c>
      <c r="BE1585" s="37">
        <v>44103.0</v>
      </c>
      <c r="BF1585" s="36">
        <v>85.0</v>
      </c>
      <c r="BG1585" s="36" t="s">
        <v>1231</v>
      </c>
      <c r="BH1585" s="38" t="s">
        <v>4783</v>
      </c>
      <c r="FL1585" s="36" t="s">
        <v>3306</v>
      </c>
      <c r="FM1585" s="36" t="s">
        <v>283</v>
      </c>
    </row>
    <row r="1586">
      <c r="A1586" s="50">
        <v>44675.72327954861</v>
      </c>
      <c r="B1586" s="36" t="s">
        <v>7</v>
      </c>
      <c r="C1586" s="36" t="s">
        <v>13</v>
      </c>
      <c r="AX1586" s="36" t="s">
        <v>3287</v>
      </c>
      <c r="AY1586" s="36" t="s">
        <v>3288</v>
      </c>
      <c r="AZ1586" s="36" t="s">
        <v>4784</v>
      </c>
      <c r="BA1586" s="36" t="s">
        <v>345</v>
      </c>
      <c r="BB1586" s="36" t="s">
        <v>4561</v>
      </c>
      <c r="BC1586" s="37">
        <v>44076.0</v>
      </c>
      <c r="BD1586" s="37">
        <v>44113.0</v>
      </c>
      <c r="BE1586" s="37">
        <v>44113.0</v>
      </c>
      <c r="BF1586" s="51">
        <v>0.85</v>
      </c>
      <c r="BG1586" s="36" t="s">
        <v>4785</v>
      </c>
      <c r="BH1586" s="38" t="s">
        <v>4786</v>
      </c>
      <c r="FL1586" s="36" t="s">
        <v>3290</v>
      </c>
      <c r="FM1586" s="36" t="s">
        <v>283</v>
      </c>
    </row>
    <row r="1587">
      <c r="A1587" s="50">
        <v>44675.72610561343</v>
      </c>
      <c r="B1587" s="36" t="s">
        <v>7</v>
      </c>
      <c r="C1587" s="36" t="s">
        <v>13</v>
      </c>
      <c r="AX1587" s="36" t="s">
        <v>3287</v>
      </c>
      <c r="AY1587" s="36" t="s">
        <v>3288</v>
      </c>
      <c r="AZ1587" s="36" t="s">
        <v>543</v>
      </c>
      <c r="BA1587" s="36" t="s">
        <v>345</v>
      </c>
      <c r="BB1587" s="36" t="s">
        <v>973</v>
      </c>
      <c r="BC1587" s="37">
        <v>44313.0</v>
      </c>
      <c r="BD1587" s="37">
        <v>44358.0</v>
      </c>
      <c r="BE1587" s="37">
        <v>44358.0</v>
      </c>
      <c r="BF1587" s="51">
        <v>0.85</v>
      </c>
      <c r="BG1587" s="36" t="s">
        <v>1231</v>
      </c>
      <c r="BH1587" s="38" t="s">
        <v>4787</v>
      </c>
      <c r="FL1587" s="36" t="s">
        <v>3290</v>
      </c>
      <c r="FM1587" s="36" t="s">
        <v>283</v>
      </c>
    </row>
    <row r="1588">
      <c r="A1588" s="50">
        <v>44675.72902261574</v>
      </c>
      <c r="B1588" s="36" t="s">
        <v>7</v>
      </c>
      <c r="C1588" s="36" t="s">
        <v>13</v>
      </c>
      <c r="AX1588" s="36" t="s">
        <v>3287</v>
      </c>
      <c r="AY1588" s="36" t="s">
        <v>3288</v>
      </c>
      <c r="AZ1588" s="36" t="s">
        <v>4788</v>
      </c>
      <c r="BA1588" s="36" t="s">
        <v>377</v>
      </c>
      <c r="BB1588" s="36" t="s">
        <v>1846</v>
      </c>
      <c r="BC1588" s="37">
        <v>44175.0</v>
      </c>
      <c r="BD1588" s="37">
        <v>44271.0</v>
      </c>
      <c r="BE1588" s="37">
        <v>44271.0</v>
      </c>
      <c r="BF1588" s="51">
        <v>0.85</v>
      </c>
      <c r="BG1588" s="36" t="s">
        <v>3770</v>
      </c>
      <c r="BH1588" s="38" t="s">
        <v>4789</v>
      </c>
      <c r="FL1588" s="36" t="s">
        <v>3290</v>
      </c>
      <c r="FM1588" s="36" t="s">
        <v>283</v>
      </c>
    </row>
    <row r="1589">
      <c r="A1589" s="50">
        <v>44675.729105555554</v>
      </c>
      <c r="B1589" s="36" t="s">
        <v>7</v>
      </c>
      <c r="C1589" s="36" t="s">
        <v>13</v>
      </c>
      <c r="AX1589" s="36" t="s">
        <v>3303</v>
      </c>
      <c r="AY1589" s="36" t="s">
        <v>3304</v>
      </c>
      <c r="AZ1589" s="36" t="s">
        <v>347</v>
      </c>
      <c r="BA1589" s="36" t="s">
        <v>377</v>
      </c>
      <c r="BB1589" s="36" t="s">
        <v>1846</v>
      </c>
      <c r="BC1589" s="37">
        <v>44175.0</v>
      </c>
      <c r="BD1589" s="37">
        <v>44271.0</v>
      </c>
      <c r="BE1589" s="37">
        <v>44260.0</v>
      </c>
      <c r="BF1589" s="36">
        <v>86.0</v>
      </c>
      <c r="BG1589" s="36" t="s">
        <v>4790</v>
      </c>
      <c r="BH1589" s="38" t="s">
        <v>4791</v>
      </c>
      <c r="FL1589" s="36" t="s">
        <v>3306</v>
      </c>
      <c r="FM1589" s="36" t="s">
        <v>283</v>
      </c>
    </row>
    <row r="1590">
      <c r="A1590" s="50">
        <v>44675.73240586805</v>
      </c>
      <c r="B1590" s="36" t="s">
        <v>7</v>
      </c>
      <c r="C1590" s="36" t="s">
        <v>13</v>
      </c>
      <c r="AX1590" s="36" t="s">
        <v>3287</v>
      </c>
      <c r="AY1590" s="36" t="s">
        <v>3288</v>
      </c>
      <c r="AZ1590" s="36" t="s">
        <v>856</v>
      </c>
      <c r="BA1590" s="36" t="s">
        <v>377</v>
      </c>
      <c r="BB1590" s="36" t="s">
        <v>1846</v>
      </c>
      <c r="BC1590" s="37">
        <v>43981.0</v>
      </c>
      <c r="BD1590" s="37">
        <v>44080.0</v>
      </c>
      <c r="BE1590" s="37">
        <v>44080.0</v>
      </c>
      <c r="BF1590" s="51">
        <v>0.85</v>
      </c>
      <c r="BG1590" s="36" t="s">
        <v>857</v>
      </c>
      <c r="BH1590" s="38" t="s">
        <v>4792</v>
      </c>
      <c r="FL1590" s="36" t="s">
        <v>3290</v>
      </c>
      <c r="FM1590" s="36" t="s">
        <v>283</v>
      </c>
    </row>
    <row r="1591">
      <c r="A1591" s="50">
        <v>44675.733480243056</v>
      </c>
      <c r="B1591" s="36" t="s">
        <v>7</v>
      </c>
      <c r="C1591" s="36" t="s">
        <v>13</v>
      </c>
      <c r="AX1591" s="36" t="s">
        <v>3303</v>
      </c>
      <c r="AY1591" s="36" t="s">
        <v>3304</v>
      </c>
      <c r="AZ1591" s="36" t="s">
        <v>856</v>
      </c>
      <c r="BA1591" s="36" t="s">
        <v>377</v>
      </c>
      <c r="BB1591" s="36" t="s">
        <v>1846</v>
      </c>
      <c r="BC1591" s="37">
        <v>43981.0</v>
      </c>
      <c r="BD1591" s="37">
        <v>44074.0</v>
      </c>
      <c r="BE1591" s="37">
        <v>44074.0</v>
      </c>
      <c r="BF1591" s="36">
        <v>86.0</v>
      </c>
      <c r="BG1591" s="36" t="s">
        <v>857</v>
      </c>
      <c r="BH1591" s="38" t="s">
        <v>4793</v>
      </c>
      <c r="FL1591" s="36" t="s">
        <v>3306</v>
      </c>
      <c r="FM1591" s="36" t="s">
        <v>283</v>
      </c>
    </row>
    <row r="1592">
      <c r="A1592" s="50">
        <v>44675.736772743054</v>
      </c>
      <c r="B1592" s="36" t="s">
        <v>7</v>
      </c>
      <c r="C1592" s="36" t="s">
        <v>13</v>
      </c>
      <c r="AX1592" s="36" t="s">
        <v>3287</v>
      </c>
      <c r="AY1592" s="36" t="s">
        <v>3288</v>
      </c>
      <c r="AZ1592" s="36" t="s">
        <v>719</v>
      </c>
      <c r="BA1592" s="36" t="s">
        <v>377</v>
      </c>
      <c r="BB1592" s="36" t="s">
        <v>1846</v>
      </c>
      <c r="BC1592" s="37">
        <v>43848.0</v>
      </c>
      <c r="BD1592" s="37">
        <v>43946.0</v>
      </c>
      <c r="BE1592" s="37">
        <v>43946.0</v>
      </c>
      <c r="BF1592" s="51">
        <v>0.85</v>
      </c>
      <c r="BG1592" s="36" t="s">
        <v>4794</v>
      </c>
      <c r="BH1592" s="38" t="s">
        <v>4795</v>
      </c>
      <c r="FL1592" s="36" t="s">
        <v>3290</v>
      </c>
      <c r="FM1592" s="36" t="s">
        <v>283</v>
      </c>
    </row>
    <row r="1593">
      <c r="A1593" s="50">
        <v>44675.744470000005</v>
      </c>
      <c r="B1593" s="36" t="s">
        <v>7</v>
      </c>
      <c r="C1593" s="36" t="s">
        <v>13</v>
      </c>
      <c r="AX1593" s="36" t="s">
        <v>3303</v>
      </c>
      <c r="AY1593" s="36" t="s">
        <v>3304</v>
      </c>
      <c r="AZ1593" s="36" t="s">
        <v>566</v>
      </c>
      <c r="BA1593" s="36" t="s">
        <v>377</v>
      </c>
      <c r="BB1593" s="36" t="s">
        <v>4796</v>
      </c>
      <c r="BC1593" s="37">
        <v>44495.0</v>
      </c>
      <c r="BD1593" s="37">
        <v>44681.0</v>
      </c>
      <c r="BE1593" s="37">
        <v>44650.0</v>
      </c>
      <c r="BF1593" s="36">
        <v>87.0</v>
      </c>
      <c r="BG1593" s="36" t="s">
        <v>3715</v>
      </c>
      <c r="BH1593" s="38" t="s">
        <v>4797</v>
      </c>
      <c r="FL1593" s="36" t="s">
        <v>3306</v>
      </c>
      <c r="FM1593" s="36" t="s">
        <v>283</v>
      </c>
    </row>
    <row r="1594">
      <c r="A1594" s="50">
        <v>44675.75179060185</v>
      </c>
      <c r="B1594" s="36" t="s">
        <v>7</v>
      </c>
      <c r="C1594" s="36" t="s">
        <v>13</v>
      </c>
      <c r="AX1594" s="36" t="s">
        <v>3303</v>
      </c>
      <c r="AY1594" s="36" t="s">
        <v>4798</v>
      </c>
      <c r="AZ1594" s="36" t="s">
        <v>1159</v>
      </c>
      <c r="BA1594" s="36" t="s">
        <v>377</v>
      </c>
      <c r="BB1594" s="36" t="s">
        <v>310</v>
      </c>
      <c r="BC1594" s="37">
        <v>44355.0</v>
      </c>
      <c r="BD1594" s="37">
        <v>44384.0</v>
      </c>
      <c r="BE1594" s="37">
        <v>44384.0</v>
      </c>
      <c r="BF1594" s="36">
        <v>80.0</v>
      </c>
      <c r="BG1594" s="36" t="s">
        <v>4799</v>
      </c>
      <c r="BH1594" s="38" t="s">
        <v>4800</v>
      </c>
      <c r="FL1594" s="36" t="s">
        <v>3306</v>
      </c>
      <c r="FM1594" s="36" t="s">
        <v>283</v>
      </c>
    </row>
    <row r="1595">
      <c r="A1595" s="50">
        <v>44675.75421315972</v>
      </c>
      <c r="B1595" s="36" t="s">
        <v>7</v>
      </c>
      <c r="C1595" s="36" t="s">
        <v>13</v>
      </c>
      <c r="AX1595" s="36" t="s">
        <v>3303</v>
      </c>
      <c r="AY1595" s="36" t="s">
        <v>3304</v>
      </c>
      <c r="AZ1595" s="36" t="s">
        <v>981</v>
      </c>
      <c r="BA1595" s="36" t="s">
        <v>377</v>
      </c>
      <c r="BB1595" s="36" t="s">
        <v>1846</v>
      </c>
      <c r="BC1595" s="37">
        <v>43848.0</v>
      </c>
      <c r="BD1595" s="37">
        <v>43955.0</v>
      </c>
      <c r="BE1595" s="37">
        <v>43955.0</v>
      </c>
      <c r="BF1595" s="36">
        <v>86.0</v>
      </c>
      <c r="BG1595" s="36" t="s">
        <v>339</v>
      </c>
      <c r="BH1595" s="38" t="s">
        <v>4801</v>
      </c>
      <c r="FL1595" s="36" t="s">
        <v>3306</v>
      </c>
      <c r="FM1595" s="36" t="s">
        <v>283</v>
      </c>
    </row>
    <row r="1596">
      <c r="A1596" s="50">
        <v>44675.816555578705</v>
      </c>
      <c r="B1596" s="36" t="s">
        <v>7</v>
      </c>
      <c r="C1596" s="36" t="s">
        <v>12</v>
      </c>
      <c r="AN1596" s="36" t="s">
        <v>4802</v>
      </c>
      <c r="AO1596" s="36" t="s">
        <v>3541</v>
      </c>
      <c r="AP1596" s="36" t="s">
        <v>3955</v>
      </c>
      <c r="AQ1596" s="36" t="s">
        <v>3818</v>
      </c>
      <c r="AR1596" s="37">
        <v>44470.0</v>
      </c>
      <c r="AS1596" s="37">
        <v>44306.0</v>
      </c>
      <c r="AT1596" s="36" t="s">
        <v>257</v>
      </c>
      <c r="AU1596" s="36" t="s">
        <v>257</v>
      </c>
      <c r="AV1596" s="36">
        <v>0.0</v>
      </c>
      <c r="AW1596" s="38" t="s">
        <v>4803</v>
      </c>
      <c r="FL1596" s="36" t="s">
        <v>3543</v>
      </c>
      <c r="FM1596" s="36" t="s">
        <v>283</v>
      </c>
    </row>
    <row r="1597">
      <c r="A1597" s="50">
        <v>44675.85690108796</v>
      </c>
      <c r="B1597" s="36" t="s">
        <v>7</v>
      </c>
      <c r="C1597" s="36" t="s">
        <v>13</v>
      </c>
      <c r="AX1597" s="36" t="s">
        <v>3198</v>
      </c>
      <c r="AY1597" s="36" t="s">
        <v>3199</v>
      </c>
      <c r="AZ1597" s="36" t="s">
        <v>347</v>
      </c>
      <c r="BA1597" s="36" t="s">
        <v>337</v>
      </c>
      <c r="BB1597" s="36" t="s">
        <v>310</v>
      </c>
      <c r="BC1597" s="37">
        <v>44249.0</v>
      </c>
      <c r="BD1597" s="37">
        <v>44308.0</v>
      </c>
      <c r="BE1597" s="37">
        <v>44308.0</v>
      </c>
      <c r="BF1597" s="51">
        <v>0.92</v>
      </c>
      <c r="BG1597" s="36" t="s">
        <v>4617</v>
      </c>
      <c r="BH1597" s="38" t="s">
        <v>4804</v>
      </c>
      <c r="FL1597" s="36" t="s">
        <v>3201</v>
      </c>
      <c r="FM1597" s="36" t="s">
        <v>283</v>
      </c>
    </row>
    <row r="1598">
      <c r="A1598" s="50">
        <v>44675.85955971065</v>
      </c>
      <c r="B1598" s="36" t="s">
        <v>7</v>
      </c>
      <c r="C1598" s="36" t="s">
        <v>13</v>
      </c>
      <c r="AX1598" s="36" t="s">
        <v>3198</v>
      </c>
      <c r="AY1598" s="36" t="s">
        <v>3199</v>
      </c>
      <c r="AZ1598" s="36" t="s">
        <v>856</v>
      </c>
      <c r="BA1598" s="36" t="s">
        <v>337</v>
      </c>
      <c r="BB1598" s="36" t="s">
        <v>310</v>
      </c>
      <c r="BC1598" s="37">
        <v>44012.0</v>
      </c>
      <c r="BD1598" s="37">
        <v>44074.0</v>
      </c>
      <c r="BE1598" s="37">
        <v>44074.0</v>
      </c>
      <c r="BF1598" s="51">
        <v>0.9</v>
      </c>
      <c r="BG1598" s="36" t="s">
        <v>857</v>
      </c>
      <c r="BH1598" s="38" t="s">
        <v>4805</v>
      </c>
      <c r="FL1598" s="36" t="s">
        <v>3201</v>
      </c>
      <c r="FM1598" s="36" t="s">
        <v>283</v>
      </c>
    </row>
    <row r="1599">
      <c r="A1599" s="50">
        <v>44675.866218483796</v>
      </c>
      <c r="B1599" s="36" t="s">
        <v>7</v>
      </c>
      <c r="C1599" s="36" t="s">
        <v>13</v>
      </c>
      <c r="AX1599" s="36" t="s">
        <v>3198</v>
      </c>
      <c r="AY1599" s="36" t="s">
        <v>3199</v>
      </c>
      <c r="AZ1599" s="36" t="s">
        <v>571</v>
      </c>
      <c r="BA1599" s="36" t="s">
        <v>337</v>
      </c>
      <c r="BB1599" s="36" t="s">
        <v>450</v>
      </c>
      <c r="BC1599" s="37">
        <v>44568.0</v>
      </c>
      <c r="BD1599" s="37">
        <v>44658.0</v>
      </c>
      <c r="BE1599" s="37">
        <v>44658.0</v>
      </c>
      <c r="BF1599" s="51">
        <v>0.93</v>
      </c>
      <c r="BG1599" s="36" t="s">
        <v>3674</v>
      </c>
      <c r="BH1599" s="38" t="s">
        <v>4806</v>
      </c>
      <c r="FL1599" s="36" t="s">
        <v>3201</v>
      </c>
      <c r="FM1599" s="36" t="s">
        <v>283</v>
      </c>
    </row>
    <row r="1600">
      <c r="A1600" s="50">
        <v>44675.86858519676</v>
      </c>
      <c r="B1600" s="36" t="s">
        <v>7</v>
      </c>
      <c r="C1600" s="36" t="s">
        <v>13</v>
      </c>
      <c r="AX1600" s="36" t="s">
        <v>3198</v>
      </c>
      <c r="AY1600" s="36" t="s">
        <v>3199</v>
      </c>
      <c r="AZ1600" s="36" t="s">
        <v>1101</v>
      </c>
      <c r="BA1600" s="36" t="s">
        <v>345</v>
      </c>
      <c r="BB1600" s="36" t="s">
        <v>495</v>
      </c>
      <c r="BC1600" s="37">
        <v>44115.0</v>
      </c>
      <c r="BD1600" s="37">
        <v>44146.0</v>
      </c>
      <c r="BE1600" s="37">
        <v>44146.0</v>
      </c>
      <c r="BF1600" s="51">
        <v>0.9</v>
      </c>
      <c r="BG1600" s="36" t="s">
        <v>1031</v>
      </c>
      <c r="BH1600" s="38" t="s">
        <v>4807</v>
      </c>
      <c r="FL1600" s="36" t="s">
        <v>3201</v>
      </c>
      <c r="FM1600" s="36" t="s">
        <v>283</v>
      </c>
    </row>
    <row r="1601">
      <c r="A1601" s="50">
        <v>44675.87302280092</v>
      </c>
      <c r="B1601" s="36" t="s">
        <v>7</v>
      </c>
      <c r="C1601" s="36" t="s">
        <v>13</v>
      </c>
      <c r="AX1601" s="36" t="s">
        <v>3198</v>
      </c>
      <c r="AY1601" s="36" t="s">
        <v>3199</v>
      </c>
      <c r="AZ1601" s="36" t="s">
        <v>3699</v>
      </c>
      <c r="BA1601" s="36" t="s">
        <v>337</v>
      </c>
      <c r="BB1601" s="36" t="s">
        <v>450</v>
      </c>
      <c r="BC1601" s="37">
        <v>44583.0</v>
      </c>
      <c r="BD1601" s="37">
        <v>44673.0</v>
      </c>
      <c r="BE1601" s="37">
        <v>44673.0</v>
      </c>
      <c r="BF1601" s="51">
        <v>0.9</v>
      </c>
      <c r="BG1601" s="36" t="s">
        <v>1031</v>
      </c>
      <c r="BH1601" s="38" t="s">
        <v>4808</v>
      </c>
      <c r="FL1601" s="36" t="s">
        <v>3201</v>
      </c>
      <c r="FM1601" s="36" t="s">
        <v>283</v>
      </c>
    </row>
    <row r="1602">
      <c r="A1602" s="50">
        <v>44675.88123961806</v>
      </c>
      <c r="B1602" s="36" t="s">
        <v>7</v>
      </c>
      <c r="C1602" s="36" t="s">
        <v>13</v>
      </c>
      <c r="AX1602" s="36" t="s">
        <v>2828</v>
      </c>
      <c r="AY1602" s="36" t="s">
        <v>2829</v>
      </c>
      <c r="AZ1602" s="36" t="s">
        <v>687</v>
      </c>
      <c r="BA1602" s="36" t="s">
        <v>4809</v>
      </c>
      <c r="BB1602" s="36" t="s">
        <v>310</v>
      </c>
      <c r="BC1602" s="37">
        <v>44198.0</v>
      </c>
      <c r="BD1602" s="37">
        <v>44263.0</v>
      </c>
      <c r="BE1602" s="37">
        <v>44263.0</v>
      </c>
      <c r="BF1602" s="51">
        <v>0.83</v>
      </c>
      <c r="BG1602" s="36" t="s">
        <v>559</v>
      </c>
      <c r="BH1602" s="38" t="s">
        <v>4810</v>
      </c>
      <c r="FL1602" s="36" t="s">
        <v>2832</v>
      </c>
      <c r="FM1602" s="36" t="s">
        <v>283</v>
      </c>
    </row>
    <row r="1603">
      <c r="A1603" s="50">
        <v>44675.8909747338</v>
      </c>
      <c r="B1603" s="36" t="s">
        <v>7</v>
      </c>
      <c r="C1603" s="36" t="s">
        <v>13</v>
      </c>
      <c r="AX1603" s="36" t="s">
        <v>2828</v>
      </c>
      <c r="AY1603" s="36" t="s">
        <v>2829</v>
      </c>
      <c r="AZ1603" s="36" t="s">
        <v>4811</v>
      </c>
      <c r="BA1603" s="36" t="s">
        <v>4589</v>
      </c>
      <c r="BB1603" s="36" t="s">
        <v>495</v>
      </c>
      <c r="BC1603" s="37">
        <v>44485.0</v>
      </c>
      <c r="BD1603" s="37">
        <v>44514.0</v>
      </c>
      <c r="BE1603" s="37">
        <v>44514.0</v>
      </c>
      <c r="BF1603" s="36" t="s">
        <v>4812</v>
      </c>
      <c r="BG1603" s="36" t="s">
        <v>4813</v>
      </c>
      <c r="BH1603" s="38" t="s">
        <v>4814</v>
      </c>
      <c r="FL1603" s="36" t="s">
        <v>2832</v>
      </c>
      <c r="FM1603" s="36" t="s">
        <v>283</v>
      </c>
    </row>
    <row r="1604">
      <c r="A1604" s="50">
        <v>44675.89319342593</v>
      </c>
      <c r="B1604" s="36" t="s">
        <v>7</v>
      </c>
      <c r="C1604" s="36" t="s">
        <v>13</v>
      </c>
      <c r="AX1604" s="36" t="s">
        <v>2828</v>
      </c>
      <c r="AY1604" s="36" t="s">
        <v>2829</v>
      </c>
      <c r="AZ1604" s="36" t="s">
        <v>4815</v>
      </c>
      <c r="BA1604" s="36" t="s">
        <v>4589</v>
      </c>
      <c r="BB1604" s="36" t="s">
        <v>495</v>
      </c>
      <c r="BC1604" s="37">
        <v>44515.0</v>
      </c>
      <c r="BD1604" s="37">
        <v>44538.0</v>
      </c>
      <c r="BE1604" s="37">
        <v>44538.0</v>
      </c>
      <c r="BF1604" s="51">
        <v>1.0</v>
      </c>
      <c r="BG1604" s="36" t="s">
        <v>4816</v>
      </c>
      <c r="BH1604" s="38" t="s">
        <v>4817</v>
      </c>
      <c r="FL1604" s="36" t="s">
        <v>2832</v>
      </c>
      <c r="FM1604" s="36" t="s">
        <v>283</v>
      </c>
    </row>
    <row r="1605">
      <c r="A1605" s="50">
        <v>44675.89323255787</v>
      </c>
      <c r="B1605" s="36" t="s">
        <v>7</v>
      </c>
      <c r="C1605" s="36" t="s">
        <v>13</v>
      </c>
      <c r="AX1605" s="36" t="s">
        <v>3226</v>
      </c>
      <c r="AY1605" s="36" t="s">
        <v>3227</v>
      </c>
      <c r="AZ1605" s="36" t="s">
        <v>4818</v>
      </c>
      <c r="BA1605" s="36" t="s">
        <v>2819</v>
      </c>
      <c r="BB1605" s="36" t="s">
        <v>1846</v>
      </c>
      <c r="BC1605" s="37">
        <v>43845.0</v>
      </c>
      <c r="BD1605" s="37">
        <v>43974.0</v>
      </c>
      <c r="BE1605" s="37">
        <v>43974.0</v>
      </c>
      <c r="BF1605" s="51">
        <v>0.92</v>
      </c>
      <c r="BG1605" s="36" t="s">
        <v>3674</v>
      </c>
      <c r="BH1605" s="38" t="s">
        <v>4819</v>
      </c>
      <c r="FL1605" s="36" t="s">
        <v>3229</v>
      </c>
      <c r="FM1605" s="36" t="s">
        <v>283</v>
      </c>
    </row>
    <row r="1606">
      <c r="A1606" s="50">
        <v>44675.89831875</v>
      </c>
      <c r="B1606" s="36" t="s">
        <v>7</v>
      </c>
      <c r="C1606" s="36" t="s">
        <v>13</v>
      </c>
      <c r="AX1606" s="36" t="s">
        <v>2828</v>
      </c>
      <c r="AY1606" s="36" t="s">
        <v>2829</v>
      </c>
      <c r="AZ1606" s="36" t="s">
        <v>502</v>
      </c>
      <c r="BA1606" s="36" t="s">
        <v>4820</v>
      </c>
      <c r="BB1606" s="36" t="s">
        <v>4010</v>
      </c>
      <c r="BC1606" s="37">
        <v>44657.0</v>
      </c>
      <c r="BD1606" s="37">
        <v>44672.0</v>
      </c>
      <c r="BE1606" s="37">
        <v>44672.0</v>
      </c>
      <c r="BF1606" s="36">
        <v>100.0</v>
      </c>
      <c r="BG1606" s="36" t="s">
        <v>1231</v>
      </c>
      <c r="BH1606" s="38" t="s">
        <v>4821</v>
      </c>
      <c r="FL1606" s="36" t="s">
        <v>2832</v>
      </c>
      <c r="FM1606" s="36" t="s">
        <v>283</v>
      </c>
    </row>
    <row r="1607">
      <c r="A1607" s="50">
        <v>44675.90041555556</v>
      </c>
      <c r="B1607" s="36" t="s">
        <v>7</v>
      </c>
      <c r="C1607" s="36" t="s">
        <v>13</v>
      </c>
      <c r="AX1607" s="36" t="s">
        <v>2828</v>
      </c>
      <c r="AY1607" s="36" t="s">
        <v>2829</v>
      </c>
      <c r="AZ1607" s="36" t="s">
        <v>4822</v>
      </c>
      <c r="BA1607" s="36" t="s">
        <v>4820</v>
      </c>
      <c r="BB1607" s="36" t="s">
        <v>4010</v>
      </c>
      <c r="BC1607" s="37">
        <v>44657.0</v>
      </c>
      <c r="BD1607" s="37">
        <v>44672.0</v>
      </c>
      <c r="BE1607" s="37">
        <v>44672.0</v>
      </c>
      <c r="BF1607" s="36">
        <v>100.0</v>
      </c>
      <c r="BG1607" s="36" t="s">
        <v>1231</v>
      </c>
      <c r="BH1607" s="38" t="s">
        <v>4823</v>
      </c>
      <c r="FL1607" s="36" t="s">
        <v>2832</v>
      </c>
      <c r="FM1607" s="36" t="s">
        <v>283</v>
      </c>
    </row>
    <row r="1608">
      <c r="A1608" s="50">
        <v>44675.90073902778</v>
      </c>
      <c r="B1608" s="36" t="s">
        <v>7</v>
      </c>
      <c r="C1608" s="36" t="s">
        <v>12</v>
      </c>
      <c r="AN1608" s="36" t="s">
        <v>4824</v>
      </c>
      <c r="AO1608" s="36" t="s">
        <v>3304</v>
      </c>
      <c r="AP1608" s="36" t="s">
        <v>2212</v>
      </c>
      <c r="AQ1608" s="36" t="s">
        <v>507</v>
      </c>
      <c r="AR1608" s="37">
        <v>44470.0</v>
      </c>
      <c r="AS1608" s="37">
        <v>44561.0</v>
      </c>
      <c r="AT1608" s="36" t="s">
        <v>257</v>
      </c>
      <c r="AU1608" s="36" t="s">
        <v>257</v>
      </c>
      <c r="AV1608" s="36">
        <v>0.0</v>
      </c>
      <c r="AW1608" s="38" t="s">
        <v>4825</v>
      </c>
      <c r="FL1608" s="36" t="s">
        <v>4826</v>
      </c>
      <c r="FM1608" s="36" t="s">
        <v>283</v>
      </c>
    </row>
    <row r="1609">
      <c r="A1609" s="50">
        <v>44675.90192266204</v>
      </c>
      <c r="B1609" s="36" t="s">
        <v>7</v>
      </c>
      <c r="C1609" s="36" t="s">
        <v>13</v>
      </c>
      <c r="AX1609" s="36" t="s">
        <v>2828</v>
      </c>
      <c r="AY1609" s="36" t="s">
        <v>2829</v>
      </c>
      <c r="AZ1609" s="36" t="s">
        <v>4827</v>
      </c>
      <c r="BA1609" s="36" t="s">
        <v>4820</v>
      </c>
      <c r="BB1609" s="36" t="s">
        <v>4010</v>
      </c>
      <c r="BC1609" s="37">
        <v>44657.0</v>
      </c>
      <c r="BD1609" s="37">
        <v>44672.0</v>
      </c>
      <c r="BE1609" s="37">
        <v>44672.0</v>
      </c>
      <c r="BF1609" s="36">
        <v>93.0</v>
      </c>
      <c r="BG1609" s="36" t="s">
        <v>1231</v>
      </c>
      <c r="BH1609" s="38" t="s">
        <v>4828</v>
      </c>
      <c r="FL1609" s="36" t="s">
        <v>2832</v>
      </c>
      <c r="FM1609" s="36" t="s">
        <v>283</v>
      </c>
    </row>
    <row r="1610">
      <c r="A1610" s="50">
        <v>44675.90440842592</v>
      </c>
      <c r="B1610" s="36" t="s">
        <v>7</v>
      </c>
      <c r="C1610" s="36" t="s">
        <v>13</v>
      </c>
      <c r="AX1610" s="36" t="s">
        <v>2828</v>
      </c>
      <c r="AY1610" s="36" t="s">
        <v>2829</v>
      </c>
      <c r="AZ1610" s="36" t="s">
        <v>4829</v>
      </c>
      <c r="BA1610" s="36" t="s">
        <v>4820</v>
      </c>
      <c r="BB1610" s="36" t="s">
        <v>4010</v>
      </c>
      <c r="BC1610" s="37">
        <v>44657.0</v>
      </c>
      <c r="BD1610" s="37">
        <v>44673.0</v>
      </c>
      <c r="BE1610" s="37">
        <v>44673.0</v>
      </c>
      <c r="BF1610" s="36">
        <v>97.0</v>
      </c>
      <c r="BG1610" s="36" t="s">
        <v>1231</v>
      </c>
      <c r="BH1610" s="38" t="s">
        <v>4830</v>
      </c>
      <c r="FL1610" s="36" t="s">
        <v>2832</v>
      </c>
      <c r="FM1610" s="36" t="s">
        <v>283</v>
      </c>
    </row>
    <row r="1611">
      <c r="A1611" s="50">
        <v>44675.91022960648</v>
      </c>
      <c r="B1611" s="36" t="s">
        <v>7</v>
      </c>
      <c r="C1611" s="36" t="s">
        <v>12</v>
      </c>
      <c r="AN1611" s="36" t="s">
        <v>4824</v>
      </c>
      <c r="AO1611" s="36" t="s">
        <v>4831</v>
      </c>
      <c r="AP1611" s="36" t="s">
        <v>4006</v>
      </c>
      <c r="AQ1611" s="36" t="s">
        <v>507</v>
      </c>
      <c r="AR1611" s="37">
        <v>44500.0</v>
      </c>
      <c r="AS1611" s="37">
        <v>44561.0</v>
      </c>
      <c r="AT1611" s="36" t="s">
        <v>257</v>
      </c>
      <c r="AU1611" s="36" t="s">
        <v>257</v>
      </c>
      <c r="AV1611" s="36">
        <v>0.0</v>
      </c>
      <c r="AW1611" s="38" t="s">
        <v>4832</v>
      </c>
      <c r="FL1611" s="36" t="s">
        <v>4826</v>
      </c>
      <c r="FM1611" s="36" t="s">
        <v>283</v>
      </c>
    </row>
    <row r="1612">
      <c r="A1612" s="50">
        <v>44675.91552185186</v>
      </c>
      <c r="B1612" s="36" t="s">
        <v>7</v>
      </c>
      <c r="C1612" s="36" t="s">
        <v>13</v>
      </c>
      <c r="AX1612" s="36" t="s">
        <v>4824</v>
      </c>
      <c r="AY1612" s="36" t="s">
        <v>4831</v>
      </c>
      <c r="AZ1612" s="36" t="s">
        <v>4833</v>
      </c>
      <c r="BA1612" s="36" t="s">
        <v>377</v>
      </c>
      <c r="BB1612" s="36" t="s">
        <v>4796</v>
      </c>
      <c r="BC1612" s="37">
        <v>44482.0</v>
      </c>
      <c r="BD1612" s="37">
        <v>44605.0</v>
      </c>
      <c r="BE1612" s="37">
        <v>44605.0</v>
      </c>
      <c r="BF1612" s="36">
        <v>86.0</v>
      </c>
      <c r="BG1612" s="36" t="s">
        <v>445</v>
      </c>
      <c r="BH1612" s="38" t="s">
        <v>4834</v>
      </c>
      <c r="FL1612" s="36" t="s">
        <v>4826</v>
      </c>
      <c r="FM1612" s="36" t="s">
        <v>283</v>
      </c>
    </row>
    <row r="1613">
      <c r="A1613" s="50">
        <v>44675.91829262731</v>
      </c>
      <c r="B1613" s="36" t="s">
        <v>7</v>
      </c>
      <c r="C1613" s="36" t="s">
        <v>13</v>
      </c>
      <c r="AX1613" s="36" t="s">
        <v>4824</v>
      </c>
      <c r="AY1613" s="36" t="s">
        <v>4831</v>
      </c>
      <c r="AZ1613" s="36" t="s">
        <v>347</v>
      </c>
      <c r="BA1613" s="36" t="s">
        <v>377</v>
      </c>
      <c r="BB1613" s="36" t="s">
        <v>1846</v>
      </c>
      <c r="BC1613" s="37">
        <v>44212.0</v>
      </c>
      <c r="BD1613" s="37">
        <v>44308.0</v>
      </c>
      <c r="BE1613" s="37">
        <v>44308.0</v>
      </c>
      <c r="BF1613" s="36">
        <v>86.0</v>
      </c>
      <c r="BG1613" s="36" t="s">
        <v>4790</v>
      </c>
      <c r="BH1613" s="38" t="s">
        <v>4835</v>
      </c>
      <c r="FL1613" s="36" t="s">
        <v>4826</v>
      </c>
      <c r="FM1613" s="36" t="s">
        <v>283</v>
      </c>
    </row>
    <row r="1614">
      <c r="A1614" s="50">
        <v>44675.92137034722</v>
      </c>
      <c r="B1614" s="36" t="s">
        <v>7</v>
      </c>
      <c r="C1614" s="36" t="s">
        <v>13</v>
      </c>
      <c r="AX1614" s="36" t="s">
        <v>4824</v>
      </c>
      <c r="AY1614" s="36" t="s">
        <v>4831</v>
      </c>
      <c r="AZ1614" s="36" t="s">
        <v>566</v>
      </c>
      <c r="BA1614" s="36" t="s">
        <v>377</v>
      </c>
      <c r="BB1614" s="36" t="s">
        <v>4796</v>
      </c>
      <c r="BC1614" s="37">
        <v>44430.0</v>
      </c>
      <c r="BD1614" s="37">
        <v>44545.0</v>
      </c>
      <c r="BE1614" s="37">
        <v>44545.0</v>
      </c>
      <c r="BF1614" s="36">
        <v>87.0</v>
      </c>
      <c r="BG1614" s="36" t="s">
        <v>445</v>
      </c>
      <c r="BH1614" s="38" t="s">
        <v>4836</v>
      </c>
      <c r="FL1614" s="36" t="s">
        <v>4826</v>
      </c>
      <c r="FM1614" s="36" t="s">
        <v>283</v>
      </c>
    </row>
    <row r="1615">
      <c r="A1615" s="50">
        <v>44675.9246771412</v>
      </c>
      <c r="B1615" s="36" t="s">
        <v>7</v>
      </c>
      <c r="C1615" s="36" t="s">
        <v>13</v>
      </c>
      <c r="AX1615" s="36" t="s">
        <v>4824</v>
      </c>
      <c r="AY1615" s="36" t="s">
        <v>4831</v>
      </c>
      <c r="AZ1615" s="36" t="s">
        <v>856</v>
      </c>
      <c r="BA1615" s="36" t="s">
        <v>377</v>
      </c>
      <c r="BB1615" s="36" t="s">
        <v>1846</v>
      </c>
      <c r="BC1615" s="37">
        <v>43987.0</v>
      </c>
      <c r="BD1615" s="37">
        <v>44087.0</v>
      </c>
      <c r="BE1615" s="37">
        <v>44087.0</v>
      </c>
      <c r="BF1615" s="36">
        <v>86.0</v>
      </c>
      <c r="BG1615" s="36" t="s">
        <v>4837</v>
      </c>
      <c r="BH1615" s="38" t="s">
        <v>4838</v>
      </c>
      <c r="FL1615" s="36" t="s">
        <v>4826</v>
      </c>
      <c r="FM1615" s="36" t="s">
        <v>283</v>
      </c>
    </row>
    <row r="1616">
      <c r="A1616" s="50">
        <v>44676.2691246412</v>
      </c>
      <c r="B1616" s="36" t="s">
        <v>7</v>
      </c>
      <c r="C1616" s="36" t="s">
        <v>13</v>
      </c>
      <c r="AX1616" s="36" t="s">
        <v>3242</v>
      </c>
      <c r="AY1616" s="36" t="s">
        <v>3240</v>
      </c>
      <c r="AZ1616" s="36" t="s">
        <v>1351</v>
      </c>
      <c r="BA1616" s="36" t="s">
        <v>345</v>
      </c>
      <c r="BB1616" s="36" t="s">
        <v>4839</v>
      </c>
      <c r="BC1616" s="37">
        <v>43925.0</v>
      </c>
      <c r="BD1616" s="37">
        <v>43946.0</v>
      </c>
      <c r="BE1616" s="37">
        <v>43946.0</v>
      </c>
      <c r="BF1616" s="51">
        <v>0.9</v>
      </c>
      <c r="BG1616" s="36" t="s">
        <v>4840</v>
      </c>
      <c r="BH1616" s="38" t="s">
        <v>4841</v>
      </c>
      <c r="FL1616" s="36" t="s">
        <v>3242</v>
      </c>
      <c r="FM1616" s="36" t="s">
        <v>382</v>
      </c>
    </row>
    <row r="1617">
      <c r="A1617" s="50">
        <v>44676.273465</v>
      </c>
      <c r="B1617" s="36" t="s">
        <v>7</v>
      </c>
      <c r="C1617" s="36" t="s">
        <v>13</v>
      </c>
      <c r="AX1617" s="36" t="s">
        <v>3239</v>
      </c>
      <c r="AY1617" s="36" t="s">
        <v>3240</v>
      </c>
      <c r="AZ1617" s="36" t="s">
        <v>4842</v>
      </c>
      <c r="BA1617" s="36" t="s">
        <v>1626</v>
      </c>
      <c r="BB1617" s="36" t="s">
        <v>882</v>
      </c>
      <c r="BC1617" s="37">
        <v>43942.0</v>
      </c>
      <c r="BD1617" s="37">
        <v>43963.0</v>
      </c>
      <c r="BE1617" s="37">
        <v>43963.0</v>
      </c>
      <c r="BF1617" s="51">
        <v>0.8</v>
      </c>
      <c r="BG1617" s="36" t="s">
        <v>4843</v>
      </c>
      <c r="BH1617" s="38" t="s">
        <v>4844</v>
      </c>
      <c r="FL1617" s="36" t="s">
        <v>3242</v>
      </c>
      <c r="FM1617" s="36" t="s">
        <v>382</v>
      </c>
    </row>
    <row r="1618">
      <c r="A1618" s="50">
        <v>44676.27577849537</v>
      </c>
      <c r="B1618" s="36" t="s">
        <v>7</v>
      </c>
      <c r="C1618" s="36" t="s">
        <v>13</v>
      </c>
      <c r="AX1618" s="36" t="s">
        <v>3239</v>
      </c>
      <c r="AY1618" s="36" t="s">
        <v>3240</v>
      </c>
      <c r="AZ1618" s="36" t="s">
        <v>4845</v>
      </c>
      <c r="BA1618" s="36" t="s">
        <v>345</v>
      </c>
      <c r="BB1618" s="36" t="s">
        <v>4561</v>
      </c>
      <c r="BC1618" s="37">
        <v>43934.0</v>
      </c>
      <c r="BD1618" s="37">
        <v>43961.0</v>
      </c>
      <c r="BE1618" s="37">
        <v>43961.0</v>
      </c>
      <c r="BF1618" s="51">
        <v>0.93</v>
      </c>
      <c r="BG1618" s="36" t="s">
        <v>4846</v>
      </c>
      <c r="BH1618" s="38" t="s">
        <v>4847</v>
      </c>
      <c r="FL1618" s="36" t="s">
        <v>3242</v>
      </c>
      <c r="FM1618" s="36" t="s">
        <v>382</v>
      </c>
    </row>
    <row r="1619">
      <c r="A1619" s="50">
        <v>44676.28191046296</v>
      </c>
      <c r="B1619" s="36" t="s">
        <v>7</v>
      </c>
      <c r="C1619" s="36" t="s">
        <v>13</v>
      </c>
      <c r="AX1619" s="36" t="s">
        <v>3239</v>
      </c>
      <c r="AY1619" s="36" t="s">
        <v>3240</v>
      </c>
      <c r="AZ1619" s="36" t="s">
        <v>4848</v>
      </c>
      <c r="BA1619" s="36" t="s">
        <v>4849</v>
      </c>
      <c r="BB1619" s="36" t="s">
        <v>196</v>
      </c>
      <c r="BC1619" s="37">
        <v>43991.0</v>
      </c>
      <c r="BD1619" s="37">
        <v>43991.0</v>
      </c>
      <c r="BE1619" s="37">
        <v>43991.0</v>
      </c>
      <c r="BF1619" s="51">
        <v>0.8</v>
      </c>
      <c r="BG1619" s="36" t="s">
        <v>4850</v>
      </c>
      <c r="BH1619" s="38" t="s">
        <v>4851</v>
      </c>
      <c r="FL1619" s="36" t="s">
        <v>3242</v>
      </c>
      <c r="FM1619" s="36" t="s">
        <v>382</v>
      </c>
    </row>
    <row r="1620">
      <c r="A1620" s="50">
        <v>44676.2856828588</v>
      </c>
      <c r="B1620" s="36" t="s">
        <v>7</v>
      </c>
      <c r="C1620" s="36" t="s">
        <v>13</v>
      </c>
      <c r="AX1620" s="36" t="s">
        <v>3239</v>
      </c>
      <c r="AY1620" s="36" t="s">
        <v>3240</v>
      </c>
      <c r="AZ1620" s="36" t="s">
        <v>4852</v>
      </c>
      <c r="BA1620" s="36" t="s">
        <v>345</v>
      </c>
      <c r="BB1620" s="36" t="s">
        <v>973</v>
      </c>
      <c r="BC1620" s="37">
        <v>43965.0</v>
      </c>
      <c r="BD1620" s="37">
        <v>43993.0</v>
      </c>
      <c r="BE1620" s="37">
        <v>43993.0</v>
      </c>
      <c r="BF1620" s="51">
        <v>0.9</v>
      </c>
      <c r="BG1620" s="36" t="s">
        <v>1375</v>
      </c>
      <c r="BH1620" s="38" t="s">
        <v>4853</v>
      </c>
      <c r="FL1620" s="36" t="s">
        <v>3242</v>
      </c>
      <c r="FM1620" s="36" t="s">
        <v>382</v>
      </c>
    </row>
    <row r="1621">
      <c r="A1621" s="50">
        <v>44676.2884184375</v>
      </c>
      <c r="B1621" s="36" t="s">
        <v>7</v>
      </c>
      <c r="C1621" s="36" t="s">
        <v>13</v>
      </c>
      <c r="AX1621" s="36" t="s">
        <v>3239</v>
      </c>
      <c r="AY1621" s="36" t="s">
        <v>3240</v>
      </c>
      <c r="AZ1621" s="36" t="s">
        <v>4854</v>
      </c>
      <c r="BA1621" s="36" t="s">
        <v>345</v>
      </c>
      <c r="BB1621" s="36" t="s">
        <v>4561</v>
      </c>
      <c r="BC1621" s="37">
        <v>43952.0</v>
      </c>
      <c r="BD1621" s="37">
        <v>43980.0</v>
      </c>
      <c r="BE1621" s="37">
        <v>43980.0</v>
      </c>
      <c r="BF1621" s="51">
        <v>0.85</v>
      </c>
      <c r="BG1621" s="36" t="s">
        <v>4855</v>
      </c>
      <c r="BH1621" s="38" t="s">
        <v>4856</v>
      </c>
      <c r="FL1621" s="36" t="s">
        <v>3242</v>
      </c>
      <c r="FM1621" s="36" t="s">
        <v>382</v>
      </c>
    </row>
    <row r="1622">
      <c r="A1622" s="50">
        <v>44676.294946643524</v>
      </c>
      <c r="B1622" s="36" t="s">
        <v>7</v>
      </c>
      <c r="C1622" s="36" t="s">
        <v>14</v>
      </c>
      <c r="BI1622" s="36" t="s">
        <v>3239</v>
      </c>
      <c r="BJ1622" s="36" t="s">
        <v>3240</v>
      </c>
      <c r="BK1622" s="36" t="s">
        <v>171</v>
      </c>
      <c r="BL1622" s="36" t="s">
        <v>1288</v>
      </c>
      <c r="BM1622" s="36" t="s">
        <v>1746</v>
      </c>
      <c r="BN1622" s="36">
        <v>1.0</v>
      </c>
      <c r="BO1622" s="37">
        <v>44008.0</v>
      </c>
      <c r="BP1622" s="37">
        <v>44008.0</v>
      </c>
      <c r="BQ1622" s="36" t="s">
        <v>4857</v>
      </c>
      <c r="BR1622" s="36" t="s">
        <v>4858</v>
      </c>
      <c r="BS1622" s="36" t="s">
        <v>155</v>
      </c>
      <c r="BT1622" s="36" t="s">
        <v>156</v>
      </c>
      <c r="BV1622" s="38" t="s">
        <v>4859</v>
      </c>
      <c r="FL1622" s="36" t="s">
        <v>3242</v>
      </c>
      <c r="FM1622" s="36" t="s">
        <v>555</v>
      </c>
    </row>
    <row r="1623">
      <c r="A1623" s="50">
        <v>44676.297254756944</v>
      </c>
      <c r="B1623" s="36" t="s">
        <v>7</v>
      </c>
      <c r="C1623" s="36" t="s">
        <v>13</v>
      </c>
      <c r="AX1623" s="36" t="s">
        <v>3239</v>
      </c>
      <c r="AY1623" s="36" t="s">
        <v>3240</v>
      </c>
      <c r="AZ1623" s="36" t="s">
        <v>543</v>
      </c>
      <c r="BA1623" s="36" t="s">
        <v>345</v>
      </c>
      <c r="BB1623" s="36" t="s">
        <v>973</v>
      </c>
      <c r="BC1623" s="37">
        <v>43969.0</v>
      </c>
      <c r="BD1623" s="37">
        <v>44003.0</v>
      </c>
      <c r="BE1623" s="37">
        <v>44003.0</v>
      </c>
      <c r="BF1623" s="51">
        <v>0.9</v>
      </c>
      <c r="BG1623" s="36" t="s">
        <v>1375</v>
      </c>
      <c r="BH1623" s="38" t="s">
        <v>4860</v>
      </c>
      <c r="FL1623" s="36" t="s">
        <v>3242</v>
      </c>
      <c r="FM1623" s="36" t="s">
        <v>555</v>
      </c>
    </row>
    <row r="1624">
      <c r="A1624" s="50">
        <v>44676.30007265046</v>
      </c>
      <c r="B1624" s="36" t="s">
        <v>7</v>
      </c>
      <c r="C1624" s="36" t="s">
        <v>14</v>
      </c>
      <c r="BI1624" s="36" t="s">
        <v>3239</v>
      </c>
      <c r="BJ1624" s="36" t="s">
        <v>3240</v>
      </c>
      <c r="BK1624" s="36" t="s">
        <v>171</v>
      </c>
      <c r="BL1624" s="36" t="s">
        <v>1288</v>
      </c>
      <c r="BM1624" s="36" t="s">
        <v>2014</v>
      </c>
      <c r="BN1624" s="36">
        <v>1.0</v>
      </c>
      <c r="BO1624" s="37">
        <v>44039.0</v>
      </c>
      <c r="BP1624" s="37">
        <v>44039.0</v>
      </c>
      <c r="BQ1624" s="36" t="s">
        <v>2212</v>
      </c>
      <c r="BR1624" s="36" t="s">
        <v>4861</v>
      </c>
      <c r="BS1624" s="36" t="s">
        <v>155</v>
      </c>
      <c r="BT1624" s="36" t="s">
        <v>156</v>
      </c>
      <c r="BV1624" s="38" t="s">
        <v>4862</v>
      </c>
      <c r="FL1624" s="36" t="s">
        <v>3242</v>
      </c>
      <c r="FM1624" s="36" t="s">
        <v>555</v>
      </c>
    </row>
    <row r="1625">
      <c r="A1625" s="50">
        <v>44676.305759675924</v>
      </c>
      <c r="B1625" s="36" t="s">
        <v>7</v>
      </c>
      <c r="C1625" s="36" t="s">
        <v>13</v>
      </c>
      <c r="AX1625" s="36" t="s">
        <v>3239</v>
      </c>
      <c r="AY1625" s="36" t="s">
        <v>3240</v>
      </c>
      <c r="AZ1625" s="36" t="s">
        <v>4863</v>
      </c>
      <c r="BA1625" s="36" t="s">
        <v>345</v>
      </c>
      <c r="BB1625" s="36" t="s">
        <v>4561</v>
      </c>
      <c r="BC1625" s="37">
        <v>44063.0</v>
      </c>
      <c r="BD1625" s="37">
        <v>44091.0</v>
      </c>
      <c r="BE1625" s="37">
        <v>44091.0</v>
      </c>
      <c r="BF1625" s="51">
        <v>0.85</v>
      </c>
      <c r="BG1625" s="36" t="s">
        <v>4864</v>
      </c>
      <c r="BH1625" s="38" t="s">
        <v>4865</v>
      </c>
      <c r="FL1625" s="36" t="s">
        <v>3242</v>
      </c>
      <c r="FM1625" s="36" t="s">
        <v>555</v>
      </c>
    </row>
    <row r="1626">
      <c r="A1626" s="50">
        <v>44676.30782445602</v>
      </c>
      <c r="B1626" s="36" t="s">
        <v>7</v>
      </c>
      <c r="C1626" s="36" t="s">
        <v>13</v>
      </c>
      <c r="AX1626" s="36" t="s">
        <v>3239</v>
      </c>
      <c r="AY1626" s="36" t="s">
        <v>3240</v>
      </c>
      <c r="AZ1626" s="36" t="s">
        <v>4866</v>
      </c>
      <c r="BA1626" s="36" t="s">
        <v>345</v>
      </c>
      <c r="BB1626" s="36" t="s">
        <v>4561</v>
      </c>
      <c r="BC1626" s="37">
        <v>44062.0</v>
      </c>
      <c r="BD1626" s="37">
        <v>44093.0</v>
      </c>
      <c r="BE1626" s="37">
        <v>44093.0</v>
      </c>
      <c r="BF1626" s="51">
        <v>0.87</v>
      </c>
      <c r="BG1626" s="36" t="s">
        <v>4867</v>
      </c>
      <c r="BH1626" s="38" t="s">
        <v>4868</v>
      </c>
      <c r="FL1626" s="36" t="s">
        <v>3242</v>
      </c>
      <c r="FM1626" s="36" t="s">
        <v>555</v>
      </c>
    </row>
    <row r="1627">
      <c r="A1627" s="50">
        <v>44676.30877326389</v>
      </c>
      <c r="B1627" s="36" t="s">
        <v>7</v>
      </c>
      <c r="C1627" s="36" t="s">
        <v>13</v>
      </c>
      <c r="AX1627" s="36" t="s">
        <v>3943</v>
      </c>
      <c r="AY1627" s="36" t="s">
        <v>3944</v>
      </c>
      <c r="AZ1627" s="36" t="s">
        <v>4869</v>
      </c>
      <c r="BA1627" s="36" t="s">
        <v>1452</v>
      </c>
      <c r="BB1627" s="36" t="s">
        <v>4870</v>
      </c>
      <c r="BC1627" s="37">
        <v>44663.0</v>
      </c>
      <c r="BD1627" s="37">
        <v>44664.0</v>
      </c>
      <c r="BE1627" s="37">
        <v>44664.0</v>
      </c>
      <c r="BF1627" s="51">
        <v>0.9</v>
      </c>
      <c r="BG1627" s="36" t="s">
        <v>4871</v>
      </c>
      <c r="BH1627" s="38" t="s">
        <v>4872</v>
      </c>
      <c r="FL1627" s="36" t="s">
        <v>3949</v>
      </c>
      <c r="FM1627" s="36" t="s">
        <v>283</v>
      </c>
    </row>
    <row r="1628">
      <c r="A1628" s="50">
        <v>44676.31168076389</v>
      </c>
      <c r="B1628" s="36" t="s">
        <v>7</v>
      </c>
      <c r="C1628" s="36" t="s">
        <v>20</v>
      </c>
      <c r="DX1628" s="36" t="s">
        <v>3239</v>
      </c>
      <c r="DY1628" s="36" t="s">
        <v>3240</v>
      </c>
      <c r="DZ1628" s="36" t="s">
        <v>171</v>
      </c>
      <c r="EA1628" s="36" t="s">
        <v>4873</v>
      </c>
      <c r="EB1628" s="37">
        <v>44098.0</v>
      </c>
      <c r="EC1628" s="36" t="s">
        <v>4874</v>
      </c>
      <c r="ED1628" s="38" t="s">
        <v>4875</v>
      </c>
      <c r="FL1628" s="36" t="s">
        <v>3242</v>
      </c>
      <c r="FM1628" s="36" t="s">
        <v>555</v>
      </c>
    </row>
    <row r="1629">
      <c r="A1629" s="50">
        <v>44676.3138531713</v>
      </c>
      <c r="B1629" s="36" t="s">
        <v>7</v>
      </c>
      <c r="C1629" s="36" t="s">
        <v>13</v>
      </c>
      <c r="AX1629" s="36" t="s">
        <v>3239</v>
      </c>
      <c r="AY1629" s="36" t="s">
        <v>3240</v>
      </c>
      <c r="AZ1629" s="36" t="s">
        <v>4876</v>
      </c>
      <c r="BA1629" s="36" t="s">
        <v>4877</v>
      </c>
      <c r="BB1629" s="36" t="s">
        <v>196</v>
      </c>
      <c r="BC1629" s="37">
        <v>44098.0</v>
      </c>
      <c r="BD1629" s="37">
        <v>44098.0</v>
      </c>
      <c r="BE1629" s="37">
        <v>44098.0</v>
      </c>
      <c r="BF1629" s="51">
        <v>1.0</v>
      </c>
      <c r="BG1629" s="36" t="s">
        <v>4878</v>
      </c>
      <c r="BH1629" s="38" t="s">
        <v>4879</v>
      </c>
      <c r="FL1629" s="36" t="s">
        <v>3242</v>
      </c>
      <c r="FM1629" s="36" t="s">
        <v>555</v>
      </c>
    </row>
    <row r="1630">
      <c r="A1630" s="50">
        <v>44676.316427233796</v>
      </c>
      <c r="B1630" s="36" t="s">
        <v>7</v>
      </c>
      <c r="C1630" s="36" t="s">
        <v>13</v>
      </c>
      <c r="AX1630" s="36" t="s">
        <v>4880</v>
      </c>
      <c r="AY1630" s="36" t="s">
        <v>3944</v>
      </c>
      <c r="AZ1630" s="36" t="s">
        <v>4042</v>
      </c>
      <c r="BA1630" s="36" t="s">
        <v>377</v>
      </c>
      <c r="BB1630" s="36" t="s">
        <v>1846</v>
      </c>
      <c r="BC1630" s="37">
        <v>44231.0</v>
      </c>
      <c r="BD1630" s="37">
        <v>44322.0</v>
      </c>
      <c r="BE1630" s="37">
        <v>44322.0</v>
      </c>
      <c r="BF1630" s="36" t="s">
        <v>472</v>
      </c>
      <c r="BG1630" s="36" t="s">
        <v>4881</v>
      </c>
      <c r="BH1630" s="38" t="s">
        <v>4882</v>
      </c>
      <c r="FL1630" s="36" t="s">
        <v>3949</v>
      </c>
      <c r="FM1630" s="36" t="s">
        <v>283</v>
      </c>
    </row>
    <row r="1631">
      <c r="A1631" s="50">
        <v>44676.32159548611</v>
      </c>
      <c r="B1631" s="36" t="s">
        <v>7</v>
      </c>
      <c r="C1631" s="36" t="s">
        <v>13</v>
      </c>
      <c r="AX1631" s="36" t="s">
        <v>4880</v>
      </c>
      <c r="AY1631" s="36" t="s">
        <v>3944</v>
      </c>
      <c r="AZ1631" s="36" t="s">
        <v>981</v>
      </c>
      <c r="BA1631" s="36" t="s">
        <v>377</v>
      </c>
      <c r="BB1631" s="36" t="s">
        <v>1846</v>
      </c>
      <c r="BC1631" s="37">
        <v>43843.0</v>
      </c>
      <c r="BD1631" s="37">
        <v>43934.0</v>
      </c>
      <c r="BE1631" s="37">
        <v>43934.0</v>
      </c>
      <c r="BF1631" s="36" t="s">
        <v>472</v>
      </c>
      <c r="BG1631" s="36" t="s">
        <v>1503</v>
      </c>
      <c r="BH1631" s="38" t="s">
        <v>4883</v>
      </c>
      <c r="FL1631" s="36" t="s">
        <v>3949</v>
      </c>
      <c r="FM1631" s="36" t="s">
        <v>283</v>
      </c>
    </row>
    <row r="1632">
      <c r="A1632" s="50">
        <v>44676.32782534722</v>
      </c>
      <c r="B1632" s="36" t="s">
        <v>7</v>
      </c>
      <c r="C1632" s="36" t="s">
        <v>13</v>
      </c>
      <c r="AX1632" s="36" t="s">
        <v>3943</v>
      </c>
      <c r="AY1632" s="36" t="s">
        <v>3944</v>
      </c>
      <c r="AZ1632" s="36" t="s">
        <v>856</v>
      </c>
      <c r="BA1632" s="36" t="s">
        <v>1434</v>
      </c>
      <c r="BB1632" s="36" t="s">
        <v>1846</v>
      </c>
      <c r="BC1632" s="37">
        <v>43995.0</v>
      </c>
      <c r="BD1632" s="37">
        <v>44086.0</v>
      </c>
      <c r="BE1632" s="37">
        <v>44086.0</v>
      </c>
      <c r="BF1632" s="36" t="s">
        <v>472</v>
      </c>
      <c r="BG1632" s="36" t="s">
        <v>857</v>
      </c>
      <c r="BH1632" s="38" t="s">
        <v>4884</v>
      </c>
      <c r="FL1632" s="36" t="s">
        <v>3949</v>
      </c>
      <c r="FM1632" s="36" t="s">
        <v>283</v>
      </c>
    </row>
    <row r="1633">
      <c r="A1633" s="50">
        <v>44676.32792792824</v>
      </c>
      <c r="B1633" s="36" t="s">
        <v>7</v>
      </c>
      <c r="C1633" s="36" t="s">
        <v>12</v>
      </c>
      <c r="AN1633" s="36" t="s">
        <v>4885</v>
      </c>
      <c r="AO1633" s="36" t="s">
        <v>4886</v>
      </c>
      <c r="AP1633" s="36" t="s">
        <v>4887</v>
      </c>
      <c r="AQ1633" s="36" t="s">
        <v>507</v>
      </c>
      <c r="AR1633" s="37">
        <v>44470.0</v>
      </c>
      <c r="AS1633" s="37">
        <v>44896.0</v>
      </c>
      <c r="AT1633" s="36" t="s">
        <v>257</v>
      </c>
      <c r="AU1633" s="36" t="s">
        <v>257</v>
      </c>
      <c r="AV1633" s="36">
        <v>0.0</v>
      </c>
      <c r="AW1633" s="38" t="s">
        <v>4888</v>
      </c>
      <c r="FL1633" s="36" t="s">
        <v>4889</v>
      </c>
      <c r="FM1633" s="36" t="s">
        <v>283</v>
      </c>
    </row>
    <row r="1634">
      <c r="A1634" s="50">
        <v>44676.33131228009</v>
      </c>
      <c r="B1634" s="36" t="s">
        <v>7</v>
      </c>
      <c r="C1634" s="36" t="s">
        <v>13</v>
      </c>
      <c r="AX1634" s="36" t="s">
        <v>4880</v>
      </c>
      <c r="AY1634" s="36" t="s">
        <v>3944</v>
      </c>
      <c r="AZ1634" s="36" t="s">
        <v>4890</v>
      </c>
      <c r="BA1634" s="36" t="s">
        <v>1452</v>
      </c>
      <c r="BB1634" s="36" t="s">
        <v>2408</v>
      </c>
      <c r="BC1634" s="37">
        <v>44665.0</v>
      </c>
      <c r="BD1634" s="37">
        <v>44666.0</v>
      </c>
      <c r="BE1634" s="37">
        <v>44666.0</v>
      </c>
      <c r="BF1634" s="51">
        <v>0.9</v>
      </c>
      <c r="BG1634" s="36" t="s">
        <v>4891</v>
      </c>
      <c r="BH1634" s="38" t="s">
        <v>4892</v>
      </c>
      <c r="FL1634" s="36" t="s">
        <v>3949</v>
      </c>
      <c r="FM1634" s="36" t="s">
        <v>283</v>
      </c>
    </row>
    <row r="1635">
      <c r="A1635" s="50">
        <v>44676.39672295139</v>
      </c>
      <c r="B1635" s="36" t="s">
        <v>7</v>
      </c>
      <c r="C1635" s="36" t="s">
        <v>13</v>
      </c>
      <c r="AX1635" s="36" t="s">
        <v>4893</v>
      </c>
      <c r="AY1635" s="36" t="s">
        <v>4894</v>
      </c>
      <c r="AZ1635" s="36" t="s">
        <v>347</v>
      </c>
      <c r="BA1635" s="36" t="s">
        <v>377</v>
      </c>
      <c r="BB1635" s="36" t="s">
        <v>450</v>
      </c>
      <c r="BC1635" s="37">
        <v>44258.0</v>
      </c>
      <c r="BD1635" s="37">
        <v>44322.0</v>
      </c>
      <c r="BE1635" s="37">
        <v>44322.0</v>
      </c>
      <c r="BF1635" s="36">
        <v>90.0</v>
      </c>
      <c r="BG1635" s="36" t="s">
        <v>3770</v>
      </c>
      <c r="BH1635" s="38" t="s">
        <v>4895</v>
      </c>
      <c r="FL1635" s="36" t="s">
        <v>4896</v>
      </c>
      <c r="FM1635" s="36" t="s">
        <v>283</v>
      </c>
    </row>
    <row r="1636">
      <c r="A1636" s="50">
        <v>44676.39914241898</v>
      </c>
      <c r="B1636" s="36" t="s">
        <v>7</v>
      </c>
      <c r="C1636" s="36" t="s">
        <v>12</v>
      </c>
      <c r="AN1636" s="36" t="s">
        <v>4893</v>
      </c>
      <c r="AO1636" s="36" t="s">
        <v>4894</v>
      </c>
      <c r="AP1636" s="36" t="s">
        <v>2830</v>
      </c>
      <c r="AQ1636" s="36" t="s">
        <v>450</v>
      </c>
      <c r="AR1636" s="37">
        <v>44479.0</v>
      </c>
      <c r="AS1636" s="37">
        <v>44561.0</v>
      </c>
      <c r="AT1636" s="36" t="s">
        <v>257</v>
      </c>
      <c r="AU1636" s="36" t="s">
        <v>257</v>
      </c>
      <c r="AV1636" s="36">
        <v>0.0</v>
      </c>
      <c r="AW1636" s="38" t="s">
        <v>4897</v>
      </c>
      <c r="FL1636" s="36" t="s">
        <v>4896</v>
      </c>
      <c r="FM1636" s="36" t="s">
        <v>283</v>
      </c>
    </row>
    <row r="1637">
      <c r="A1637" s="50">
        <v>44676.40472335648</v>
      </c>
      <c r="B1637" s="36" t="s">
        <v>7</v>
      </c>
      <c r="C1637" s="36" t="s">
        <v>13</v>
      </c>
      <c r="AX1637" s="36" t="s">
        <v>4898</v>
      </c>
      <c r="AY1637" s="36" t="s">
        <v>4899</v>
      </c>
      <c r="AZ1637" s="36" t="s">
        <v>347</v>
      </c>
      <c r="BA1637" s="36" t="s">
        <v>377</v>
      </c>
      <c r="BB1637" s="36" t="s">
        <v>450</v>
      </c>
      <c r="BC1637" s="37">
        <v>44258.0</v>
      </c>
      <c r="BD1637" s="37">
        <v>44322.0</v>
      </c>
      <c r="BE1637" s="37">
        <v>44322.0</v>
      </c>
      <c r="BF1637" s="36">
        <v>90.0</v>
      </c>
      <c r="BG1637" s="36" t="s">
        <v>3770</v>
      </c>
      <c r="BH1637" s="38" t="s">
        <v>4900</v>
      </c>
      <c r="FL1637" s="36" t="s">
        <v>4901</v>
      </c>
      <c r="FM1637" s="36" t="s">
        <v>283</v>
      </c>
    </row>
    <row r="1638">
      <c r="A1638" s="50">
        <v>44676.4068049537</v>
      </c>
      <c r="B1638" s="36" t="s">
        <v>7</v>
      </c>
      <c r="C1638" s="36" t="s">
        <v>13</v>
      </c>
      <c r="AX1638" s="36" t="s">
        <v>4898</v>
      </c>
      <c r="AY1638" s="36" t="s">
        <v>4899</v>
      </c>
      <c r="AZ1638" s="36" t="s">
        <v>981</v>
      </c>
      <c r="BA1638" s="36" t="s">
        <v>377</v>
      </c>
      <c r="BB1638" s="36" t="s">
        <v>450</v>
      </c>
      <c r="BC1638" s="37">
        <v>43961.0</v>
      </c>
      <c r="BD1638" s="37">
        <v>44024.0</v>
      </c>
      <c r="BE1638" s="37">
        <v>44024.0</v>
      </c>
      <c r="BF1638" s="36">
        <v>93.0</v>
      </c>
      <c r="BG1638" s="36" t="s">
        <v>394</v>
      </c>
      <c r="BH1638" s="38" t="s">
        <v>4902</v>
      </c>
      <c r="FL1638" s="36" t="s">
        <v>4901</v>
      </c>
      <c r="FM1638" s="36" t="s">
        <v>283</v>
      </c>
    </row>
    <row r="1639">
      <c r="A1639" s="50">
        <v>44676.40884045139</v>
      </c>
      <c r="B1639" s="36" t="s">
        <v>7</v>
      </c>
      <c r="C1639" s="36" t="s">
        <v>13</v>
      </c>
      <c r="AX1639" s="36" t="s">
        <v>4898</v>
      </c>
      <c r="AY1639" s="36" t="s">
        <v>4899</v>
      </c>
      <c r="AZ1639" s="36" t="s">
        <v>2715</v>
      </c>
      <c r="BA1639" s="36" t="s">
        <v>377</v>
      </c>
      <c r="BB1639" s="36" t="s">
        <v>450</v>
      </c>
      <c r="BC1639" s="37">
        <v>44019.0</v>
      </c>
      <c r="BD1639" s="37">
        <v>44083.0</v>
      </c>
      <c r="BE1639" s="37">
        <v>44083.0</v>
      </c>
      <c r="BF1639" s="36">
        <v>96.0</v>
      </c>
      <c r="BG1639" s="36" t="s">
        <v>394</v>
      </c>
      <c r="BH1639" s="38" t="s">
        <v>4903</v>
      </c>
      <c r="FL1639" s="36" t="s">
        <v>4901</v>
      </c>
      <c r="FM1639" s="36" t="s">
        <v>283</v>
      </c>
    </row>
    <row r="1640">
      <c r="A1640" s="50">
        <v>44676.40962365741</v>
      </c>
      <c r="B1640" s="36" t="s">
        <v>7</v>
      </c>
      <c r="C1640" s="36" t="s">
        <v>12</v>
      </c>
      <c r="AN1640" s="36" t="s">
        <v>4904</v>
      </c>
      <c r="AO1640" s="36" t="s">
        <v>4905</v>
      </c>
      <c r="AP1640" s="36" t="s">
        <v>2830</v>
      </c>
      <c r="AQ1640" s="36" t="s">
        <v>444</v>
      </c>
      <c r="AR1640" s="37">
        <v>44494.0</v>
      </c>
      <c r="AS1640" s="37">
        <v>44555.0</v>
      </c>
      <c r="AT1640" s="36" t="s">
        <v>257</v>
      </c>
      <c r="AU1640" s="36" t="s">
        <v>257</v>
      </c>
      <c r="AV1640" s="36">
        <v>0.0</v>
      </c>
      <c r="AW1640" s="38" t="s">
        <v>4906</v>
      </c>
      <c r="FL1640" s="36" t="s">
        <v>4907</v>
      </c>
      <c r="FM1640" s="36" t="s">
        <v>283</v>
      </c>
    </row>
    <row r="1641">
      <c r="A1641" s="50">
        <v>44676.41029811343</v>
      </c>
      <c r="B1641" s="36" t="s">
        <v>7</v>
      </c>
      <c r="C1641" s="36" t="s">
        <v>12</v>
      </c>
      <c r="AN1641" s="36" t="s">
        <v>4898</v>
      </c>
      <c r="AO1641" s="36" t="s">
        <v>4899</v>
      </c>
      <c r="AP1641" s="36" t="s">
        <v>2830</v>
      </c>
      <c r="AQ1641" s="36" t="s">
        <v>450</v>
      </c>
      <c r="AR1641" s="37">
        <v>44494.0</v>
      </c>
      <c r="AS1641" s="37">
        <v>44561.0</v>
      </c>
      <c r="AT1641" s="36" t="s">
        <v>257</v>
      </c>
      <c r="AU1641" s="36" t="s">
        <v>257</v>
      </c>
      <c r="AV1641" s="36">
        <v>0.0</v>
      </c>
      <c r="AW1641" s="38" t="s">
        <v>4908</v>
      </c>
      <c r="FL1641" s="36" t="s">
        <v>4901</v>
      </c>
      <c r="FM1641" s="36" t="s">
        <v>283</v>
      </c>
    </row>
    <row r="1642">
      <c r="A1642" s="50">
        <v>44676.41145108796</v>
      </c>
      <c r="B1642" s="36" t="s">
        <v>7</v>
      </c>
      <c r="C1642" s="36" t="s">
        <v>13</v>
      </c>
      <c r="AX1642" s="36" t="s">
        <v>4909</v>
      </c>
      <c r="AY1642" s="36" t="s">
        <v>4905</v>
      </c>
      <c r="AZ1642" s="36" t="s">
        <v>647</v>
      </c>
      <c r="BA1642" s="36" t="s">
        <v>4910</v>
      </c>
      <c r="BB1642" s="36" t="s">
        <v>444</v>
      </c>
      <c r="BC1642" s="37">
        <v>44258.0</v>
      </c>
      <c r="BD1642" s="37">
        <v>44322.0</v>
      </c>
      <c r="BE1642" s="37">
        <v>44657.0</v>
      </c>
      <c r="BF1642" s="36">
        <v>92.0</v>
      </c>
      <c r="BG1642" s="36" t="s">
        <v>3868</v>
      </c>
      <c r="BH1642" s="38" t="s">
        <v>4911</v>
      </c>
      <c r="FL1642" s="36" t="s">
        <v>4907</v>
      </c>
      <c r="FM1642" s="36" t="s">
        <v>283</v>
      </c>
    </row>
    <row r="1643">
      <c r="A1643" s="50">
        <v>44676.45847693287</v>
      </c>
      <c r="B1643" s="36" t="s">
        <v>7</v>
      </c>
      <c r="C1643" s="36" t="s">
        <v>13</v>
      </c>
      <c r="AX1643" s="36" t="s">
        <v>3283</v>
      </c>
      <c r="AY1643" s="36" t="s">
        <v>3284</v>
      </c>
      <c r="AZ1643" s="36" t="s">
        <v>719</v>
      </c>
      <c r="BA1643" s="36" t="s">
        <v>377</v>
      </c>
      <c r="BB1643" s="36" t="s">
        <v>4514</v>
      </c>
      <c r="BC1643" s="37">
        <v>43855.0</v>
      </c>
      <c r="BD1643" s="37">
        <v>43952.0</v>
      </c>
      <c r="BE1643" s="37">
        <v>43952.0</v>
      </c>
      <c r="BF1643" s="36">
        <v>85.0</v>
      </c>
      <c r="BG1643" s="36" t="s">
        <v>4794</v>
      </c>
      <c r="BH1643" s="38" t="s">
        <v>4912</v>
      </c>
      <c r="FL1643" s="36" t="s">
        <v>3286</v>
      </c>
      <c r="FM1643" s="36" t="s">
        <v>283</v>
      </c>
    </row>
    <row r="1644">
      <c r="A1644" s="50">
        <v>44676.46634787037</v>
      </c>
      <c r="B1644" s="36" t="s">
        <v>7</v>
      </c>
      <c r="C1644" s="36" t="s">
        <v>13</v>
      </c>
      <c r="AX1644" s="36" t="s">
        <v>3283</v>
      </c>
      <c r="AY1644" s="36" t="s">
        <v>3284</v>
      </c>
      <c r="AZ1644" s="36" t="s">
        <v>4913</v>
      </c>
      <c r="BA1644" s="36" t="s">
        <v>377</v>
      </c>
      <c r="BB1644" s="36" t="s">
        <v>1846</v>
      </c>
      <c r="BC1644" s="37">
        <v>44224.0</v>
      </c>
      <c r="BD1644" s="37">
        <v>44322.0</v>
      </c>
      <c r="BE1644" s="37">
        <v>44322.0</v>
      </c>
      <c r="BF1644" s="36">
        <v>85.0</v>
      </c>
      <c r="BG1644" s="36" t="s">
        <v>4914</v>
      </c>
      <c r="BH1644" s="38" t="s">
        <v>4915</v>
      </c>
      <c r="FL1644" s="36" t="s">
        <v>3286</v>
      </c>
      <c r="FM1644" s="36" t="s">
        <v>283</v>
      </c>
    </row>
    <row r="1645">
      <c r="A1645" s="50">
        <v>44676.47092363426</v>
      </c>
      <c r="B1645" s="36" t="s">
        <v>7</v>
      </c>
      <c r="C1645" s="36" t="s">
        <v>13</v>
      </c>
      <c r="AX1645" s="36" t="s">
        <v>3283</v>
      </c>
      <c r="AY1645" s="36" t="s">
        <v>3284</v>
      </c>
      <c r="AZ1645" s="36" t="s">
        <v>2949</v>
      </c>
      <c r="BA1645" s="36" t="s">
        <v>377</v>
      </c>
      <c r="BB1645" s="36" t="s">
        <v>4514</v>
      </c>
      <c r="BC1645" s="37">
        <v>44010.0</v>
      </c>
      <c r="BD1645" s="37">
        <v>44087.0</v>
      </c>
      <c r="BE1645" s="37">
        <v>44087.0</v>
      </c>
      <c r="BF1645" s="36">
        <v>78.0</v>
      </c>
      <c r="BG1645" s="36" t="s">
        <v>4916</v>
      </c>
      <c r="BH1645" s="38" t="s">
        <v>4917</v>
      </c>
      <c r="FL1645" s="36" t="s">
        <v>3286</v>
      </c>
      <c r="FM1645" s="36" t="s">
        <v>283</v>
      </c>
    </row>
    <row r="1646">
      <c r="A1646" s="50">
        <v>44676.47971608797</v>
      </c>
      <c r="B1646" s="36" t="s">
        <v>7</v>
      </c>
      <c r="C1646" s="36" t="s">
        <v>13</v>
      </c>
      <c r="AX1646" s="36" t="s">
        <v>3283</v>
      </c>
      <c r="AY1646" s="36" t="s">
        <v>3284</v>
      </c>
      <c r="AZ1646" s="36" t="s">
        <v>4918</v>
      </c>
      <c r="BA1646" s="36" t="s">
        <v>1626</v>
      </c>
      <c r="BB1646" s="36" t="s">
        <v>4561</v>
      </c>
      <c r="BC1646" s="37">
        <v>44078.0</v>
      </c>
      <c r="BD1646" s="37">
        <v>44113.0</v>
      </c>
      <c r="BE1646" s="37">
        <v>44113.0</v>
      </c>
      <c r="BF1646" s="36">
        <v>85.0</v>
      </c>
      <c r="BG1646" s="36" t="s">
        <v>1231</v>
      </c>
      <c r="BH1646" s="38" t="s">
        <v>4919</v>
      </c>
      <c r="FL1646" s="36" t="s">
        <v>3286</v>
      </c>
      <c r="FM1646" s="36" t="s">
        <v>283</v>
      </c>
    </row>
    <row r="1647">
      <c r="A1647" s="50">
        <v>44676.49496098379</v>
      </c>
      <c r="B1647" s="36" t="s">
        <v>7</v>
      </c>
      <c r="C1647" s="36" t="s">
        <v>13</v>
      </c>
      <c r="AX1647" s="36" t="s">
        <v>4920</v>
      </c>
      <c r="AY1647" s="36" t="s">
        <v>4921</v>
      </c>
      <c r="AZ1647" s="36" t="s">
        <v>687</v>
      </c>
      <c r="BA1647" s="36" t="s">
        <v>377</v>
      </c>
      <c r="BB1647" s="36" t="s">
        <v>1846</v>
      </c>
      <c r="BC1647" s="37">
        <v>44227.0</v>
      </c>
      <c r="BD1647" s="37">
        <v>44322.0</v>
      </c>
      <c r="BE1647" s="37">
        <v>44322.0</v>
      </c>
      <c r="BF1647" s="36">
        <v>85.0</v>
      </c>
      <c r="BG1647" s="36" t="s">
        <v>3770</v>
      </c>
      <c r="BH1647" s="38" t="s">
        <v>4922</v>
      </c>
      <c r="FL1647" s="36" t="s">
        <v>4923</v>
      </c>
      <c r="FM1647" s="36" t="s">
        <v>283</v>
      </c>
    </row>
    <row r="1648">
      <c r="A1648" s="50">
        <v>44676.499901296294</v>
      </c>
      <c r="B1648" s="36" t="s">
        <v>7</v>
      </c>
      <c r="C1648" s="36" t="s">
        <v>13</v>
      </c>
      <c r="AX1648" s="36" t="s">
        <v>4920</v>
      </c>
      <c r="AY1648" s="36" t="s">
        <v>4921</v>
      </c>
      <c r="AZ1648" s="36" t="s">
        <v>719</v>
      </c>
      <c r="BA1648" s="36" t="s">
        <v>377</v>
      </c>
      <c r="BB1648" s="36" t="s">
        <v>1846</v>
      </c>
      <c r="BC1648" s="37">
        <v>43854.0</v>
      </c>
      <c r="BD1648" s="37">
        <v>43952.0</v>
      </c>
      <c r="BE1648" s="37">
        <v>43952.0</v>
      </c>
      <c r="BF1648" s="36">
        <v>85.0</v>
      </c>
      <c r="BG1648" s="36" t="s">
        <v>4924</v>
      </c>
      <c r="BH1648" s="38" t="s">
        <v>4925</v>
      </c>
      <c r="FL1648" s="36" t="s">
        <v>4923</v>
      </c>
      <c r="FM1648" s="36" t="s">
        <v>283</v>
      </c>
    </row>
    <row r="1649">
      <c r="A1649" s="50">
        <v>44676.503553194445</v>
      </c>
      <c r="B1649" s="36" t="s">
        <v>7</v>
      </c>
      <c r="C1649" s="36" t="s">
        <v>13</v>
      </c>
      <c r="AX1649" s="36" t="s">
        <v>3239</v>
      </c>
      <c r="AY1649" s="36" t="s">
        <v>3240</v>
      </c>
      <c r="AZ1649" s="36" t="s">
        <v>4926</v>
      </c>
      <c r="BA1649" s="36" t="s">
        <v>345</v>
      </c>
      <c r="BB1649" s="36" t="s">
        <v>4561</v>
      </c>
      <c r="BC1649" s="37">
        <v>44073.0</v>
      </c>
      <c r="BD1649" s="37">
        <v>44101.0</v>
      </c>
      <c r="BE1649" s="37">
        <v>44101.0</v>
      </c>
      <c r="BF1649" s="51">
        <v>0.9</v>
      </c>
      <c r="BG1649" s="36" t="s">
        <v>4927</v>
      </c>
      <c r="BH1649" s="38" t="s">
        <v>4928</v>
      </c>
      <c r="FL1649" s="36" t="s">
        <v>3242</v>
      </c>
      <c r="FM1649" s="36" t="s">
        <v>555</v>
      </c>
    </row>
    <row r="1650">
      <c r="A1650" s="50">
        <v>44676.50468990741</v>
      </c>
      <c r="B1650" s="36" t="s">
        <v>7</v>
      </c>
      <c r="C1650" s="36" t="s">
        <v>13</v>
      </c>
      <c r="AX1650" s="36" t="s">
        <v>4929</v>
      </c>
      <c r="AY1650" s="36" t="s">
        <v>4921</v>
      </c>
      <c r="AZ1650" s="36" t="s">
        <v>2949</v>
      </c>
      <c r="BA1650" s="36" t="s">
        <v>377</v>
      </c>
      <c r="BB1650" s="36" t="s">
        <v>1846</v>
      </c>
      <c r="BC1650" s="37">
        <v>43982.0</v>
      </c>
      <c r="BD1650" s="37">
        <v>44080.0</v>
      </c>
      <c r="BE1650" s="37">
        <v>44080.0</v>
      </c>
      <c r="BF1650" s="36">
        <v>85.0</v>
      </c>
      <c r="BG1650" s="36" t="s">
        <v>857</v>
      </c>
      <c r="BH1650" s="38" t="s">
        <v>4930</v>
      </c>
      <c r="FL1650" s="36" t="s">
        <v>4931</v>
      </c>
      <c r="FM1650" s="36" t="s">
        <v>283</v>
      </c>
    </row>
    <row r="1651">
      <c r="A1651" s="50">
        <v>44676.50535762731</v>
      </c>
      <c r="B1651" s="36" t="s">
        <v>7</v>
      </c>
      <c r="C1651" s="36" t="s">
        <v>13</v>
      </c>
      <c r="AX1651" s="36" t="s">
        <v>3239</v>
      </c>
      <c r="AY1651" s="36" t="s">
        <v>3240</v>
      </c>
      <c r="AZ1651" s="36" t="s">
        <v>4932</v>
      </c>
      <c r="BA1651" s="36" t="s">
        <v>345</v>
      </c>
      <c r="BB1651" s="36" t="s">
        <v>4561</v>
      </c>
      <c r="BC1651" s="37">
        <v>44071.0</v>
      </c>
      <c r="BD1651" s="37">
        <v>44106.0</v>
      </c>
      <c r="BE1651" s="37">
        <v>44106.0</v>
      </c>
      <c r="BF1651" s="51">
        <v>0.88</v>
      </c>
      <c r="BG1651" s="36" t="s">
        <v>4933</v>
      </c>
      <c r="BH1651" s="38" t="s">
        <v>4934</v>
      </c>
      <c r="FL1651" s="36" t="s">
        <v>3242</v>
      </c>
      <c r="FM1651" s="36" t="s">
        <v>555</v>
      </c>
    </row>
    <row r="1652">
      <c r="A1652" s="50">
        <v>44676.50743320602</v>
      </c>
      <c r="B1652" s="36" t="s">
        <v>7</v>
      </c>
      <c r="C1652" s="36" t="s">
        <v>13</v>
      </c>
      <c r="AX1652" s="36" t="s">
        <v>4929</v>
      </c>
      <c r="AY1652" s="36" t="s">
        <v>4935</v>
      </c>
      <c r="AZ1652" s="36" t="s">
        <v>4936</v>
      </c>
      <c r="BA1652" s="36" t="s">
        <v>1626</v>
      </c>
      <c r="BB1652" s="36" t="s">
        <v>882</v>
      </c>
      <c r="BC1652" s="37">
        <v>44485.0</v>
      </c>
      <c r="BD1652" s="37">
        <v>44516.0</v>
      </c>
      <c r="BE1652" s="37">
        <v>44516.0</v>
      </c>
      <c r="BF1652" s="36">
        <v>85.0</v>
      </c>
      <c r="BG1652" s="36" t="s">
        <v>4924</v>
      </c>
      <c r="BH1652" s="38" t="s">
        <v>4937</v>
      </c>
      <c r="FL1652" s="36" t="s">
        <v>4923</v>
      </c>
      <c r="FM1652" s="36" t="s">
        <v>283</v>
      </c>
    </row>
    <row r="1653">
      <c r="A1653" s="50">
        <v>44676.50819114583</v>
      </c>
      <c r="B1653" s="36" t="s">
        <v>7</v>
      </c>
      <c r="C1653" s="36" t="s">
        <v>14</v>
      </c>
      <c r="BI1653" s="36" t="s">
        <v>4938</v>
      </c>
      <c r="BJ1653" s="36" t="s">
        <v>3240</v>
      </c>
      <c r="BK1653" s="36" t="s">
        <v>313</v>
      </c>
      <c r="BL1653" s="36" t="s">
        <v>172</v>
      </c>
      <c r="BM1653" s="36" t="s">
        <v>4147</v>
      </c>
      <c r="BN1653" s="36">
        <v>1.0</v>
      </c>
      <c r="BO1653" s="37">
        <v>44219.0</v>
      </c>
      <c r="BP1653" s="37">
        <v>44219.0</v>
      </c>
      <c r="BQ1653" s="36" t="s">
        <v>4939</v>
      </c>
      <c r="BR1653" s="36" t="s">
        <v>4148</v>
      </c>
      <c r="BS1653" s="36" t="s">
        <v>176</v>
      </c>
      <c r="BT1653" s="36" t="s">
        <v>156</v>
      </c>
      <c r="BV1653" s="38" t="s">
        <v>4940</v>
      </c>
      <c r="FL1653" s="36" t="s">
        <v>3242</v>
      </c>
      <c r="FM1653" s="36" t="s">
        <v>323</v>
      </c>
    </row>
    <row r="1654">
      <c r="A1654" s="50">
        <v>44676.512388020834</v>
      </c>
      <c r="B1654" s="36" t="s">
        <v>7</v>
      </c>
      <c r="C1654" s="36" t="s">
        <v>14</v>
      </c>
      <c r="BI1654" s="36" t="s">
        <v>4938</v>
      </c>
      <c r="BJ1654" s="36" t="s">
        <v>3240</v>
      </c>
      <c r="BK1654" s="36" t="s">
        <v>313</v>
      </c>
      <c r="BL1654" s="36" t="s">
        <v>172</v>
      </c>
      <c r="BM1654" s="36" t="s">
        <v>4941</v>
      </c>
      <c r="BN1654" s="36">
        <v>3.0</v>
      </c>
      <c r="BO1654" s="37">
        <v>44491.0</v>
      </c>
      <c r="BP1654" s="37">
        <v>44493.0</v>
      </c>
      <c r="BQ1654" s="36" t="s">
        <v>3851</v>
      </c>
      <c r="BR1654" s="36" t="s">
        <v>472</v>
      </c>
      <c r="BS1654" s="36" t="s">
        <v>176</v>
      </c>
      <c r="BT1654" s="36" t="s">
        <v>156</v>
      </c>
      <c r="BV1654" s="38" t="s">
        <v>4942</v>
      </c>
      <c r="FL1654" s="36" t="s">
        <v>3242</v>
      </c>
      <c r="FM1654" s="36" t="s">
        <v>341</v>
      </c>
    </row>
    <row r="1655">
      <c r="A1655" s="50">
        <v>44676.51358734954</v>
      </c>
      <c r="B1655" s="36" t="s">
        <v>7</v>
      </c>
      <c r="C1655" s="36" t="s">
        <v>13</v>
      </c>
      <c r="AX1655" s="36" t="s">
        <v>4929</v>
      </c>
      <c r="AY1655" s="36" t="s">
        <v>4935</v>
      </c>
      <c r="AZ1655" s="36" t="s">
        <v>4943</v>
      </c>
      <c r="BA1655" s="36" t="s">
        <v>1626</v>
      </c>
      <c r="BB1655" s="36" t="s">
        <v>4561</v>
      </c>
      <c r="BC1655" s="37">
        <v>44478.0</v>
      </c>
      <c r="BD1655" s="37">
        <v>44516.0</v>
      </c>
      <c r="BE1655" s="37">
        <v>44516.0</v>
      </c>
      <c r="BF1655" s="36">
        <v>85.0</v>
      </c>
      <c r="BG1655" s="36" t="s">
        <v>3868</v>
      </c>
      <c r="BH1655" s="38" t="s">
        <v>4944</v>
      </c>
      <c r="FL1655" s="36" t="s">
        <v>4923</v>
      </c>
      <c r="FM1655" s="36" t="s">
        <v>283</v>
      </c>
    </row>
    <row r="1656">
      <c r="A1656" s="50">
        <v>44676.52007255787</v>
      </c>
      <c r="B1656" s="36" t="s">
        <v>7</v>
      </c>
      <c r="C1656" s="36" t="s">
        <v>12</v>
      </c>
      <c r="AN1656" s="36" t="s">
        <v>4938</v>
      </c>
      <c r="AO1656" s="36" t="s">
        <v>3240</v>
      </c>
      <c r="AP1656" s="36" t="s">
        <v>443</v>
      </c>
      <c r="AQ1656" s="36" t="s">
        <v>310</v>
      </c>
      <c r="AR1656" s="37">
        <v>44484.0</v>
      </c>
      <c r="AS1656" s="37">
        <v>44544.0</v>
      </c>
      <c r="AT1656" s="36" t="s">
        <v>257</v>
      </c>
      <c r="AU1656" s="36" t="s">
        <v>257</v>
      </c>
      <c r="AV1656" s="36">
        <v>0.0</v>
      </c>
      <c r="AW1656" s="38" t="s">
        <v>4945</v>
      </c>
      <c r="FL1656" s="36" t="s">
        <v>3242</v>
      </c>
      <c r="FM1656" s="36" t="s">
        <v>341</v>
      </c>
    </row>
    <row r="1657">
      <c r="A1657" s="50">
        <v>44676.52218297454</v>
      </c>
      <c r="B1657" s="36" t="s">
        <v>7</v>
      </c>
      <c r="C1657" s="36" t="s">
        <v>13</v>
      </c>
      <c r="AX1657" s="36" t="s">
        <v>2151</v>
      </c>
      <c r="AY1657" s="36" t="s">
        <v>2152</v>
      </c>
      <c r="AZ1657" s="36" t="s">
        <v>719</v>
      </c>
      <c r="BA1657" s="36" t="s">
        <v>377</v>
      </c>
      <c r="BB1657" s="36" t="s">
        <v>1846</v>
      </c>
      <c r="BC1657" s="37">
        <v>43845.0</v>
      </c>
      <c r="BD1657" s="37">
        <v>43943.0</v>
      </c>
      <c r="BE1657" s="37">
        <v>43943.0</v>
      </c>
      <c r="BF1657" s="36" t="s">
        <v>472</v>
      </c>
      <c r="BG1657" s="36" t="s">
        <v>445</v>
      </c>
      <c r="BH1657" s="38" t="s">
        <v>4946</v>
      </c>
      <c r="FL1657" s="36" t="s">
        <v>2154</v>
      </c>
      <c r="FM1657" s="36" t="s">
        <v>283</v>
      </c>
    </row>
    <row r="1658">
      <c r="A1658" s="50">
        <v>44676.5264197338</v>
      </c>
      <c r="B1658" s="36" t="s">
        <v>7</v>
      </c>
      <c r="C1658" s="36" t="s">
        <v>13</v>
      </c>
      <c r="AX1658" s="36" t="s">
        <v>4938</v>
      </c>
      <c r="AY1658" s="36" t="s">
        <v>3240</v>
      </c>
      <c r="AZ1658" s="36" t="s">
        <v>662</v>
      </c>
      <c r="BA1658" s="36" t="s">
        <v>443</v>
      </c>
      <c r="BB1658" s="36" t="s">
        <v>495</v>
      </c>
      <c r="BC1658" s="37">
        <v>44348.0</v>
      </c>
      <c r="BD1658" s="37">
        <v>44378.0</v>
      </c>
      <c r="BE1658" s="37">
        <v>44378.0</v>
      </c>
      <c r="BF1658" s="36" t="s">
        <v>472</v>
      </c>
      <c r="BG1658" s="36" t="s">
        <v>4947</v>
      </c>
      <c r="BH1658" s="38" t="s">
        <v>4948</v>
      </c>
      <c r="FL1658" s="36" t="s">
        <v>3242</v>
      </c>
      <c r="FM1658" s="36" t="s">
        <v>341</v>
      </c>
    </row>
    <row r="1659">
      <c r="A1659" s="50">
        <v>44676.53270652778</v>
      </c>
      <c r="B1659" s="36" t="s">
        <v>7</v>
      </c>
      <c r="C1659" s="36" t="s">
        <v>13</v>
      </c>
      <c r="AX1659" s="36" t="s">
        <v>4949</v>
      </c>
      <c r="AY1659" s="36" t="s">
        <v>4950</v>
      </c>
      <c r="AZ1659" s="36" t="s">
        <v>4951</v>
      </c>
      <c r="BA1659" s="36" t="s">
        <v>377</v>
      </c>
      <c r="BB1659" s="36" t="s">
        <v>1846</v>
      </c>
      <c r="BC1659" s="37">
        <v>44591.0</v>
      </c>
      <c r="BD1659" s="37">
        <v>44322.0</v>
      </c>
      <c r="BE1659" s="37">
        <v>44322.0</v>
      </c>
      <c r="BF1659" s="51">
        <v>0.85</v>
      </c>
      <c r="BG1659" s="36" t="s">
        <v>4952</v>
      </c>
      <c r="BH1659" s="38" t="s">
        <v>4953</v>
      </c>
      <c r="FL1659" s="36" t="s">
        <v>4954</v>
      </c>
      <c r="FM1659" s="36" t="s">
        <v>283</v>
      </c>
    </row>
    <row r="1660">
      <c r="A1660" s="50">
        <v>44676.53546917824</v>
      </c>
      <c r="B1660" s="36" t="s">
        <v>7</v>
      </c>
      <c r="C1660" s="36" t="s">
        <v>13</v>
      </c>
      <c r="AX1660" s="36" t="s">
        <v>4949</v>
      </c>
      <c r="AY1660" s="36" t="s">
        <v>4950</v>
      </c>
      <c r="AZ1660" s="36" t="s">
        <v>4955</v>
      </c>
      <c r="BA1660" s="36" t="s">
        <v>377</v>
      </c>
      <c r="BB1660" s="36" t="s">
        <v>1846</v>
      </c>
      <c r="BC1660" s="37">
        <v>43855.0</v>
      </c>
      <c r="BD1660" s="37">
        <v>43952.0</v>
      </c>
      <c r="BE1660" s="37">
        <v>43952.0</v>
      </c>
      <c r="BF1660" s="51">
        <v>0.85</v>
      </c>
      <c r="BG1660" s="36" t="s">
        <v>3857</v>
      </c>
      <c r="BH1660" s="38" t="s">
        <v>4956</v>
      </c>
      <c r="FL1660" s="36" t="s">
        <v>4954</v>
      </c>
      <c r="FM1660" s="36" t="s">
        <v>283</v>
      </c>
    </row>
    <row r="1661">
      <c r="A1661" s="50">
        <v>44676.54312108796</v>
      </c>
      <c r="B1661" s="36" t="s">
        <v>7</v>
      </c>
      <c r="C1661" s="36" t="s">
        <v>13</v>
      </c>
      <c r="AX1661" s="36" t="s">
        <v>4957</v>
      </c>
      <c r="AY1661" s="36" t="s">
        <v>3563</v>
      </c>
      <c r="AZ1661" s="36" t="s">
        <v>4958</v>
      </c>
      <c r="BA1661" s="36" t="s">
        <v>1334</v>
      </c>
      <c r="BB1661" s="36" t="s">
        <v>310</v>
      </c>
      <c r="BC1661" s="37">
        <v>43926.0</v>
      </c>
      <c r="BD1661" s="37">
        <v>43987.0</v>
      </c>
      <c r="BE1661" s="37">
        <v>43987.0</v>
      </c>
      <c r="BF1661" s="36">
        <v>80.0</v>
      </c>
      <c r="BG1661" s="36" t="s">
        <v>4959</v>
      </c>
      <c r="BH1661" s="38" t="s">
        <v>4960</v>
      </c>
      <c r="FL1661" s="36" t="s">
        <v>3565</v>
      </c>
      <c r="FM1661" s="36" t="s">
        <v>283</v>
      </c>
    </row>
    <row r="1662">
      <c r="A1662" s="50">
        <v>44676.569179872684</v>
      </c>
      <c r="B1662" s="36" t="s">
        <v>7</v>
      </c>
      <c r="C1662" s="36" t="s">
        <v>12</v>
      </c>
      <c r="AN1662" s="36" t="s">
        <v>4961</v>
      </c>
      <c r="AO1662" s="36" t="s">
        <v>4962</v>
      </c>
      <c r="AP1662" s="36" t="s">
        <v>309</v>
      </c>
      <c r="AQ1662" s="36" t="s">
        <v>507</v>
      </c>
      <c r="AR1662" s="37">
        <v>44479.0</v>
      </c>
      <c r="AS1662" s="37">
        <v>44540.0</v>
      </c>
      <c r="AT1662" s="36" t="s">
        <v>257</v>
      </c>
      <c r="AU1662" s="36" t="s">
        <v>257</v>
      </c>
      <c r="AV1662" s="36">
        <v>0.0</v>
      </c>
      <c r="AW1662" s="38" t="s">
        <v>4963</v>
      </c>
      <c r="FL1662" s="36" t="s">
        <v>4964</v>
      </c>
      <c r="FM1662" s="36" t="s">
        <v>283</v>
      </c>
    </row>
    <row r="1663">
      <c r="A1663" s="50">
        <v>44676.573150428245</v>
      </c>
      <c r="B1663" s="36" t="s">
        <v>7</v>
      </c>
      <c r="C1663" s="36" t="s">
        <v>13</v>
      </c>
      <c r="AX1663" s="36" t="s">
        <v>4961</v>
      </c>
      <c r="AY1663" s="36" t="s">
        <v>4962</v>
      </c>
      <c r="AZ1663" s="36" t="s">
        <v>4965</v>
      </c>
      <c r="BA1663" s="36" t="s">
        <v>3029</v>
      </c>
      <c r="BB1663" s="36" t="s">
        <v>4318</v>
      </c>
      <c r="BC1663" s="37">
        <v>44454.0</v>
      </c>
      <c r="BD1663" s="37">
        <v>44555.0</v>
      </c>
      <c r="BE1663" s="37">
        <v>44543.0</v>
      </c>
      <c r="BF1663" s="36">
        <v>90.0</v>
      </c>
      <c r="BG1663" s="36" t="s">
        <v>1503</v>
      </c>
      <c r="BH1663" s="38" t="s">
        <v>4966</v>
      </c>
      <c r="FL1663" s="36" t="s">
        <v>4964</v>
      </c>
      <c r="FM1663" s="36" t="s">
        <v>283</v>
      </c>
    </row>
    <row r="1664">
      <c r="A1664" s="50">
        <v>44677.52947825231</v>
      </c>
      <c r="B1664" s="36" t="s">
        <v>7</v>
      </c>
      <c r="C1664" s="36" t="s">
        <v>14</v>
      </c>
      <c r="BI1664" s="36" t="s">
        <v>4967</v>
      </c>
      <c r="BJ1664" s="36" t="s">
        <v>4968</v>
      </c>
      <c r="BK1664" s="36" t="s">
        <v>171</v>
      </c>
      <c r="BL1664" s="36" t="s">
        <v>1288</v>
      </c>
      <c r="BM1664" s="36" t="s">
        <v>4969</v>
      </c>
      <c r="BN1664" s="36">
        <v>20.0</v>
      </c>
      <c r="BO1664" s="37">
        <v>44375.0</v>
      </c>
      <c r="BP1664" s="37">
        <v>44303.0</v>
      </c>
      <c r="BQ1664" s="36" t="s">
        <v>1758</v>
      </c>
      <c r="BR1664" s="36" t="s">
        <v>1758</v>
      </c>
      <c r="BS1664" s="36" t="s">
        <v>276</v>
      </c>
      <c r="BT1664" s="36" t="s">
        <v>632</v>
      </c>
      <c r="BU1664" s="36">
        <v>200.0</v>
      </c>
      <c r="BV1664" s="38" t="s">
        <v>4970</v>
      </c>
      <c r="FL1664" s="36" t="s">
        <v>4971</v>
      </c>
      <c r="FM1664" s="36" t="s">
        <v>283</v>
      </c>
    </row>
    <row r="1665">
      <c r="A1665" s="50">
        <v>44677.53313710648</v>
      </c>
      <c r="B1665" s="36" t="s">
        <v>7</v>
      </c>
      <c r="C1665" s="36" t="s">
        <v>20</v>
      </c>
      <c r="DX1665" s="36" t="s">
        <v>4321</v>
      </c>
      <c r="DY1665" s="36" t="s">
        <v>4050</v>
      </c>
      <c r="DZ1665" s="36" t="s">
        <v>313</v>
      </c>
      <c r="EA1665" s="36" t="s">
        <v>4972</v>
      </c>
      <c r="EB1665" s="37">
        <v>44247.0</v>
      </c>
      <c r="EC1665" s="36" t="s">
        <v>4973</v>
      </c>
      <c r="ED1665" s="38" t="s">
        <v>4974</v>
      </c>
      <c r="FL1665" s="36" t="s">
        <v>4052</v>
      </c>
      <c r="FM1665" s="36" t="s">
        <v>283</v>
      </c>
    </row>
    <row r="1666">
      <c r="A1666" s="50">
        <v>44677.533426574075</v>
      </c>
      <c r="B1666" s="36" t="s">
        <v>7</v>
      </c>
      <c r="C1666" s="36" t="s">
        <v>12</v>
      </c>
      <c r="AN1666" s="36" t="s">
        <v>4975</v>
      </c>
      <c r="AO1666" s="36" t="s">
        <v>4976</v>
      </c>
      <c r="AP1666" s="36" t="s">
        <v>4704</v>
      </c>
      <c r="AQ1666" s="36" t="s">
        <v>4977</v>
      </c>
      <c r="AR1666" s="37">
        <v>44478.0</v>
      </c>
      <c r="AS1666" s="37">
        <v>44548.0</v>
      </c>
      <c r="AT1666" s="36" t="s">
        <v>257</v>
      </c>
      <c r="AU1666" s="36" t="s">
        <v>257</v>
      </c>
      <c r="AV1666" s="36">
        <v>0.0</v>
      </c>
      <c r="AW1666" s="38" t="s">
        <v>4978</v>
      </c>
      <c r="FL1666" s="36" t="s">
        <v>4979</v>
      </c>
      <c r="FM1666" s="36" t="s">
        <v>283</v>
      </c>
    </row>
    <row r="1667">
      <c r="A1667" s="50">
        <v>44677.53412658565</v>
      </c>
      <c r="B1667" s="36" t="s">
        <v>7</v>
      </c>
      <c r="C1667" s="36" t="s">
        <v>12</v>
      </c>
      <c r="AN1667" s="36" t="s">
        <v>4980</v>
      </c>
      <c r="AO1667" s="36" t="s">
        <v>4981</v>
      </c>
      <c r="AP1667" s="36" t="s">
        <v>4253</v>
      </c>
      <c r="AQ1667" s="36" t="s">
        <v>4982</v>
      </c>
      <c r="AR1667" s="37">
        <v>44478.0</v>
      </c>
      <c r="AS1667" s="37">
        <v>44548.0</v>
      </c>
      <c r="AT1667" s="36" t="s">
        <v>257</v>
      </c>
      <c r="AU1667" s="36" t="s">
        <v>257</v>
      </c>
      <c r="AV1667" s="36">
        <v>0.0</v>
      </c>
      <c r="AW1667" s="38" t="s">
        <v>4983</v>
      </c>
      <c r="FL1667" s="36" t="s">
        <v>4984</v>
      </c>
      <c r="FM1667" s="36" t="s">
        <v>283</v>
      </c>
    </row>
    <row r="1668">
      <c r="A1668" s="50">
        <v>44677.5345319676</v>
      </c>
      <c r="B1668" s="36" t="s">
        <v>7</v>
      </c>
      <c r="C1668" s="36" t="s">
        <v>12</v>
      </c>
      <c r="AN1668" s="36" t="s">
        <v>4985</v>
      </c>
      <c r="AO1668" s="36" t="s">
        <v>4986</v>
      </c>
      <c r="AP1668" s="36" t="s">
        <v>4987</v>
      </c>
      <c r="AQ1668" s="36" t="s">
        <v>4988</v>
      </c>
      <c r="AR1668" s="37">
        <v>44478.0</v>
      </c>
      <c r="AS1668" s="37">
        <v>44548.0</v>
      </c>
      <c r="AT1668" s="36" t="s">
        <v>257</v>
      </c>
      <c r="AU1668" s="36" t="s">
        <v>257</v>
      </c>
      <c r="AV1668" s="36">
        <v>0.0</v>
      </c>
      <c r="AW1668" s="38" t="s">
        <v>4989</v>
      </c>
      <c r="FL1668" s="36" t="s">
        <v>4990</v>
      </c>
      <c r="FM1668" s="36" t="s">
        <v>283</v>
      </c>
    </row>
    <row r="1669">
      <c r="A1669" s="50">
        <v>44677.53824061343</v>
      </c>
      <c r="B1669" s="36" t="s">
        <v>7</v>
      </c>
      <c r="C1669" s="36" t="s">
        <v>12</v>
      </c>
      <c r="AN1669" s="36" t="s">
        <v>4991</v>
      </c>
      <c r="AO1669" s="36" t="s">
        <v>4968</v>
      </c>
      <c r="AP1669" s="36" t="s">
        <v>3959</v>
      </c>
      <c r="AQ1669" s="36" t="s">
        <v>782</v>
      </c>
      <c r="AR1669" s="37">
        <v>44470.0</v>
      </c>
      <c r="AS1669" s="37">
        <v>44531.0</v>
      </c>
      <c r="AT1669" s="36" t="s">
        <v>257</v>
      </c>
      <c r="AU1669" s="36" t="s">
        <v>257</v>
      </c>
      <c r="AV1669" s="36">
        <v>0.0</v>
      </c>
      <c r="AW1669" s="38" t="s">
        <v>4992</v>
      </c>
      <c r="FL1669" s="36" t="s">
        <v>4971</v>
      </c>
      <c r="FM1669" s="36" t="s">
        <v>283</v>
      </c>
    </row>
    <row r="1670">
      <c r="A1670" s="50">
        <v>44677.53945776621</v>
      </c>
      <c r="B1670" s="36" t="s">
        <v>7</v>
      </c>
      <c r="C1670" s="36" t="s">
        <v>13</v>
      </c>
      <c r="AX1670" s="36" t="s">
        <v>4993</v>
      </c>
      <c r="AY1670" s="36" t="s">
        <v>4994</v>
      </c>
      <c r="AZ1670" s="36" t="s">
        <v>347</v>
      </c>
      <c r="BA1670" s="36" t="s">
        <v>409</v>
      </c>
      <c r="BB1670" s="36" t="s">
        <v>310</v>
      </c>
      <c r="BC1670" s="37">
        <v>44200.0</v>
      </c>
      <c r="BD1670" s="37">
        <v>44259.0</v>
      </c>
      <c r="BE1670" s="37">
        <v>44259.0</v>
      </c>
      <c r="BF1670" s="36">
        <v>95.0</v>
      </c>
      <c r="BG1670" s="36" t="s">
        <v>445</v>
      </c>
      <c r="BH1670" s="38" t="s">
        <v>4995</v>
      </c>
      <c r="FL1670" s="36" t="s">
        <v>4996</v>
      </c>
      <c r="FM1670" s="36" t="s">
        <v>283</v>
      </c>
    </row>
    <row r="1671">
      <c r="A1671" s="50">
        <v>44677.54054821759</v>
      </c>
      <c r="B1671" s="36" t="s">
        <v>7</v>
      </c>
      <c r="C1671" s="36" t="s">
        <v>13</v>
      </c>
      <c r="AX1671" s="36" t="s">
        <v>4980</v>
      </c>
      <c r="AY1671" s="36" t="s">
        <v>4981</v>
      </c>
      <c r="AZ1671" s="36" t="s">
        <v>336</v>
      </c>
      <c r="BA1671" s="36" t="s">
        <v>900</v>
      </c>
      <c r="BB1671" s="36" t="s">
        <v>310</v>
      </c>
      <c r="BC1671" s="37">
        <v>44609.0</v>
      </c>
      <c r="BD1671" s="37">
        <v>44676.0</v>
      </c>
      <c r="BE1671" s="37">
        <v>44676.0</v>
      </c>
      <c r="BF1671" s="36">
        <v>92.0</v>
      </c>
      <c r="BG1671" s="36" t="s">
        <v>339</v>
      </c>
      <c r="BH1671" s="38" t="s">
        <v>4997</v>
      </c>
      <c r="FL1671" s="36" t="s">
        <v>4984</v>
      </c>
      <c r="FM1671" s="36" t="s">
        <v>283</v>
      </c>
    </row>
    <row r="1672">
      <c r="A1672" s="50">
        <v>44677.54100618056</v>
      </c>
      <c r="B1672" s="36" t="s">
        <v>7</v>
      </c>
      <c r="C1672" s="36" t="s">
        <v>13</v>
      </c>
      <c r="AX1672" s="36" t="s">
        <v>4998</v>
      </c>
      <c r="AY1672" s="36" t="s">
        <v>4986</v>
      </c>
      <c r="AZ1672" s="36" t="s">
        <v>566</v>
      </c>
      <c r="BA1672" s="36" t="s">
        <v>900</v>
      </c>
      <c r="BB1672" s="36" t="s">
        <v>310</v>
      </c>
      <c r="BC1672" s="37">
        <v>44609.0</v>
      </c>
      <c r="BD1672" s="37">
        <v>44676.0</v>
      </c>
      <c r="BE1672" s="37">
        <v>44676.0</v>
      </c>
      <c r="BF1672" s="36">
        <v>90.0</v>
      </c>
      <c r="BG1672" s="36" t="s">
        <v>339</v>
      </c>
      <c r="BH1672" s="38" t="s">
        <v>4999</v>
      </c>
      <c r="FL1672" s="36" t="s">
        <v>4990</v>
      </c>
      <c r="FM1672" s="36" t="s">
        <v>283</v>
      </c>
    </row>
    <row r="1673">
      <c r="A1673" s="50">
        <v>44677.541356574075</v>
      </c>
      <c r="B1673" s="36" t="s">
        <v>7</v>
      </c>
      <c r="C1673" s="36" t="s">
        <v>13</v>
      </c>
      <c r="AX1673" s="36" t="s">
        <v>4975</v>
      </c>
      <c r="AY1673" s="36" t="s">
        <v>4976</v>
      </c>
      <c r="AZ1673" s="36" t="s">
        <v>5000</v>
      </c>
      <c r="BA1673" s="36" t="s">
        <v>377</v>
      </c>
      <c r="BB1673" s="36" t="s">
        <v>310</v>
      </c>
      <c r="BC1673" s="37">
        <v>44105.0</v>
      </c>
      <c r="BD1673" s="37">
        <v>44165.0</v>
      </c>
      <c r="BE1673" s="37">
        <v>44136.0</v>
      </c>
      <c r="BF1673" s="36">
        <v>90.0</v>
      </c>
      <c r="BG1673" s="36" t="s">
        <v>857</v>
      </c>
      <c r="BH1673" s="38" t="s">
        <v>5001</v>
      </c>
      <c r="FL1673" s="36" t="s">
        <v>4979</v>
      </c>
      <c r="FM1673" s="36" t="s">
        <v>283</v>
      </c>
    </row>
    <row r="1674">
      <c r="A1674" s="50">
        <v>44677.541811030096</v>
      </c>
      <c r="B1674" s="36" t="s">
        <v>7</v>
      </c>
      <c r="C1674" s="36" t="s">
        <v>13</v>
      </c>
      <c r="AX1674" s="36" t="s">
        <v>4993</v>
      </c>
      <c r="AY1674" s="36" t="s">
        <v>4994</v>
      </c>
      <c r="AZ1674" s="36" t="s">
        <v>5002</v>
      </c>
      <c r="BA1674" s="36" t="s">
        <v>409</v>
      </c>
      <c r="BB1674" s="36" t="s">
        <v>495</v>
      </c>
      <c r="BC1674" s="37">
        <v>44348.0</v>
      </c>
      <c r="BD1674" s="37">
        <v>44378.0</v>
      </c>
      <c r="BE1674" s="37">
        <v>44378.0</v>
      </c>
      <c r="BF1674" s="36">
        <v>95.0</v>
      </c>
      <c r="BG1674" s="36" t="s">
        <v>5003</v>
      </c>
      <c r="BH1674" s="38" t="s">
        <v>5004</v>
      </c>
      <c r="FL1674" s="36" t="s">
        <v>4996</v>
      </c>
      <c r="FM1674" s="36" t="s">
        <v>283</v>
      </c>
    </row>
    <row r="1675">
      <c r="A1675" s="50">
        <v>44677.54204001157</v>
      </c>
      <c r="B1675" s="36" t="s">
        <v>7</v>
      </c>
      <c r="C1675" s="36" t="s">
        <v>13</v>
      </c>
      <c r="AX1675" s="36" t="s">
        <v>5005</v>
      </c>
      <c r="AY1675" s="36" t="s">
        <v>5006</v>
      </c>
      <c r="AZ1675" s="36" t="s">
        <v>5007</v>
      </c>
      <c r="BA1675" s="36" t="s">
        <v>5008</v>
      </c>
      <c r="BB1675" s="36" t="s">
        <v>5009</v>
      </c>
      <c r="BC1675" s="37">
        <v>44360.0</v>
      </c>
      <c r="BD1675" s="37">
        <v>44373.0</v>
      </c>
      <c r="BE1675" s="37">
        <v>44373.0</v>
      </c>
      <c r="BF1675" s="51">
        <v>0.75</v>
      </c>
      <c r="BG1675" s="36" t="s">
        <v>5010</v>
      </c>
      <c r="BH1675" s="38" t="s">
        <v>5011</v>
      </c>
      <c r="FL1675" s="36" t="s">
        <v>5012</v>
      </c>
      <c r="FM1675" s="36" t="s">
        <v>283</v>
      </c>
    </row>
    <row r="1676">
      <c r="A1676" s="50">
        <v>44677.5429933912</v>
      </c>
      <c r="B1676" s="36" t="s">
        <v>7</v>
      </c>
      <c r="C1676" s="36" t="s">
        <v>13</v>
      </c>
      <c r="AX1676" s="36" t="s">
        <v>4980</v>
      </c>
      <c r="AY1676" s="36" t="s">
        <v>4981</v>
      </c>
      <c r="AZ1676" s="36" t="s">
        <v>399</v>
      </c>
      <c r="BA1676" s="36" t="s">
        <v>900</v>
      </c>
      <c r="BB1676" s="36" t="s">
        <v>310</v>
      </c>
      <c r="BC1676" s="37">
        <v>44337.0</v>
      </c>
      <c r="BD1676" s="37">
        <v>44387.0</v>
      </c>
      <c r="BE1676" s="37">
        <v>44387.0</v>
      </c>
      <c r="BF1676" s="36">
        <v>94.0</v>
      </c>
      <c r="BG1676" s="36" t="s">
        <v>559</v>
      </c>
      <c r="BH1676" s="38" t="s">
        <v>5013</v>
      </c>
      <c r="FL1676" s="36" t="s">
        <v>4984</v>
      </c>
      <c r="FM1676" s="36" t="s">
        <v>283</v>
      </c>
    </row>
    <row r="1677">
      <c r="A1677" s="50">
        <v>44677.54469717592</v>
      </c>
      <c r="B1677" s="36" t="s">
        <v>7</v>
      </c>
      <c r="C1677" s="36" t="s">
        <v>13</v>
      </c>
      <c r="AX1677" s="36" t="s">
        <v>5014</v>
      </c>
      <c r="AY1677" s="36" t="s">
        <v>4968</v>
      </c>
      <c r="AZ1677" s="36" t="s">
        <v>5015</v>
      </c>
      <c r="BA1677" s="36" t="s">
        <v>5016</v>
      </c>
      <c r="BB1677" s="36">
        <v>2.0</v>
      </c>
      <c r="BC1677" s="37">
        <v>44506.0</v>
      </c>
      <c r="BD1677" s="37">
        <v>44567.0</v>
      </c>
      <c r="BE1677" s="37">
        <v>44567.0</v>
      </c>
      <c r="BF1677" s="36">
        <v>75.0</v>
      </c>
      <c r="BG1677" s="36" t="s">
        <v>5017</v>
      </c>
      <c r="BH1677" s="38" t="s">
        <v>5018</v>
      </c>
      <c r="FL1677" s="36" t="s">
        <v>5012</v>
      </c>
      <c r="FM1677" s="36" t="s">
        <v>283</v>
      </c>
    </row>
    <row r="1678">
      <c r="A1678" s="50">
        <v>44677.54478511574</v>
      </c>
      <c r="B1678" s="36" t="s">
        <v>7</v>
      </c>
      <c r="C1678" s="36" t="s">
        <v>13</v>
      </c>
      <c r="AX1678" s="36" t="s">
        <v>4975</v>
      </c>
      <c r="AY1678" s="36" t="s">
        <v>4976</v>
      </c>
      <c r="AZ1678" s="36" t="s">
        <v>5019</v>
      </c>
      <c r="BA1678" s="36" t="s">
        <v>377</v>
      </c>
      <c r="BB1678" s="36" t="s">
        <v>310</v>
      </c>
      <c r="BC1678" s="37">
        <v>44621.0</v>
      </c>
      <c r="BD1678" s="37">
        <v>44681.0</v>
      </c>
      <c r="BE1678" s="37">
        <v>44673.0</v>
      </c>
      <c r="BF1678" s="36">
        <v>90.0</v>
      </c>
      <c r="BG1678" s="36" t="s">
        <v>3964</v>
      </c>
      <c r="BH1678" s="38" t="s">
        <v>5020</v>
      </c>
      <c r="FL1678" s="36" t="s">
        <v>4979</v>
      </c>
      <c r="FM1678" s="36" t="s">
        <v>283</v>
      </c>
    </row>
    <row r="1679">
      <c r="A1679" s="50">
        <v>44677.544859016205</v>
      </c>
      <c r="B1679" s="36" t="s">
        <v>7</v>
      </c>
      <c r="C1679" s="36" t="s">
        <v>13</v>
      </c>
      <c r="AX1679" s="36" t="s">
        <v>4998</v>
      </c>
      <c r="AY1679" s="36" t="s">
        <v>4986</v>
      </c>
      <c r="AZ1679" s="36" t="s">
        <v>347</v>
      </c>
      <c r="BA1679" s="36" t="s">
        <v>900</v>
      </c>
      <c r="BB1679" s="36" t="s">
        <v>310</v>
      </c>
      <c r="BC1679" s="37">
        <v>44197.0</v>
      </c>
      <c r="BD1679" s="37">
        <v>44263.0</v>
      </c>
      <c r="BE1679" s="37">
        <v>44263.0</v>
      </c>
      <c r="BF1679" s="36">
        <v>95.0</v>
      </c>
      <c r="BG1679" s="36" t="s">
        <v>1503</v>
      </c>
      <c r="BH1679" s="38" t="s">
        <v>5021</v>
      </c>
      <c r="FL1679" s="36" t="s">
        <v>4990</v>
      </c>
      <c r="FM1679" s="36" t="s">
        <v>283</v>
      </c>
    </row>
    <row r="1680">
      <c r="A1680" s="50">
        <v>44677.545328506945</v>
      </c>
      <c r="B1680" s="36" t="s">
        <v>7</v>
      </c>
      <c r="C1680" s="36" t="s">
        <v>13</v>
      </c>
      <c r="AX1680" s="36" t="s">
        <v>4993</v>
      </c>
      <c r="AY1680" s="36" t="s">
        <v>4994</v>
      </c>
      <c r="AZ1680" s="36" t="s">
        <v>5022</v>
      </c>
      <c r="BA1680" s="36" t="s">
        <v>456</v>
      </c>
      <c r="BB1680" s="36" t="s">
        <v>1803</v>
      </c>
      <c r="BC1680" s="37">
        <v>43843.0</v>
      </c>
      <c r="BD1680" s="37">
        <v>43871.0</v>
      </c>
      <c r="BE1680" s="37">
        <v>43871.0</v>
      </c>
      <c r="BF1680" s="36">
        <v>95.0</v>
      </c>
      <c r="BG1680" s="36" t="s">
        <v>5023</v>
      </c>
      <c r="BH1680" s="38" t="s">
        <v>5024</v>
      </c>
      <c r="FL1680" s="36" t="s">
        <v>4996</v>
      </c>
      <c r="FM1680" s="36" t="s">
        <v>283</v>
      </c>
    </row>
    <row r="1681">
      <c r="A1681" s="50">
        <v>44677.54544706018</v>
      </c>
      <c r="B1681" s="36" t="s">
        <v>7</v>
      </c>
      <c r="C1681" s="36" t="s">
        <v>13</v>
      </c>
      <c r="AX1681" s="36" t="s">
        <v>4980</v>
      </c>
      <c r="AY1681" s="36" t="s">
        <v>5025</v>
      </c>
      <c r="AZ1681" s="36" t="s">
        <v>5026</v>
      </c>
      <c r="BA1681" s="36" t="s">
        <v>5027</v>
      </c>
      <c r="BB1681" s="36" t="s">
        <v>310</v>
      </c>
      <c r="BC1681" s="37">
        <v>43902.0</v>
      </c>
      <c r="BD1681" s="37">
        <v>44002.0</v>
      </c>
      <c r="BE1681" s="37">
        <v>44002.0</v>
      </c>
      <c r="BF1681" s="36">
        <v>92.0</v>
      </c>
      <c r="BG1681" s="36" t="s">
        <v>559</v>
      </c>
      <c r="BH1681" s="38" t="s">
        <v>5028</v>
      </c>
      <c r="FL1681" s="36" t="s">
        <v>4984</v>
      </c>
      <c r="FM1681" s="36" t="s">
        <v>283</v>
      </c>
    </row>
    <row r="1682">
      <c r="A1682" s="50">
        <v>44677.54668047454</v>
      </c>
      <c r="B1682" s="36" t="s">
        <v>7</v>
      </c>
      <c r="C1682" s="36" t="s">
        <v>13</v>
      </c>
      <c r="AX1682" s="36" t="s">
        <v>4991</v>
      </c>
      <c r="AY1682" s="36" t="s">
        <v>4968</v>
      </c>
      <c r="AZ1682" s="36" t="s">
        <v>2552</v>
      </c>
      <c r="BA1682" s="36" t="s">
        <v>337</v>
      </c>
      <c r="BB1682" s="36">
        <v>3.0</v>
      </c>
      <c r="BC1682" s="37">
        <v>44298.0</v>
      </c>
      <c r="BD1682" s="37">
        <v>44359.0</v>
      </c>
      <c r="BE1682" s="37">
        <v>44359.0</v>
      </c>
      <c r="BF1682" s="36">
        <v>75.0</v>
      </c>
      <c r="BG1682" s="36" t="s">
        <v>1503</v>
      </c>
      <c r="BH1682" s="38" t="s">
        <v>5029</v>
      </c>
      <c r="FL1682" s="36" t="s">
        <v>4971</v>
      </c>
      <c r="FM1682" s="36" t="s">
        <v>283</v>
      </c>
    </row>
    <row r="1683">
      <c r="A1683" s="50">
        <v>44677.546997384256</v>
      </c>
      <c r="B1683" s="36" t="s">
        <v>7</v>
      </c>
      <c r="C1683" s="36" t="s">
        <v>13</v>
      </c>
      <c r="AX1683" s="36" t="s">
        <v>4975</v>
      </c>
      <c r="AY1683" s="36" t="s">
        <v>4976</v>
      </c>
      <c r="AZ1683" s="36" t="s">
        <v>3405</v>
      </c>
      <c r="BA1683" s="36" t="s">
        <v>5030</v>
      </c>
      <c r="BB1683" s="36" t="s">
        <v>495</v>
      </c>
      <c r="BC1683" s="37">
        <v>44515.0</v>
      </c>
      <c r="BD1683" s="37">
        <v>44544.0</v>
      </c>
      <c r="BE1683" s="37">
        <v>44544.0</v>
      </c>
      <c r="BF1683" s="36">
        <v>90.0</v>
      </c>
      <c r="BG1683" s="36" t="s">
        <v>3888</v>
      </c>
      <c r="BH1683" s="38" t="s">
        <v>5031</v>
      </c>
      <c r="FL1683" s="36" t="s">
        <v>4979</v>
      </c>
      <c r="FM1683" s="36" t="s">
        <v>283</v>
      </c>
    </row>
    <row r="1684">
      <c r="A1684" s="50">
        <v>44677.547453761574</v>
      </c>
      <c r="B1684" s="36" t="s">
        <v>7</v>
      </c>
      <c r="C1684" s="36" t="s">
        <v>13</v>
      </c>
      <c r="AX1684" s="36" t="s">
        <v>4998</v>
      </c>
      <c r="AY1684" s="36" t="s">
        <v>4986</v>
      </c>
      <c r="AZ1684" s="36" t="s">
        <v>3772</v>
      </c>
      <c r="BA1684" s="36" t="s">
        <v>900</v>
      </c>
      <c r="BB1684" s="36" t="s">
        <v>450</v>
      </c>
      <c r="BC1684" s="37">
        <v>44500.0</v>
      </c>
      <c r="BD1684" s="37">
        <v>44583.0</v>
      </c>
      <c r="BE1684" s="37">
        <v>44583.0</v>
      </c>
      <c r="BF1684" s="36">
        <v>95.0</v>
      </c>
      <c r="BG1684" s="36" t="s">
        <v>3964</v>
      </c>
      <c r="BH1684" s="38" t="s">
        <v>5032</v>
      </c>
      <c r="FL1684" s="36" t="s">
        <v>4990</v>
      </c>
      <c r="FM1684" s="36" t="s">
        <v>283</v>
      </c>
    </row>
    <row r="1685">
      <c r="A1685" s="50">
        <v>44677.54805456019</v>
      </c>
      <c r="B1685" s="36" t="s">
        <v>7</v>
      </c>
      <c r="C1685" s="36" t="s">
        <v>13</v>
      </c>
      <c r="AX1685" s="36" t="s">
        <v>4980</v>
      </c>
      <c r="AY1685" s="36" t="s">
        <v>4981</v>
      </c>
      <c r="AZ1685" s="36" t="s">
        <v>856</v>
      </c>
      <c r="BA1685" s="36" t="s">
        <v>900</v>
      </c>
      <c r="BB1685" s="36" t="s">
        <v>310</v>
      </c>
      <c r="BC1685" s="37">
        <v>44090.0</v>
      </c>
      <c r="BD1685" s="37">
        <v>44136.0</v>
      </c>
      <c r="BE1685" s="37">
        <v>44136.0</v>
      </c>
      <c r="BF1685" s="36">
        <v>90.0</v>
      </c>
      <c r="BG1685" s="36" t="s">
        <v>5033</v>
      </c>
      <c r="BH1685" s="38" t="s">
        <v>5034</v>
      </c>
      <c r="FL1685" s="36" t="s">
        <v>4984</v>
      </c>
      <c r="FM1685" s="36" t="s">
        <v>283</v>
      </c>
    </row>
    <row r="1686">
      <c r="A1686" s="50">
        <v>44677.54828519676</v>
      </c>
      <c r="B1686" s="36" t="s">
        <v>7</v>
      </c>
      <c r="C1686" s="36" t="s">
        <v>13</v>
      </c>
      <c r="AX1686" s="36" t="s">
        <v>4980</v>
      </c>
      <c r="AY1686" s="36" t="s">
        <v>4981</v>
      </c>
      <c r="AZ1686" s="36" t="s">
        <v>5035</v>
      </c>
      <c r="BA1686" s="36" t="s">
        <v>337</v>
      </c>
      <c r="BB1686" s="36" t="s">
        <v>310</v>
      </c>
      <c r="BC1686" s="37">
        <v>44523.0</v>
      </c>
      <c r="BD1686" s="37">
        <v>44584.0</v>
      </c>
      <c r="BE1686" s="37">
        <v>44584.0</v>
      </c>
      <c r="BF1686" s="36">
        <v>93.0</v>
      </c>
      <c r="BG1686" s="36" t="s">
        <v>3964</v>
      </c>
      <c r="BH1686" s="38" t="s">
        <v>5036</v>
      </c>
      <c r="FL1686" s="36" t="s">
        <v>4984</v>
      </c>
      <c r="FM1686" s="36" t="s">
        <v>283</v>
      </c>
    </row>
    <row r="1687">
      <c r="A1687" s="50">
        <v>44677.54884041667</v>
      </c>
      <c r="B1687" s="36" t="s">
        <v>7</v>
      </c>
      <c r="C1687" s="36" t="s">
        <v>13</v>
      </c>
      <c r="AX1687" s="36" t="s">
        <v>4975</v>
      </c>
      <c r="AY1687" s="36" t="s">
        <v>4976</v>
      </c>
      <c r="AZ1687" s="36" t="s">
        <v>5007</v>
      </c>
      <c r="BA1687" s="36" t="s">
        <v>5037</v>
      </c>
      <c r="BB1687" s="36" t="s">
        <v>5038</v>
      </c>
      <c r="BC1687" s="37">
        <v>44342.0</v>
      </c>
      <c r="BD1687" s="37">
        <v>44377.0</v>
      </c>
      <c r="BE1687" s="37">
        <v>44373.0</v>
      </c>
      <c r="BF1687" s="36">
        <v>90.0</v>
      </c>
      <c r="BG1687" s="36" t="s">
        <v>5039</v>
      </c>
      <c r="BH1687" s="38" t="s">
        <v>5040</v>
      </c>
      <c r="FL1687" s="36" t="s">
        <v>4979</v>
      </c>
      <c r="FM1687" s="36" t="s">
        <v>283</v>
      </c>
    </row>
    <row r="1688">
      <c r="A1688" s="50">
        <v>44677.54876662037</v>
      </c>
      <c r="B1688" s="36" t="s">
        <v>7</v>
      </c>
      <c r="C1688" s="36" t="s">
        <v>13</v>
      </c>
      <c r="AX1688" s="36" t="s">
        <v>4991</v>
      </c>
      <c r="AY1688" s="36" t="s">
        <v>4968</v>
      </c>
      <c r="AZ1688" s="36" t="s">
        <v>5041</v>
      </c>
      <c r="BA1688" s="36" t="s">
        <v>900</v>
      </c>
      <c r="BB1688" s="36">
        <v>3.0</v>
      </c>
      <c r="BC1688" s="37">
        <v>43895.0</v>
      </c>
      <c r="BD1688" s="37">
        <v>43987.0</v>
      </c>
      <c r="BE1688" s="37">
        <v>43987.0</v>
      </c>
      <c r="BF1688" s="36">
        <v>80.0</v>
      </c>
      <c r="BG1688" s="36" t="s">
        <v>1503</v>
      </c>
      <c r="BH1688" s="38" t="s">
        <v>5042</v>
      </c>
      <c r="FL1688" s="36" t="s">
        <v>4971</v>
      </c>
      <c r="FM1688" s="36" t="s">
        <v>283</v>
      </c>
    </row>
    <row r="1689">
      <c r="A1689" s="50">
        <v>44677.55038328704</v>
      </c>
      <c r="B1689" s="36" t="s">
        <v>7</v>
      </c>
      <c r="C1689" s="36" t="s">
        <v>13</v>
      </c>
      <c r="AX1689" s="36" t="s">
        <v>4961</v>
      </c>
      <c r="AY1689" s="36" t="s">
        <v>4962</v>
      </c>
      <c r="AZ1689" s="36" t="s">
        <v>5043</v>
      </c>
      <c r="BA1689" s="36" t="s">
        <v>3029</v>
      </c>
      <c r="BB1689" s="36" t="s">
        <v>5044</v>
      </c>
      <c r="BC1689" s="37">
        <v>44202.0</v>
      </c>
      <c r="BD1689" s="37">
        <v>44712.0</v>
      </c>
      <c r="BE1689" s="37">
        <v>44320.0</v>
      </c>
      <c r="BF1689" s="36">
        <v>90.0</v>
      </c>
      <c r="BG1689" s="36" t="s">
        <v>1503</v>
      </c>
      <c r="BH1689" s="38" t="s">
        <v>5045</v>
      </c>
      <c r="FL1689" s="36" t="s">
        <v>4964</v>
      </c>
      <c r="FM1689" s="36" t="s">
        <v>283</v>
      </c>
    </row>
    <row r="1690">
      <c r="A1690" s="50">
        <v>44677.550434375</v>
      </c>
      <c r="B1690" s="36" t="s">
        <v>7</v>
      </c>
      <c r="C1690" s="36" t="s">
        <v>13</v>
      </c>
      <c r="AX1690" s="36" t="s">
        <v>4980</v>
      </c>
      <c r="AY1690" s="36" t="s">
        <v>4981</v>
      </c>
      <c r="AZ1690" s="36" t="s">
        <v>5046</v>
      </c>
      <c r="BA1690" s="36" t="s">
        <v>2416</v>
      </c>
      <c r="BB1690" s="36" t="s">
        <v>310</v>
      </c>
      <c r="BC1690" s="37">
        <v>44300.0</v>
      </c>
      <c r="BD1690" s="37">
        <v>44399.0</v>
      </c>
      <c r="BE1690" s="37">
        <v>44399.0</v>
      </c>
      <c r="BF1690" s="36">
        <v>95.0</v>
      </c>
      <c r="BG1690" s="36" t="s">
        <v>5047</v>
      </c>
      <c r="BH1690" s="38" t="s">
        <v>5048</v>
      </c>
      <c r="FL1690" s="36" t="s">
        <v>4984</v>
      </c>
      <c r="FM1690" s="36" t="s">
        <v>283</v>
      </c>
    </row>
    <row r="1691">
      <c r="A1691" s="50">
        <v>44677.55049026621</v>
      </c>
      <c r="B1691" s="36" t="s">
        <v>7</v>
      </c>
      <c r="C1691" s="36" t="s">
        <v>13</v>
      </c>
      <c r="AX1691" s="36" t="s">
        <v>4998</v>
      </c>
      <c r="AY1691" s="36" t="s">
        <v>4986</v>
      </c>
      <c r="AZ1691" s="36" t="s">
        <v>981</v>
      </c>
      <c r="BA1691" s="36" t="s">
        <v>900</v>
      </c>
      <c r="BB1691" s="36" t="s">
        <v>450</v>
      </c>
      <c r="BC1691" s="37">
        <v>43938.0</v>
      </c>
      <c r="BD1691" s="37">
        <v>43987.0</v>
      </c>
      <c r="BE1691" s="37">
        <v>43987.0</v>
      </c>
      <c r="BF1691" s="36">
        <v>85.0</v>
      </c>
      <c r="BG1691" s="36" t="s">
        <v>1449</v>
      </c>
      <c r="BH1691" s="38" t="s">
        <v>5049</v>
      </c>
      <c r="FL1691" s="36" t="s">
        <v>4990</v>
      </c>
      <c r="FM1691" s="36" t="s">
        <v>283</v>
      </c>
    </row>
    <row r="1692">
      <c r="A1692" s="50">
        <v>44677.55049494213</v>
      </c>
      <c r="B1692" s="36" t="s">
        <v>7</v>
      </c>
      <c r="C1692" s="36" t="s">
        <v>13</v>
      </c>
      <c r="AX1692" s="36" t="s">
        <v>4975</v>
      </c>
      <c r="AY1692" s="36" t="s">
        <v>4976</v>
      </c>
      <c r="AZ1692" s="36" t="s">
        <v>347</v>
      </c>
      <c r="BA1692" s="36" t="s">
        <v>377</v>
      </c>
      <c r="BB1692" s="36" t="s">
        <v>310</v>
      </c>
      <c r="BC1692" s="37">
        <v>44235.0</v>
      </c>
      <c r="BD1692" s="37">
        <v>44263.0</v>
      </c>
      <c r="BE1692" s="37">
        <v>44263.0</v>
      </c>
      <c r="BF1692" s="36">
        <v>96.0</v>
      </c>
      <c r="BG1692" s="36" t="s">
        <v>559</v>
      </c>
      <c r="BH1692" s="38" t="s">
        <v>5050</v>
      </c>
      <c r="FL1692" s="36" t="s">
        <v>4979</v>
      </c>
      <c r="FM1692" s="36" t="s">
        <v>283</v>
      </c>
    </row>
    <row r="1693">
      <c r="A1693" s="50">
        <v>44677.55054319445</v>
      </c>
      <c r="B1693" s="36" t="s">
        <v>7</v>
      </c>
      <c r="C1693" s="36" t="s">
        <v>13</v>
      </c>
      <c r="AX1693" s="36" t="s">
        <v>4991</v>
      </c>
      <c r="AY1693" s="36" t="s">
        <v>5006</v>
      </c>
      <c r="AZ1693" s="36" t="s">
        <v>856</v>
      </c>
      <c r="BA1693" s="36" t="s">
        <v>900</v>
      </c>
      <c r="BB1693" s="36">
        <v>3.0</v>
      </c>
      <c r="BC1693" s="37">
        <v>44040.0</v>
      </c>
      <c r="BD1693" s="37">
        <v>44132.0</v>
      </c>
      <c r="BE1693" s="37">
        <v>44132.0</v>
      </c>
      <c r="BF1693" s="36">
        <v>85.0</v>
      </c>
      <c r="BG1693" s="36" t="s">
        <v>857</v>
      </c>
      <c r="BH1693" s="38" t="s">
        <v>5051</v>
      </c>
      <c r="FL1693" s="36" t="s">
        <v>4971</v>
      </c>
      <c r="FM1693" s="36" t="s">
        <v>283</v>
      </c>
    </row>
    <row r="1694">
      <c r="A1694" s="50">
        <v>44677.55115912037</v>
      </c>
      <c r="B1694" s="36" t="s">
        <v>7</v>
      </c>
      <c r="C1694" s="36" t="s">
        <v>13</v>
      </c>
      <c r="AX1694" s="36" t="s">
        <v>4980</v>
      </c>
      <c r="AY1694" s="36" t="s">
        <v>4981</v>
      </c>
      <c r="AZ1694" s="36" t="s">
        <v>5052</v>
      </c>
      <c r="BA1694" s="36" t="s">
        <v>409</v>
      </c>
      <c r="BB1694" s="36" t="s">
        <v>495</v>
      </c>
      <c r="BC1694" s="37">
        <v>44348.0</v>
      </c>
      <c r="BD1694" s="37">
        <v>44378.0</v>
      </c>
      <c r="BE1694" s="37">
        <v>44378.0</v>
      </c>
      <c r="BF1694" s="36">
        <v>85.0</v>
      </c>
      <c r="BG1694" s="36" t="s">
        <v>5053</v>
      </c>
      <c r="BH1694" s="38" t="s">
        <v>5054</v>
      </c>
      <c r="FL1694" s="36" t="s">
        <v>4984</v>
      </c>
      <c r="FM1694" s="36" t="s">
        <v>283</v>
      </c>
    </row>
    <row r="1695">
      <c r="A1695" s="50">
        <v>44677.5525699537</v>
      </c>
      <c r="B1695" s="36" t="s">
        <v>7</v>
      </c>
      <c r="C1695" s="36" t="s">
        <v>13</v>
      </c>
      <c r="AX1695" s="36" t="s">
        <v>4991</v>
      </c>
      <c r="AY1695" s="36" t="s">
        <v>4968</v>
      </c>
      <c r="AZ1695" s="36" t="s">
        <v>4388</v>
      </c>
      <c r="BA1695" s="36" t="s">
        <v>5055</v>
      </c>
      <c r="BB1695" s="36">
        <v>3.0</v>
      </c>
      <c r="BC1695" s="37">
        <v>44482.0</v>
      </c>
      <c r="BD1695" s="37">
        <v>44574.0</v>
      </c>
      <c r="BE1695" s="37">
        <v>44574.0</v>
      </c>
      <c r="BF1695" s="36">
        <v>78.0</v>
      </c>
      <c r="BG1695" s="36" t="s">
        <v>3964</v>
      </c>
      <c r="BH1695" s="38" t="s">
        <v>5056</v>
      </c>
      <c r="FL1695" s="36" t="s">
        <v>4971</v>
      </c>
      <c r="FM1695" s="36" t="s">
        <v>283</v>
      </c>
    </row>
    <row r="1696">
      <c r="A1696" s="50">
        <v>44677.55304172453</v>
      </c>
      <c r="B1696" s="36" t="s">
        <v>7</v>
      </c>
      <c r="C1696" s="36" t="s">
        <v>13</v>
      </c>
      <c r="AX1696" s="36" t="s">
        <v>4975</v>
      </c>
      <c r="AY1696" s="36" t="s">
        <v>4976</v>
      </c>
      <c r="AZ1696" s="36" t="s">
        <v>5057</v>
      </c>
      <c r="BA1696" s="36" t="s">
        <v>4080</v>
      </c>
      <c r="BB1696" s="36" t="s">
        <v>495</v>
      </c>
      <c r="BC1696" s="37">
        <v>44344.0</v>
      </c>
      <c r="BD1696" s="37">
        <v>44371.0</v>
      </c>
      <c r="BE1696" s="37">
        <v>44371.0</v>
      </c>
      <c r="BF1696" s="36">
        <v>90.0</v>
      </c>
      <c r="BG1696" s="36" t="s">
        <v>5058</v>
      </c>
      <c r="BH1696" s="38" t="s">
        <v>5059</v>
      </c>
      <c r="FL1696" s="36" t="s">
        <v>4979</v>
      </c>
      <c r="FM1696" s="36" t="s">
        <v>283</v>
      </c>
    </row>
    <row r="1697">
      <c r="A1697" s="50">
        <v>44677.55368347222</v>
      </c>
      <c r="B1697" s="36" t="s">
        <v>7</v>
      </c>
      <c r="C1697" s="36" t="s">
        <v>13</v>
      </c>
      <c r="AX1697" s="36" t="s">
        <v>4980</v>
      </c>
      <c r="AY1697" s="36" t="s">
        <v>4981</v>
      </c>
      <c r="AZ1697" s="36" t="s">
        <v>5060</v>
      </c>
      <c r="BA1697" s="36" t="s">
        <v>5061</v>
      </c>
      <c r="BB1697" s="36" t="s">
        <v>495</v>
      </c>
      <c r="BC1697" s="37">
        <v>44515.0</v>
      </c>
      <c r="BD1697" s="37">
        <v>44544.0</v>
      </c>
      <c r="BE1697" s="37">
        <v>44544.0</v>
      </c>
      <c r="BF1697" s="36">
        <v>90.0</v>
      </c>
      <c r="BG1697" s="36" t="s">
        <v>5062</v>
      </c>
      <c r="BH1697" s="38" t="s">
        <v>5063</v>
      </c>
      <c r="FL1697" s="36" t="s">
        <v>4984</v>
      </c>
      <c r="FM1697" s="36" t="s">
        <v>283</v>
      </c>
    </row>
    <row r="1698">
      <c r="A1698" s="50">
        <v>44677.55487892361</v>
      </c>
      <c r="B1698" s="36" t="s">
        <v>7</v>
      </c>
      <c r="C1698" s="36" t="s">
        <v>13</v>
      </c>
      <c r="AX1698" s="36" t="s">
        <v>4975</v>
      </c>
      <c r="AY1698" s="36" t="s">
        <v>4976</v>
      </c>
      <c r="AZ1698" s="36" t="s">
        <v>377</v>
      </c>
      <c r="BA1698" s="36" t="s">
        <v>981</v>
      </c>
      <c r="BB1698" s="36" t="s">
        <v>310</v>
      </c>
      <c r="BC1698" s="37">
        <v>43961.0</v>
      </c>
      <c r="BD1698" s="37">
        <v>43987.0</v>
      </c>
      <c r="BE1698" s="37">
        <v>43987.0</v>
      </c>
      <c r="BF1698" s="36">
        <v>97.0</v>
      </c>
      <c r="BG1698" s="36" t="s">
        <v>559</v>
      </c>
      <c r="BH1698" s="38" t="s">
        <v>5064</v>
      </c>
      <c r="FL1698" s="36" t="s">
        <v>4979</v>
      </c>
      <c r="FM1698" s="36" t="s">
        <v>283</v>
      </c>
    </row>
    <row r="1699">
      <c r="A1699" s="50">
        <v>44677.55494528935</v>
      </c>
      <c r="B1699" s="36" t="s">
        <v>7</v>
      </c>
      <c r="C1699" s="36" t="s">
        <v>13</v>
      </c>
      <c r="AX1699" s="36" t="s">
        <v>4961</v>
      </c>
      <c r="AY1699" s="36" t="s">
        <v>4962</v>
      </c>
      <c r="AZ1699" s="36" t="s">
        <v>5065</v>
      </c>
      <c r="BA1699" s="36" t="s">
        <v>3029</v>
      </c>
      <c r="BB1699" s="36" t="s">
        <v>5044</v>
      </c>
      <c r="BC1699" s="37">
        <v>44452.0</v>
      </c>
      <c r="BD1699" s="37">
        <v>44605.0</v>
      </c>
      <c r="BE1699" s="37">
        <v>44603.0</v>
      </c>
      <c r="BF1699" s="36">
        <v>90.0</v>
      </c>
      <c r="BG1699" s="36" t="s">
        <v>5066</v>
      </c>
      <c r="BH1699" s="38" t="s">
        <v>5067</v>
      </c>
      <c r="FL1699" s="36" t="s">
        <v>4964</v>
      </c>
      <c r="FM1699" s="36" t="s">
        <v>283</v>
      </c>
    </row>
    <row r="1700">
      <c r="A1700" s="50">
        <v>44677.5549700463</v>
      </c>
      <c r="B1700" s="36" t="s">
        <v>7</v>
      </c>
      <c r="C1700" s="36" t="s">
        <v>13</v>
      </c>
      <c r="AX1700" s="36" t="s">
        <v>4998</v>
      </c>
      <c r="AY1700" s="36" t="s">
        <v>4986</v>
      </c>
      <c r="AZ1700" s="36" t="s">
        <v>5068</v>
      </c>
      <c r="BA1700" s="36" t="s">
        <v>2892</v>
      </c>
      <c r="BB1700" s="36" t="s">
        <v>495</v>
      </c>
      <c r="BC1700" s="37">
        <v>44358.0</v>
      </c>
      <c r="BD1700" s="37">
        <v>44392.0</v>
      </c>
      <c r="BE1700" s="37">
        <v>44392.0</v>
      </c>
      <c r="BF1700" s="36">
        <v>89.0</v>
      </c>
      <c r="BG1700" s="36" t="s">
        <v>5069</v>
      </c>
      <c r="BH1700" s="38" t="s">
        <v>5070</v>
      </c>
      <c r="FL1700" s="36" t="s">
        <v>4990</v>
      </c>
      <c r="FM1700" s="36" t="s">
        <v>283</v>
      </c>
    </row>
    <row r="1701">
      <c r="A1701" s="50">
        <v>44677.55538237268</v>
      </c>
      <c r="B1701" s="36" t="s">
        <v>7</v>
      </c>
      <c r="C1701" s="36" t="s">
        <v>13</v>
      </c>
      <c r="AX1701" s="36" t="s">
        <v>4980</v>
      </c>
      <c r="AY1701" s="36" t="s">
        <v>4981</v>
      </c>
      <c r="AZ1701" s="36" t="s">
        <v>5071</v>
      </c>
      <c r="BA1701" s="36" t="s">
        <v>5072</v>
      </c>
      <c r="BB1701" s="36" t="s">
        <v>348</v>
      </c>
      <c r="BC1701" s="37">
        <v>44285.0</v>
      </c>
      <c r="BD1701" s="37">
        <v>44359.0</v>
      </c>
      <c r="BE1701" s="37">
        <v>44359.0</v>
      </c>
      <c r="BF1701" s="36">
        <v>93.0</v>
      </c>
      <c r="BG1701" s="36" t="s">
        <v>2416</v>
      </c>
      <c r="BH1701" s="38" t="s">
        <v>5073</v>
      </c>
      <c r="FL1701" s="36" t="s">
        <v>4984</v>
      </c>
      <c r="FM1701" s="36" t="s">
        <v>283</v>
      </c>
    </row>
    <row r="1702">
      <c r="A1702" s="50">
        <v>44677.55598546297</v>
      </c>
      <c r="B1702" s="36" t="s">
        <v>7</v>
      </c>
      <c r="C1702" s="36" t="s">
        <v>13</v>
      </c>
      <c r="AX1702" s="36" t="s">
        <v>4991</v>
      </c>
      <c r="AY1702" s="36" t="s">
        <v>4968</v>
      </c>
      <c r="AZ1702" s="36" t="s">
        <v>5074</v>
      </c>
      <c r="BA1702" s="36" t="s">
        <v>4032</v>
      </c>
      <c r="BB1702" s="36">
        <v>3.0</v>
      </c>
      <c r="BC1702" s="37">
        <v>44267.0</v>
      </c>
      <c r="BD1702" s="37">
        <v>44359.0</v>
      </c>
      <c r="BE1702" s="37">
        <v>44359.0</v>
      </c>
      <c r="BF1702" s="36">
        <v>70.0</v>
      </c>
      <c r="BG1702" s="36" t="s">
        <v>1378</v>
      </c>
      <c r="BH1702" s="38" t="s">
        <v>5075</v>
      </c>
      <c r="FL1702" s="36" t="s">
        <v>4971</v>
      </c>
      <c r="FM1702" s="36" t="s">
        <v>283</v>
      </c>
    </row>
    <row r="1703">
      <c r="A1703" s="50">
        <v>44677.55738275463</v>
      </c>
      <c r="B1703" s="36" t="s">
        <v>7</v>
      </c>
      <c r="C1703" s="36" t="s">
        <v>13</v>
      </c>
      <c r="AX1703" s="36" t="s">
        <v>4975</v>
      </c>
      <c r="AY1703" s="36" t="s">
        <v>4976</v>
      </c>
      <c r="AZ1703" s="36" t="s">
        <v>5074</v>
      </c>
      <c r="BA1703" s="36" t="s">
        <v>345</v>
      </c>
      <c r="BB1703" s="36" t="s">
        <v>450</v>
      </c>
      <c r="BC1703" s="37">
        <v>44267.0</v>
      </c>
      <c r="BD1703" s="37">
        <v>44359.0</v>
      </c>
      <c r="BE1703" s="37">
        <v>44359.0</v>
      </c>
      <c r="BF1703" s="36">
        <v>90.0</v>
      </c>
      <c r="BG1703" s="36" t="s">
        <v>345</v>
      </c>
      <c r="BH1703" s="38" t="s">
        <v>5076</v>
      </c>
      <c r="FL1703" s="36" t="s">
        <v>4979</v>
      </c>
      <c r="FM1703" s="36" t="s">
        <v>283</v>
      </c>
    </row>
    <row r="1704">
      <c r="A1704" s="50">
        <v>44677.55759677083</v>
      </c>
      <c r="B1704" s="36" t="s">
        <v>7</v>
      </c>
      <c r="C1704" s="36" t="s">
        <v>13</v>
      </c>
      <c r="AX1704" s="36" t="s">
        <v>4998</v>
      </c>
      <c r="AY1704" s="36" t="s">
        <v>4986</v>
      </c>
      <c r="AZ1704" s="36" t="s">
        <v>5060</v>
      </c>
      <c r="BA1704" s="36" t="s">
        <v>5077</v>
      </c>
      <c r="BB1704" s="36" t="s">
        <v>701</v>
      </c>
      <c r="BC1704" s="37">
        <v>44515.0</v>
      </c>
      <c r="BD1704" s="37">
        <v>44544.0</v>
      </c>
      <c r="BE1704" s="37">
        <v>44544.0</v>
      </c>
      <c r="BF1704" s="36">
        <v>90.0</v>
      </c>
      <c r="BG1704" s="36" t="s">
        <v>5062</v>
      </c>
      <c r="BH1704" s="38" t="s">
        <v>5078</v>
      </c>
      <c r="FL1704" s="36" t="s">
        <v>4990</v>
      </c>
      <c r="FM1704" s="36" t="s">
        <v>283</v>
      </c>
    </row>
    <row r="1705">
      <c r="A1705" s="50">
        <v>44677.55885422454</v>
      </c>
      <c r="B1705" s="36" t="s">
        <v>7</v>
      </c>
      <c r="C1705" s="36" t="s">
        <v>13</v>
      </c>
      <c r="AX1705" s="36" t="s">
        <v>4998</v>
      </c>
      <c r="AY1705" s="36" t="s">
        <v>4986</v>
      </c>
      <c r="AZ1705" s="36" t="s">
        <v>5071</v>
      </c>
      <c r="BA1705" s="36" t="s">
        <v>345</v>
      </c>
      <c r="BB1705" s="36" t="s">
        <v>310</v>
      </c>
      <c r="BC1705" s="37">
        <v>44313.0</v>
      </c>
      <c r="BD1705" s="37">
        <v>44359.0</v>
      </c>
      <c r="BE1705" s="37">
        <v>44359.0</v>
      </c>
      <c r="BF1705" s="36">
        <v>93.0</v>
      </c>
      <c r="BG1705" s="36" t="s">
        <v>2416</v>
      </c>
      <c r="BH1705" s="38" t="s">
        <v>5079</v>
      </c>
      <c r="FL1705" s="36" t="s">
        <v>4990</v>
      </c>
      <c r="FM1705" s="36" t="s">
        <v>283</v>
      </c>
    </row>
    <row r="1706">
      <c r="A1706" s="50">
        <v>44677.55911188657</v>
      </c>
      <c r="B1706" s="36" t="s">
        <v>7</v>
      </c>
      <c r="C1706" s="36" t="s">
        <v>13</v>
      </c>
      <c r="AX1706" s="36" t="s">
        <v>4998</v>
      </c>
      <c r="AY1706" s="36" t="s">
        <v>4986</v>
      </c>
      <c r="AZ1706" s="36" t="s">
        <v>344</v>
      </c>
      <c r="BA1706" s="36" t="s">
        <v>345</v>
      </c>
      <c r="BB1706" s="36" t="s">
        <v>450</v>
      </c>
      <c r="BC1706" s="37">
        <v>43947.0</v>
      </c>
      <c r="BD1706" s="37">
        <v>44034.0</v>
      </c>
      <c r="BE1706" s="37">
        <v>44034.0</v>
      </c>
      <c r="BF1706" s="36">
        <v>90.0</v>
      </c>
      <c r="BG1706" s="36" t="s">
        <v>1088</v>
      </c>
      <c r="BH1706" s="38" t="s">
        <v>5080</v>
      </c>
      <c r="FL1706" s="36" t="s">
        <v>4990</v>
      </c>
      <c r="FM1706" s="36" t="s">
        <v>283</v>
      </c>
    </row>
    <row r="1707">
      <c r="A1707" s="50">
        <v>44677.559126458335</v>
      </c>
      <c r="B1707" s="36" t="s">
        <v>7</v>
      </c>
      <c r="C1707" s="36" t="s">
        <v>13</v>
      </c>
      <c r="AX1707" s="36" t="s">
        <v>4975</v>
      </c>
      <c r="AY1707" s="36" t="s">
        <v>4976</v>
      </c>
      <c r="AZ1707" s="36" t="s">
        <v>647</v>
      </c>
      <c r="BA1707" s="36" t="s">
        <v>345</v>
      </c>
      <c r="BB1707" s="36" t="s">
        <v>450</v>
      </c>
      <c r="BC1707" s="37">
        <v>43913.0</v>
      </c>
      <c r="BD1707" s="37">
        <v>44035.0</v>
      </c>
      <c r="BE1707" s="37">
        <v>44035.0</v>
      </c>
      <c r="BF1707" s="36">
        <v>90.0</v>
      </c>
      <c r="BG1707" s="36" t="s">
        <v>1375</v>
      </c>
      <c r="BH1707" s="38" t="s">
        <v>5081</v>
      </c>
      <c r="FL1707" s="36" t="s">
        <v>4979</v>
      </c>
      <c r="FM1707" s="36" t="s">
        <v>283</v>
      </c>
    </row>
    <row r="1708">
      <c r="A1708" s="50">
        <v>44677.56120376158</v>
      </c>
      <c r="B1708" s="36" t="s">
        <v>7</v>
      </c>
      <c r="C1708" s="36" t="s">
        <v>13</v>
      </c>
      <c r="AX1708" s="36" t="s">
        <v>4998</v>
      </c>
      <c r="AY1708" s="36" t="s">
        <v>4986</v>
      </c>
      <c r="AZ1708" s="36" t="s">
        <v>5057</v>
      </c>
      <c r="BA1708" s="36" t="s">
        <v>2416</v>
      </c>
      <c r="BB1708" s="36" t="s">
        <v>310</v>
      </c>
      <c r="BC1708" s="37">
        <v>44308.0</v>
      </c>
      <c r="BD1708" s="37">
        <v>44034.0</v>
      </c>
      <c r="BE1708" s="37">
        <v>44034.0</v>
      </c>
      <c r="BF1708" s="36">
        <v>90.0</v>
      </c>
      <c r="BG1708" s="36" t="s">
        <v>5082</v>
      </c>
      <c r="BH1708" s="38" t="s">
        <v>5083</v>
      </c>
      <c r="FL1708" s="36" t="s">
        <v>4990</v>
      </c>
      <c r="FM1708" s="36" t="s">
        <v>283</v>
      </c>
    </row>
    <row r="1709">
      <c r="A1709" s="50">
        <v>44677.56242581019</v>
      </c>
      <c r="B1709" s="36" t="s">
        <v>7</v>
      </c>
      <c r="C1709" s="36" t="s">
        <v>12</v>
      </c>
      <c r="AN1709" s="36" t="s">
        <v>3235</v>
      </c>
      <c r="AO1709" s="36" t="s">
        <v>3236</v>
      </c>
      <c r="AP1709" s="36" t="s">
        <v>4887</v>
      </c>
      <c r="AQ1709" s="36" t="s">
        <v>507</v>
      </c>
      <c r="AR1709" s="37">
        <v>44492.0</v>
      </c>
      <c r="AS1709" s="37">
        <v>44560.0</v>
      </c>
      <c r="AT1709" s="36" t="s">
        <v>257</v>
      </c>
      <c r="AU1709" s="36" t="s">
        <v>257</v>
      </c>
      <c r="AV1709" s="36">
        <v>0.0</v>
      </c>
      <c r="AW1709" s="38" t="s">
        <v>5084</v>
      </c>
      <c r="FL1709" s="36" t="s">
        <v>3238</v>
      </c>
      <c r="FM1709" s="36" t="s">
        <v>341</v>
      </c>
    </row>
    <row r="1710">
      <c r="A1710" s="50"/>
      <c r="B1710" s="36"/>
      <c r="C1710" s="36" t="s">
        <v>13</v>
      </c>
      <c r="AX1710" s="36" t="s">
        <v>957</v>
      </c>
      <c r="AY1710" s="36" t="s">
        <v>958</v>
      </c>
      <c r="AZ1710" s="36" t="s">
        <v>5085</v>
      </c>
      <c r="BA1710" s="36" t="s">
        <v>5086</v>
      </c>
      <c r="BB1710" s="36" t="s">
        <v>973</v>
      </c>
      <c r="BC1710" s="37">
        <v>43940.0</v>
      </c>
      <c r="BD1710" s="37">
        <v>43990.0</v>
      </c>
      <c r="BE1710" s="37"/>
      <c r="BF1710" s="54">
        <v>93.264</v>
      </c>
      <c r="BG1710" s="36"/>
      <c r="BH1710" s="38" t="s">
        <v>5087</v>
      </c>
      <c r="FL1710" s="36" t="s">
        <v>5088</v>
      </c>
      <c r="FM1710" s="36"/>
    </row>
    <row r="1711" ht="23.25" customHeight="1">
      <c r="A1711" s="55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4"/>
      <c r="AS1711" s="24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  <c r="BJ1711" s="22"/>
      <c r="BK1711" s="22"/>
      <c r="BL1711" s="22"/>
      <c r="BM1711" s="22"/>
      <c r="BN1711" s="22"/>
      <c r="BO1711" s="22"/>
      <c r="BP1711" s="22"/>
      <c r="BQ1711" s="22"/>
      <c r="BR1711" s="22"/>
      <c r="BS1711" s="22"/>
      <c r="BT1711" s="22"/>
      <c r="BU1711" s="22"/>
      <c r="BV1711" s="22"/>
      <c r="BW1711" s="23" t="s">
        <v>957</v>
      </c>
      <c r="BX1711" s="23" t="s">
        <v>958</v>
      </c>
      <c r="BY1711" s="22"/>
      <c r="BZ1711" s="23" t="s">
        <v>171</v>
      </c>
      <c r="CA1711" s="23" t="s">
        <v>5085</v>
      </c>
      <c r="CB1711" s="23" t="s">
        <v>5086</v>
      </c>
      <c r="CC1711" s="23" t="s">
        <v>973</v>
      </c>
      <c r="CD1711" s="56">
        <v>43940.0</v>
      </c>
      <c r="CE1711" s="56">
        <v>43990.0</v>
      </c>
      <c r="CF1711" s="23">
        <v>93.264</v>
      </c>
      <c r="CG1711" s="25" t="s">
        <v>5087</v>
      </c>
      <c r="CH1711" s="22"/>
      <c r="CI1711" s="22"/>
      <c r="CJ1711" s="22"/>
      <c r="CK1711" s="22"/>
      <c r="CL1711" s="22"/>
      <c r="CM1711" s="22"/>
      <c r="CN1711" s="22"/>
      <c r="CO1711" s="22"/>
      <c r="CP1711" s="22"/>
      <c r="CQ1711" s="22"/>
      <c r="CR1711" s="22"/>
      <c r="CS1711" s="22"/>
      <c r="CT1711" s="22"/>
      <c r="CU1711" s="22"/>
      <c r="CV1711" s="22"/>
      <c r="CW1711" s="22"/>
      <c r="CX1711" s="22"/>
      <c r="CY1711" s="22"/>
      <c r="CZ1711" s="22"/>
      <c r="DA1711" s="22"/>
      <c r="DB1711" s="22"/>
      <c r="DC1711" s="22"/>
      <c r="DD1711" s="22"/>
      <c r="DE1711" s="22"/>
      <c r="DF1711" s="22"/>
      <c r="DG1711" s="22"/>
      <c r="DH1711" s="22"/>
      <c r="DI1711" s="22"/>
      <c r="DJ1711" s="22"/>
      <c r="DK1711" s="22"/>
      <c r="DL1711" s="22"/>
      <c r="DM1711" s="22"/>
      <c r="DN1711" s="22"/>
      <c r="DO1711" s="22"/>
      <c r="DP1711" s="22"/>
      <c r="DQ1711" s="22"/>
      <c r="DR1711" s="22"/>
      <c r="DS1711" s="22"/>
      <c r="DT1711" s="22"/>
      <c r="DU1711" s="22"/>
      <c r="DV1711" s="22"/>
      <c r="DW1711" s="22"/>
      <c r="DX1711" s="22"/>
      <c r="DY1711" s="22"/>
      <c r="DZ1711" s="22"/>
      <c r="EA1711" s="22"/>
      <c r="EB1711" s="22"/>
      <c r="EC1711" s="22"/>
      <c r="ED1711" s="22"/>
      <c r="EE1711" s="22"/>
      <c r="EF1711" s="22"/>
      <c r="EG1711" s="22"/>
      <c r="EH1711" s="22"/>
      <c r="EI1711" s="22"/>
      <c r="EJ1711" s="22"/>
      <c r="EK1711" s="22"/>
      <c r="EL1711" s="22"/>
      <c r="EM1711" s="22"/>
      <c r="EN1711" s="22"/>
      <c r="EO1711" s="22"/>
      <c r="EP1711" s="22"/>
      <c r="EQ1711" s="22"/>
      <c r="ER1711" s="22"/>
      <c r="ES1711" s="22"/>
      <c r="ET1711" s="22"/>
      <c r="EU1711" s="22"/>
      <c r="EV1711" s="22"/>
      <c r="EW1711" s="22"/>
      <c r="EX1711" s="22"/>
      <c r="EY1711" s="22"/>
      <c r="EZ1711" s="22"/>
      <c r="FA1711" s="22"/>
      <c r="FB1711" s="22"/>
      <c r="FC1711" s="22"/>
      <c r="FD1711" s="22"/>
      <c r="FE1711" s="22"/>
      <c r="FF1711" s="22"/>
      <c r="FG1711" s="22"/>
      <c r="FH1711" s="22"/>
      <c r="FI1711" s="22"/>
      <c r="FJ1711" s="22"/>
      <c r="FK1711" s="22"/>
      <c r="FL1711" s="22"/>
      <c r="FM1711" s="22"/>
      <c r="FN1711" s="22"/>
      <c r="FO1711" s="22"/>
      <c r="FP1711" s="22"/>
      <c r="FQ1711" s="22"/>
      <c r="FR1711" s="22"/>
      <c r="FS1711" s="22"/>
      <c r="FT1711" s="22"/>
      <c r="FU1711" s="22"/>
      <c r="FV1711" s="22"/>
      <c r="FW1711" s="22"/>
      <c r="FX1711" s="22"/>
      <c r="FY1711" s="22"/>
      <c r="FZ1711" s="22"/>
      <c r="GA1711" s="22"/>
      <c r="GB1711" s="22"/>
      <c r="GC1711" s="22"/>
      <c r="GD1711" s="22"/>
      <c r="GE1711" s="22"/>
      <c r="GF1711" s="22"/>
      <c r="GG1711" s="22"/>
      <c r="GH1711" s="22"/>
      <c r="GI1711" s="22"/>
      <c r="GJ1711" s="22"/>
      <c r="GK1711" s="22"/>
      <c r="GL1711" s="22"/>
      <c r="GM1711" s="22"/>
      <c r="GN1711" s="22"/>
      <c r="GO1711" s="22"/>
      <c r="GP1711" s="22"/>
      <c r="GQ1711" s="22"/>
      <c r="GR1711" s="22"/>
      <c r="GS1711" s="22"/>
      <c r="GT1711" s="22"/>
      <c r="GU1711" s="22"/>
      <c r="GV1711" s="22"/>
      <c r="GW1711" s="22"/>
      <c r="GX1711" s="22"/>
      <c r="GY1711" s="22"/>
      <c r="GZ1711" s="22"/>
      <c r="HA1711" s="22"/>
    </row>
    <row r="1712" ht="23.25" customHeight="1">
      <c r="A1712" s="55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4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  <c r="BJ1712" s="22"/>
      <c r="BK1712" s="22"/>
      <c r="BL1712" s="22"/>
      <c r="BM1712" s="22"/>
      <c r="BN1712" s="22"/>
      <c r="BO1712" s="22"/>
      <c r="BP1712" s="22"/>
      <c r="BQ1712" s="22"/>
      <c r="BR1712" s="22"/>
      <c r="BS1712" s="22"/>
      <c r="BT1712" s="22"/>
      <c r="BU1712" s="22"/>
      <c r="BV1712" s="22"/>
      <c r="BW1712" s="23" t="s">
        <v>441</v>
      </c>
      <c r="BX1712" s="23" t="s">
        <v>149</v>
      </c>
      <c r="BY1712" s="22"/>
      <c r="BZ1712" s="23" t="s">
        <v>171</v>
      </c>
      <c r="CA1712" s="23" t="s">
        <v>5089</v>
      </c>
      <c r="CB1712" s="23" t="s">
        <v>345</v>
      </c>
      <c r="CC1712" s="23" t="s">
        <v>5090</v>
      </c>
      <c r="CD1712" s="56">
        <v>43971.0</v>
      </c>
      <c r="CE1712" s="56">
        <v>44102.0</v>
      </c>
      <c r="CF1712" s="23">
        <v>100.0</v>
      </c>
      <c r="CG1712" s="25" t="s">
        <v>5091</v>
      </c>
      <c r="CH1712" s="22"/>
      <c r="CI1712" s="22"/>
      <c r="CJ1712" s="22"/>
      <c r="CK1712" s="22"/>
      <c r="CL1712" s="22"/>
      <c r="CM1712" s="22"/>
      <c r="CN1712" s="22"/>
      <c r="CO1712" s="22"/>
      <c r="CP1712" s="22"/>
      <c r="CQ1712" s="22"/>
      <c r="CR1712" s="22"/>
      <c r="CS1712" s="22"/>
      <c r="CT1712" s="22"/>
      <c r="CU1712" s="22"/>
      <c r="CV1712" s="22"/>
      <c r="CW1712" s="22"/>
      <c r="CX1712" s="22"/>
      <c r="CY1712" s="22"/>
      <c r="CZ1712" s="22"/>
      <c r="DA1712" s="22"/>
      <c r="DB1712" s="22"/>
      <c r="DC1712" s="22"/>
      <c r="DD1712" s="22"/>
      <c r="DE1712" s="22"/>
      <c r="DF1712" s="22"/>
      <c r="DG1712" s="22"/>
      <c r="DH1712" s="22"/>
      <c r="DI1712" s="22"/>
      <c r="DJ1712" s="22"/>
      <c r="DK1712" s="22"/>
      <c r="DL1712" s="22"/>
      <c r="DM1712" s="22"/>
      <c r="DN1712" s="22"/>
      <c r="DO1712" s="22"/>
      <c r="DP1712" s="22"/>
      <c r="DQ1712" s="22"/>
      <c r="DR1712" s="22"/>
      <c r="DS1712" s="22"/>
      <c r="DT1712" s="22"/>
      <c r="DU1712" s="22"/>
      <c r="DV1712" s="22"/>
      <c r="DW1712" s="22"/>
      <c r="DX1712" s="22"/>
      <c r="DY1712" s="22"/>
      <c r="DZ1712" s="22"/>
      <c r="EA1712" s="22"/>
      <c r="EB1712" s="22"/>
      <c r="EC1712" s="22"/>
      <c r="ED1712" s="22"/>
      <c r="EE1712" s="22"/>
      <c r="EF1712" s="22"/>
      <c r="EG1712" s="22"/>
      <c r="EH1712" s="22"/>
      <c r="EI1712" s="22"/>
      <c r="EJ1712" s="22"/>
      <c r="EK1712" s="22"/>
      <c r="EL1712" s="22"/>
      <c r="EM1712" s="22"/>
      <c r="EN1712" s="22"/>
      <c r="EO1712" s="22"/>
      <c r="EP1712" s="22"/>
      <c r="EQ1712" s="22"/>
      <c r="ER1712" s="22"/>
      <c r="ES1712" s="22"/>
      <c r="ET1712" s="22"/>
      <c r="EU1712" s="22"/>
      <c r="EV1712" s="22"/>
      <c r="EW1712" s="22"/>
      <c r="EX1712" s="22"/>
      <c r="EY1712" s="22"/>
      <c r="EZ1712" s="22"/>
      <c r="FA1712" s="22"/>
      <c r="FB1712" s="22"/>
      <c r="FC1712" s="22"/>
      <c r="FD1712" s="22"/>
      <c r="FE1712" s="22"/>
      <c r="FF1712" s="22"/>
      <c r="FG1712" s="22"/>
      <c r="FH1712" s="22"/>
      <c r="FI1712" s="22"/>
      <c r="FJ1712" s="22"/>
      <c r="FK1712" s="22"/>
      <c r="FL1712" s="22"/>
      <c r="FM1712" s="22"/>
      <c r="FN1712" s="22"/>
      <c r="FO1712" s="22"/>
      <c r="FP1712" s="22"/>
      <c r="FQ1712" s="22"/>
      <c r="FR1712" s="22"/>
      <c r="FS1712" s="22"/>
      <c r="FT1712" s="22"/>
      <c r="FU1712" s="22"/>
      <c r="FV1712" s="22"/>
      <c r="FW1712" s="22"/>
      <c r="FX1712" s="22"/>
      <c r="FY1712" s="22"/>
      <c r="FZ1712" s="22"/>
      <c r="GA1712" s="22"/>
      <c r="GB1712" s="22"/>
      <c r="GC1712" s="22"/>
      <c r="GD1712" s="22"/>
      <c r="GE1712" s="22"/>
      <c r="GF1712" s="22"/>
      <c r="GG1712" s="22"/>
      <c r="GH1712" s="22"/>
      <c r="GI1712" s="22"/>
      <c r="GJ1712" s="22"/>
      <c r="GK1712" s="22"/>
      <c r="GL1712" s="22"/>
      <c r="GM1712" s="22"/>
      <c r="GN1712" s="22"/>
      <c r="GO1712" s="22"/>
      <c r="GP1712" s="22"/>
      <c r="GQ1712" s="22"/>
      <c r="GR1712" s="22"/>
      <c r="GS1712" s="22"/>
      <c r="GT1712" s="22"/>
      <c r="GU1712" s="22"/>
      <c r="GV1712" s="22"/>
      <c r="GW1712" s="22"/>
      <c r="GX1712" s="22"/>
      <c r="GY1712" s="22"/>
      <c r="GZ1712" s="22"/>
      <c r="HA1712" s="22"/>
    </row>
    <row r="1713" ht="23.25" customHeight="1">
      <c r="A1713" s="55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4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  <c r="BJ1713" s="22"/>
      <c r="BK1713" s="22"/>
      <c r="BL1713" s="22"/>
      <c r="BM1713" s="22"/>
      <c r="BN1713" s="22"/>
      <c r="BO1713" s="22"/>
      <c r="BP1713" s="22"/>
      <c r="BQ1713" s="22"/>
      <c r="BR1713" s="22"/>
      <c r="BS1713" s="22"/>
      <c r="BT1713" s="22"/>
      <c r="BU1713" s="22"/>
      <c r="BV1713" s="22"/>
      <c r="BW1713" s="23" t="s">
        <v>448</v>
      </c>
      <c r="BX1713" s="23" t="s">
        <v>449</v>
      </c>
      <c r="BY1713" s="22"/>
      <c r="BZ1713" s="23" t="s">
        <v>171</v>
      </c>
      <c r="CA1713" s="23" t="s">
        <v>5092</v>
      </c>
      <c r="CB1713" s="23" t="s">
        <v>345</v>
      </c>
      <c r="CC1713" s="23" t="s">
        <v>495</v>
      </c>
      <c r="CD1713" s="56">
        <v>43953.0</v>
      </c>
      <c r="CE1713" s="56">
        <v>43984.0</v>
      </c>
      <c r="CF1713" s="23">
        <v>100.0</v>
      </c>
      <c r="CG1713" s="25" t="s">
        <v>5093</v>
      </c>
      <c r="CH1713" s="22"/>
      <c r="CI1713" s="22"/>
      <c r="CJ1713" s="22"/>
      <c r="CK1713" s="22"/>
      <c r="CL1713" s="22"/>
      <c r="CM1713" s="22"/>
      <c r="CN1713" s="22"/>
      <c r="CO1713" s="22"/>
      <c r="CP1713" s="22"/>
      <c r="CQ1713" s="22"/>
      <c r="CR1713" s="22"/>
      <c r="CS1713" s="22"/>
      <c r="CT1713" s="22"/>
      <c r="CU1713" s="22"/>
      <c r="CV1713" s="22"/>
      <c r="CW1713" s="22"/>
      <c r="CX1713" s="22"/>
      <c r="CY1713" s="22"/>
      <c r="CZ1713" s="22"/>
      <c r="DA1713" s="22"/>
      <c r="DB1713" s="22"/>
      <c r="DC1713" s="22"/>
      <c r="DD1713" s="22"/>
      <c r="DE1713" s="22"/>
      <c r="DF1713" s="22"/>
      <c r="DG1713" s="22"/>
      <c r="DH1713" s="22"/>
      <c r="DI1713" s="22"/>
      <c r="DJ1713" s="22"/>
      <c r="DK1713" s="22"/>
      <c r="DL1713" s="22"/>
      <c r="DM1713" s="22"/>
      <c r="DN1713" s="22"/>
      <c r="DO1713" s="22"/>
      <c r="DP1713" s="22"/>
      <c r="DQ1713" s="22"/>
      <c r="DR1713" s="22"/>
      <c r="DS1713" s="22"/>
      <c r="DT1713" s="22"/>
      <c r="DU1713" s="22"/>
      <c r="DV1713" s="22"/>
      <c r="DW1713" s="22"/>
      <c r="DX1713" s="22"/>
      <c r="DY1713" s="22"/>
      <c r="DZ1713" s="22"/>
      <c r="EA1713" s="22"/>
      <c r="EB1713" s="22"/>
      <c r="EC1713" s="22"/>
      <c r="ED1713" s="22"/>
      <c r="EE1713" s="22"/>
      <c r="EF1713" s="22"/>
      <c r="EG1713" s="22"/>
      <c r="EH1713" s="22"/>
      <c r="EI1713" s="22"/>
      <c r="EJ1713" s="22"/>
      <c r="EK1713" s="22"/>
      <c r="EL1713" s="22"/>
      <c r="EM1713" s="22"/>
      <c r="EN1713" s="22"/>
      <c r="EO1713" s="22"/>
      <c r="EP1713" s="22"/>
      <c r="EQ1713" s="22"/>
      <c r="ER1713" s="22"/>
      <c r="ES1713" s="22"/>
      <c r="ET1713" s="22"/>
      <c r="EU1713" s="22"/>
      <c r="EV1713" s="22"/>
      <c r="EW1713" s="22"/>
      <c r="EX1713" s="22"/>
      <c r="EY1713" s="22"/>
      <c r="EZ1713" s="22"/>
      <c r="FA1713" s="22"/>
      <c r="FB1713" s="22"/>
      <c r="FC1713" s="22"/>
      <c r="FD1713" s="22"/>
      <c r="FE1713" s="22"/>
      <c r="FF1713" s="22"/>
      <c r="FG1713" s="22"/>
      <c r="FH1713" s="22"/>
      <c r="FI1713" s="22"/>
      <c r="FJ1713" s="22"/>
      <c r="FK1713" s="22"/>
      <c r="FL1713" s="22"/>
      <c r="FM1713" s="22"/>
      <c r="FN1713" s="22"/>
      <c r="FO1713" s="22"/>
      <c r="FP1713" s="22"/>
      <c r="FQ1713" s="22"/>
      <c r="FR1713" s="22"/>
      <c r="FS1713" s="22"/>
      <c r="FT1713" s="22"/>
      <c r="FU1713" s="22"/>
      <c r="FV1713" s="22"/>
      <c r="FW1713" s="22"/>
      <c r="FX1713" s="22"/>
      <c r="FY1713" s="22"/>
      <c r="FZ1713" s="22"/>
      <c r="GA1713" s="22"/>
      <c r="GB1713" s="22"/>
      <c r="GC1713" s="22"/>
      <c r="GD1713" s="22"/>
      <c r="GE1713" s="22"/>
      <c r="GF1713" s="22"/>
      <c r="GG1713" s="22"/>
      <c r="GH1713" s="22"/>
      <c r="GI1713" s="22"/>
      <c r="GJ1713" s="22"/>
      <c r="GK1713" s="22"/>
      <c r="GL1713" s="22"/>
      <c r="GM1713" s="22"/>
      <c r="GN1713" s="22"/>
      <c r="GO1713" s="22"/>
      <c r="GP1713" s="22"/>
      <c r="GQ1713" s="22"/>
      <c r="GR1713" s="22"/>
      <c r="GS1713" s="22"/>
      <c r="GT1713" s="22"/>
      <c r="GU1713" s="22"/>
      <c r="GV1713" s="22"/>
      <c r="GW1713" s="22"/>
      <c r="GX1713" s="22"/>
      <c r="GY1713" s="22"/>
      <c r="GZ1713" s="22"/>
      <c r="HA1713" s="22"/>
    </row>
    <row r="1714" ht="23.25" customHeight="1">
      <c r="A1714" s="14"/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57" t="s">
        <v>441</v>
      </c>
      <c r="BX1714" s="57" t="s">
        <v>149</v>
      </c>
      <c r="BY1714" s="14"/>
      <c r="BZ1714" s="57" t="s">
        <v>159</v>
      </c>
      <c r="CA1714" s="57" t="s">
        <v>5094</v>
      </c>
      <c r="CB1714" s="57" t="s">
        <v>345</v>
      </c>
      <c r="CC1714" s="57" t="s">
        <v>5095</v>
      </c>
      <c r="CD1714" s="58">
        <v>43983.0</v>
      </c>
      <c r="CE1714" s="58">
        <v>44068.0</v>
      </c>
      <c r="CF1714" s="57">
        <v>100.0</v>
      </c>
      <c r="CG1714" s="59" t="s">
        <v>5096</v>
      </c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14"/>
      <c r="DC1714" s="14"/>
      <c r="DD1714" s="14"/>
      <c r="DE1714" s="14"/>
      <c r="DF1714" s="14"/>
      <c r="DG1714" s="14"/>
      <c r="DH1714" s="14"/>
      <c r="DI1714" s="14"/>
      <c r="DJ1714" s="14"/>
      <c r="DK1714" s="14"/>
      <c r="DL1714" s="14"/>
      <c r="DM1714" s="14"/>
      <c r="DN1714" s="14"/>
      <c r="DO1714" s="14"/>
      <c r="DP1714" s="14"/>
      <c r="DQ1714" s="14"/>
      <c r="DR1714" s="14"/>
      <c r="DS1714" s="14"/>
      <c r="DT1714" s="14"/>
      <c r="DU1714" s="14"/>
      <c r="DV1714" s="14"/>
      <c r="DW1714" s="14"/>
      <c r="DX1714" s="14"/>
      <c r="DY1714" s="14"/>
      <c r="DZ1714" s="14"/>
      <c r="EA1714" s="14"/>
      <c r="EB1714" s="14"/>
      <c r="EC1714" s="14"/>
      <c r="ED1714" s="14"/>
      <c r="EE1714" s="14"/>
      <c r="EF1714" s="14"/>
      <c r="EG1714" s="14"/>
      <c r="EH1714" s="14"/>
      <c r="EI1714" s="14"/>
      <c r="EJ1714" s="14"/>
      <c r="EK1714" s="14"/>
      <c r="EL1714" s="14"/>
      <c r="EM1714" s="14"/>
      <c r="EN1714" s="14"/>
      <c r="EO1714" s="14"/>
      <c r="EP1714" s="14"/>
      <c r="EQ1714" s="14"/>
      <c r="ER1714" s="14"/>
      <c r="ES1714" s="14"/>
      <c r="ET1714" s="14"/>
      <c r="EU1714" s="14"/>
      <c r="EV1714" s="14"/>
      <c r="EW1714" s="14"/>
      <c r="EX1714" s="14"/>
      <c r="EY1714" s="14"/>
      <c r="EZ1714" s="14"/>
      <c r="FA1714" s="14"/>
      <c r="FB1714" s="14"/>
      <c r="FC1714" s="14"/>
      <c r="FD1714" s="14"/>
      <c r="FE1714" s="14"/>
      <c r="FF1714" s="14"/>
      <c r="FG1714" s="14"/>
      <c r="FH1714" s="14"/>
      <c r="FI1714" s="14"/>
      <c r="FJ1714" s="14"/>
      <c r="FK1714" s="14"/>
      <c r="FL1714" s="14"/>
      <c r="FM1714" s="14"/>
      <c r="FN1714" s="14"/>
      <c r="FO1714" s="14"/>
      <c r="FP1714" s="14"/>
      <c r="FQ1714" s="14"/>
      <c r="FR1714" s="14"/>
      <c r="FS1714" s="14"/>
      <c r="FT1714" s="14"/>
      <c r="FU1714" s="14"/>
      <c r="FV1714" s="14"/>
      <c r="FW1714" s="14"/>
      <c r="FX1714" s="14"/>
      <c r="FY1714" s="14"/>
      <c r="FZ1714" s="14"/>
      <c r="GA1714" s="14"/>
      <c r="GB1714" s="14"/>
      <c r="GC1714" s="14"/>
      <c r="GD1714" s="14"/>
      <c r="GE1714" s="14"/>
      <c r="GF1714" s="14"/>
      <c r="GG1714" s="14"/>
      <c r="GH1714" s="14"/>
      <c r="GI1714" s="14"/>
      <c r="GJ1714" s="14"/>
      <c r="GK1714" s="14"/>
      <c r="GL1714" s="14"/>
      <c r="GM1714" s="14"/>
      <c r="GN1714" s="14"/>
      <c r="GO1714" s="14"/>
      <c r="GP1714" s="14"/>
      <c r="GQ1714" s="14"/>
      <c r="GR1714" s="14"/>
      <c r="GS1714" s="14"/>
      <c r="GT1714" s="14"/>
      <c r="GU1714" s="14"/>
      <c r="GV1714" s="14"/>
      <c r="GW1714" s="14"/>
      <c r="GX1714" s="14"/>
      <c r="GY1714" s="14"/>
      <c r="GZ1714" s="14"/>
      <c r="HA1714" s="14"/>
    </row>
    <row r="1715" ht="23.25" customHeight="1">
      <c r="A1715" s="14"/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57" t="s">
        <v>448</v>
      </c>
      <c r="BX1715" s="57" t="s">
        <v>449</v>
      </c>
      <c r="BY1715" s="14"/>
      <c r="BZ1715" s="57" t="s">
        <v>171</v>
      </c>
      <c r="CA1715" s="57" t="s">
        <v>1400</v>
      </c>
      <c r="CB1715" s="57" t="s">
        <v>345</v>
      </c>
      <c r="CC1715" s="57" t="s">
        <v>495</v>
      </c>
      <c r="CD1715" s="58">
        <v>43983.0</v>
      </c>
      <c r="CE1715" s="58">
        <v>44013.0</v>
      </c>
      <c r="CF1715" s="57">
        <v>100.0</v>
      </c>
      <c r="CG1715" s="59" t="s">
        <v>5097</v>
      </c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14"/>
      <c r="DC1715" s="14"/>
      <c r="DD1715" s="14"/>
      <c r="DE1715" s="14"/>
      <c r="DF1715" s="14"/>
      <c r="DG1715" s="14"/>
      <c r="DH1715" s="14"/>
      <c r="DI1715" s="14"/>
      <c r="DJ1715" s="14"/>
      <c r="DK1715" s="14"/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14"/>
      <c r="EJ1715" s="14"/>
      <c r="EK1715" s="14"/>
      <c r="EL1715" s="14"/>
      <c r="EM1715" s="14"/>
      <c r="EN1715" s="14"/>
      <c r="EO1715" s="14"/>
      <c r="EP1715" s="14"/>
      <c r="EQ1715" s="14"/>
      <c r="ER1715" s="14"/>
      <c r="ES1715" s="14"/>
      <c r="ET1715" s="14"/>
      <c r="EU1715" s="14"/>
      <c r="EV1715" s="14"/>
      <c r="EW1715" s="14"/>
      <c r="EX1715" s="14"/>
      <c r="EY1715" s="14"/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4"/>
      <c r="FZ1715" s="14"/>
      <c r="GA1715" s="14"/>
      <c r="GB1715" s="14"/>
      <c r="GC1715" s="14"/>
      <c r="GD1715" s="14"/>
      <c r="GE1715" s="14"/>
      <c r="GF1715" s="14"/>
      <c r="GG1715" s="14"/>
      <c r="GH1715" s="14"/>
      <c r="GI1715" s="14"/>
      <c r="GJ1715" s="14"/>
      <c r="GK1715" s="14"/>
      <c r="GL1715" s="14"/>
      <c r="GM1715" s="14"/>
      <c r="GN1715" s="14"/>
      <c r="GO1715" s="14"/>
      <c r="GP1715" s="14"/>
      <c r="GQ1715" s="14"/>
      <c r="GR1715" s="14"/>
      <c r="GS1715" s="14"/>
      <c r="GT1715" s="14"/>
      <c r="GU1715" s="14"/>
      <c r="GV1715" s="14"/>
      <c r="GW1715" s="14"/>
      <c r="GX1715" s="14"/>
      <c r="GY1715" s="14"/>
      <c r="GZ1715" s="14"/>
      <c r="HA1715" s="14"/>
    </row>
    <row r="1716" ht="23.25" customHeight="1">
      <c r="A1716" s="14"/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57" t="s">
        <v>441</v>
      </c>
      <c r="BX1716" s="57" t="s">
        <v>149</v>
      </c>
      <c r="BY1716" s="14"/>
      <c r="BZ1716" s="57" t="s">
        <v>171</v>
      </c>
      <c r="CA1716" s="57" t="s">
        <v>5098</v>
      </c>
      <c r="CB1716" s="57" t="s">
        <v>345</v>
      </c>
      <c r="CC1716" s="57" t="s">
        <v>5099</v>
      </c>
      <c r="CD1716" s="58">
        <v>43983.0</v>
      </c>
      <c r="CE1716" s="58">
        <v>44028.0</v>
      </c>
      <c r="CF1716" s="57">
        <v>100.0</v>
      </c>
      <c r="CG1716" s="59" t="s">
        <v>5100</v>
      </c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14"/>
      <c r="DC1716" s="14"/>
      <c r="DD1716" s="14"/>
      <c r="DE1716" s="14"/>
      <c r="DF1716" s="14"/>
      <c r="DG1716" s="14"/>
      <c r="DH1716" s="14"/>
      <c r="DI1716" s="14"/>
      <c r="DJ1716" s="14"/>
      <c r="DK1716" s="14"/>
      <c r="DL1716" s="14"/>
      <c r="DM1716" s="14"/>
      <c r="DN1716" s="14"/>
      <c r="DO1716" s="14"/>
      <c r="DP1716" s="14"/>
      <c r="DQ1716" s="14"/>
      <c r="DR1716" s="14"/>
      <c r="DS1716" s="14"/>
      <c r="DT1716" s="14"/>
      <c r="DU1716" s="14"/>
      <c r="DV1716" s="14"/>
      <c r="DW1716" s="14"/>
      <c r="DX1716" s="14"/>
      <c r="DY1716" s="14"/>
      <c r="DZ1716" s="14"/>
      <c r="EA1716" s="14"/>
      <c r="EB1716" s="14"/>
      <c r="EC1716" s="14"/>
      <c r="ED1716" s="14"/>
      <c r="EE1716" s="14"/>
      <c r="EF1716" s="14"/>
      <c r="EG1716" s="14"/>
      <c r="EH1716" s="14"/>
      <c r="EI1716" s="14"/>
      <c r="EJ1716" s="14"/>
      <c r="EK1716" s="14"/>
      <c r="EL1716" s="14"/>
      <c r="EM1716" s="14"/>
      <c r="EN1716" s="14"/>
      <c r="EO1716" s="14"/>
      <c r="EP1716" s="14"/>
      <c r="EQ1716" s="14"/>
      <c r="ER1716" s="14"/>
      <c r="ES1716" s="14"/>
      <c r="ET1716" s="14"/>
      <c r="EU1716" s="14"/>
      <c r="EV1716" s="14"/>
      <c r="EW1716" s="14"/>
      <c r="EX1716" s="14"/>
      <c r="EY1716" s="14"/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4"/>
      <c r="FZ1716" s="14"/>
      <c r="GA1716" s="14"/>
      <c r="GB1716" s="14"/>
      <c r="GC1716" s="14"/>
      <c r="GD1716" s="14"/>
      <c r="GE1716" s="14"/>
      <c r="GF1716" s="14"/>
      <c r="GG1716" s="14"/>
      <c r="GH1716" s="14"/>
      <c r="GI1716" s="14"/>
      <c r="GJ1716" s="14"/>
      <c r="GK1716" s="14"/>
      <c r="GL1716" s="14"/>
      <c r="GM1716" s="14"/>
      <c r="GN1716" s="14"/>
      <c r="GO1716" s="14"/>
      <c r="GP1716" s="14"/>
      <c r="GQ1716" s="14"/>
      <c r="GR1716" s="14"/>
      <c r="GS1716" s="14"/>
      <c r="GT1716" s="14"/>
      <c r="GU1716" s="14"/>
      <c r="GV1716" s="14"/>
      <c r="GW1716" s="14"/>
      <c r="GX1716" s="14"/>
      <c r="GY1716" s="14"/>
      <c r="GZ1716" s="14"/>
      <c r="HA1716" s="14"/>
    </row>
    <row r="1717" ht="23.25" customHeight="1">
      <c r="A1717" s="14"/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57" t="s">
        <v>441</v>
      </c>
      <c r="BX1717" s="57" t="s">
        <v>149</v>
      </c>
      <c r="BY1717" s="14"/>
      <c r="BZ1717" s="57" t="s">
        <v>171</v>
      </c>
      <c r="CA1717" s="57" t="s">
        <v>5101</v>
      </c>
      <c r="CB1717" s="57" t="s">
        <v>345</v>
      </c>
      <c r="CC1717" s="57" t="s">
        <v>5102</v>
      </c>
      <c r="CD1717" s="58">
        <v>43949.0</v>
      </c>
      <c r="CE1717" s="58">
        <v>44132.0</v>
      </c>
      <c r="CF1717" s="57">
        <v>100.0</v>
      </c>
      <c r="CG1717" s="59" t="s">
        <v>5103</v>
      </c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14"/>
      <c r="DC1717" s="14"/>
      <c r="DD1717" s="14"/>
      <c r="DE1717" s="14"/>
      <c r="DF1717" s="14"/>
      <c r="DG1717" s="14"/>
      <c r="DH1717" s="14"/>
      <c r="DI1717" s="14"/>
      <c r="DJ1717" s="14"/>
      <c r="DK1717" s="14"/>
      <c r="DL1717" s="14"/>
      <c r="DM1717" s="14"/>
      <c r="DN1717" s="14"/>
      <c r="DO1717" s="14"/>
      <c r="DP1717" s="14"/>
      <c r="DQ1717" s="14"/>
      <c r="DR1717" s="14"/>
      <c r="DS1717" s="14"/>
      <c r="DT1717" s="14"/>
      <c r="DU1717" s="14"/>
      <c r="DV1717" s="14"/>
      <c r="DW1717" s="14"/>
      <c r="DX1717" s="14"/>
      <c r="DY1717" s="14"/>
      <c r="DZ1717" s="14"/>
      <c r="EA1717" s="14"/>
      <c r="EB1717" s="14"/>
      <c r="EC1717" s="14"/>
      <c r="ED1717" s="14"/>
      <c r="EE1717" s="14"/>
      <c r="EF1717" s="14"/>
      <c r="EG1717" s="14"/>
      <c r="EH1717" s="14"/>
      <c r="EI1717" s="14"/>
      <c r="EJ1717" s="14"/>
      <c r="EK1717" s="14"/>
      <c r="EL1717" s="14"/>
      <c r="EM1717" s="14"/>
      <c r="EN1717" s="14"/>
      <c r="EO1717" s="14"/>
      <c r="EP1717" s="14"/>
      <c r="EQ1717" s="14"/>
      <c r="ER1717" s="14"/>
      <c r="ES1717" s="14"/>
      <c r="ET1717" s="14"/>
      <c r="EU1717" s="14"/>
      <c r="EV1717" s="14"/>
      <c r="EW1717" s="14"/>
      <c r="EX1717" s="14"/>
      <c r="EY1717" s="14"/>
      <c r="EZ1717" s="14"/>
      <c r="FA1717" s="14"/>
      <c r="FB1717" s="14"/>
      <c r="FC1717" s="14"/>
      <c r="FD1717" s="14"/>
      <c r="FE1717" s="14"/>
      <c r="FF1717" s="14"/>
      <c r="FG1717" s="14"/>
      <c r="FH1717" s="14"/>
      <c r="FI1717" s="14"/>
      <c r="FJ1717" s="14"/>
      <c r="FK1717" s="14"/>
      <c r="FL1717" s="14"/>
      <c r="FM1717" s="14"/>
      <c r="FN1717" s="14"/>
      <c r="FO1717" s="14"/>
      <c r="FP1717" s="14"/>
      <c r="FQ1717" s="14"/>
      <c r="FR1717" s="14"/>
      <c r="FS1717" s="14"/>
      <c r="FT1717" s="14"/>
      <c r="FU1717" s="14"/>
      <c r="FV1717" s="14"/>
      <c r="FW1717" s="14"/>
      <c r="FX1717" s="14"/>
      <c r="FY1717" s="14"/>
      <c r="FZ1717" s="14"/>
      <c r="GA1717" s="14"/>
      <c r="GB1717" s="14"/>
      <c r="GC1717" s="14"/>
      <c r="GD1717" s="14"/>
      <c r="GE1717" s="14"/>
      <c r="GF1717" s="14"/>
      <c r="GG1717" s="14"/>
      <c r="GH1717" s="14"/>
      <c r="GI1717" s="14"/>
      <c r="GJ1717" s="14"/>
      <c r="GK1717" s="14"/>
      <c r="GL1717" s="14"/>
      <c r="GM1717" s="14"/>
      <c r="GN1717" s="14"/>
      <c r="GO1717" s="14"/>
      <c r="GP1717" s="14"/>
      <c r="GQ1717" s="14"/>
      <c r="GR1717" s="14"/>
      <c r="GS1717" s="14"/>
      <c r="GT1717" s="14"/>
      <c r="GU1717" s="14"/>
      <c r="GV1717" s="14"/>
      <c r="GW1717" s="14"/>
      <c r="GX1717" s="14"/>
      <c r="GY1717" s="14"/>
      <c r="GZ1717" s="14"/>
      <c r="HA1717" s="14"/>
    </row>
    <row r="1718" ht="23.25" customHeight="1">
      <c r="A1718" s="14"/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57" t="s">
        <v>252</v>
      </c>
      <c r="BX1718" s="57" t="s">
        <v>253</v>
      </c>
      <c r="BY1718" s="14"/>
      <c r="BZ1718" s="57" t="s">
        <v>171</v>
      </c>
      <c r="CA1718" s="57" t="s">
        <v>5104</v>
      </c>
      <c r="CB1718" s="57" t="s">
        <v>4197</v>
      </c>
      <c r="CC1718" s="57" t="s">
        <v>310</v>
      </c>
      <c r="CD1718" s="58">
        <v>44166.0</v>
      </c>
      <c r="CE1718" s="58">
        <v>44223.0</v>
      </c>
      <c r="CF1718" s="57">
        <v>100.0</v>
      </c>
      <c r="CG1718" s="59" t="s">
        <v>5105</v>
      </c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14"/>
      <c r="DC1718" s="14"/>
      <c r="DD1718" s="14"/>
      <c r="DE1718" s="14"/>
      <c r="DF1718" s="14"/>
      <c r="DG1718" s="14"/>
      <c r="DH1718" s="14"/>
      <c r="DI1718" s="14"/>
      <c r="DJ1718" s="14"/>
      <c r="DK1718" s="14"/>
      <c r="DL1718" s="14"/>
      <c r="DM1718" s="14"/>
      <c r="DN1718" s="14"/>
      <c r="DO1718" s="14"/>
      <c r="DP1718" s="14"/>
      <c r="DQ1718" s="14"/>
      <c r="DR1718" s="14"/>
      <c r="DS1718" s="14"/>
      <c r="DT1718" s="14"/>
      <c r="DU1718" s="14"/>
      <c r="DV1718" s="14"/>
      <c r="DW1718" s="14"/>
      <c r="DX1718" s="14"/>
      <c r="DY1718" s="14"/>
      <c r="DZ1718" s="14"/>
      <c r="EA1718" s="14"/>
      <c r="EB1718" s="14"/>
      <c r="EC1718" s="14"/>
      <c r="ED1718" s="14"/>
      <c r="EE1718" s="14"/>
      <c r="EF1718" s="14"/>
      <c r="EG1718" s="14"/>
      <c r="EH1718" s="14"/>
      <c r="EI1718" s="14"/>
      <c r="EJ1718" s="14"/>
      <c r="EK1718" s="14"/>
      <c r="EL1718" s="14"/>
      <c r="EM1718" s="14"/>
      <c r="EN1718" s="14"/>
      <c r="EO1718" s="14"/>
      <c r="EP1718" s="14"/>
      <c r="EQ1718" s="14"/>
      <c r="ER1718" s="14"/>
      <c r="ES1718" s="14"/>
      <c r="ET1718" s="14"/>
      <c r="EU1718" s="14"/>
      <c r="EV1718" s="14"/>
      <c r="EW1718" s="14"/>
      <c r="EX1718" s="14"/>
      <c r="EY1718" s="14"/>
      <c r="EZ1718" s="14"/>
      <c r="FA1718" s="14"/>
      <c r="FB1718" s="14"/>
      <c r="FC1718" s="14"/>
      <c r="FD1718" s="14"/>
      <c r="FE1718" s="14"/>
      <c r="FF1718" s="14"/>
      <c r="FG1718" s="14"/>
      <c r="FH1718" s="14"/>
      <c r="FI1718" s="14"/>
      <c r="FJ1718" s="14"/>
      <c r="FK1718" s="14"/>
      <c r="FL1718" s="14"/>
      <c r="FM1718" s="14"/>
      <c r="FN1718" s="14"/>
      <c r="FO1718" s="14"/>
      <c r="FP1718" s="14"/>
      <c r="FQ1718" s="14"/>
      <c r="FR1718" s="14"/>
      <c r="FS1718" s="14"/>
      <c r="FT1718" s="14"/>
      <c r="FU1718" s="14"/>
      <c r="FV1718" s="14"/>
      <c r="FW1718" s="14"/>
      <c r="FX1718" s="14"/>
      <c r="FY1718" s="14"/>
      <c r="FZ1718" s="14"/>
      <c r="GA1718" s="14"/>
      <c r="GB1718" s="14"/>
      <c r="GC1718" s="14"/>
      <c r="GD1718" s="14"/>
      <c r="GE1718" s="14"/>
      <c r="GF1718" s="14"/>
      <c r="GG1718" s="14"/>
      <c r="GH1718" s="14"/>
      <c r="GI1718" s="14"/>
      <c r="GJ1718" s="14"/>
      <c r="GK1718" s="14"/>
      <c r="GL1718" s="14"/>
      <c r="GM1718" s="14"/>
      <c r="GN1718" s="14"/>
      <c r="GO1718" s="14"/>
      <c r="GP1718" s="14"/>
      <c r="GQ1718" s="14"/>
      <c r="GR1718" s="14"/>
      <c r="GS1718" s="14"/>
      <c r="GT1718" s="14"/>
      <c r="GU1718" s="14"/>
      <c r="GV1718" s="14"/>
      <c r="GW1718" s="14"/>
      <c r="GX1718" s="14"/>
      <c r="GY1718" s="14"/>
      <c r="GZ1718" s="14"/>
      <c r="HA1718" s="14"/>
    </row>
    <row r="1719" ht="23.25" customHeight="1">
      <c r="A1719" s="14"/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57" t="s">
        <v>252</v>
      </c>
      <c r="BX1719" s="57" t="s">
        <v>253</v>
      </c>
      <c r="BY1719" s="14"/>
      <c r="BZ1719" s="57" t="s">
        <v>171</v>
      </c>
      <c r="CA1719" s="57" t="s">
        <v>5106</v>
      </c>
      <c r="CB1719" s="57" t="s">
        <v>1386</v>
      </c>
      <c r="CC1719" s="57" t="s">
        <v>5107</v>
      </c>
      <c r="CD1719" s="58">
        <v>44317.0</v>
      </c>
      <c r="CE1719" s="58">
        <v>44404.0</v>
      </c>
      <c r="CF1719" s="57">
        <v>100.0</v>
      </c>
      <c r="CG1719" s="59" t="s">
        <v>5108</v>
      </c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14"/>
      <c r="DC1719" s="14"/>
      <c r="DD1719" s="14"/>
      <c r="DE1719" s="14"/>
      <c r="DF1719" s="14"/>
      <c r="DG1719" s="14"/>
      <c r="DH1719" s="14"/>
      <c r="DI1719" s="14"/>
      <c r="DJ1719" s="14"/>
      <c r="DK1719" s="14"/>
      <c r="DL1719" s="14"/>
      <c r="DM1719" s="14"/>
      <c r="DN1719" s="14"/>
      <c r="DO1719" s="14"/>
      <c r="DP1719" s="14"/>
      <c r="DQ1719" s="14"/>
      <c r="DR1719" s="14"/>
      <c r="DS1719" s="14"/>
      <c r="DT1719" s="14"/>
      <c r="DU1719" s="14"/>
      <c r="DV1719" s="14"/>
      <c r="DW1719" s="14"/>
      <c r="DX1719" s="14"/>
      <c r="DY1719" s="14"/>
      <c r="DZ1719" s="14"/>
      <c r="EA1719" s="14"/>
      <c r="EB1719" s="14"/>
      <c r="EC1719" s="14"/>
      <c r="ED1719" s="14"/>
      <c r="EE1719" s="14"/>
      <c r="EF1719" s="14"/>
      <c r="EG1719" s="14"/>
      <c r="EH1719" s="14"/>
      <c r="EI1719" s="14"/>
      <c r="EJ1719" s="14"/>
      <c r="EK1719" s="14"/>
      <c r="EL1719" s="14"/>
      <c r="EM1719" s="14"/>
      <c r="EN1719" s="14"/>
      <c r="EO1719" s="14"/>
      <c r="EP1719" s="14"/>
      <c r="EQ1719" s="14"/>
      <c r="ER1719" s="14"/>
      <c r="ES1719" s="14"/>
      <c r="ET1719" s="14"/>
      <c r="EU1719" s="14"/>
      <c r="EV1719" s="14"/>
      <c r="EW1719" s="14"/>
      <c r="EX1719" s="14"/>
      <c r="EY1719" s="14"/>
      <c r="EZ1719" s="14"/>
      <c r="FA1719" s="14"/>
      <c r="FB1719" s="14"/>
      <c r="FC1719" s="14"/>
      <c r="FD1719" s="14"/>
      <c r="FE1719" s="14"/>
      <c r="FF1719" s="14"/>
      <c r="FG1719" s="14"/>
      <c r="FH1719" s="14"/>
      <c r="FI1719" s="14"/>
      <c r="FJ1719" s="14"/>
      <c r="FK1719" s="14"/>
      <c r="FL1719" s="14"/>
      <c r="FM1719" s="14"/>
      <c r="FN1719" s="14"/>
      <c r="FO1719" s="14"/>
      <c r="FP1719" s="14"/>
      <c r="FQ1719" s="14"/>
      <c r="FR1719" s="14"/>
      <c r="FS1719" s="14"/>
      <c r="FT1719" s="14"/>
      <c r="FU1719" s="14"/>
      <c r="FV1719" s="14"/>
      <c r="FW1719" s="14"/>
      <c r="FX1719" s="14"/>
      <c r="FY1719" s="14"/>
      <c r="FZ1719" s="14"/>
      <c r="GA1719" s="14"/>
      <c r="GB1719" s="14"/>
      <c r="GC1719" s="14"/>
      <c r="GD1719" s="14"/>
      <c r="GE1719" s="14"/>
      <c r="GF1719" s="14"/>
      <c r="GG1719" s="14"/>
      <c r="GH1719" s="14"/>
      <c r="GI1719" s="14"/>
      <c r="GJ1719" s="14"/>
      <c r="GK1719" s="14"/>
      <c r="GL1719" s="14"/>
      <c r="GM1719" s="14"/>
      <c r="GN1719" s="14"/>
      <c r="GO1719" s="14"/>
      <c r="GP1719" s="14"/>
      <c r="GQ1719" s="14"/>
      <c r="GR1719" s="14"/>
      <c r="GS1719" s="14"/>
      <c r="GT1719" s="14"/>
      <c r="GU1719" s="14"/>
      <c r="GV1719" s="14"/>
      <c r="GW1719" s="14"/>
      <c r="GX1719" s="14"/>
      <c r="GY1719" s="14"/>
      <c r="GZ1719" s="14"/>
      <c r="HA1719" s="14"/>
    </row>
    <row r="1720" ht="23.25" customHeight="1">
      <c r="A1720" s="14"/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57" t="s">
        <v>252</v>
      </c>
      <c r="BX1720" s="57" t="s">
        <v>253</v>
      </c>
      <c r="BY1720" s="14"/>
      <c r="BZ1720" s="57" t="s">
        <v>171</v>
      </c>
      <c r="CA1720" s="57" t="s">
        <v>4765</v>
      </c>
      <c r="CB1720" s="57" t="s">
        <v>1386</v>
      </c>
      <c r="CC1720" s="57" t="s">
        <v>973</v>
      </c>
      <c r="CD1720" s="58">
        <v>43983.0</v>
      </c>
      <c r="CE1720" s="58">
        <v>44025.0</v>
      </c>
      <c r="CF1720" s="57">
        <v>100.0</v>
      </c>
      <c r="CG1720" s="59" t="s">
        <v>5109</v>
      </c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14"/>
      <c r="DC1720" s="14"/>
      <c r="DD1720" s="14"/>
      <c r="DE1720" s="14"/>
      <c r="DF1720" s="14"/>
      <c r="DG1720" s="14"/>
      <c r="DH1720" s="14"/>
      <c r="DI1720" s="14"/>
      <c r="DJ1720" s="14"/>
      <c r="DK1720" s="14"/>
      <c r="DL1720" s="14"/>
      <c r="DM1720" s="14"/>
      <c r="DN1720" s="14"/>
      <c r="DO1720" s="14"/>
      <c r="DP1720" s="14"/>
      <c r="DQ1720" s="14"/>
      <c r="DR1720" s="14"/>
      <c r="DS1720" s="14"/>
      <c r="DT1720" s="14"/>
      <c r="DU1720" s="14"/>
      <c r="DV1720" s="14"/>
      <c r="DW1720" s="14"/>
      <c r="DX1720" s="14"/>
      <c r="DY1720" s="14"/>
      <c r="DZ1720" s="14"/>
      <c r="EA1720" s="14"/>
      <c r="EB1720" s="14"/>
      <c r="EC1720" s="14"/>
      <c r="ED1720" s="14"/>
      <c r="EE1720" s="14"/>
      <c r="EF1720" s="14"/>
      <c r="EG1720" s="14"/>
      <c r="EH1720" s="14"/>
      <c r="EI1720" s="14"/>
      <c r="EJ1720" s="14"/>
      <c r="EK1720" s="14"/>
      <c r="EL1720" s="14"/>
      <c r="EM1720" s="14"/>
      <c r="EN1720" s="14"/>
      <c r="EO1720" s="14"/>
      <c r="EP1720" s="14"/>
      <c r="EQ1720" s="14"/>
      <c r="ER1720" s="14"/>
      <c r="ES1720" s="14"/>
      <c r="ET1720" s="14"/>
      <c r="EU1720" s="14"/>
      <c r="EV1720" s="14"/>
      <c r="EW1720" s="14"/>
      <c r="EX1720" s="14"/>
      <c r="EY1720" s="14"/>
      <c r="EZ1720" s="14"/>
      <c r="FA1720" s="14"/>
      <c r="FB1720" s="14"/>
      <c r="FC1720" s="14"/>
      <c r="FD1720" s="14"/>
      <c r="FE1720" s="14"/>
      <c r="FF1720" s="14"/>
      <c r="FG1720" s="14"/>
      <c r="FH1720" s="14"/>
      <c r="FI1720" s="14"/>
      <c r="FJ1720" s="14"/>
      <c r="FK1720" s="14"/>
      <c r="FL1720" s="14"/>
      <c r="FM1720" s="14"/>
      <c r="FN1720" s="14"/>
      <c r="FO1720" s="14"/>
      <c r="FP1720" s="14"/>
      <c r="FQ1720" s="14"/>
      <c r="FR1720" s="14"/>
      <c r="FS1720" s="14"/>
      <c r="FT1720" s="14"/>
      <c r="FU1720" s="14"/>
      <c r="FV1720" s="14"/>
      <c r="FW1720" s="14"/>
      <c r="FX1720" s="14"/>
      <c r="FY1720" s="14"/>
      <c r="FZ1720" s="14"/>
      <c r="GA1720" s="14"/>
      <c r="GB1720" s="14"/>
      <c r="GC1720" s="14"/>
      <c r="GD1720" s="14"/>
      <c r="GE1720" s="14"/>
      <c r="GF1720" s="14"/>
      <c r="GG1720" s="14"/>
      <c r="GH1720" s="14"/>
      <c r="GI1720" s="14"/>
      <c r="GJ1720" s="14"/>
      <c r="GK1720" s="14"/>
      <c r="GL1720" s="14"/>
      <c r="GM1720" s="14"/>
      <c r="GN1720" s="14"/>
      <c r="GO1720" s="14"/>
      <c r="GP1720" s="14"/>
      <c r="GQ1720" s="14"/>
      <c r="GR1720" s="14"/>
      <c r="GS1720" s="14"/>
      <c r="GT1720" s="14"/>
      <c r="GU1720" s="14"/>
      <c r="GV1720" s="14"/>
      <c r="GW1720" s="14"/>
      <c r="GX1720" s="14"/>
      <c r="GY1720" s="14"/>
      <c r="GZ1720" s="14"/>
      <c r="HA1720" s="14"/>
    </row>
    <row r="1721" ht="23.25" customHeight="1">
      <c r="A1721" s="14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57" t="s">
        <v>430</v>
      </c>
      <c r="BX1721" s="57" t="s">
        <v>431</v>
      </c>
      <c r="BY1721" s="14"/>
      <c r="BZ1721" s="57" t="s">
        <v>171</v>
      </c>
      <c r="CA1721" s="57" t="s">
        <v>5110</v>
      </c>
      <c r="CB1721" s="57" t="s">
        <v>1093</v>
      </c>
      <c r="CC1721" s="57" t="s">
        <v>627</v>
      </c>
      <c r="CD1721" s="58">
        <v>43956.0</v>
      </c>
      <c r="CE1721" s="58">
        <v>43987.0</v>
      </c>
      <c r="CF1721" s="57">
        <v>95.0</v>
      </c>
      <c r="CG1721" s="59" t="s">
        <v>5111</v>
      </c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14"/>
      <c r="DC1721" s="14"/>
      <c r="DD1721" s="14"/>
      <c r="DE1721" s="14"/>
      <c r="DF1721" s="14"/>
      <c r="DG1721" s="14"/>
      <c r="DH1721" s="14"/>
      <c r="DI1721" s="14"/>
      <c r="DJ1721" s="14"/>
      <c r="DK1721" s="14"/>
      <c r="DL1721" s="14"/>
      <c r="DM1721" s="14"/>
      <c r="DN1721" s="14"/>
      <c r="DO1721" s="14"/>
      <c r="DP1721" s="14"/>
      <c r="DQ1721" s="14"/>
      <c r="DR1721" s="14"/>
      <c r="DS1721" s="14"/>
      <c r="DT1721" s="14"/>
      <c r="DU1721" s="14"/>
      <c r="DV1721" s="14"/>
      <c r="DW1721" s="14"/>
      <c r="DX1721" s="14"/>
      <c r="DY1721" s="14"/>
      <c r="DZ1721" s="14"/>
      <c r="EA1721" s="14"/>
      <c r="EB1721" s="14"/>
      <c r="EC1721" s="14"/>
      <c r="ED1721" s="14"/>
      <c r="EE1721" s="14"/>
      <c r="EF1721" s="14"/>
      <c r="EG1721" s="14"/>
      <c r="EH1721" s="14"/>
      <c r="EI1721" s="14"/>
      <c r="EJ1721" s="14"/>
      <c r="EK1721" s="14"/>
      <c r="EL1721" s="14"/>
      <c r="EM1721" s="14"/>
      <c r="EN1721" s="14"/>
      <c r="EO1721" s="14"/>
      <c r="EP1721" s="14"/>
      <c r="EQ1721" s="14"/>
      <c r="ER1721" s="14"/>
      <c r="ES1721" s="14"/>
      <c r="ET1721" s="14"/>
      <c r="EU1721" s="14"/>
      <c r="EV1721" s="14"/>
      <c r="EW1721" s="14"/>
      <c r="EX1721" s="14"/>
      <c r="EY1721" s="14"/>
      <c r="EZ1721" s="14"/>
      <c r="FA1721" s="14"/>
      <c r="FB1721" s="14"/>
      <c r="FC1721" s="14"/>
      <c r="FD1721" s="14"/>
      <c r="FE1721" s="14"/>
      <c r="FF1721" s="14"/>
      <c r="FG1721" s="14"/>
      <c r="FH1721" s="14"/>
      <c r="FI1721" s="14"/>
      <c r="FJ1721" s="14"/>
      <c r="FK1721" s="14"/>
      <c r="FL1721" s="14"/>
      <c r="FM1721" s="14"/>
      <c r="FN1721" s="14"/>
      <c r="FO1721" s="14"/>
      <c r="FP1721" s="14"/>
      <c r="FQ1721" s="14"/>
      <c r="FR1721" s="14"/>
      <c r="FS1721" s="14"/>
      <c r="FT1721" s="14"/>
      <c r="FU1721" s="14"/>
      <c r="FV1721" s="14"/>
      <c r="FW1721" s="14"/>
      <c r="FX1721" s="14"/>
      <c r="FY1721" s="14"/>
      <c r="FZ1721" s="14"/>
      <c r="GA1721" s="14"/>
      <c r="GB1721" s="14"/>
      <c r="GC1721" s="14"/>
      <c r="GD1721" s="14"/>
      <c r="GE1721" s="14"/>
      <c r="GF1721" s="14"/>
      <c r="GG1721" s="14"/>
      <c r="GH1721" s="14"/>
      <c r="GI1721" s="14"/>
      <c r="GJ1721" s="14"/>
      <c r="GK1721" s="14"/>
      <c r="GL1721" s="14"/>
      <c r="GM1721" s="14"/>
      <c r="GN1721" s="14"/>
      <c r="GO1721" s="14"/>
      <c r="GP1721" s="14"/>
      <c r="GQ1721" s="14"/>
      <c r="GR1721" s="14"/>
      <c r="GS1721" s="14"/>
      <c r="GT1721" s="14"/>
      <c r="GU1721" s="14"/>
      <c r="GV1721" s="14"/>
      <c r="GW1721" s="14"/>
      <c r="GX1721" s="14"/>
      <c r="GY1721" s="14"/>
      <c r="GZ1721" s="14"/>
      <c r="HA1721" s="14"/>
    </row>
    <row r="1722" ht="23.25" customHeight="1">
      <c r="A1722" s="14"/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57" t="s">
        <v>252</v>
      </c>
      <c r="BX1722" s="57" t="s">
        <v>253</v>
      </c>
      <c r="BY1722" s="14"/>
      <c r="BZ1722" s="57" t="s">
        <v>313</v>
      </c>
      <c r="CA1722" s="57" t="s">
        <v>5112</v>
      </c>
      <c r="CB1722" s="57" t="s">
        <v>5113</v>
      </c>
      <c r="CC1722" s="57" t="s">
        <v>495</v>
      </c>
      <c r="CD1722" s="58">
        <v>44624.0</v>
      </c>
      <c r="CE1722" s="58">
        <v>44651.0</v>
      </c>
      <c r="CF1722" s="57">
        <v>100.0</v>
      </c>
      <c r="CG1722" s="59" t="s">
        <v>5114</v>
      </c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14"/>
      <c r="DC1722" s="14"/>
      <c r="DD1722" s="14"/>
      <c r="DE1722" s="14"/>
      <c r="DF1722" s="14"/>
      <c r="DG1722" s="14"/>
      <c r="DH1722" s="14"/>
      <c r="DI1722" s="14"/>
      <c r="DJ1722" s="14"/>
      <c r="DK1722" s="14"/>
      <c r="DL1722" s="14"/>
      <c r="DM1722" s="14"/>
      <c r="DN1722" s="14"/>
      <c r="DO1722" s="14"/>
      <c r="DP1722" s="14"/>
      <c r="DQ1722" s="14"/>
      <c r="DR1722" s="14"/>
      <c r="DS1722" s="14"/>
      <c r="DT1722" s="14"/>
      <c r="DU1722" s="14"/>
      <c r="DV1722" s="14"/>
      <c r="DW1722" s="14"/>
      <c r="DX1722" s="14"/>
      <c r="DY1722" s="14"/>
      <c r="DZ1722" s="14"/>
      <c r="EA1722" s="14"/>
      <c r="EB1722" s="14"/>
      <c r="EC1722" s="14"/>
      <c r="ED1722" s="14"/>
      <c r="EE1722" s="14"/>
      <c r="EF1722" s="14"/>
      <c r="EG1722" s="14"/>
      <c r="EH1722" s="14"/>
      <c r="EI1722" s="14"/>
      <c r="EJ1722" s="14"/>
      <c r="EK1722" s="14"/>
      <c r="EL1722" s="14"/>
      <c r="EM1722" s="14"/>
      <c r="EN1722" s="14"/>
      <c r="EO1722" s="14"/>
      <c r="EP1722" s="14"/>
      <c r="EQ1722" s="14"/>
      <c r="ER1722" s="14"/>
      <c r="ES1722" s="14"/>
      <c r="ET1722" s="14"/>
      <c r="EU1722" s="14"/>
      <c r="EV1722" s="14"/>
      <c r="EW1722" s="14"/>
      <c r="EX1722" s="14"/>
      <c r="EY1722" s="14"/>
      <c r="EZ1722" s="14"/>
      <c r="FA1722" s="14"/>
      <c r="FB1722" s="14"/>
      <c r="FC1722" s="14"/>
      <c r="FD1722" s="14"/>
      <c r="FE1722" s="14"/>
      <c r="FF1722" s="14"/>
      <c r="FG1722" s="14"/>
      <c r="FH1722" s="14"/>
      <c r="FI1722" s="14"/>
      <c r="FJ1722" s="14"/>
      <c r="FK1722" s="14"/>
      <c r="FL1722" s="14"/>
      <c r="FM1722" s="14"/>
      <c r="FN1722" s="14"/>
      <c r="FO1722" s="14"/>
      <c r="FP1722" s="14"/>
      <c r="FQ1722" s="14"/>
      <c r="FR1722" s="14"/>
      <c r="FS1722" s="14"/>
      <c r="FT1722" s="14"/>
      <c r="FU1722" s="14"/>
      <c r="FV1722" s="14"/>
      <c r="FW1722" s="14"/>
      <c r="FX1722" s="14"/>
      <c r="FY1722" s="14"/>
      <c r="FZ1722" s="14"/>
      <c r="GA1722" s="14"/>
      <c r="GB1722" s="14"/>
      <c r="GC1722" s="14"/>
      <c r="GD1722" s="14"/>
      <c r="GE1722" s="14"/>
      <c r="GF1722" s="14"/>
      <c r="GG1722" s="14"/>
      <c r="GH1722" s="14"/>
      <c r="GI1722" s="14"/>
      <c r="GJ1722" s="14"/>
      <c r="GK1722" s="14"/>
      <c r="GL1722" s="14"/>
      <c r="GM1722" s="14"/>
      <c r="GN1722" s="14"/>
      <c r="GO1722" s="14"/>
      <c r="GP1722" s="14"/>
      <c r="GQ1722" s="14"/>
      <c r="GR1722" s="14"/>
      <c r="GS1722" s="14"/>
      <c r="GT1722" s="14"/>
      <c r="GU1722" s="14"/>
      <c r="GV1722" s="14"/>
      <c r="GW1722" s="14"/>
      <c r="GX1722" s="14"/>
      <c r="GY1722" s="14"/>
      <c r="GZ1722" s="14"/>
      <c r="HA1722" s="14"/>
    </row>
    <row r="1723" ht="23.25" customHeight="1">
      <c r="A1723" s="14"/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57" t="s">
        <v>430</v>
      </c>
      <c r="BX1723" s="57" t="s">
        <v>431</v>
      </c>
      <c r="BY1723" s="14"/>
      <c r="BZ1723" s="57" t="s">
        <v>171</v>
      </c>
      <c r="CA1723" s="57" t="s">
        <v>5115</v>
      </c>
      <c r="CB1723" s="57" t="s">
        <v>5116</v>
      </c>
      <c r="CC1723" s="57" t="s">
        <v>627</v>
      </c>
      <c r="CD1723" s="58">
        <v>43947.0</v>
      </c>
      <c r="CE1723" s="58">
        <v>43977.0</v>
      </c>
      <c r="CF1723" s="57">
        <v>90.0</v>
      </c>
      <c r="CG1723" s="59" t="s">
        <v>5117</v>
      </c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14"/>
      <c r="DC1723" s="14"/>
      <c r="DD1723" s="14"/>
      <c r="DE1723" s="14"/>
      <c r="DF1723" s="14"/>
      <c r="DG1723" s="14"/>
      <c r="DH1723" s="14"/>
      <c r="DI1723" s="14"/>
      <c r="DJ1723" s="14"/>
      <c r="DK1723" s="14"/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14"/>
      <c r="EJ1723" s="14"/>
      <c r="EK1723" s="14"/>
      <c r="EL1723" s="14"/>
      <c r="EM1723" s="14"/>
      <c r="EN1723" s="14"/>
      <c r="EO1723" s="14"/>
      <c r="EP1723" s="14"/>
      <c r="EQ1723" s="14"/>
      <c r="ER1723" s="14"/>
      <c r="ES1723" s="14"/>
      <c r="ET1723" s="14"/>
      <c r="EU1723" s="14"/>
      <c r="EV1723" s="14"/>
      <c r="EW1723" s="14"/>
      <c r="EX1723" s="14"/>
      <c r="EY1723" s="14"/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4"/>
      <c r="FZ1723" s="14"/>
      <c r="GA1723" s="14"/>
      <c r="GB1723" s="14"/>
      <c r="GC1723" s="14"/>
      <c r="GD1723" s="14"/>
      <c r="GE1723" s="14"/>
      <c r="GF1723" s="14"/>
      <c r="GG1723" s="14"/>
      <c r="GH1723" s="14"/>
      <c r="GI1723" s="14"/>
      <c r="GJ1723" s="14"/>
      <c r="GK1723" s="14"/>
      <c r="GL1723" s="14"/>
      <c r="GM1723" s="14"/>
      <c r="GN1723" s="14"/>
      <c r="GO1723" s="14"/>
      <c r="GP1723" s="14"/>
      <c r="GQ1723" s="14"/>
      <c r="GR1723" s="14"/>
      <c r="GS1723" s="14"/>
      <c r="GT1723" s="14"/>
      <c r="GU1723" s="14"/>
      <c r="GV1723" s="14"/>
      <c r="GW1723" s="14"/>
      <c r="GX1723" s="14"/>
      <c r="GY1723" s="14"/>
      <c r="GZ1723" s="14"/>
      <c r="HA1723" s="14"/>
    </row>
    <row r="1724" ht="23.25" customHeight="1">
      <c r="A1724" s="14"/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57" t="s">
        <v>252</v>
      </c>
      <c r="BX1724" s="57" t="s">
        <v>253</v>
      </c>
      <c r="BY1724" s="14"/>
      <c r="BZ1724" s="57" t="s">
        <v>313</v>
      </c>
      <c r="CA1724" s="57" t="s">
        <v>5118</v>
      </c>
      <c r="CB1724" s="57" t="s">
        <v>5119</v>
      </c>
      <c r="CC1724" s="57" t="s">
        <v>495</v>
      </c>
      <c r="CD1724" s="58">
        <v>44625.0</v>
      </c>
      <c r="CE1724" s="58">
        <v>44651.0</v>
      </c>
      <c r="CF1724" s="57">
        <v>98.0</v>
      </c>
      <c r="CG1724" s="59" t="s">
        <v>5120</v>
      </c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14"/>
      <c r="DC1724" s="14"/>
      <c r="DD1724" s="14"/>
      <c r="DE1724" s="14"/>
      <c r="DF1724" s="14"/>
      <c r="DG1724" s="14"/>
      <c r="DH1724" s="14"/>
      <c r="DI1724" s="14"/>
      <c r="DJ1724" s="14"/>
      <c r="DK1724" s="14"/>
      <c r="DL1724" s="14"/>
      <c r="DM1724" s="14"/>
      <c r="DN1724" s="14"/>
      <c r="DO1724" s="14"/>
      <c r="DP1724" s="14"/>
      <c r="DQ1724" s="14"/>
      <c r="DR1724" s="14"/>
      <c r="DS1724" s="14"/>
      <c r="DT1724" s="14"/>
      <c r="DU1724" s="14"/>
      <c r="DV1724" s="14"/>
      <c r="DW1724" s="14"/>
      <c r="DX1724" s="14"/>
      <c r="DY1724" s="14"/>
      <c r="DZ1724" s="14"/>
      <c r="EA1724" s="14"/>
      <c r="EB1724" s="14"/>
      <c r="EC1724" s="14"/>
      <c r="ED1724" s="14"/>
      <c r="EE1724" s="14"/>
      <c r="EF1724" s="14"/>
      <c r="EG1724" s="14"/>
      <c r="EH1724" s="14"/>
      <c r="EI1724" s="14"/>
      <c r="EJ1724" s="14"/>
      <c r="EK1724" s="14"/>
      <c r="EL1724" s="14"/>
      <c r="EM1724" s="14"/>
      <c r="EN1724" s="14"/>
      <c r="EO1724" s="14"/>
      <c r="EP1724" s="14"/>
      <c r="EQ1724" s="14"/>
      <c r="ER1724" s="14"/>
      <c r="ES1724" s="14"/>
      <c r="ET1724" s="14"/>
      <c r="EU1724" s="14"/>
      <c r="EV1724" s="14"/>
      <c r="EW1724" s="14"/>
      <c r="EX1724" s="14"/>
      <c r="EY1724" s="14"/>
      <c r="EZ1724" s="14"/>
      <c r="FA1724" s="14"/>
      <c r="FB1724" s="14"/>
      <c r="FC1724" s="14"/>
      <c r="FD1724" s="14"/>
      <c r="FE1724" s="14"/>
      <c r="FF1724" s="14"/>
      <c r="FG1724" s="14"/>
      <c r="FH1724" s="14"/>
      <c r="FI1724" s="14"/>
      <c r="FJ1724" s="14"/>
      <c r="FK1724" s="14"/>
      <c r="FL1724" s="14"/>
      <c r="FM1724" s="14"/>
      <c r="FN1724" s="14"/>
      <c r="FO1724" s="14"/>
      <c r="FP1724" s="14"/>
      <c r="FQ1724" s="14"/>
      <c r="FR1724" s="14"/>
      <c r="FS1724" s="14"/>
      <c r="FT1724" s="14"/>
      <c r="FU1724" s="14"/>
      <c r="FV1724" s="14"/>
      <c r="FW1724" s="14"/>
      <c r="FX1724" s="14"/>
      <c r="FY1724" s="14"/>
      <c r="FZ1724" s="14"/>
      <c r="GA1724" s="14"/>
      <c r="GB1724" s="14"/>
      <c r="GC1724" s="14"/>
      <c r="GD1724" s="14"/>
      <c r="GE1724" s="14"/>
      <c r="GF1724" s="14"/>
      <c r="GG1724" s="14"/>
      <c r="GH1724" s="14"/>
      <c r="GI1724" s="14"/>
      <c r="GJ1724" s="14"/>
      <c r="GK1724" s="14"/>
      <c r="GL1724" s="14"/>
      <c r="GM1724" s="14"/>
      <c r="GN1724" s="14"/>
      <c r="GO1724" s="14"/>
      <c r="GP1724" s="14"/>
      <c r="GQ1724" s="14"/>
      <c r="GR1724" s="14"/>
      <c r="GS1724" s="14"/>
      <c r="GT1724" s="14"/>
      <c r="GU1724" s="14"/>
      <c r="GV1724" s="14"/>
      <c r="GW1724" s="14"/>
      <c r="GX1724" s="14"/>
      <c r="GY1724" s="14"/>
      <c r="GZ1724" s="14"/>
      <c r="HA1724" s="14"/>
    </row>
    <row r="1725" ht="23.25" customHeight="1">
      <c r="A1725" s="14"/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57" t="s">
        <v>430</v>
      </c>
      <c r="BX1725" s="57" t="s">
        <v>431</v>
      </c>
      <c r="BY1725" s="14"/>
      <c r="BZ1725" s="57" t="s">
        <v>171</v>
      </c>
      <c r="CA1725" s="57" t="s">
        <v>5121</v>
      </c>
      <c r="CB1725" s="57" t="s">
        <v>5122</v>
      </c>
      <c r="CC1725" s="57" t="s">
        <v>444</v>
      </c>
      <c r="CD1725" s="58">
        <v>43872.0</v>
      </c>
      <c r="CE1725" s="58">
        <v>43962.0</v>
      </c>
      <c r="CF1725" s="57">
        <v>89.0</v>
      </c>
      <c r="CG1725" s="59" t="s">
        <v>5123</v>
      </c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14"/>
      <c r="DC1725" s="14"/>
      <c r="DD1725" s="14"/>
      <c r="DE1725" s="14"/>
      <c r="DF1725" s="14"/>
      <c r="DG1725" s="14"/>
      <c r="DH1725" s="14"/>
      <c r="DI1725" s="14"/>
      <c r="DJ1725" s="14"/>
      <c r="DK1725" s="14"/>
      <c r="DL1725" s="14"/>
      <c r="DM1725" s="14"/>
      <c r="DN1725" s="14"/>
      <c r="DO1725" s="14"/>
      <c r="DP1725" s="14"/>
      <c r="DQ1725" s="14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ED1725" s="14"/>
      <c r="EE1725" s="14"/>
      <c r="EF1725" s="14"/>
      <c r="EG1725" s="14"/>
      <c r="EH1725" s="14"/>
      <c r="EI1725" s="14"/>
      <c r="EJ1725" s="14"/>
      <c r="EK1725" s="14"/>
      <c r="EL1725" s="14"/>
      <c r="EM1725" s="14"/>
      <c r="EN1725" s="14"/>
      <c r="EO1725" s="14"/>
      <c r="EP1725" s="14"/>
      <c r="EQ1725" s="14"/>
      <c r="ER1725" s="14"/>
      <c r="ES1725" s="14"/>
      <c r="ET1725" s="14"/>
      <c r="EU1725" s="14"/>
      <c r="EV1725" s="14"/>
      <c r="EW1725" s="14"/>
      <c r="EX1725" s="14"/>
      <c r="EY1725" s="14"/>
      <c r="EZ1725" s="14"/>
      <c r="FA1725" s="14"/>
      <c r="FB1725" s="14"/>
      <c r="FC1725" s="14"/>
      <c r="FD1725" s="14"/>
      <c r="FE1725" s="14"/>
      <c r="FF1725" s="14"/>
      <c r="FG1725" s="14"/>
      <c r="FH1725" s="14"/>
      <c r="FI1725" s="14"/>
      <c r="FJ1725" s="14"/>
      <c r="FK1725" s="14"/>
      <c r="FL1725" s="14"/>
      <c r="FM1725" s="14"/>
      <c r="FN1725" s="14"/>
      <c r="FO1725" s="14"/>
      <c r="FP1725" s="14"/>
      <c r="FQ1725" s="14"/>
      <c r="FR1725" s="14"/>
      <c r="FS1725" s="14"/>
      <c r="FT1725" s="14"/>
      <c r="FU1725" s="14"/>
      <c r="FV1725" s="14"/>
      <c r="FW1725" s="14"/>
      <c r="FX1725" s="14"/>
      <c r="FY1725" s="14"/>
      <c r="FZ1725" s="14"/>
      <c r="GA1725" s="14"/>
      <c r="GB1725" s="14"/>
      <c r="GC1725" s="14"/>
      <c r="GD1725" s="14"/>
      <c r="GE1725" s="14"/>
      <c r="GF1725" s="14"/>
      <c r="GG1725" s="14"/>
      <c r="GH1725" s="14"/>
      <c r="GI1725" s="14"/>
      <c r="GJ1725" s="14"/>
      <c r="GK1725" s="14"/>
      <c r="GL1725" s="14"/>
      <c r="GM1725" s="14"/>
      <c r="GN1725" s="14"/>
      <c r="GO1725" s="14"/>
      <c r="GP1725" s="14"/>
      <c r="GQ1725" s="14"/>
      <c r="GR1725" s="14"/>
      <c r="GS1725" s="14"/>
      <c r="GT1725" s="14"/>
      <c r="GU1725" s="14"/>
      <c r="GV1725" s="14"/>
      <c r="GW1725" s="14"/>
      <c r="GX1725" s="14"/>
      <c r="GY1725" s="14"/>
      <c r="GZ1725" s="14"/>
      <c r="HA1725" s="14"/>
    </row>
    <row r="1726" ht="23.25" customHeight="1">
      <c r="A1726" s="14"/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57" t="s">
        <v>430</v>
      </c>
      <c r="BX1726" s="57" t="s">
        <v>431</v>
      </c>
      <c r="BY1726" s="14"/>
      <c r="BZ1726" s="57" t="s">
        <v>171</v>
      </c>
      <c r="CA1726" s="57" t="s">
        <v>5124</v>
      </c>
      <c r="CB1726" s="57" t="s">
        <v>5122</v>
      </c>
      <c r="CC1726" s="57" t="s">
        <v>320</v>
      </c>
      <c r="CD1726" s="58">
        <v>43889.0</v>
      </c>
      <c r="CE1726" s="58">
        <v>43952.0</v>
      </c>
      <c r="CF1726" s="57">
        <v>90.0</v>
      </c>
      <c r="CG1726" s="59" t="s">
        <v>5125</v>
      </c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14"/>
      <c r="DC1726" s="14"/>
      <c r="DD1726" s="14"/>
      <c r="DE1726" s="14"/>
      <c r="DF1726" s="14"/>
      <c r="DG1726" s="14"/>
      <c r="DH1726" s="14"/>
      <c r="DI1726" s="14"/>
      <c r="DJ1726" s="14"/>
      <c r="DK1726" s="14"/>
      <c r="DL1726" s="14"/>
      <c r="DM1726" s="14"/>
      <c r="DN1726" s="14"/>
      <c r="DO1726" s="14"/>
      <c r="DP1726" s="14"/>
      <c r="DQ1726" s="14"/>
      <c r="DR1726" s="14"/>
      <c r="DS1726" s="14"/>
      <c r="DT1726" s="14"/>
      <c r="DU1726" s="14"/>
      <c r="DV1726" s="14"/>
      <c r="DW1726" s="14"/>
      <c r="DX1726" s="14"/>
      <c r="DY1726" s="14"/>
      <c r="DZ1726" s="14"/>
      <c r="EA1726" s="14"/>
      <c r="EB1726" s="14"/>
      <c r="EC1726" s="14"/>
      <c r="ED1726" s="14"/>
      <c r="EE1726" s="14"/>
      <c r="EF1726" s="14"/>
      <c r="EG1726" s="14"/>
      <c r="EH1726" s="14"/>
      <c r="EI1726" s="14"/>
      <c r="EJ1726" s="14"/>
      <c r="EK1726" s="14"/>
      <c r="EL1726" s="14"/>
      <c r="EM1726" s="14"/>
      <c r="EN1726" s="14"/>
      <c r="EO1726" s="14"/>
      <c r="EP1726" s="14"/>
      <c r="EQ1726" s="14"/>
      <c r="ER1726" s="14"/>
      <c r="ES1726" s="14"/>
      <c r="ET1726" s="14"/>
      <c r="EU1726" s="14"/>
      <c r="EV1726" s="14"/>
      <c r="EW1726" s="14"/>
      <c r="EX1726" s="14"/>
      <c r="EY1726" s="14"/>
      <c r="EZ1726" s="14"/>
      <c r="FA1726" s="14"/>
      <c r="FB1726" s="14"/>
      <c r="FC1726" s="14"/>
      <c r="FD1726" s="14"/>
      <c r="FE1726" s="14"/>
      <c r="FF1726" s="14"/>
      <c r="FG1726" s="14"/>
      <c r="FH1726" s="14"/>
      <c r="FI1726" s="14"/>
      <c r="FJ1726" s="14"/>
      <c r="FK1726" s="14"/>
      <c r="FL1726" s="14"/>
      <c r="FM1726" s="14"/>
      <c r="FN1726" s="14"/>
      <c r="FO1726" s="14"/>
      <c r="FP1726" s="14"/>
      <c r="FQ1726" s="14"/>
      <c r="FR1726" s="14"/>
      <c r="FS1726" s="14"/>
      <c r="FT1726" s="14"/>
      <c r="FU1726" s="14"/>
      <c r="FV1726" s="14"/>
      <c r="FW1726" s="14"/>
      <c r="FX1726" s="14"/>
      <c r="FY1726" s="14"/>
      <c r="FZ1726" s="14"/>
      <c r="GA1726" s="14"/>
      <c r="GB1726" s="14"/>
      <c r="GC1726" s="14"/>
      <c r="GD1726" s="14"/>
      <c r="GE1726" s="14"/>
      <c r="GF1726" s="14"/>
      <c r="GG1726" s="14"/>
      <c r="GH1726" s="14"/>
      <c r="GI1726" s="14"/>
      <c r="GJ1726" s="14"/>
      <c r="GK1726" s="14"/>
      <c r="GL1726" s="14"/>
      <c r="GM1726" s="14"/>
      <c r="GN1726" s="14"/>
      <c r="GO1726" s="14"/>
      <c r="GP1726" s="14"/>
      <c r="GQ1726" s="14"/>
      <c r="GR1726" s="14"/>
      <c r="GS1726" s="14"/>
      <c r="GT1726" s="14"/>
      <c r="GU1726" s="14"/>
      <c r="GV1726" s="14"/>
      <c r="GW1726" s="14"/>
      <c r="GX1726" s="14"/>
      <c r="GY1726" s="14"/>
      <c r="GZ1726" s="14"/>
      <c r="HA1726" s="14"/>
    </row>
    <row r="1727" ht="23.25" customHeight="1">
      <c r="A1727" s="14"/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57" t="s">
        <v>430</v>
      </c>
      <c r="BX1727" s="57" t="s">
        <v>431</v>
      </c>
      <c r="BY1727" s="14"/>
      <c r="BZ1727" s="57" t="s">
        <v>171</v>
      </c>
      <c r="CA1727" s="57" t="s">
        <v>5126</v>
      </c>
      <c r="CB1727" s="57" t="s">
        <v>5127</v>
      </c>
      <c r="CC1727" s="57" t="s">
        <v>444</v>
      </c>
      <c r="CD1727" s="58">
        <v>43845.0</v>
      </c>
      <c r="CE1727" s="58">
        <v>43951.0</v>
      </c>
      <c r="CF1727" s="57">
        <v>85.0</v>
      </c>
      <c r="CG1727" s="59" t="s">
        <v>5128</v>
      </c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14"/>
      <c r="DC1727" s="14"/>
      <c r="DD1727" s="14"/>
      <c r="DE1727" s="14"/>
      <c r="DF1727" s="14"/>
      <c r="DG1727" s="14"/>
      <c r="DH1727" s="14"/>
      <c r="DI1727" s="14"/>
      <c r="DJ1727" s="14"/>
      <c r="DK1727" s="14"/>
      <c r="DL1727" s="14"/>
      <c r="DM1727" s="14"/>
      <c r="DN1727" s="14"/>
      <c r="DO1727" s="14"/>
      <c r="DP1727" s="14"/>
      <c r="DQ1727" s="14"/>
      <c r="DR1727" s="14"/>
      <c r="DS1727" s="14"/>
      <c r="DT1727" s="14"/>
      <c r="DU1727" s="14"/>
      <c r="DV1727" s="14"/>
      <c r="DW1727" s="14"/>
      <c r="DX1727" s="14"/>
      <c r="DY1727" s="14"/>
      <c r="DZ1727" s="14"/>
      <c r="EA1727" s="14"/>
      <c r="EB1727" s="14"/>
      <c r="EC1727" s="14"/>
      <c r="ED1727" s="14"/>
      <c r="EE1727" s="14"/>
      <c r="EF1727" s="14"/>
      <c r="EG1727" s="14"/>
      <c r="EH1727" s="14"/>
      <c r="EI1727" s="14"/>
      <c r="EJ1727" s="14"/>
      <c r="EK1727" s="14"/>
      <c r="EL1727" s="14"/>
      <c r="EM1727" s="14"/>
      <c r="EN1727" s="14"/>
      <c r="EO1727" s="14"/>
      <c r="EP1727" s="14"/>
      <c r="EQ1727" s="14"/>
      <c r="ER1727" s="14"/>
      <c r="ES1727" s="14"/>
      <c r="ET1727" s="14"/>
      <c r="EU1727" s="14"/>
      <c r="EV1727" s="14"/>
      <c r="EW1727" s="14"/>
      <c r="EX1727" s="14"/>
      <c r="EY1727" s="14"/>
      <c r="EZ1727" s="14"/>
      <c r="FA1727" s="14"/>
      <c r="FB1727" s="14"/>
      <c r="FC1727" s="14"/>
      <c r="FD1727" s="14"/>
      <c r="FE1727" s="14"/>
      <c r="FF1727" s="14"/>
      <c r="FG1727" s="14"/>
      <c r="FH1727" s="14"/>
      <c r="FI1727" s="14"/>
      <c r="FJ1727" s="14"/>
      <c r="FK1727" s="14"/>
      <c r="FL1727" s="14"/>
      <c r="FM1727" s="14"/>
      <c r="FN1727" s="14"/>
      <c r="FO1727" s="14"/>
      <c r="FP1727" s="14"/>
      <c r="FQ1727" s="14"/>
      <c r="FR1727" s="14"/>
      <c r="FS1727" s="14"/>
      <c r="FT1727" s="14"/>
      <c r="FU1727" s="14"/>
      <c r="FV1727" s="14"/>
      <c r="FW1727" s="14"/>
      <c r="FX1727" s="14"/>
      <c r="FY1727" s="14"/>
      <c r="FZ1727" s="14"/>
      <c r="GA1727" s="14"/>
      <c r="GB1727" s="14"/>
      <c r="GC1727" s="14"/>
      <c r="GD1727" s="14"/>
      <c r="GE1727" s="14"/>
      <c r="GF1727" s="14"/>
      <c r="GG1727" s="14"/>
      <c r="GH1727" s="14"/>
      <c r="GI1727" s="14"/>
      <c r="GJ1727" s="14"/>
      <c r="GK1727" s="14"/>
      <c r="GL1727" s="14"/>
      <c r="GM1727" s="14"/>
      <c r="GN1727" s="14"/>
      <c r="GO1727" s="14"/>
      <c r="GP1727" s="14"/>
      <c r="GQ1727" s="14"/>
      <c r="GR1727" s="14"/>
      <c r="GS1727" s="14"/>
      <c r="GT1727" s="14"/>
      <c r="GU1727" s="14"/>
      <c r="GV1727" s="14"/>
      <c r="GW1727" s="14"/>
      <c r="GX1727" s="14"/>
      <c r="GY1727" s="14"/>
      <c r="GZ1727" s="14"/>
      <c r="HA1727" s="14"/>
    </row>
    <row r="1728" ht="23.25" customHeight="1">
      <c r="A1728" s="14"/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57" t="s">
        <v>430</v>
      </c>
      <c r="BX1728" s="57" t="s">
        <v>431</v>
      </c>
      <c r="BY1728" s="14"/>
      <c r="BZ1728" s="57" t="s">
        <v>171</v>
      </c>
      <c r="CA1728" s="57" t="s">
        <v>5129</v>
      </c>
      <c r="CB1728" s="57" t="s">
        <v>5127</v>
      </c>
      <c r="CC1728" s="57" t="s">
        <v>444</v>
      </c>
      <c r="CD1728" s="58">
        <v>43836.0</v>
      </c>
      <c r="CE1728" s="58">
        <v>43959.0</v>
      </c>
      <c r="CF1728" s="57">
        <v>85.0</v>
      </c>
      <c r="CG1728" s="59" t="s">
        <v>5130</v>
      </c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14"/>
      <c r="DC1728" s="14"/>
      <c r="DD1728" s="14"/>
      <c r="DE1728" s="14"/>
      <c r="DF1728" s="14"/>
      <c r="DG1728" s="14"/>
      <c r="DH1728" s="14"/>
      <c r="DI1728" s="14"/>
      <c r="DJ1728" s="14"/>
      <c r="DK1728" s="14"/>
      <c r="DL1728" s="14"/>
      <c r="DM1728" s="14"/>
      <c r="DN1728" s="14"/>
      <c r="DO1728" s="14"/>
      <c r="DP1728" s="14"/>
      <c r="DQ1728" s="14"/>
      <c r="DR1728" s="14"/>
      <c r="DS1728" s="14"/>
      <c r="DT1728" s="14"/>
      <c r="DU1728" s="14"/>
      <c r="DV1728" s="14"/>
      <c r="DW1728" s="14"/>
      <c r="DX1728" s="14"/>
      <c r="DY1728" s="14"/>
      <c r="DZ1728" s="14"/>
      <c r="EA1728" s="14"/>
      <c r="EB1728" s="14"/>
      <c r="EC1728" s="14"/>
      <c r="ED1728" s="14"/>
      <c r="EE1728" s="14"/>
      <c r="EF1728" s="14"/>
      <c r="EG1728" s="14"/>
      <c r="EH1728" s="14"/>
      <c r="EI1728" s="14"/>
      <c r="EJ1728" s="14"/>
      <c r="EK1728" s="14"/>
      <c r="EL1728" s="14"/>
      <c r="EM1728" s="14"/>
      <c r="EN1728" s="14"/>
      <c r="EO1728" s="14"/>
      <c r="EP1728" s="14"/>
      <c r="EQ1728" s="14"/>
      <c r="ER1728" s="14"/>
      <c r="ES1728" s="14"/>
      <c r="ET1728" s="14"/>
      <c r="EU1728" s="14"/>
      <c r="EV1728" s="14"/>
      <c r="EW1728" s="14"/>
      <c r="EX1728" s="14"/>
      <c r="EY1728" s="14"/>
      <c r="EZ1728" s="14"/>
      <c r="FA1728" s="14"/>
      <c r="FB1728" s="14"/>
      <c r="FC1728" s="14"/>
      <c r="FD1728" s="14"/>
      <c r="FE1728" s="14"/>
      <c r="FF1728" s="14"/>
      <c r="FG1728" s="14"/>
      <c r="FH1728" s="14"/>
      <c r="FI1728" s="14"/>
      <c r="FJ1728" s="14"/>
      <c r="FK1728" s="14"/>
      <c r="FL1728" s="14"/>
      <c r="FM1728" s="14"/>
      <c r="FN1728" s="14"/>
      <c r="FO1728" s="14"/>
      <c r="FP1728" s="14"/>
      <c r="FQ1728" s="14"/>
      <c r="FR1728" s="14"/>
      <c r="FS1728" s="14"/>
      <c r="FT1728" s="14"/>
      <c r="FU1728" s="14"/>
      <c r="FV1728" s="14"/>
      <c r="FW1728" s="14"/>
      <c r="FX1728" s="14"/>
      <c r="FY1728" s="14"/>
      <c r="FZ1728" s="14"/>
      <c r="GA1728" s="14"/>
      <c r="GB1728" s="14"/>
      <c r="GC1728" s="14"/>
      <c r="GD1728" s="14"/>
      <c r="GE1728" s="14"/>
      <c r="GF1728" s="14"/>
      <c r="GG1728" s="14"/>
      <c r="GH1728" s="14"/>
      <c r="GI1728" s="14"/>
      <c r="GJ1728" s="14"/>
      <c r="GK1728" s="14"/>
      <c r="GL1728" s="14"/>
      <c r="GM1728" s="14"/>
      <c r="GN1728" s="14"/>
      <c r="GO1728" s="14"/>
      <c r="GP1728" s="14"/>
      <c r="GQ1728" s="14"/>
      <c r="GR1728" s="14"/>
      <c r="GS1728" s="14"/>
      <c r="GT1728" s="14"/>
      <c r="GU1728" s="14"/>
      <c r="GV1728" s="14"/>
      <c r="GW1728" s="14"/>
      <c r="GX1728" s="14"/>
      <c r="GY1728" s="14"/>
      <c r="GZ1728" s="14"/>
      <c r="HA1728" s="14"/>
    </row>
    <row r="1729" ht="23.25" customHeight="1">
      <c r="A1729" s="14"/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57" t="s">
        <v>441</v>
      </c>
      <c r="BX1729" s="57" t="s">
        <v>149</v>
      </c>
      <c r="BY1729" s="14"/>
      <c r="BZ1729" s="57" t="s">
        <v>313</v>
      </c>
      <c r="CA1729" s="57" t="s">
        <v>687</v>
      </c>
      <c r="CB1729" s="57" t="s">
        <v>377</v>
      </c>
      <c r="CC1729" s="57" t="s">
        <v>3413</v>
      </c>
      <c r="CD1729" s="58">
        <v>44348.0</v>
      </c>
      <c r="CE1729" s="58">
        <v>44379.0</v>
      </c>
      <c r="CF1729" s="57">
        <v>100.0</v>
      </c>
      <c r="CG1729" s="59" t="s">
        <v>5131</v>
      </c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14"/>
      <c r="DC1729" s="14"/>
      <c r="DD1729" s="14"/>
      <c r="DE1729" s="14"/>
      <c r="DF1729" s="14"/>
      <c r="DG1729" s="14"/>
      <c r="DH1729" s="14"/>
      <c r="DI1729" s="14"/>
      <c r="DJ1729" s="14"/>
      <c r="DK1729" s="14"/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14"/>
      <c r="EJ1729" s="14"/>
      <c r="EK1729" s="14"/>
      <c r="EL1729" s="14"/>
      <c r="EM1729" s="14"/>
      <c r="EN1729" s="14"/>
      <c r="EO1729" s="14"/>
      <c r="EP1729" s="14"/>
      <c r="EQ1729" s="14"/>
      <c r="ER1729" s="14"/>
      <c r="ES1729" s="14"/>
      <c r="ET1729" s="14"/>
      <c r="EU1729" s="14"/>
      <c r="EV1729" s="14"/>
      <c r="EW1729" s="14"/>
      <c r="EX1729" s="14"/>
      <c r="EY1729" s="14"/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4"/>
      <c r="FZ1729" s="14"/>
      <c r="GA1729" s="14"/>
      <c r="GB1729" s="14"/>
      <c r="GC1729" s="14"/>
      <c r="GD1729" s="14"/>
      <c r="GE1729" s="14"/>
      <c r="GF1729" s="14"/>
      <c r="GG1729" s="14"/>
      <c r="GH1729" s="14"/>
      <c r="GI1729" s="14"/>
      <c r="GJ1729" s="14"/>
      <c r="GK1729" s="14"/>
      <c r="GL1729" s="14"/>
      <c r="GM1729" s="14"/>
      <c r="GN1729" s="14"/>
      <c r="GO1729" s="14"/>
      <c r="GP1729" s="14"/>
      <c r="GQ1729" s="14"/>
      <c r="GR1729" s="14"/>
      <c r="GS1729" s="14"/>
      <c r="GT1729" s="14"/>
      <c r="GU1729" s="14"/>
      <c r="GV1729" s="14"/>
      <c r="GW1729" s="14"/>
      <c r="GX1729" s="14"/>
      <c r="GY1729" s="14"/>
      <c r="GZ1729" s="14"/>
      <c r="HA1729" s="14"/>
    </row>
    <row r="1730" ht="23.25" customHeight="1">
      <c r="A1730" s="14"/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57" t="s">
        <v>441</v>
      </c>
      <c r="BX1730" s="57" t="s">
        <v>149</v>
      </c>
      <c r="BY1730" s="14"/>
      <c r="BZ1730" s="57" t="s">
        <v>171</v>
      </c>
      <c r="CA1730" s="57" t="s">
        <v>356</v>
      </c>
      <c r="CB1730" s="57" t="s">
        <v>377</v>
      </c>
      <c r="CC1730" s="57" t="s">
        <v>523</v>
      </c>
      <c r="CD1730" s="58">
        <v>44287.0</v>
      </c>
      <c r="CE1730" s="58">
        <v>44347.0</v>
      </c>
      <c r="CF1730" s="57">
        <v>100.0</v>
      </c>
      <c r="CG1730" s="59" t="s">
        <v>5132</v>
      </c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14"/>
      <c r="DC1730" s="14"/>
      <c r="DD1730" s="14"/>
      <c r="DE1730" s="14"/>
      <c r="DF1730" s="14"/>
      <c r="DG1730" s="14"/>
      <c r="DH1730" s="14"/>
      <c r="DI1730" s="14"/>
      <c r="DJ1730" s="14"/>
      <c r="DK1730" s="14"/>
      <c r="DL1730" s="14"/>
      <c r="DM1730" s="14"/>
      <c r="DN1730" s="14"/>
      <c r="DO1730" s="14"/>
      <c r="DP1730" s="14"/>
      <c r="DQ1730" s="14"/>
      <c r="DR1730" s="14"/>
      <c r="DS1730" s="14"/>
      <c r="DT1730" s="14"/>
      <c r="DU1730" s="14"/>
      <c r="DV1730" s="14"/>
      <c r="DW1730" s="14"/>
      <c r="DX1730" s="14"/>
      <c r="DY1730" s="14"/>
      <c r="DZ1730" s="14"/>
      <c r="EA1730" s="14"/>
      <c r="EB1730" s="14"/>
      <c r="EC1730" s="14"/>
      <c r="ED1730" s="14"/>
      <c r="EE1730" s="14"/>
      <c r="EF1730" s="14"/>
      <c r="EG1730" s="14"/>
      <c r="EH1730" s="14"/>
      <c r="EI1730" s="14"/>
      <c r="EJ1730" s="14"/>
      <c r="EK1730" s="14"/>
      <c r="EL1730" s="14"/>
      <c r="EM1730" s="14"/>
      <c r="EN1730" s="14"/>
      <c r="EO1730" s="14"/>
      <c r="EP1730" s="14"/>
      <c r="EQ1730" s="14"/>
      <c r="ER1730" s="14"/>
      <c r="ES1730" s="14"/>
      <c r="ET1730" s="14"/>
      <c r="EU1730" s="14"/>
      <c r="EV1730" s="14"/>
      <c r="EW1730" s="14"/>
      <c r="EX1730" s="14"/>
      <c r="EY1730" s="14"/>
      <c r="EZ1730" s="14"/>
      <c r="FA1730" s="14"/>
      <c r="FB1730" s="14"/>
      <c r="FC1730" s="14"/>
      <c r="FD1730" s="14"/>
      <c r="FE1730" s="14"/>
      <c r="FF1730" s="14"/>
      <c r="FG1730" s="14"/>
      <c r="FH1730" s="14"/>
      <c r="FI1730" s="14"/>
      <c r="FJ1730" s="14"/>
      <c r="FK1730" s="14"/>
      <c r="FL1730" s="14"/>
      <c r="FM1730" s="14"/>
      <c r="FN1730" s="14"/>
      <c r="FO1730" s="14"/>
      <c r="FP1730" s="14"/>
      <c r="FQ1730" s="14"/>
      <c r="FR1730" s="14"/>
      <c r="FS1730" s="14"/>
      <c r="FT1730" s="14"/>
      <c r="FU1730" s="14"/>
      <c r="FV1730" s="14"/>
      <c r="FW1730" s="14"/>
      <c r="FX1730" s="14"/>
      <c r="FY1730" s="14"/>
      <c r="FZ1730" s="14"/>
      <c r="GA1730" s="14"/>
      <c r="GB1730" s="14"/>
      <c r="GC1730" s="14"/>
      <c r="GD1730" s="14"/>
      <c r="GE1730" s="14"/>
      <c r="GF1730" s="14"/>
      <c r="GG1730" s="14"/>
      <c r="GH1730" s="14"/>
      <c r="GI1730" s="14"/>
      <c r="GJ1730" s="14"/>
      <c r="GK1730" s="14"/>
      <c r="GL1730" s="14"/>
      <c r="GM1730" s="14"/>
      <c r="GN1730" s="14"/>
      <c r="GO1730" s="14"/>
      <c r="GP1730" s="14"/>
      <c r="GQ1730" s="14"/>
      <c r="GR1730" s="14"/>
      <c r="GS1730" s="14"/>
      <c r="GT1730" s="14"/>
      <c r="GU1730" s="14"/>
      <c r="GV1730" s="14"/>
      <c r="GW1730" s="14"/>
      <c r="GX1730" s="14"/>
      <c r="GY1730" s="14"/>
      <c r="GZ1730" s="14"/>
      <c r="HA1730" s="14"/>
    </row>
    <row r="1731" ht="23.25" customHeight="1">
      <c r="A1731" s="14"/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57" t="s">
        <v>441</v>
      </c>
      <c r="BX1731" s="57" t="s">
        <v>149</v>
      </c>
      <c r="BY1731" s="14"/>
      <c r="BZ1731" s="57" t="s">
        <v>171</v>
      </c>
      <c r="CA1731" s="57" t="s">
        <v>571</v>
      </c>
      <c r="CB1731" s="57" t="s">
        <v>377</v>
      </c>
      <c r="CC1731" s="57" t="s">
        <v>3402</v>
      </c>
      <c r="CD1731" s="58">
        <v>44348.0</v>
      </c>
      <c r="CE1731" s="58">
        <v>44378.0</v>
      </c>
      <c r="CF1731" s="57">
        <v>100.0</v>
      </c>
      <c r="CG1731" s="59" t="s">
        <v>5133</v>
      </c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14"/>
      <c r="DC1731" s="14"/>
      <c r="DD1731" s="14"/>
      <c r="DE1731" s="14"/>
      <c r="DF1731" s="14"/>
      <c r="DG1731" s="14"/>
      <c r="DH1731" s="14"/>
      <c r="DI1731" s="14"/>
      <c r="DJ1731" s="14"/>
      <c r="DK1731" s="14"/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14"/>
      <c r="EJ1731" s="14"/>
      <c r="EK1731" s="14"/>
      <c r="EL1731" s="14"/>
      <c r="EM1731" s="14"/>
      <c r="EN1731" s="14"/>
      <c r="EO1731" s="14"/>
      <c r="EP1731" s="14"/>
      <c r="EQ1731" s="14"/>
      <c r="ER1731" s="14"/>
      <c r="ES1731" s="14"/>
      <c r="ET1731" s="14"/>
      <c r="EU1731" s="14"/>
      <c r="EV1731" s="14"/>
      <c r="EW1731" s="14"/>
      <c r="EX1731" s="14"/>
      <c r="EY1731" s="14"/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4"/>
      <c r="FZ1731" s="14"/>
      <c r="GA1731" s="14"/>
      <c r="GB1731" s="14"/>
      <c r="GC1731" s="14"/>
      <c r="GD1731" s="14"/>
      <c r="GE1731" s="14"/>
      <c r="GF1731" s="14"/>
      <c r="GG1731" s="14"/>
      <c r="GH1731" s="14"/>
      <c r="GI1731" s="14"/>
      <c r="GJ1731" s="14"/>
      <c r="GK1731" s="14"/>
      <c r="GL1731" s="14"/>
      <c r="GM1731" s="14"/>
      <c r="GN1731" s="14"/>
      <c r="GO1731" s="14"/>
      <c r="GP1731" s="14"/>
      <c r="GQ1731" s="14"/>
      <c r="GR1731" s="14"/>
      <c r="GS1731" s="14"/>
      <c r="GT1731" s="14"/>
      <c r="GU1731" s="14"/>
      <c r="GV1731" s="14"/>
      <c r="GW1731" s="14"/>
      <c r="GX1731" s="14"/>
      <c r="GY1731" s="14"/>
      <c r="GZ1731" s="14"/>
      <c r="HA1731" s="14"/>
    </row>
    <row r="1732" ht="23.25" customHeight="1">
      <c r="A1732" s="14"/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57" t="s">
        <v>441</v>
      </c>
      <c r="BX1732" s="57" t="s">
        <v>149</v>
      </c>
      <c r="BY1732" s="14"/>
      <c r="BZ1732" s="57" t="s">
        <v>159</v>
      </c>
      <c r="CA1732" s="57" t="s">
        <v>351</v>
      </c>
      <c r="CB1732" s="57" t="s">
        <v>377</v>
      </c>
      <c r="CC1732" s="57" t="s">
        <v>3545</v>
      </c>
      <c r="CD1732" s="58">
        <v>43646.0</v>
      </c>
      <c r="CE1732" s="58">
        <v>43672.0</v>
      </c>
      <c r="CF1732" s="57">
        <v>100.0</v>
      </c>
      <c r="CG1732" s="59" t="s">
        <v>5134</v>
      </c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14"/>
      <c r="DC1732" s="14"/>
      <c r="DD1732" s="14"/>
      <c r="DE1732" s="14"/>
      <c r="DF1732" s="14"/>
      <c r="DG1732" s="14"/>
      <c r="DH1732" s="14"/>
      <c r="DI1732" s="14"/>
      <c r="DJ1732" s="14"/>
      <c r="DK1732" s="14"/>
      <c r="DL1732" s="14"/>
      <c r="DM1732" s="14"/>
      <c r="DN1732" s="14"/>
      <c r="DO1732" s="14"/>
      <c r="DP1732" s="14"/>
      <c r="DQ1732" s="14"/>
      <c r="DR1732" s="14"/>
      <c r="DS1732" s="14"/>
      <c r="DT1732" s="14"/>
      <c r="DU1732" s="14"/>
      <c r="DV1732" s="14"/>
      <c r="DW1732" s="14"/>
      <c r="DX1732" s="14"/>
      <c r="DY1732" s="14"/>
      <c r="DZ1732" s="14"/>
      <c r="EA1732" s="14"/>
      <c r="EB1732" s="14"/>
      <c r="EC1732" s="14"/>
      <c r="ED1732" s="14"/>
      <c r="EE1732" s="14"/>
      <c r="EF1732" s="14"/>
      <c r="EG1732" s="14"/>
      <c r="EH1732" s="14"/>
      <c r="EI1732" s="14"/>
      <c r="EJ1732" s="14"/>
      <c r="EK1732" s="14"/>
      <c r="EL1732" s="14"/>
      <c r="EM1732" s="14"/>
      <c r="EN1732" s="14"/>
      <c r="EO1732" s="14"/>
      <c r="EP1732" s="14"/>
      <c r="EQ1732" s="14"/>
      <c r="ER1732" s="14"/>
      <c r="ES1732" s="14"/>
      <c r="ET1732" s="14"/>
      <c r="EU1732" s="14"/>
      <c r="EV1732" s="14"/>
      <c r="EW1732" s="14"/>
      <c r="EX1732" s="14"/>
      <c r="EY1732" s="14"/>
      <c r="EZ1732" s="14"/>
      <c r="FA1732" s="14"/>
      <c r="FB1732" s="14"/>
      <c r="FC1732" s="14"/>
      <c r="FD1732" s="14"/>
      <c r="FE1732" s="14"/>
      <c r="FF1732" s="14"/>
      <c r="FG1732" s="14"/>
      <c r="FH1732" s="14"/>
      <c r="FI1732" s="14"/>
      <c r="FJ1732" s="14"/>
      <c r="FK1732" s="14"/>
      <c r="FL1732" s="14"/>
      <c r="FM1732" s="14"/>
      <c r="FN1732" s="14"/>
      <c r="FO1732" s="14"/>
      <c r="FP1732" s="14"/>
      <c r="FQ1732" s="14"/>
      <c r="FR1732" s="14"/>
      <c r="FS1732" s="14"/>
      <c r="FT1732" s="14"/>
      <c r="FU1732" s="14"/>
      <c r="FV1732" s="14"/>
      <c r="FW1732" s="14"/>
      <c r="FX1732" s="14"/>
      <c r="FY1732" s="14"/>
      <c r="FZ1732" s="14"/>
      <c r="GA1732" s="14"/>
      <c r="GB1732" s="14"/>
      <c r="GC1732" s="14"/>
      <c r="GD1732" s="14"/>
      <c r="GE1732" s="14"/>
      <c r="GF1732" s="14"/>
      <c r="GG1732" s="14"/>
      <c r="GH1732" s="14"/>
      <c r="GI1732" s="14"/>
      <c r="GJ1732" s="14"/>
      <c r="GK1732" s="14"/>
      <c r="GL1732" s="14"/>
      <c r="GM1732" s="14"/>
      <c r="GN1732" s="14"/>
      <c r="GO1732" s="14"/>
      <c r="GP1732" s="14"/>
      <c r="GQ1732" s="14"/>
      <c r="GR1732" s="14"/>
      <c r="GS1732" s="14"/>
      <c r="GT1732" s="14"/>
      <c r="GU1732" s="14"/>
      <c r="GV1732" s="14"/>
      <c r="GW1732" s="14"/>
      <c r="GX1732" s="14"/>
      <c r="GY1732" s="14"/>
      <c r="GZ1732" s="14"/>
      <c r="HA1732" s="14"/>
    </row>
    <row r="1733" ht="23.25" customHeight="1">
      <c r="A1733" s="14"/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57" t="s">
        <v>441</v>
      </c>
      <c r="BX1733" s="57" t="s">
        <v>149</v>
      </c>
      <c r="BY1733" s="14"/>
      <c r="BZ1733" s="57" t="s">
        <v>171</v>
      </c>
      <c r="CA1733" s="57" t="s">
        <v>502</v>
      </c>
      <c r="CB1733" s="57" t="s">
        <v>377</v>
      </c>
      <c r="CC1733" s="57" t="s">
        <v>5135</v>
      </c>
      <c r="CD1733" s="58">
        <v>44341.0</v>
      </c>
      <c r="CE1733" s="58">
        <v>44348.0</v>
      </c>
      <c r="CF1733" s="57">
        <v>100.0</v>
      </c>
      <c r="CG1733" s="59" t="s">
        <v>5136</v>
      </c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14"/>
      <c r="DC1733" s="14"/>
      <c r="DD1733" s="14"/>
      <c r="DE1733" s="14"/>
      <c r="DF1733" s="14"/>
      <c r="DG1733" s="14"/>
      <c r="DH1733" s="14"/>
      <c r="DI1733" s="14"/>
      <c r="DJ1733" s="14"/>
      <c r="DK1733" s="14"/>
      <c r="DL1733" s="14"/>
      <c r="DM1733" s="14"/>
      <c r="DN1733" s="14"/>
      <c r="DO1733" s="14"/>
      <c r="DP1733" s="14"/>
      <c r="DQ1733" s="14"/>
      <c r="DR1733" s="14"/>
      <c r="DS1733" s="14"/>
      <c r="DT1733" s="14"/>
      <c r="DU1733" s="14"/>
      <c r="DV1733" s="14"/>
      <c r="DW1733" s="14"/>
      <c r="DX1733" s="14"/>
      <c r="DY1733" s="14"/>
      <c r="DZ1733" s="14"/>
      <c r="EA1733" s="14"/>
      <c r="EB1733" s="14"/>
      <c r="EC1733" s="14"/>
      <c r="ED1733" s="14"/>
      <c r="EE1733" s="14"/>
      <c r="EF1733" s="14"/>
      <c r="EG1733" s="14"/>
      <c r="EH1733" s="14"/>
      <c r="EI1733" s="14"/>
      <c r="EJ1733" s="14"/>
      <c r="EK1733" s="14"/>
      <c r="EL1733" s="14"/>
      <c r="EM1733" s="14"/>
      <c r="EN1733" s="14"/>
      <c r="EO1733" s="14"/>
      <c r="EP1733" s="14"/>
      <c r="EQ1733" s="14"/>
      <c r="ER1733" s="14"/>
      <c r="ES1733" s="14"/>
      <c r="ET1733" s="14"/>
      <c r="EU1733" s="14"/>
      <c r="EV1733" s="14"/>
      <c r="EW1733" s="14"/>
      <c r="EX1733" s="14"/>
      <c r="EY1733" s="14"/>
      <c r="EZ1733" s="14"/>
      <c r="FA1733" s="14"/>
      <c r="FB1733" s="14"/>
      <c r="FC1733" s="14"/>
      <c r="FD1733" s="14"/>
      <c r="FE1733" s="14"/>
      <c r="FF1733" s="14"/>
      <c r="FG1733" s="14"/>
      <c r="FH1733" s="14"/>
      <c r="FI1733" s="14"/>
      <c r="FJ1733" s="14"/>
      <c r="FK1733" s="14"/>
      <c r="FL1733" s="14"/>
      <c r="FM1733" s="14"/>
      <c r="FN1733" s="14"/>
      <c r="FO1733" s="14"/>
      <c r="FP1733" s="14"/>
      <c r="FQ1733" s="14"/>
      <c r="FR1733" s="14"/>
      <c r="FS1733" s="14"/>
      <c r="FT1733" s="14"/>
      <c r="FU1733" s="14"/>
      <c r="FV1733" s="14"/>
      <c r="FW1733" s="14"/>
      <c r="FX1733" s="14"/>
      <c r="FY1733" s="14"/>
      <c r="FZ1733" s="14"/>
      <c r="GA1733" s="14"/>
      <c r="GB1733" s="14"/>
      <c r="GC1733" s="14"/>
      <c r="GD1733" s="14"/>
      <c r="GE1733" s="14"/>
      <c r="GF1733" s="14"/>
      <c r="GG1733" s="14"/>
      <c r="GH1733" s="14"/>
      <c r="GI1733" s="14"/>
      <c r="GJ1733" s="14"/>
      <c r="GK1733" s="14"/>
      <c r="GL1733" s="14"/>
      <c r="GM1733" s="14"/>
      <c r="GN1733" s="14"/>
      <c r="GO1733" s="14"/>
      <c r="GP1733" s="14"/>
      <c r="GQ1733" s="14"/>
      <c r="GR1733" s="14"/>
      <c r="GS1733" s="14"/>
      <c r="GT1733" s="14"/>
      <c r="GU1733" s="14"/>
      <c r="GV1733" s="14"/>
      <c r="GW1733" s="14"/>
      <c r="GX1733" s="14"/>
      <c r="GY1733" s="14"/>
      <c r="GZ1733" s="14"/>
      <c r="HA1733" s="14"/>
    </row>
    <row r="1734" ht="23.25" customHeight="1">
      <c r="A1734" s="14"/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57" t="s">
        <v>833</v>
      </c>
      <c r="BX1734" s="57" t="s">
        <v>834</v>
      </c>
      <c r="BY1734" s="14"/>
      <c r="BZ1734" s="57" t="s">
        <v>171</v>
      </c>
      <c r="CA1734" s="57" t="s">
        <v>5101</v>
      </c>
      <c r="CB1734" s="57" t="s">
        <v>345</v>
      </c>
      <c r="CC1734" s="57" t="s">
        <v>378</v>
      </c>
      <c r="CD1734" s="58">
        <v>43922.0</v>
      </c>
      <c r="CE1734" s="58">
        <v>44044.0</v>
      </c>
      <c r="CF1734" s="57">
        <v>94.0</v>
      </c>
      <c r="CG1734" s="59" t="s">
        <v>5137</v>
      </c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14"/>
      <c r="DC1734" s="14"/>
      <c r="DD1734" s="14"/>
      <c r="DE1734" s="14"/>
      <c r="DF1734" s="14"/>
      <c r="DG1734" s="14"/>
      <c r="DH1734" s="14"/>
      <c r="DI1734" s="14"/>
      <c r="DJ1734" s="14"/>
      <c r="DK1734" s="14"/>
      <c r="DL1734" s="14"/>
      <c r="DM1734" s="14"/>
      <c r="DN1734" s="14"/>
      <c r="DO1734" s="14"/>
      <c r="DP1734" s="14"/>
      <c r="DQ1734" s="14"/>
      <c r="DR1734" s="14"/>
      <c r="DS1734" s="14"/>
      <c r="DT1734" s="14"/>
      <c r="DU1734" s="14"/>
      <c r="DV1734" s="14"/>
      <c r="DW1734" s="14"/>
      <c r="DX1734" s="14"/>
      <c r="DY1734" s="14"/>
      <c r="DZ1734" s="14"/>
      <c r="EA1734" s="14"/>
      <c r="EB1734" s="14"/>
      <c r="EC1734" s="14"/>
      <c r="ED1734" s="14"/>
      <c r="EE1734" s="14"/>
      <c r="EF1734" s="14"/>
      <c r="EG1734" s="14"/>
      <c r="EH1734" s="14"/>
      <c r="EI1734" s="14"/>
      <c r="EJ1734" s="14"/>
      <c r="EK1734" s="14"/>
      <c r="EL1734" s="14"/>
      <c r="EM1734" s="14"/>
      <c r="EN1734" s="14"/>
      <c r="EO1734" s="14"/>
      <c r="EP1734" s="14"/>
      <c r="EQ1734" s="14"/>
      <c r="ER1734" s="14"/>
      <c r="ES1734" s="14"/>
      <c r="ET1734" s="14"/>
      <c r="EU1734" s="14"/>
      <c r="EV1734" s="14"/>
      <c r="EW1734" s="14"/>
      <c r="EX1734" s="14"/>
      <c r="EY1734" s="14"/>
      <c r="EZ1734" s="14"/>
      <c r="FA1734" s="14"/>
      <c r="FB1734" s="14"/>
      <c r="FC1734" s="14"/>
      <c r="FD1734" s="14"/>
      <c r="FE1734" s="14"/>
      <c r="FF1734" s="14"/>
      <c r="FG1734" s="14"/>
      <c r="FH1734" s="14"/>
      <c r="FI1734" s="14"/>
      <c r="FJ1734" s="14"/>
      <c r="FK1734" s="14"/>
      <c r="FL1734" s="14"/>
      <c r="FM1734" s="14"/>
      <c r="FN1734" s="14"/>
      <c r="FO1734" s="14"/>
      <c r="FP1734" s="14"/>
      <c r="FQ1734" s="14"/>
      <c r="FR1734" s="14"/>
      <c r="FS1734" s="14"/>
      <c r="FT1734" s="14"/>
      <c r="FU1734" s="14"/>
      <c r="FV1734" s="14"/>
      <c r="FW1734" s="14"/>
      <c r="FX1734" s="14"/>
      <c r="FY1734" s="14"/>
      <c r="FZ1734" s="14"/>
      <c r="GA1734" s="14"/>
      <c r="GB1734" s="14"/>
      <c r="GC1734" s="14"/>
      <c r="GD1734" s="14"/>
      <c r="GE1734" s="14"/>
      <c r="GF1734" s="14"/>
      <c r="GG1734" s="14"/>
      <c r="GH1734" s="14"/>
      <c r="GI1734" s="14"/>
      <c r="GJ1734" s="14"/>
      <c r="GK1734" s="14"/>
      <c r="GL1734" s="14"/>
      <c r="GM1734" s="14"/>
      <c r="GN1734" s="14"/>
      <c r="GO1734" s="14"/>
      <c r="GP1734" s="14"/>
      <c r="GQ1734" s="14"/>
      <c r="GR1734" s="14"/>
      <c r="GS1734" s="14"/>
      <c r="GT1734" s="14"/>
      <c r="GU1734" s="14"/>
      <c r="GV1734" s="14"/>
      <c r="GW1734" s="14"/>
      <c r="GX1734" s="14"/>
      <c r="GY1734" s="14"/>
      <c r="GZ1734" s="14"/>
      <c r="HA1734" s="14"/>
    </row>
    <row r="1735" ht="23.25" customHeight="1">
      <c r="A1735" s="14"/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57" t="s">
        <v>833</v>
      </c>
      <c r="BX1735" s="57" t="s">
        <v>834</v>
      </c>
      <c r="BY1735" s="14"/>
      <c r="BZ1735" s="57" t="s">
        <v>171</v>
      </c>
      <c r="CA1735" s="57" t="s">
        <v>5138</v>
      </c>
      <c r="CB1735" s="57" t="s">
        <v>345</v>
      </c>
      <c r="CC1735" s="57" t="s">
        <v>450</v>
      </c>
      <c r="CD1735" s="58">
        <v>43922.0</v>
      </c>
      <c r="CE1735" s="58">
        <v>44012.0</v>
      </c>
      <c r="CF1735" s="57">
        <v>95.0</v>
      </c>
      <c r="CG1735" s="59" t="s">
        <v>5139</v>
      </c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14"/>
      <c r="DC1735" s="14"/>
      <c r="DD1735" s="14"/>
      <c r="DE1735" s="14"/>
      <c r="DF1735" s="14"/>
      <c r="DG1735" s="14"/>
      <c r="DH1735" s="14"/>
      <c r="DI1735" s="14"/>
      <c r="DJ1735" s="14"/>
      <c r="DK1735" s="14"/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14"/>
      <c r="EJ1735" s="14"/>
      <c r="EK1735" s="14"/>
      <c r="EL1735" s="14"/>
      <c r="EM1735" s="14"/>
      <c r="EN1735" s="14"/>
      <c r="EO1735" s="14"/>
      <c r="EP1735" s="14"/>
      <c r="EQ1735" s="14"/>
      <c r="ER1735" s="14"/>
      <c r="ES1735" s="14"/>
      <c r="ET1735" s="14"/>
      <c r="EU1735" s="14"/>
      <c r="EV1735" s="14"/>
      <c r="EW1735" s="14"/>
      <c r="EX1735" s="14"/>
      <c r="EY1735" s="14"/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  <c r="FP1735" s="14"/>
      <c r="FQ1735" s="14"/>
      <c r="FR1735" s="14"/>
      <c r="FS1735" s="14"/>
      <c r="FT1735" s="14"/>
      <c r="FU1735" s="14"/>
      <c r="FV1735" s="14"/>
      <c r="FW1735" s="14"/>
      <c r="FX1735" s="14"/>
      <c r="FY1735" s="14"/>
      <c r="FZ1735" s="14"/>
      <c r="GA1735" s="14"/>
      <c r="GB1735" s="14"/>
      <c r="GC1735" s="14"/>
      <c r="GD1735" s="14"/>
      <c r="GE1735" s="14"/>
      <c r="GF1735" s="14"/>
      <c r="GG1735" s="14"/>
      <c r="GH1735" s="14"/>
      <c r="GI1735" s="14"/>
      <c r="GJ1735" s="14"/>
      <c r="GK1735" s="14"/>
      <c r="GL1735" s="14"/>
      <c r="GM1735" s="14"/>
      <c r="GN1735" s="14"/>
      <c r="GO1735" s="14"/>
      <c r="GP1735" s="14"/>
      <c r="GQ1735" s="14"/>
      <c r="GR1735" s="14"/>
      <c r="GS1735" s="14"/>
      <c r="GT1735" s="14"/>
      <c r="GU1735" s="14"/>
      <c r="GV1735" s="14"/>
      <c r="GW1735" s="14"/>
      <c r="GX1735" s="14"/>
      <c r="GY1735" s="14"/>
      <c r="GZ1735" s="14"/>
      <c r="HA1735" s="14"/>
    </row>
    <row r="1736" ht="23.25" customHeight="1">
      <c r="A1736" s="14"/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57" t="s">
        <v>833</v>
      </c>
      <c r="BX1736" s="57" t="s">
        <v>834</v>
      </c>
      <c r="BY1736" s="14"/>
      <c r="BZ1736" s="57" t="s">
        <v>171</v>
      </c>
      <c r="CA1736" s="57" t="s">
        <v>5098</v>
      </c>
      <c r="CB1736" s="57" t="s">
        <v>345</v>
      </c>
      <c r="CC1736" s="57" t="s">
        <v>450</v>
      </c>
      <c r="CD1736" s="58">
        <v>43922.0</v>
      </c>
      <c r="CE1736" s="58">
        <v>44012.0</v>
      </c>
      <c r="CF1736" s="57">
        <v>95.0</v>
      </c>
      <c r="CG1736" s="59" t="s">
        <v>5140</v>
      </c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14"/>
      <c r="DC1736" s="14"/>
      <c r="DD1736" s="14"/>
      <c r="DE1736" s="14"/>
      <c r="DF1736" s="14"/>
      <c r="DG1736" s="14"/>
      <c r="DH1736" s="14"/>
      <c r="DI1736" s="14"/>
      <c r="DJ1736" s="14"/>
      <c r="DK1736" s="14"/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14"/>
      <c r="EJ1736" s="14"/>
      <c r="EK1736" s="14"/>
      <c r="EL1736" s="14"/>
      <c r="EM1736" s="14"/>
      <c r="EN1736" s="14"/>
      <c r="EO1736" s="14"/>
      <c r="EP1736" s="14"/>
      <c r="EQ1736" s="14"/>
      <c r="ER1736" s="14"/>
      <c r="ES1736" s="14"/>
      <c r="ET1736" s="14"/>
      <c r="EU1736" s="14"/>
      <c r="EV1736" s="14"/>
      <c r="EW1736" s="14"/>
      <c r="EX1736" s="14"/>
      <c r="EY1736" s="14"/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  <c r="FP1736" s="14"/>
      <c r="FQ1736" s="14"/>
      <c r="FR1736" s="14"/>
      <c r="FS1736" s="14"/>
      <c r="FT1736" s="14"/>
      <c r="FU1736" s="14"/>
      <c r="FV1736" s="14"/>
      <c r="FW1736" s="14"/>
      <c r="FX1736" s="14"/>
      <c r="FY1736" s="14"/>
      <c r="FZ1736" s="14"/>
      <c r="GA1736" s="14"/>
      <c r="GB1736" s="14"/>
      <c r="GC1736" s="14"/>
      <c r="GD1736" s="14"/>
      <c r="GE1736" s="14"/>
      <c r="GF1736" s="14"/>
      <c r="GG1736" s="14"/>
      <c r="GH1736" s="14"/>
      <c r="GI1736" s="14"/>
      <c r="GJ1736" s="14"/>
      <c r="GK1736" s="14"/>
      <c r="GL1736" s="14"/>
      <c r="GM1736" s="14"/>
      <c r="GN1736" s="14"/>
      <c r="GO1736" s="14"/>
      <c r="GP1736" s="14"/>
      <c r="GQ1736" s="14"/>
      <c r="GR1736" s="14"/>
      <c r="GS1736" s="14"/>
      <c r="GT1736" s="14"/>
      <c r="GU1736" s="14"/>
      <c r="GV1736" s="14"/>
      <c r="GW1736" s="14"/>
      <c r="GX1736" s="14"/>
      <c r="GY1736" s="14"/>
      <c r="GZ1736" s="14"/>
      <c r="HA1736" s="14"/>
    </row>
    <row r="1737" ht="23.25" customHeight="1">
      <c r="A1737" s="14"/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57" t="s">
        <v>833</v>
      </c>
      <c r="BX1737" s="57" t="s">
        <v>834</v>
      </c>
      <c r="BY1737" s="14"/>
      <c r="BZ1737" s="57" t="s">
        <v>171</v>
      </c>
      <c r="CA1737" s="57" t="s">
        <v>5141</v>
      </c>
      <c r="CB1737" s="57" t="s">
        <v>345</v>
      </c>
      <c r="CC1737" s="57" t="s">
        <v>310</v>
      </c>
      <c r="CD1737" s="58">
        <v>43922.0</v>
      </c>
      <c r="CE1737" s="58">
        <v>44007.0</v>
      </c>
      <c r="CF1737" s="57">
        <v>94.0</v>
      </c>
      <c r="CG1737" s="59" t="s">
        <v>5142</v>
      </c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14"/>
      <c r="DC1737" s="14"/>
      <c r="DD1737" s="14"/>
      <c r="DE1737" s="14"/>
      <c r="DF1737" s="14"/>
      <c r="DG1737" s="14"/>
      <c r="DH1737" s="14"/>
      <c r="DI1737" s="14"/>
      <c r="DJ1737" s="14"/>
      <c r="DK1737" s="14"/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14"/>
      <c r="EJ1737" s="14"/>
      <c r="EK1737" s="14"/>
      <c r="EL1737" s="14"/>
      <c r="EM1737" s="14"/>
      <c r="EN1737" s="14"/>
      <c r="EO1737" s="14"/>
      <c r="EP1737" s="14"/>
      <c r="EQ1737" s="14"/>
      <c r="ER1737" s="14"/>
      <c r="ES1737" s="14"/>
      <c r="ET1737" s="14"/>
      <c r="EU1737" s="14"/>
      <c r="EV1737" s="14"/>
      <c r="EW1737" s="14"/>
      <c r="EX1737" s="14"/>
      <c r="EY1737" s="14"/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  <c r="FP1737" s="14"/>
      <c r="FQ1737" s="14"/>
      <c r="FR1737" s="14"/>
      <c r="FS1737" s="14"/>
      <c r="FT1737" s="14"/>
      <c r="FU1737" s="14"/>
      <c r="FV1737" s="14"/>
      <c r="FW1737" s="14"/>
      <c r="FX1737" s="14"/>
      <c r="FY1737" s="14"/>
      <c r="FZ1737" s="14"/>
      <c r="GA1737" s="14"/>
      <c r="GB1737" s="14"/>
      <c r="GC1737" s="14"/>
      <c r="GD1737" s="14"/>
      <c r="GE1737" s="14"/>
      <c r="GF1737" s="14"/>
      <c r="GG1737" s="14"/>
      <c r="GH1737" s="14"/>
      <c r="GI1737" s="14"/>
      <c r="GJ1737" s="14"/>
      <c r="GK1737" s="14"/>
      <c r="GL1737" s="14"/>
      <c r="GM1737" s="14"/>
      <c r="GN1737" s="14"/>
      <c r="GO1737" s="14"/>
      <c r="GP1737" s="14"/>
      <c r="GQ1737" s="14"/>
      <c r="GR1737" s="14"/>
      <c r="GS1737" s="14"/>
      <c r="GT1737" s="14"/>
      <c r="GU1737" s="14"/>
      <c r="GV1737" s="14"/>
      <c r="GW1737" s="14"/>
      <c r="GX1737" s="14"/>
      <c r="GY1737" s="14"/>
      <c r="GZ1737" s="14"/>
      <c r="HA1737" s="14"/>
    </row>
    <row r="1738" ht="23.25" customHeight="1">
      <c r="A1738" s="14"/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57" t="s">
        <v>833</v>
      </c>
      <c r="BX1738" s="57" t="s">
        <v>834</v>
      </c>
      <c r="BY1738" s="14"/>
      <c r="BZ1738" s="57" t="s">
        <v>171</v>
      </c>
      <c r="CA1738" s="57" t="s">
        <v>5143</v>
      </c>
      <c r="CB1738" s="57" t="s">
        <v>345</v>
      </c>
      <c r="CC1738" s="57" t="s">
        <v>450</v>
      </c>
      <c r="CD1738" s="58">
        <v>43952.0</v>
      </c>
      <c r="CE1738" s="58">
        <v>44804.0</v>
      </c>
      <c r="CF1738" s="57">
        <v>96.0</v>
      </c>
      <c r="CG1738" s="59" t="s">
        <v>5144</v>
      </c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14"/>
      <c r="DC1738" s="14"/>
      <c r="DD1738" s="14"/>
      <c r="DE1738" s="14"/>
      <c r="DF1738" s="14"/>
      <c r="DG1738" s="14"/>
      <c r="DH1738" s="14"/>
      <c r="DI1738" s="14"/>
      <c r="DJ1738" s="14"/>
      <c r="DK1738" s="14"/>
      <c r="DL1738" s="14"/>
      <c r="DM1738" s="14"/>
      <c r="DN1738" s="14"/>
      <c r="DO1738" s="14"/>
      <c r="DP1738" s="14"/>
      <c r="DQ1738" s="14"/>
      <c r="DR1738" s="14"/>
      <c r="DS1738" s="14"/>
      <c r="DT1738" s="14"/>
      <c r="DU1738" s="14"/>
      <c r="DV1738" s="14"/>
      <c r="DW1738" s="14"/>
      <c r="DX1738" s="14"/>
      <c r="DY1738" s="14"/>
      <c r="DZ1738" s="14"/>
      <c r="EA1738" s="14"/>
      <c r="EB1738" s="14"/>
      <c r="EC1738" s="14"/>
      <c r="ED1738" s="14"/>
      <c r="EE1738" s="14"/>
      <c r="EF1738" s="14"/>
      <c r="EG1738" s="14"/>
      <c r="EH1738" s="14"/>
      <c r="EI1738" s="14"/>
      <c r="EJ1738" s="14"/>
      <c r="EK1738" s="14"/>
      <c r="EL1738" s="14"/>
      <c r="EM1738" s="14"/>
      <c r="EN1738" s="14"/>
      <c r="EO1738" s="14"/>
      <c r="EP1738" s="14"/>
      <c r="EQ1738" s="14"/>
      <c r="ER1738" s="14"/>
      <c r="ES1738" s="14"/>
      <c r="ET1738" s="14"/>
      <c r="EU1738" s="14"/>
      <c r="EV1738" s="14"/>
      <c r="EW1738" s="14"/>
      <c r="EX1738" s="14"/>
      <c r="EY1738" s="14"/>
      <c r="EZ1738" s="14"/>
      <c r="FA1738" s="14"/>
      <c r="FB1738" s="14"/>
      <c r="FC1738" s="14"/>
      <c r="FD1738" s="14"/>
      <c r="FE1738" s="14"/>
      <c r="FF1738" s="14"/>
      <c r="FG1738" s="14"/>
      <c r="FH1738" s="14"/>
      <c r="FI1738" s="14"/>
      <c r="FJ1738" s="14"/>
      <c r="FK1738" s="14"/>
      <c r="FL1738" s="14"/>
      <c r="FM1738" s="14"/>
      <c r="FN1738" s="14"/>
      <c r="FO1738" s="14"/>
      <c r="FP1738" s="14"/>
      <c r="FQ1738" s="14"/>
      <c r="FR1738" s="14"/>
      <c r="FS1738" s="14"/>
      <c r="FT1738" s="14"/>
      <c r="FU1738" s="14"/>
      <c r="FV1738" s="14"/>
      <c r="FW1738" s="14"/>
      <c r="FX1738" s="14"/>
      <c r="FY1738" s="14"/>
      <c r="FZ1738" s="14"/>
      <c r="GA1738" s="14"/>
      <c r="GB1738" s="14"/>
      <c r="GC1738" s="14"/>
      <c r="GD1738" s="14"/>
      <c r="GE1738" s="14"/>
      <c r="GF1738" s="14"/>
      <c r="GG1738" s="14"/>
      <c r="GH1738" s="14"/>
      <c r="GI1738" s="14"/>
      <c r="GJ1738" s="14"/>
      <c r="GK1738" s="14"/>
      <c r="GL1738" s="14"/>
      <c r="GM1738" s="14"/>
      <c r="GN1738" s="14"/>
      <c r="GO1738" s="14"/>
      <c r="GP1738" s="14"/>
      <c r="GQ1738" s="14"/>
      <c r="GR1738" s="14"/>
      <c r="GS1738" s="14"/>
      <c r="GT1738" s="14"/>
      <c r="GU1738" s="14"/>
      <c r="GV1738" s="14"/>
      <c r="GW1738" s="14"/>
      <c r="GX1738" s="14"/>
      <c r="GY1738" s="14"/>
      <c r="GZ1738" s="14"/>
      <c r="HA1738" s="14"/>
    </row>
    <row r="1739" ht="23.25" customHeight="1">
      <c r="A1739" s="14"/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57" t="s">
        <v>957</v>
      </c>
      <c r="BX1739" s="57" t="s">
        <v>958</v>
      </c>
      <c r="BY1739" s="14"/>
      <c r="BZ1739" s="57" t="s">
        <v>171</v>
      </c>
      <c r="CA1739" s="57" t="s">
        <v>5145</v>
      </c>
      <c r="CB1739" s="57" t="s">
        <v>5146</v>
      </c>
      <c r="CC1739" s="57" t="s">
        <v>450</v>
      </c>
      <c r="CD1739" s="58">
        <v>43942.0</v>
      </c>
      <c r="CE1739" s="58">
        <v>44014.0</v>
      </c>
      <c r="CF1739" s="57">
        <v>96.89</v>
      </c>
      <c r="CG1739" s="59" t="s">
        <v>5147</v>
      </c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14"/>
      <c r="DC1739" s="14"/>
      <c r="DD1739" s="14"/>
      <c r="DE1739" s="14"/>
      <c r="DF1739" s="14"/>
      <c r="DG1739" s="14"/>
      <c r="DH1739" s="14"/>
      <c r="DI1739" s="14"/>
      <c r="DJ1739" s="14"/>
      <c r="DK1739" s="14"/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14"/>
      <c r="EJ1739" s="14"/>
      <c r="EK1739" s="14"/>
      <c r="EL1739" s="14"/>
      <c r="EM1739" s="14"/>
      <c r="EN1739" s="14"/>
      <c r="EO1739" s="14"/>
      <c r="EP1739" s="14"/>
      <c r="EQ1739" s="14"/>
      <c r="ER1739" s="14"/>
      <c r="ES1739" s="14"/>
      <c r="ET1739" s="14"/>
      <c r="EU1739" s="14"/>
      <c r="EV1739" s="14"/>
      <c r="EW1739" s="14"/>
      <c r="EX1739" s="14"/>
      <c r="EY1739" s="14"/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4"/>
      <c r="FZ1739" s="14"/>
      <c r="GA1739" s="14"/>
      <c r="GB1739" s="14"/>
      <c r="GC1739" s="14"/>
      <c r="GD1739" s="14"/>
      <c r="GE1739" s="14"/>
      <c r="GF1739" s="14"/>
      <c r="GG1739" s="14"/>
      <c r="GH1739" s="14"/>
      <c r="GI1739" s="14"/>
      <c r="GJ1739" s="14"/>
      <c r="GK1739" s="14"/>
      <c r="GL1739" s="14"/>
      <c r="GM1739" s="14"/>
      <c r="GN1739" s="14"/>
      <c r="GO1739" s="14"/>
      <c r="GP1739" s="14"/>
      <c r="GQ1739" s="14"/>
      <c r="GR1739" s="14"/>
      <c r="GS1739" s="14"/>
      <c r="GT1739" s="14"/>
      <c r="GU1739" s="14"/>
      <c r="GV1739" s="14"/>
      <c r="GW1739" s="14"/>
      <c r="GX1739" s="14"/>
      <c r="GY1739" s="14"/>
      <c r="GZ1739" s="14"/>
      <c r="HA1739" s="14"/>
    </row>
    <row r="1740" ht="23.25" customHeight="1">
      <c r="A1740" s="14"/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57" t="s">
        <v>5148</v>
      </c>
      <c r="BX1740" s="57" t="s">
        <v>1136</v>
      </c>
      <c r="BY1740" s="14"/>
      <c r="BZ1740" s="57" t="s">
        <v>159</v>
      </c>
      <c r="CA1740" s="57" t="s">
        <v>5149</v>
      </c>
      <c r="CB1740" s="57" t="s">
        <v>345</v>
      </c>
      <c r="CC1740" s="57" t="s">
        <v>410</v>
      </c>
      <c r="CD1740" s="58">
        <v>43924.0</v>
      </c>
      <c r="CE1740" s="58">
        <v>43954.0</v>
      </c>
      <c r="CF1740" s="57">
        <v>97.0</v>
      </c>
      <c r="CG1740" s="59" t="s">
        <v>5150</v>
      </c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14"/>
      <c r="DC1740" s="14"/>
      <c r="DD1740" s="14"/>
      <c r="DE1740" s="14"/>
      <c r="DF1740" s="14"/>
      <c r="DG1740" s="14"/>
      <c r="DH1740" s="14"/>
      <c r="DI1740" s="14"/>
      <c r="DJ1740" s="14"/>
      <c r="DK1740" s="14"/>
      <c r="DL1740" s="14"/>
      <c r="DM1740" s="14"/>
      <c r="DN1740" s="14"/>
      <c r="DO1740" s="14"/>
      <c r="DP1740" s="14"/>
      <c r="DQ1740" s="14"/>
      <c r="DR1740" s="14"/>
      <c r="DS1740" s="14"/>
      <c r="DT1740" s="14"/>
      <c r="DU1740" s="14"/>
      <c r="DV1740" s="14"/>
      <c r="DW1740" s="14"/>
      <c r="DX1740" s="14"/>
      <c r="DY1740" s="14"/>
      <c r="DZ1740" s="14"/>
      <c r="EA1740" s="14"/>
      <c r="EB1740" s="14"/>
      <c r="EC1740" s="14"/>
      <c r="ED1740" s="14"/>
      <c r="EE1740" s="14"/>
      <c r="EF1740" s="14"/>
      <c r="EG1740" s="14"/>
      <c r="EH1740" s="14"/>
      <c r="EI1740" s="14"/>
      <c r="EJ1740" s="14"/>
      <c r="EK1740" s="14"/>
      <c r="EL1740" s="14"/>
      <c r="EM1740" s="14"/>
      <c r="EN1740" s="14"/>
      <c r="EO1740" s="14"/>
      <c r="EP1740" s="14"/>
      <c r="EQ1740" s="14"/>
      <c r="ER1740" s="14"/>
      <c r="ES1740" s="14"/>
      <c r="ET1740" s="14"/>
      <c r="EU1740" s="14"/>
      <c r="EV1740" s="14"/>
      <c r="EW1740" s="14"/>
      <c r="EX1740" s="14"/>
      <c r="EY1740" s="14"/>
      <c r="EZ1740" s="14"/>
      <c r="FA1740" s="14"/>
      <c r="FB1740" s="14"/>
      <c r="FC1740" s="14"/>
      <c r="FD1740" s="14"/>
      <c r="FE1740" s="14"/>
      <c r="FF1740" s="14"/>
      <c r="FG1740" s="14"/>
      <c r="FH1740" s="14"/>
      <c r="FI1740" s="14"/>
      <c r="FJ1740" s="14"/>
      <c r="FK1740" s="14"/>
      <c r="FL1740" s="14"/>
      <c r="FM1740" s="14"/>
      <c r="FN1740" s="14"/>
      <c r="FO1740" s="14"/>
      <c r="FP1740" s="14"/>
      <c r="FQ1740" s="14"/>
      <c r="FR1740" s="14"/>
      <c r="FS1740" s="14"/>
      <c r="FT1740" s="14"/>
      <c r="FU1740" s="14"/>
      <c r="FV1740" s="14"/>
      <c r="FW1740" s="14"/>
      <c r="FX1740" s="14"/>
      <c r="FY1740" s="14"/>
      <c r="FZ1740" s="14"/>
      <c r="GA1740" s="14"/>
      <c r="GB1740" s="14"/>
      <c r="GC1740" s="14"/>
      <c r="GD1740" s="14"/>
      <c r="GE1740" s="14"/>
      <c r="GF1740" s="14"/>
      <c r="GG1740" s="14"/>
      <c r="GH1740" s="14"/>
      <c r="GI1740" s="14"/>
      <c r="GJ1740" s="14"/>
      <c r="GK1740" s="14"/>
      <c r="GL1740" s="14"/>
      <c r="GM1740" s="14"/>
      <c r="GN1740" s="14"/>
      <c r="GO1740" s="14"/>
      <c r="GP1740" s="14"/>
      <c r="GQ1740" s="14"/>
      <c r="GR1740" s="14"/>
      <c r="GS1740" s="14"/>
      <c r="GT1740" s="14"/>
      <c r="GU1740" s="14"/>
      <c r="GV1740" s="14"/>
      <c r="GW1740" s="14"/>
      <c r="GX1740" s="14"/>
      <c r="GY1740" s="14"/>
      <c r="GZ1740" s="14"/>
      <c r="HA1740" s="14"/>
    </row>
    <row r="1741" ht="23.25" customHeight="1">
      <c r="A1741" s="14"/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57" t="s">
        <v>5148</v>
      </c>
      <c r="BX1741" s="57" t="s">
        <v>1136</v>
      </c>
      <c r="BY1741" s="14"/>
      <c r="BZ1741" s="57" t="s">
        <v>171</v>
      </c>
      <c r="CA1741" s="57" t="s">
        <v>1569</v>
      </c>
      <c r="CB1741" s="57" t="s">
        <v>345</v>
      </c>
      <c r="CC1741" s="57" t="s">
        <v>410</v>
      </c>
      <c r="CD1741" s="58">
        <v>44334.0</v>
      </c>
      <c r="CE1741" s="58">
        <v>44365.0</v>
      </c>
      <c r="CF1741" s="57">
        <v>97.0</v>
      </c>
      <c r="CG1741" s="59" t="s">
        <v>5151</v>
      </c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14"/>
      <c r="DC1741" s="14"/>
      <c r="DD1741" s="14"/>
      <c r="DE1741" s="14"/>
      <c r="DF1741" s="14"/>
      <c r="DG1741" s="14"/>
      <c r="DH1741" s="14"/>
      <c r="DI1741" s="14"/>
      <c r="DJ1741" s="14"/>
      <c r="DK1741" s="14"/>
      <c r="DL1741" s="14"/>
      <c r="DM1741" s="14"/>
      <c r="DN1741" s="14"/>
      <c r="DO1741" s="14"/>
      <c r="DP1741" s="14"/>
      <c r="DQ1741" s="14"/>
      <c r="DR1741" s="14"/>
      <c r="DS1741" s="14"/>
      <c r="DT1741" s="14"/>
      <c r="DU1741" s="14"/>
      <c r="DV1741" s="14"/>
      <c r="DW1741" s="14"/>
      <c r="DX1741" s="14"/>
      <c r="DY1741" s="14"/>
      <c r="DZ1741" s="14"/>
      <c r="EA1741" s="14"/>
      <c r="EB1741" s="14"/>
      <c r="EC1741" s="14"/>
      <c r="ED1741" s="14"/>
      <c r="EE1741" s="14"/>
      <c r="EF1741" s="14"/>
      <c r="EG1741" s="14"/>
      <c r="EH1741" s="14"/>
      <c r="EI1741" s="14"/>
      <c r="EJ1741" s="14"/>
      <c r="EK1741" s="14"/>
      <c r="EL1741" s="14"/>
      <c r="EM1741" s="14"/>
      <c r="EN1741" s="14"/>
      <c r="EO1741" s="14"/>
      <c r="EP1741" s="14"/>
      <c r="EQ1741" s="14"/>
      <c r="ER1741" s="14"/>
      <c r="ES1741" s="14"/>
      <c r="ET1741" s="14"/>
      <c r="EU1741" s="14"/>
      <c r="EV1741" s="14"/>
      <c r="EW1741" s="14"/>
      <c r="EX1741" s="14"/>
      <c r="EY1741" s="14"/>
      <c r="EZ1741" s="14"/>
      <c r="FA1741" s="14"/>
      <c r="FB1741" s="14"/>
      <c r="FC1741" s="14"/>
      <c r="FD1741" s="14"/>
      <c r="FE1741" s="14"/>
      <c r="FF1741" s="14"/>
      <c r="FG1741" s="14"/>
      <c r="FH1741" s="14"/>
      <c r="FI1741" s="14"/>
      <c r="FJ1741" s="14"/>
      <c r="FK1741" s="14"/>
      <c r="FL1741" s="14"/>
      <c r="FM1741" s="14"/>
      <c r="FN1741" s="14"/>
      <c r="FO1741" s="14"/>
      <c r="FP1741" s="14"/>
      <c r="FQ1741" s="14"/>
      <c r="FR1741" s="14"/>
      <c r="FS1741" s="14"/>
      <c r="FT1741" s="14"/>
      <c r="FU1741" s="14"/>
      <c r="FV1741" s="14"/>
      <c r="FW1741" s="14"/>
      <c r="FX1741" s="14"/>
      <c r="FY1741" s="14"/>
      <c r="FZ1741" s="14"/>
      <c r="GA1741" s="14"/>
      <c r="GB1741" s="14"/>
      <c r="GC1741" s="14"/>
      <c r="GD1741" s="14"/>
      <c r="GE1741" s="14"/>
      <c r="GF1741" s="14"/>
      <c r="GG1741" s="14"/>
      <c r="GH1741" s="14"/>
      <c r="GI1741" s="14"/>
      <c r="GJ1741" s="14"/>
      <c r="GK1741" s="14"/>
      <c r="GL1741" s="14"/>
      <c r="GM1741" s="14"/>
      <c r="GN1741" s="14"/>
      <c r="GO1741" s="14"/>
      <c r="GP1741" s="14"/>
      <c r="GQ1741" s="14"/>
      <c r="GR1741" s="14"/>
      <c r="GS1741" s="14"/>
      <c r="GT1741" s="14"/>
      <c r="GU1741" s="14"/>
      <c r="GV1741" s="14"/>
      <c r="GW1741" s="14"/>
      <c r="GX1741" s="14"/>
      <c r="GY1741" s="14"/>
      <c r="GZ1741" s="14"/>
      <c r="HA1741" s="14"/>
    </row>
    <row r="1742" ht="23.25" customHeight="1">
      <c r="A1742" s="14"/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57" t="s">
        <v>5148</v>
      </c>
      <c r="BX1742" s="57" t="s">
        <v>1136</v>
      </c>
      <c r="BY1742" s="14"/>
      <c r="BZ1742" s="57" t="s">
        <v>159</v>
      </c>
      <c r="CA1742" s="57" t="s">
        <v>5152</v>
      </c>
      <c r="CB1742" s="57" t="s">
        <v>345</v>
      </c>
      <c r="CC1742" s="57" t="s">
        <v>410</v>
      </c>
      <c r="CD1742" s="58">
        <v>43937.0</v>
      </c>
      <c r="CE1742" s="58">
        <v>43967.0</v>
      </c>
      <c r="CF1742" s="57">
        <v>98.0</v>
      </c>
      <c r="CG1742" s="59" t="s">
        <v>5153</v>
      </c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14"/>
      <c r="DC1742" s="14"/>
      <c r="DD1742" s="14"/>
      <c r="DE1742" s="14"/>
      <c r="DF1742" s="14"/>
      <c r="DG1742" s="14"/>
      <c r="DH1742" s="14"/>
      <c r="DI1742" s="14"/>
      <c r="DJ1742" s="14"/>
      <c r="DK1742" s="14"/>
      <c r="DL1742" s="14"/>
      <c r="DM1742" s="14"/>
      <c r="DN1742" s="14"/>
      <c r="DO1742" s="14"/>
      <c r="DP1742" s="14"/>
      <c r="DQ1742" s="14"/>
      <c r="DR1742" s="14"/>
      <c r="DS1742" s="14"/>
      <c r="DT1742" s="14"/>
      <c r="DU1742" s="14"/>
      <c r="DV1742" s="14"/>
      <c r="DW1742" s="14"/>
      <c r="DX1742" s="14"/>
      <c r="DY1742" s="14"/>
      <c r="DZ1742" s="14"/>
      <c r="EA1742" s="14"/>
      <c r="EB1742" s="14"/>
      <c r="EC1742" s="14"/>
      <c r="ED1742" s="14"/>
      <c r="EE1742" s="14"/>
      <c r="EF1742" s="14"/>
      <c r="EG1742" s="14"/>
      <c r="EH1742" s="14"/>
      <c r="EI1742" s="14"/>
      <c r="EJ1742" s="14"/>
      <c r="EK1742" s="14"/>
      <c r="EL1742" s="14"/>
      <c r="EM1742" s="14"/>
      <c r="EN1742" s="14"/>
      <c r="EO1742" s="14"/>
      <c r="EP1742" s="14"/>
      <c r="EQ1742" s="14"/>
      <c r="ER1742" s="14"/>
      <c r="ES1742" s="14"/>
      <c r="ET1742" s="14"/>
      <c r="EU1742" s="14"/>
      <c r="EV1742" s="14"/>
      <c r="EW1742" s="14"/>
      <c r="EX1742" s="14"/>
      <c r="EY1742" s="14"/>
      <c r="EZ1742" s="14"/>
      <c r="FA1742" s="14"/>
      <c r="FB1742" s="14"/>
      <c r="FC1742" s="14"/>
      <c r="FD1742" s="14"/>
      <c r="FE1742" s="14"/>
      <c r="FF1742" s="14"/>
      <c r="FG1742" s="14"/>
      <c r="FH1742" s="14"/>
      <c r="FI1742" s="14"/>
      <c r="FJ1742" s="14"/>
      <c r="FK1742" s="14"/>
      <c r="FL1742" s="14"/>
      <c r="FM1742" s="14"/>
      <c r="FN1742" s="14"/>
      <c r="FO1742" s="14"/>
      <c r="FP1742" s="14"/>
      <c r="FQ1742" s="14"/>
      <c r="FR1742" s="14"/>
      <c r="FS1742" s="14"/>
      <c r="FT1742" s="14"/>
      <c r="FU1742" s="14"/>
      <c r="FV1742" s="14"/>
      <c r="FW1742" s="14"/>
      <c r="FX1742" s="14"/>
      <c r="FY1742" s="14"/>
      <c r="FZ1742" s="14"/>
      <c r="GA1742" s="14"/>
      <c r="GB1742" s="14"/>
      <c r="GC1742" s="14"/>
      <c r="GD1742" s="14"/>
      <c r="GE1742" s="14"/>
      <c r="GF1742" s="14"/>
      <c r="GG1742" s="14"/>
      <c r="GH1742" s="14"/>
      <c r="GI1742" s="14"/>
      <c r="GJ1742" s="14"/>
      <c r="GK1742" s="14"/>
      <c r="GL1742" s="14"/>
      <c r="GM1742" s="14"/>
      <c r="GN1742" s="14"/>
      <c r="GO1742" s="14"/>
      <c r="GP1742" s="14"/>
      <c r="GQ1742" s="14"/>
      <c r="GR1742" s="14"/>
      <c r="GS1742" s="14"/>
      <c r="GT1742" s="14"/>
      <c r="GU1742" s="14"/>
      <c r="GV1742" s="14"/>
      <c r="GW1742" s="14"/>
      <c r="GX1742" s="14"/>
      <c r="GY1742" s="14"/>
      <c r="GZ1742" s="14"/>
      <c r="HA1742" s="14"/>
    </row>
    <row r="1743" ht="23.25" customHeight="1">
      <c r="A1743" s="14"/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57" t="s">
        <v>5148</v>
      </c>
      <c r="BX1743" s="57" t="s">
        <v>1136</v>
      </c>
      <c r="BY1743" s="14"/>
      <c r="BZ1743" s="57" t="s">
        <v>313</v>
      </c>
      <c r="CA1743" s="57" t="s">
        <v>5154</v>
      </c>
      <c r="CB1743" s="57" t="s">
        <v>345</v>
      </c>
      <c r="CC1743" s="57" t="s">
        <v>5155</v>
      </c>
      <c r="CD1743" s="58">
        <v>44623.0</v>
      </c>
      <c r="CE1743" s="58">
        <v>44630.0</v>
      </c>
      <c r="CF1743" s="57">
        <v>98.0</v>
      </c>
      <c r="CG1743" s="59" t="s">
        <v>5156</v>
      </c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14"/>
      <c r="DC1743" s="14"/>
      <c r="DD1743" s="14"/>
      <c r="DE1743" s="14"/>
      <c r="DF1743" s="14"/>
      <c r="DG1743" s="14"/>
      <c r="DH1743" s="14"/>
      <c r="DI1743" s="14"/>
      <c r="DJ1743" s="14"/>
      <c r="DK1743" s="14"/>
      <c r="DL1743" s="14"/>
      <c r="DM1743" s="14"/>
      <c r="DN1743" s="14"/>
      <c r="DO1743" s="14"/>
      <c r="DP1743" s="14"/>
      <c r="DQ1743" s="14"/>
      <c r="DR1743" s="14"/>
      <c r="DS1743" s="14"/>
      <c r="DT1743" s="14"/>
      <c r="DU1743" s="14"/>
      <c r="DV1743" s="14"/>
      <c r="DW1743" s="14"/>
      <c r="DX1743" s="14"/>
      <c r="DY1743" s="14"/>
      <c r="DZ1743" s="14"/>
      <c r="EA1743" s="14"/>
      <c r="EB1743" s="14"/>
      <c r="EC1743" s="14"/>
      <c r="ED1743" s="14"/>
      <c r="EE1743" s="14"/>
      <c r="EF1743" s="14"/>
      <c r="EG1743" s="14"/>
      <c r="EH1743" s="14"/>
      <c r="EI1743" s="14"/>
      <c r="EJ1743" s="14"/>
      <c r="EK1743" s="14"/>
      <c r="EL1743" s="14"/>
      <c r="EM1743" s="14"/>
      <c r="EN1743" s="14"/>
      <c r="EO1743" s="14"/>
      <c r="EP1743" s="14"/>
      <c r="EQ1743" s="14"/>
      <c r="ER1743" s="14"/>
      <c r="ES1743" s="14"/>
      <c r="ET1743" s="14"/>
      <c r="EU1743" s="14"/>
      <c r="EV1743" s="14"/>
      <c r="EW1743" s="14"/>
      <c r="EX1743" s="14"/>
      <c r="EY1743" s="14"/>
      <c r="EZ1743" s="14"/>
      <c r="FA1743" s="14"/>
      <c r="FB1743" s="14"/>
      <c r="FC1743" s="14"/>
      <c r="FD1743" s="14"/>
      <c r="FE1743" s="14"/>
      <c r="FF1743" s="14"/>
      <c r="FG1743" s="14"/>
      <c r="FH1743" s="14"/>
      <c r="FI1743" s="14"/>
      <c r="FJ1743" s="14"/>
      <c r="FK1743" s="14"/>
      <c r="FL1743" s="14"/>
      <c r="FM1743" s="14"/>
      <c r="FN1743" s="14"/>
      <c r="FO1743" s="14"/>
      <c r="FP1743" s="14"/>
      <c r="FQ1743" s="14"/>
      <c r="FR1743" s="14"/>
      <c r="FS1743" s="14"/>
      <c r="FT1743" s="14"/>
      <c r="FU1743" s="14"/>
      <c r="FV1743" s="14"/>
      <c r="FW1743" s="14"/>
      <c r="FX1743" s="14"/>
      <c r="FY1743" s="14"/>
      <c r="FZ1743" s="14"/>
      <c r="GA1743" s="14"/>
      <c r="GB1743" s="14"/>
      <c r="GC1743" s="14"/>
      <c r="GD1743" s="14"/>
      <c r="GE1743" s="14"/>
      <c r="GF1743" s="14"/>
      <c r="GG1743" s="14"/>
      <c r="GH1743" s="14"/>
      <c r="GI1743" s="14"/>
      <c r="GJ1743" s="14"/>
      <c r="GK1743" s="14"/>
      <c r="GL1743" s="14"/>
      <c r="GM1743" s="14"/>
      <c r="GN1743" s="14"/>
      <c r="GO1743" s="14"/>
      <c r="GP1743" s="14"/>
      <c r="GQ1743" s="14"/>
      <c r="GR1743" s="14"/>
      <c r="GS1743" s="14"/>
      <c r="GT1743" s="14"/>
      <c r="GU1743" s="14"/>
      <c r="GV1743" s="14"/>
      <c r="GW1743" s="14"/>
      <c r="GX1743" s="14"/>
      <c r="GY1743" s="14"/>
      <c r="GZ1743" s="14"/>
      <c r="HA1743" s="14"/>
    </row>
    <row r="1744" ht="23.25" customHeight="1">
      <c r="A1744" s="14"/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57" t="s">
        <v>5148</v>
      </c>
      <c r="BX1744" s="57" t="s">
        <v>1136</v>
      </c>
      <c r="BY1744" s="14"/>
      <c r="BZ1744" s="57" t="s">
        <v>171</v>
      </c>
      <c r="CA1744" s="57" t="s">
        <v>662</v>
      </c>
      <c r="CB1744" s="57" t="s">
        <v>2131</v>
      </c>
      <c r="CC1744" s="57" t="s">
        <v>410</v>
      </c>
      <c r="CD1744" s="58">
        <v>44348.0</v>
      </c>
      <c r="CE1744" s="58">
        <v>44378.0</v>
      </c>
      <c r="CF1744" s="57">
        <v>92.0</v>
      </c>
      <c r="CG1744" s="59" t="s">
        <v>5157</v>
      </c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14"/>
      <c r="DC1744" s="14"/>
      <c r="DD1744" s="14"/>
      <c r="DE1744" s="14"/>
      <c r="DF1744" s="14"/>
      <c r="DG1744" s="14"/>
      <c r="DH1744" s="14"/>
      <c r="DI1744" s="14"/>
      <c r="DJ1744" s="14"/>
      <c r="DK1744" s="14"/>
      <c r="DL1744" s="14"/>
      <c r="DM1744" s="14"/>
      <c r="DN1744" s="14"/>
      <c r="DO1744" s="14"/>
      <c r="DP1744" s="14"/>
      <c r="DQ1744" s="14"/>
      <c r="DR1744" s="14"/>
      <c r="DS1744" s="14"/>
      <c r="DT1744" s="14"/>
      <c r="DU1744" s="14"/>
      <c r="DV1744" s="14"/>
      <c r="DW1744" s="14"/>
      <c r="DX1744" s="14"/>
      <c r="DY1744" s="14"/>
      <c r="DZ1744" s="14"/>
      <c r="EA1744" s="14"/>
      <c r="EB1744" s="14"/>
      <c r="EC1744" s="14"/>
      <c r="ED1744" s="14"/>
      <c r="EE1744" s="14"/>
      <c r="EF1744" s="14"/>
      <c r="EG1744" s="14"/>
      <c r="EH1744" s="14"/>
      <c r="EI1744" s="14"/>
      <c r="EJ1744" s="14"/>
      <c r="EK1744" s="14"/>
      <c r="EL1744" s="14"/>
      <c r="EM1744" s="14"/>
      <c r="EN1744" s="14"/>
      <c r="EO1744" s="14"/>
      <c r="EP1744" s="14"/>
      <c r="EQ1744" s="14"/>
      <c r="ER1744" s="14"/>
      <c r="ES1744" s="14"/>
      <c r="ET1744" s="14"/>
      <c r="EU1744" s="14"/>
      <c r="EV1744" s="14"/>
      <c r="EW1744" s="14"/>
      <c r="EX1744" s="14"/>
      <c r="EY1744" s="14"/>
      <c r="EZ1744" s="14"/>
      <c r="FA1744" s="14"/>
      <c r="FB1744" s="14"/>
      <c r="FC1744" s="14"/>
      <c r="FD1744" s="14"/>
      <c r="FE1744" s="14"/>
      <c r="FF1744" s="14"/>
      <c r="FG1744" s="14"/>
      <c r="FH1744" s="14"/>
      <c r="FI1744" s="14"/>
      <c r="FJ1744" s="14"/>
      <c r="FK1744" s="14"/>
      <c r="FL1744" s="14"/>
      <c r="FM1744" s="14"/>
      <c r="FN1744" s="14"/>
      <c r="FO1744" s="14"/>
      <c r="FP1744" s="14"/>
      <c r="FQ1744" s="14"/>
      <c r="FR1744" s="14"/>
      <c r="FS1744" s="14"/>
      <c r="FT1744" s="14"/>
      <c r="FU1744" s="14"/>
      <c r="FV1744" s="14"/>
      <c r="FW1744" s="14"/>
      <c r="FX1744" s="14"/>
      <c r="FY1744" s="14"/>
      <c r="FZ1744" s="14"/>
      <c r="GA1744" s="14"/>
      <c r="GB1744" s="14"/>
      <c r="GC1744" s="14"/>
      <c r="GD1744" s="14"/>
      <c r="GE1744" s="14"/>
      <c r="GF1744" s="14"/>
      <c r="GG1744" s="14"/>
      <c r="GH1744" s="14"/>
      <c r="GI1744" s="14"/>
      <c r="GJ1744" s="14"/>
      <c r="GK1744" s="14"/>
      <c r="GL1744" s="14"/>
      <c r="GM1744" s="14"/>
      <c r="GN1744" s="14"/>
      <c r="GO1744" s="14"/>
      <c r="GP1744" s="14"/>
      <c r="GQ1744" s="14"/>
      <c r="GR1744" s="14"/>
      <c r="GS1744" s="14"/>
      <c r="GT1744" s="14"/>
      <c r="GU1744" s="14"/>
      <c r="GV1744" s="14"/>
      <c r="GW1744" s="14"/>
      <c r="GX1744" s="14"/>
      <c r="GY1744" s="14"/>
      <c r="GZ1744" s="14"/>
      <c r="HA1744" s="14"/>
    </row>
    <row r="1745" ht="23.25" customHeight="1">
      <c r="A1745" s="14"/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57" t="s">
        <v>448</v>
      </c>
      <c r="BX1745" s="57" t="s">
        <v>449</v>
      </c>
      <c r="BY1745" s="14"/>
      <c r="BZ1745" s="57" t="s">
        <v>171</v>
      </c>
      <c r="CA1745" s="57" t="s">
        <v>566</v>
      </c>
      <c r="CB1745" s="57" t="s">
        <v>620</v>
      </c>
      <c r="CC1745" s="57" t="s">
        <v>1311</v>
      </c>
      <c r="CD1745" s="58">
        <v>44371.0</v>
      </c>
      <c r="CE1745" s="58">
        <v>44378.0</v>
      </c>
      <c r="CF1745" s="57">
        <v>100.0</v>
      </c>
      <c r="CG1745" s="59" t="s">
        <v>5158</v>
      </c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14"/>
      <c r="DC1745" s="14"/>
      <c r="DD1745" s="14"/>
      <c r="DE1745" s="14"/>
      <c r="DF1745" s="14"/>
      <c r="DG1745" s="14"/>
      <c r="DH1745" s="14"/>
      <c r="DI1745" s="14"/>
      <c r="DJ1745" s="14"/>
      <c r="DK1745" s="14"/>
      <c r="DL1745" s="14"/>
      <c r="DM1745" s="14"/>
      <c r="DN1745" s="14"/>
      <c r="DO1745" s="14"/>
      <c r="DP1745" s="14"/>
      <c r="DQ1745" s="14"/>
      <c r="DR1745" s="14"/>
      <c r="DS1745" s="14"/>
      <c r="DT1745" s="14"/>
      <c r="DU1745" s="14"/>
      <c r="DV1745" s="14"/>
      <c r="DW1745" s="14"/>
      <c r="DX1745" s="14"/>
      <c r="DY1745" s="14"/>
      <c r="DZ1745" s="14"/>
      <c r="EA1745" s="14"/>
      <c r="EB1745" s="14"/>
      <c r="EC1745" s="14"/>
      <c r="ED1745" s="14"/>
      <c r="EE1745" s="14"/>
      <c r="EF1745" s="14"/>
      <c r="EG1745" s="14"/>
      <c r="EH1745" s="14"/>
      <c r="EI1745" s="14"/>
      <c r="EJ1745" s="14"/>
      <c r="EK1745" s="14"/>
      <c r="EL1745" s="14"/>
      <c r="EM1745" s="14"/>
      <c r="EN1745" s="14"/>
      <c r="EO1745" s="14"/>
      <c r="EP1745" s="14"/>
      <c r="EQ1745" s="14"/>
      <c r="ER1745" s="14"/>
      <c r="ES1745" s="14"/>
      <c r="ET1745" s="14"/>
      <c r="EU1745" s="14"/>
      <c r="EV1745" s="14"/>
      <c r="EW1745" s="14"/>
      <c r="EX1745" s="14"/>
      <c r="EY1745" s="14"/>
      <c r="EZ1745" s="14"/>
      <c r="FA1745" s="14"/>
      <c r="FB1745" s="14"/>
      <c r="FC1745" s="14"/>
      <c r="FD1745" s="14"/>
      <c r="FE1745" s="14"/>
      <c r="FF1745" s="14"/>
      <c r="FG1745" s="14"/>
      <c r="FH1745" s="14"/>
      <c r="FI1745" s="14"/>
      <c r="FJ1745" s="14"/>
      <c r="FK1745" s="14"/>
      <c r="FL1745" s="14"/>
      <c r="FM1745" s="14"/>
      <c r="FN1745" s="14"/>
      <c r="FO1745" s="14"/>
      <c r="FP1745" s="14"/>
      <c r="FQ1745" s="14"/>
      <c r="FR1745" s="14"/>
      <c r="FS1745" s="14"/>
      <c r="FT1745" s="14"/>
      <c r="FU1745" s="14"/>
      <c r="FV1745" s="14"/>
      <c r="FW1745" s="14"/>
      <c r="FX1745" s="14"/>
      <c r="FY1745" s="14"/>
      <c r="FZ1745" s="14"/>
      <c r="GA1745" s="14"/>
      <c r="GB1745" s="14"/>
      <c r="GC1745" s="14"/>
      <c r="GD1745" s="14"/>
      <c r="GE1745" s="14"/>
      <c r="GF1745" s="14"/>
      <c r="GG1745" s="14"/>
      <c r="GH1745" s="14"/>
      <c r="GI1745" s="14"/>
      <c r="GJ1745" s="14"/>
      <c r="GK1745" s="14"/>
      <c r="GL1745" s="14"/>
      <c r="GM1745" s="14"/>
      <c r="GN1745" s="14"/>
      <c r="GO1745" s="14"/>
      <c r="GP1745" s="14"/>
      <c r="GQ1745" s="14"/>
      <c r="GR1745" s="14"/>
      <c r="GS1745" s="14"/>
      <c r="GT1745" s="14"/>
      <c r="GU1745" s="14"/>
      <c r="GV1745" s="14"/>
      <c r="GW1745" s="14"/>
      <c r="GX1745" s="14"/>
      <c r="GY1745" s="14"/>
      <c r="GZ1745" s="14"/>
      <c r="HA1745" s="14"/>
    </row>
    <row r="1746" ht="23.25" customHeight="1">
      <c r="A1746" s="14"/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57" t="s">
        <v>448</v>
      </c>
      <c r="BX1746" s="57" t="s">
        <v>449</v>
      </c>
      <c r="BY1746" s="14"/>
      <c r="BZ1746" s="57" t="s">
        <v>171</v>
      </c>
      <c r="CA1746" s="57" t="s">
        <v>5159</v>
      </c>
      <c r="CB1746" s="57" t="s">
        <v>345</v>
      </c>
      <c r="CC1746" s="57" t="s">
        <v>1311</v>
      </c>
      <c r="CD1746" s="58">
        <v>43941.0</v>
      </c>
      <c r="CE1746" s="58">
        <v>43971.0</v>
      </c>
      <c r="CF1746" s="57">
        <v>100.0</v>
      </c>
      <c r="CG1746" s="59" t="s">
        <v>5160</v>
      </c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14"/>
      <c r="DC1746" s="14"/>
      <c r="DD1746" s="14"/>
      <c r="DE1746" s="14"/>
      <c r="DF1746" s="14"/>
      <c r="DG1746" s="14"/>
      <c r="DH1746" s="14"/>
      <c r="DI1746" s="14"/>
      <c r="DJ1746" s="14"/>
      <c r="DK1746" s="14"/>
      <c r="DL1746" s="14"/>
      <c r="DM1746" s="14"/>
      <c r="DN1746" s="14"/>
      <c r="DO1746" s="14"/>
      <c r="DP1746" s="14"/>
      <c r="DQ1746" s="14"/>
      <c r="DR1746" s="14"/>
      <c r="DS1746" s="14"/>
      <c r="DT1746" s="14"/>
      <c r="DU1746" s="14"/>
      <c r="DV1746" s="14"/>
      <c r="DW1746" s="14"/>
      <c r="DX1746" s="14"/>
      <c r="DY1746" s="14"/>
      <c r="DZ1746" s="14"/>
      <c r="EA1746" s="14"/>
      <c r="EB1746" s="14"/>
      <c r="EC1746" s="14"/>
      <c r="ED1746" s="14"/>
      <c r="EE1746" s="14"/>
      <c r="EF1746" s="14"/>
      <c r="EG1746" s="14"/>
      <c r="EH1746" s="14"/>
      <c r="EI1746" s="14"/>
      <c r="EJ1746" s="14"/>
      <c r="EK1746" s="14"/>
      <c r="EL1746" s="14"/>
      <c r="EM1746" s="14"/>
      <c r="EN1746" s="14"/>
      <c r="EO1746" s="14"/>
      <c r="EP1746" s="14"/>
      <c r="EQ1746" s="14"/>
      <c r="ER1746" s="14"/>
      <c r="ES1746" s="14"/>
      <c r="ET1746" s="14"/>
      <c r="EU1746" s="14"/>
      <c r="EV1746" s="14"/>
      <c r="EW1746" s="14"/>
      <c r="EX1746" s="14"/>
      <c r="EY1746" s="14"/>
      <c r="EZ1746" s="14"/>
      <c r="FA1746" s="14"/>
      <c r="FB1746" s="14"/>
      <c r="FC1746" s="14"/>
      <c r="FD1746" s="14"/>
      <c r="FE1746" s="14"/>
      <c r="FF1746" s="14"/>
      <c r="FG1746" s="14"/>
      <c r="FH1746" s="14"/>
      <c r="FI1746" s="14"/>
      <c r="FJ1746" s="14"/>
      <c r="FK1746" s="14"/>
      <c r="FL1746" s="14"/>
      <c r="FM1746" s="14"/>
      <c r="FN1746" s="14"/>
      <c r="FO1746" s="14"/>
      <c r="FP1746" s="14"/>
      <c r="FQ1746" s="14"/>
      <c r="FR1746" s="14"/>
      <c r="FS1746" s="14"/>
      <c r="FT1746" s="14"/>
      <c r="FU1746" s="14"/>
      <c r="FV1746" s="14"/>
      <c r="FW1746" s="14"/>
      <c r="FX1746" s="14"/>
      <c r="FY1746" s="14"/>
      <c r="FZ1746" s="14"/>
      <c r="GA1746" s="14"/>
      <c r="GB1746" s="14"/>
      <c r="GC1746" s="14"/>
      <c r="GD1746" s="14"/>
      <c r="GE1746" s="14"/>
      <c r="GF1746" s="14"/>
      <c r="GG1746" s="14"/>
      <c r="GH1746" s="14"/>
      <c r="GI1746" s="14"/>
      <c r="GJ1746" s="14"/>
      <c r="GK1746" s="14"/>
      <c r="GL1746" s="14"/>
      <c r="GM1746" s="14"/>
      <c r="GN1746" s="14"/>
      <c r="GO1746" s="14"/>
      <c r="GP1746" s="14"/>
      <c r="GQ1746" s="14"/>
      <c r="GR1746" s="14"/>
      <c r="GS1746" s="14"/>
      <c r="GT1746" s="14"/>
      <c r="GU1746" s="14"/>
      <c r="GV1746" s="14"/>
      <c r="GW1746" s="14"/>
      <c r="GX1746" s="14"/>
      <c r="GY1746" s="14"/>
      <c r="GZ1746" s="14"/>
      <c r="HA1746" s="14"/>
    </row>
    <row r="1747" ht="23.25" customHeight="1">
      <c r="A1747" s="14"/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4"/>
      <c r="BV1747" s="14"/>
      <c r="BW1747" s="57" t="s">
        <v>448</v>
      </c>
      <c r="BX1747" s="57" t="s">
        <v>449</v>
      </c>
      <c r="BY1747" s="14"/>
      <c r="BZ1747" s="57" t="s">
        <v>171</v>
      </c>
      <c r="CA1747" s="57" t="s">
        <v>1374</v>
      </c>
      <c r="CB1747" s="57" t="s">
        <v>345</v>
      </c>
      <c r="CC1747" s="57" t="s">
        <v>1311</v>
      </c>
      <c r="CD1747" s="58">
        <v>43951.0</v>
      </c>
      <c r="CE1747" s="58">
        <v>43957.0</v>
      </c>
      <c r="CF1747" s="57">
        <v>100.0</v>
      </c>
      <c r="CG1747" s="59" t="s">
        <v>5161</v>
      </c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14"/>
      <c r="DC1747" s="14"/>
      <c r="DD1747" s="14"/>
      <c r="DE1747" s="14"/>
      <c r="DF1747" s="14"/>
      <c r="DG1747" s="14"/>
      <c r="DH1747" s="14"/>
      <c r="DI1747" s="14"/>
      <c r="DJ1747" s="14"/>
      <c r="DK1747" s="14"/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14"/>
      <c r="EJ1747" s="14"/>
      <c r="EK1747" s="14"/>
      <c r="EL1747" s="14"/>
      <c r="EM1747" s="14"/>
      <c r="EN1747" s="14"/>
      <c r="EO1747" s="14"/>
      <c r="EP1747" s="14"/>
      <c r="EQ1747" s="14"/>
      <c r="ER1747" s="14"/>
      <c r="ES1747" s="14"/>
      <c r="ET1747" s="14"/>
      <c r="EU1747" s="14"/>
      <c r="EV1747" s="14"/>
      <c r="EW1747" s="14"/>
      <c r="EX1747" s="14"/>
      <c r="EY1747" s="14"/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4"/>
      <c r="FZ1747" s="14"/>
      <c r="GA1747" s="14"/>
      <c r="GB1747" s="14"/>
      <c r="GC1747" s="14"/>
      <c r="GD1747" s="14"/>
      <c r="GE1747" s="14"/>
      <c r="GF1747" s="14"/>
      <c r="GG1747" s="14"/>
      <c r="GH1747" s="14"/>
      <c r="GI1747" s="14"/>
      <c r="GJ1747" s="14"/>
      <c r="GK1747" s="14"/>
      <c r="GL1747" s="14"/>
      <c r="GM1747" s="14"/>
      <c r="GN1747" s="14"/>
      <c r="GO1747" s="14"/>
      <c r="GP1747" s="14"/>
      <c r="GQ1747" s="14"/>
      <c r="GR1747" s="14"/>
      <c r="GS1747" s="14"/>
      <c r="GT1747" s="14"/>
      <c r="GU1747" s="14"/>
      <c r="GV1747" s="14"/>
      <c r="GW1747" s="14"/>
      <c r="GX1747" s="14"/>
      <c r="GY1747" s="14"/>
      <c r="GZ1747" s="14"/>
      <c r="HA1747" s="14"/>
    </row>
    <row r="1748" ht="23.25" customHeight="1">
      <c r="A1748" s="14"/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4"/>
      <c r="BV1748" s="14"/>
      <c r="BW1748" s="57" t="s">
        <v>1696</v>
      </c>
      <c r="BX1748" s="57" t="s">
        <v>403</v>
      </c>
      <c r="BY1748" s="14"/>
      <c r="BZ1748" s="57" t="s">
        <v>313</v>
      </c>
      <c r="CA1748" s="57" t="s">
        <v>5162</v>
      </c>
      <c r="CB1748" s="57" t="s">
        <v>345</v>
      </c>
      <c r="CC1748" s="57" t="s">
        <v>4010</v>
      </c>
      <c r="CD1748" s="58">
        <v>43997.0</v>
      </c>
      <c r="CE1748" s="58">
        <v>44013.0</v>
      </c>
      <c r="CF1748" s="57">
        <v>100.0</v>
      </c>
      <c r="CG1748" s="59" t="s">
        <v>5163</v>
      </c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14"/>
      <c r="DC1748" s="14"/>
      <c r="DD1748" s="14"/>
      <c r="DE1748" s="14"/>
      <c r="DF1748" s="14"/>
      <c r="DG1748" s="14"/>
      <c r="DH1748" s="14"/>
      <c r="DI1748" s="14"/>
      <c r="DJ1748" s="14"/>
      <c r="DK1748" s="14"/>
      <c r="DL1748" s="14"/>
      <c r="DM1748" s="14"/>
      <c r="DN1748" s="14"/>
      <c r="DO1748" s="14"/>
      <c r="DP1748" s="14"/>
      <c r="DQ1748" s="14"/>
      <c r="DR1748" s="14"/>
      <c r="DS1748" s="14"/>
      <c r="DT1748" s="14"/>
      <c r="DU1748" s="14"/>
      <c r="DV1748" s="14"/>
      <c r="DW1748" s="14"/>
      <c r="DX1748" s="14"/>
      <c r="DY1748" s="14"/>
      <c r="DZ1748" s="14"/>
      <c r="EA1748" s="14"/>
      <c r="EB1748" s="14"/>
      <c r="EC1748" s="14"/>
      <c r="ED1748" s="14"/>
      <c r="EE1748" s="14"/>
      <c r="EF1748" s="14"/>
      <c r="EG1748" s="14"/>
      <c r="EH1748" s="14"/>
      <c r="EI1748" s="14"/>
      <c r="EJ1748" s="14"/>
      <c r="EK1748" s="14"/>
      <c r="EL1748" s="14"/>
      <c r="EM1748" s="14"/>
      <c r="EN1748" s="14"/>
      <c r="EO1748" s="14"/>
      <c r="EP1748" s="14"/>
      <c r="EQ1748" s="14"/>
      <c r="ER1748" s="14"/>
      <c r="ES1748" s="14"/>
      <c r="ET1748" s="14"/>
      <c r="EU1748" s="14"/>
      <c r="EV1748" s="14"/>
      <c r="EW1748" s="14"/>
      <c r="EX1748" s="14"/>
      <c r="EY1748" s="14"/>
      <c r="EZ1748" s="14"/>
      <c r="FA1748" s="14"/>
      <c r="FB1748" s="14"/>
      <c r="FC1748" s="14"/>
      <c r="FD1748" s="14"/>
      <c r="FE1748" s="14"/>
      <c r="FF1748" s="14"/>
      <c r="FG1748" s="14"/>
      <c r="FH1748" s="14"/>
      <c r="FI1748" s="14"/>
      <c r="FJ1748" s="14"/>
      <c r="FK1748" s="14"/>
      <c r="FL1748" s="14"/>
      <c r="FM1748" s="14"/>
      <c r="FN1748" s="14"/>
      <c r="FO1748" s="14"/>
      <c r="FP1748" s="14"/>
      <c r="FQ1748" s="14"/>
      <c r="FR1748" s="14"/>
      <c r="FS1748" s="14"/>
      <c r="FT1748" s="14"/>
      <c r="FU1748" s="14"/>
      <c r="FV1748" s="14"/>
      <c r="FW1748" s="14"/>
      <c r="FX1748" s="14"/>
      <c r="FY1748" s="14"/>
      <c r="FZ1748" s="14"/>
      <c r="GA1748" s="14"/>
      <c r="GB1748" s="14"/>
      <c r="GC1748" s="14"/>
      <c r="GD1748" s="14"/>
      <c r="GE1748" s="14"/>
      <c r="GF1748" s="14"/>
      <c r="GG1748" s="14"/>
      <c r="GH1748" s="14"/>
      <c r="GI1748" s="14"/>
      <c r="GJ1748" s="14"/>
      <c r="GK1748" s="14"/>
      <c r="GL1748" s="14"/>
      <c r="GM1748" s="14"/>
      <c r="GN1748" s="14"/>
      <c r="GO1748" s="14"/>
      <c r="GP1748" s="14"/>
      <c r="GQ1748" s="14"/>
      <c r="GR1748" s="14"/>
      <c r="GS1748" s="14"/>
      <c r="GT1748" s="14"/>
      <c r="GU1748" s="14"/>
      <c r="GV1748" s="14"/>
      <c r="GW1748" s="14"/>
      <c r="GX1748" s="14"/>
      <c r="GY1748" s="14"/>
      <c r="GZ1748" s="14"/>
      <c r="HA1748" s="14"/>
    </row>
    <row r="1749" ht="23.25" customHeight="1">
      <c r="A1749" s="14"/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4"/>
      <c r="BV1749" s="14"/>
      <c r="BW1749" s="57" t="s">
        <v>1696</v>
      </c>
      <c r="BX1749" s="57" t="s">
        <v>403</v>
      </c>
      <c r="BY1749" s="14"/>
      <c r="BZ1749" s="57" t="s">
        <v>313</v>
      </c>
      <c r="CA1749" s="57" t="s">
        <v>5164</v>
      </c>
      <c r="CB1749" s="57" t="s">
        <v>345</v>
      </c>
      <c r="CC1749" s="57" t="s">
        <v>4010</v>
      </c>
      <c r="CD1749" s="58">
        <v>44013.0</v>
      </c>
      <c r="CE1749" s="58">
        <v>44023.0</v>
      </c>
      <c r="CF1749" s="57">
        <v>100.0</v>
      </c>
      <c r="CG1749" s="59" t="s">
        <v>5165</v>
      </c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14"/>
      <c r="DC1749" s="14"/>
      <c r="DD1749" s="14"/>
      <c r="DE1749" s="14"/>
      <c r="DF1749" s="14"/>
      <c r="DG1749" s="14"/>
      <c r="DH1749" s="14"/>
      <c r="DI1749" s="14"/>
      <c r="DJ1749" s="14"/>
      <c r="DK1749" s="14"/>
      <c r="DL1749" s="14"/>
      <c r="DM1749" s="14"/>
      <c r="DN1749" s="14"/>
      <c r="DO1749" s="14"/>
      <c r="DP1749" s="14"/>
      <c r="DQ1749" s="14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ED1749" s="14"/>
      <c r="EE1749" s="14"/>
      <c r="EF1749" s="14"/>
      <c r="EG1749" s="14"/>
      <c r="EH1749" s="14"/>
      <c r="EI1749" s="14"/>
      <c r="EJ1749" s="14"/>
      <c r="EK1749" s="14"/>
      <c r="EL1749" s="14"/>
      <c r="EM1749" s="14"/>
      <c r="EN1749" s="14"/>
      <c r="EO1749" s="14"/>
      <c r="EP1749" s="14"/>
      <c r="EQ1749" s="14"/>
      <c r="ER1749" s="14"/>
      <c r="ES1749" s="14"/>
      <c r="ET1749" s="14"/>
      <c r="EU1749" s="14"/>
      <c r="EV1749" s="14"/>
      <c r="EW1749" s="14"/>
      <c r="EX1749" s="14"/>
      <c r="EY1749" s="14"/>
      <c r="EZ1749" s="14"/>
      <c r="FA1749" s="14"/>
      <c r="FB1749" s="14"/>
      <c r="FC1749" s="14"/>
      <c r="FD1749" s="14"/>
      <c r="FE1749" s="14"/>
      <c r="FF1749" s="14"/>
      <c r="FG1749" s="14"/>
      <c r="FH1749" s="14"/>
      <c r="FI1749" s="14"/>
      <c r="FJ1749" s="14"/>
      <c r="FK1749" s="14"/>
      <c r="FL1749" s="14"/>
      <c r="FM1749" s="14"/>
      <c r="FN1749" s="14"/>
      <c r="FO1749" s="14"/>
      <c r="FP1749" s="14"/>
      <c r="FQ1749" s="14"/>
      <c r="FR1749" s="14"/>
      <c r="FS1749" s="14"/>
      <c r="FT1749" s="14"/>
      <c r="FU1749" s="14"/>
      <c r="FV1749" s="14"/>
      <c r="FW1749" s="14"/>
      <c r="FX1749" s="14"/>
      <c r="FY1749" s="14"/>
      <c r="FZ1749" s="14"/>
      <c r="GA1749" s="14"/>
      <c r="GB1749" s="14"/>
      <c r="GC1749" s="14"/>
      <c r="GD1749" s="14"/>
      <c r="GE1749" s="14"/>
      <c r="GF1749" s="14"/>
      <c r="GG1749" s="14"/>
      <c r="GH1749" s="14"/>
      <c r="GI1749" s="14"/>
      <c r="GJ1749" s="14"/>
      <c r="GK1749" s="14"/>
      <c r="GL1749" s="14"/>
      <c r="GM1749" s="14"/>
      <c r="GN1749" s="14"/>
      <c r="GO1749" s="14"/>
      <c r="GP1749" s="14"/>
      <c r="GQ1749" s="14"/>
      <c r="GR1749" s="14"/>
      <c r="GS1749" s="14"/>
      <c r="GT1749" s="14"/>
      <c r="GU1749" s="14"/>
      <c r="GV1749" s="14"/>
      <c r="GW1749" s="14"/>
      <c r="GX1749" s="14"/>
      <c r="GY1749" s="14"/>
      <c r="GZ1749" s="14"/>
      <c r="HA1749" s="14"/>
    </row>
    <row r="1750" ht="23.25" customHeight="1">
      <c r="A1750" s="14"/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4"/>
      <c r="BV1750" s="14"/>
      <c r="BW1750" s="57" t="s">
        <v>1696</v>
      </c>
      <c r="BX1750" s="57" t="s">
        <v>403</v>
      </c>
      <c r="BY1750" s="14"/>
      <c r="BZ1750" s="57" t="s">
        <v>313</v>
      </c>
      <c r="CA1750" s="57" t="s">
        <v>5166</v>
      </c>
      <c r="CB1750" s="57" t="s">
        <v>345</v>
      </c>
      <c r="CC1750" s="57" t="s">
        <v>4010</v>
      </c>
      <c r="CD1750" s="58">
        <v>43990.0</v>
      </c>
      <c r="CE1750" s="58">
        <v>44009.0</v>
      </c>
      <c r="CF1750" s="57">
        <v>100.0</v>
      </c>
      <c r="CG1750" s="59" t="s">
        <v>5167</v>
      </c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14"/>
      <c r="DC1750" s="14"/>
      <c r="DD1750" s="14"/>
      <c r="DE1750" s="14"/>
      <c r="DF1750" s="14"/>
      <c r="DG1750" s="14"/>
      <c r="DH1750" s="14"/>
      <c r="DI1750" s="14"/>
      <c r="DJ1750" s="14"/>
      <c r="DK1750" s="14"/>
      <c r="DL1750" s="14"/>
      <c r="DM1750" s="14"/>
      <c r="DN1750" s="14"/>
      <c r="DO1750" s="14"/>
      <c r="DP1750" s="14"/>
      <c r="DQ1750" s="14"/>
      <c r="DR1750" s="14"/>
      <c r="DS1750" s="14"/>
      <c r="DT1750" s="14"/>
      <c r="DU1750" s="14"/>
      <c r="DV1750" s="14"/>
      <c r="DW1750" s="14"/>
      <c r="DX1750" s="14"/>
      <c r="DY1750" s="14"/>
      <c r="DZ1750" s="14"/>
      <c r="EA1750" s="14"/>
      <c r="EB1750" s="14"/>
      <c r="EC1750" s="14"/>
      <c r="ED1750" s="14"/>
      <c r="EE1750" s="14"/>
      <c r="EF1750" s="14"/>
      <c r="EG1750" s="14"/>
      <c r="EH1750" s="14"/>
      <c r="EI1750" s="14"/>
      <c r="EJ1750" s="14"/>
      <c r="EK1750" s="14"/>
      <c r="EL1750" s="14"/>
      <c r="EM1750" s="14"/>
      <c r="EN1750" s="14"/>
      <c r="EO1750" s="14"/>
      <c r="EP1750" s="14"/>
      <c r="EQ1750" s="14"/>
      <c r="ER1750" s="14"/>
      <c r="ES1750" s="14"/>
      <c r="ET1750" s="14"/>
      <c r="EU1750" s="14"/>
      <c r="EV1750" s="14"/>
      <c r="EW1750" s="14"/>
      <c r="EX1750" s="14"/>
      <c r="EY1750" s="14"/>
      <c r="EZ1750" s="14"/>
      <c r="FA1750" s="14"/>
      <c r="FB1750" s="14"/>
      <c r="FC1750" s="14"/>
      <c r="FD1750" s="14"/>
      <c r="FE1750" s="14"/>
      <c r="FF1750" s="14"/>
      <c r="FG1750" s="14"/>
      <c r="FH1750" s="14"/>
      <c r="FI1750" s="14"/>
      <c r="FJ1750" s="14"/>
      <c r="FK1750" s="14"/>
      <c r="FL1750" s="14"/>
      <c r="FM1750" s="14"/>
      <c r="FN1750" s="14"/>
      <c r="FO1750" s="14"/>
      <c r="FP1750" s="14"/>
      <c r="FQ1750" s="14"/>
      <c r="FR1750" s="14"/>
      <c r="FS1750" s="14"/>
      <c r="FT1750" s="14"/>
      <c r="FU1750" s="14"/>
      <c r="FV1750" s="14"/>
      <c r="FW1750" s="14"/>
      <c r="FX1750" s="14"/>
      <c r="FY1750" s="14"/>
      <c r="FZ1750" s="14"/>
      <c r="GA1750" s="14"/>
      <c r="GB1750" s="14"/>
      <c r="GC1750" s="14"/>
      <c r="GD1750" s="14"/>
      <c r="GE1750" s="14"/>
      <c r="GF1750" s="14"/>
      <c r="GG1750" s="14"/>
      <c r="GH1750" s="14"/>
      <c r="GI1750" s="14"/>
      <c r="GJ1750" s="14"/>
      <c r="GK1750" s="14"/>
      <c r="GL1750" s="14"/>
      <c r="GM1750" s="14"/>
      <c r="GN1750" s="14"/>
      <c r="GO1750" s="14"/>
      <c r="GP1750" s="14"/>
      <c r="GQ1750" s="14"/>
      <c r="GR1750" s="14"/>
      <c r="GS1750" s="14"/>
      <c r="GT1750" s="14"/>
      <c r="GU1750" s="14"/>
      <c r="GV1750" s="14"/>
      <c r="GW1750" s="14"/>
      <c r="GX1750" s="14"/>
      <c r="GY1750" s="14"/>
      <c r="GZ1750" s="14"/>
      <c r="HA1750" s="14"/>
    </row>
    <row r="1751" ht="23.25" customHeight="1">
      <c r="A1751" s="14"/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57" t="s">
        <v>1696</v>
      </c>
      <c r="BX1751" s="57" t="s">
        <v>403</v>
      </c>
      <c r="BY1751" s="14"/>
      <c r="BZ1751" s="57" t="s">
        <v>313</v>
      </c>
      <c r="CA1751" s="57" t="s">
        <v>1903</v>
      </c>
      <c r="CB1751" s="57" t="s">
        <v>345</v>
      </c>
      <c r="CC1751" s="57" t="s">
        <v>4010</v>
      </c>
      <c r="CD1751" s="58">
        <v>43990.0</v>
      </c>
      <c r="CE1751" s="58">
        <v>44009.0</v>
      </c>
      <c r="CF1751" s="57">
        <v>100.0</v>
      </c>
      <c r="CG1751" s="59" t="s">
        <v>5168</v>
      </c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14"/>
      <c r="DC1751" s="14"/>
      <c r="DD1751" s="14"/>
      <c r="DE1751" s="14"/>
      <c r="DF1751" s="14"/>
      <c r="DG1751" s="14"/>
      <c r="DH1751" s="14"/>
      <c r="DI1751" s="14"/>
      <c r="DJ1751" s="14"/>
      <c r="DK1751" s="14"/>
      <c r="DL1751" s="14"/>
      <c r="DM1751" s="14"/>
      <c r="DN1751" s="14"/>
      <c r="DO1751" s="14"/>
      <c r="DP1751" s="14"/>
      <c r="DQ1751" s="14"/>
      <c r="DR1751" s="14"/>
      <c r="DS1751" s="14"/>
      <c r="DT1751" s="14"/>
      <c r="DU1751" s="14"/>
      <c r="DV1751" s="14"/>
      <c r="DW1751" s="14"/>
      <c r="DX1751" s="14"/>
      <c r="DY1751" s="14"/>
      <c r="DZ1751" s="14"/>
      <c r="EA1751" s="14"/>
      <c r="EB1751" s="14"/>
      <c r="EC1751" s="14"/>
      <c r="ED1751" s="14"/>
      <c r="EE1751" s="14"/>
      <c r="EF1751" s="14"/>
      <c r="EG1751" s="14"/>
      <c r="EH1751" s="14"/>
      <c r="EI1751" s="14"/>
      <c r="EJ1751" s="14"/>
      <c r="EK1751" s="14"/>
      <c r="EL1751" s="14"/>
      <c r="EM1751" s="14"/>
      <c r="EN1751" s="14"/>
      <c r="EO1751" s="14"/>
      <c r="EP1751" s="14"/>
      <c r="EQ1751" s="14"/>
      <c r="ER1751" s="14"/>
      <c r="ES1751" s="14"/>
      <c r="ET1751" s="14"/>
      <c r="EU1751" s="14"/>
      <c r="EV1751" s="14"/>
      <c r="EW1751" s="14"/>
      <c r="EX1751" s="14"/>
      <c r="EY1751" s="14"/>
      <c r="EZ1751" s="14"/>
      <c r="FA1751" s="14"/>
      <c r="FB1751" s="14"/>
      <c r="FC1751" s="14"/>
      <c r="FD1751" s="14"/>
      <c r="FE1751" s="14"/>
      <c r="FF1751" s="14"/>
      <c r="FG1751" s="14"/>
      <c r="FH1751" s="14"/>
      <c r="FI1751" s="14"/>
      <c r="FJ1751" s="14"/>
      <c r="FK1751" s="14"/>
      <c r="FL1751" s="14"/>
      <c r="FM1751" s="14"/>
      <c r="FN1751" s="14"/>
      <c r="FO1751" s="14"/>
      <c r="FP1751" s="14"/>
      <c r="FQ1751" s="14"/>
      <c r="FR1751" s="14"/>
      <c r="FS1751" s="14"/>
      <c r="FT1751" s="14"/>
      <c r="FU1751" s="14"/>
      <c r="FV1751" s="14"/>
      <c r="FW1751" s="14"/>
      <c r="FX1751" s="14"/>
      <c r="FY1751" s="14"/>
      <c r="FZ1751" s="14"/>
      <c r="GA1751" s="14"/>
      <c r="GB1751" s="14"/>
      <c r="GC1751" s="14"/>
      <c r="GD1751" s="14"/>
      <c r="GE1751" s="14"/>
      <c r="GF1751" s="14"/>
      <c r="GG1751" s="14"/>
      <c r="GH1751" s="14"/>
      <c r="GI1751" s="14"/>
      <c r="GJ1751" s="14"/>
      <c r="GK1751" s="14"/>
      <c r="GL1751" s="14"/>
      <c r="GM1751" s="14"/>
      <c r="GN1751" s="14"/>
      <c r="GO1751" s="14"/>
      <c r="GP1751" s="14"/>
      <c r="GQ1751" s="14"/>
      <c r="GR1751" s="14"/>
      <c r="GS1751" s="14"/>
      <c r="GT1751" s="14"/>
      <c r="GU1751" s="14"/>
      <c r="GV1751" s="14"/>
      <c r="GW1751" s="14"/>
      <c r="GX1751" s="14"/>
      <c r="GY1751" s="14"/>
      <c r="GZ1751" s="14"/>
      <c r="HA1751" s="14"/>
    </row>
    <row r="1752" ht="23.25" customHeight="1">
      <c r="A1752" s="14"/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57" t="s">
        <v>1696</v>
      </c>
      <c r="BX1752" s="57" t="s">
        <v>403</v>
      </c>
      <c r="BY1752" s="14"/>
      <c r="BZ1752" s="57" t="s">
        <v>313</v>
      </c>
      <c r="CA1752" s="57" t="s">
        <v>5169</v>
      </c>
      <c r="CB1752" s="57" t="s">
        <v>345</v>
      </c>
      <c r="CC1752" s="57" t="s">
        <v>4010</v>
      </c>
      <c r="CD1752" s="58">
        <v>43976.0</v>
      </c>
      <c r="CE1752" s="58">
        <v>43990.0</v>
      </c>
      <c r="CF1752" s="57">
        <v>100.0</v>
      </c>
      <c r="CG1752" s="59" t="s">
        <v>5170</v>
      </c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14"/>
      <c r="DC1752" s="14"/>
      <c r="DD1752" s="14"/>
      <c r="DE1752" s="14"/>
      <c r="DF1752" s="14"/>
      <c r="DG1752" s="14"/>
      <c r="DH1752" s="14"/>
      <c r="DI1752" s="14"/>
      <c r="DJ1752" s="14"/>
      <c r="DK1752" s="14"/>
      <c r="DL1752" s="14"/>
      <c r="DM1752" s="14"/>
      <c r="DN1752" s="14"/>
      <c r="DO1752" s="14"/>
      <c r="DP1752" s="14"/>
      <c r="DQ1752" s="14"/>
      <c r="DR1752" s="14"/>
      <c r="DS1752" s="14"/>
      <c r="DT1752" s="14"/>
      <c r="DU1752" s="14"/>
      <c r="DV1752" s="14"/>
      <c r="DW1752" s="14"/>
      <c r="DX1752" s="14"/>
      <c r="DY1752" s="14"/>
      <c r="DZ1752" s="14"/>
      <c r="EA1752" s="14"/>
      <c r="EB1752" s="14"/>
      <c r="EC1752" s="14"/>
      <c r="ED1752" s="14"/>
      <c r="EE1752" s="14"/>
      <c r="EF1752" s="14"/>
      <c r="EG1752" s="14"/>
      <c r="EH1752" s="14"/>
      <c r="EI1752" s="14"/>
      <c r="EJ1752" s="14"/>
      <c r="EK1752" s="14"/>
      <c r="EL1752" s="14"/>
      <c r="EM1752" s="14"/>
      <c r="EN1752" s="14"/>
      <c r="EO1752" s="14"/>
      <c r="EP1752" s="14"/>
      <c r="EQ1752" s="14"/>
      <c r="ER1752" s="14"/>
      <c r="ES1752" s="14"/>
      <c r="ET1752" s="14"/>
      <c r="EU1752" s="14"/>
      <c r="EV1752" s="14"/>
      <c r="EW1752" s="14"/>
      <c r="EX1752" s="14"/>
      <c r="EY1752" s="14"/>
      <c r="EZ1752" s="14"/>
      <c r="FA1752" s="14"/>
      <c r="FB1752" s="14"/>
      <c r="FC1752" s="14"/>
      <c r="FD1752" s="14"/>
      <c r="FE1752" s="14"/>
      <c r="FF1752" s="14"/>
      <c r="FG1752" s="14"/>
      <c r="FH1752" s="14"/>
      <c r="FI1752" s="14"/>
      <c r="FJ1752" s="14"/>
      <c r="FK1752" s="14"/>
      <c r="FL1752" s="14"/>
      <c r="FM1752" s="14"/>
      <c r="FN1752" s="14"/>
      <c r="FO1752" s="14"/>
      <c r="FP1752" s="14"/>
      <c r="FQ1752" s="14"/>
      <c r="FR1752" s="14"/>
      <c r="FS1752" s="14"/>
      <c r="FT1752" s="14"/>
      <c r="FU1752" s="14"/>
      <c r="FV1752" s="14"/>
      <c r="FW1752" s="14"/>
      <c r="FX1752" s="14"/>
      <c r="FY1752" s="14"/>
      <c r="FZ1752" s="14"/>
      <c r="GA1752" s="14"/>
      <c r="GB1752" s="14"/>
      <c r="GC1752" s="14"/>
      <c r="GD1752" s="14"/>
      <c r="GE1752" s="14"/>
      <c r="GF1752" s="14"/>
      <c r="GG1752" s="14"/>
      <c r="GH1752" s="14"/>
      <c r="GI1752" s="14"/>
      <c r="GJ1752" s="14"/>
      <c r="GK1752" s="14"/>
      <c r="GL1752" s="14"/>
      <c r="GM1752" s="14"/>
      <c r="GN1752" s="14"/>
      <c r="GO1752" s="14"/>
      <c r="GP1752" s="14"/>
      <c r="GQ1752" s="14"/>
      <c r="GR1752" s="14"/>
      <c r="GS1752" s="14"/>
      <c r="GT1752" s="14"/>
      <c r="GU1752" s="14"/>
      <c r="GV1752" s="14"/>
      <c r="GW1752" s="14"/>
      <c r="GX1752" s="14"/>
      <c r="GY1752" s="14"/>
      <c r="GZ1752" s="14"/>
      <c r="HA1752" s="14"/>
    </row>
    <row r="1753" ht="23.25" customHeight="1">
      <c r="A1753" s="14"/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57" t="s">
        <v>1696</v>
      </c>
      <c r="BX1753" s="57" t="s">
        <v>403</v>
      </c>
      <c r="BY1753" s="14"/>
      <c r="BZ1753" s="57" t="s">
        <v>313</v>
      </c>
      <c r="CA1753" s="57" t="s">
        <v>4845</v>
      </c>
      <c r="CB1753" s="57" t="s">
        <v>345</v>
      </c>
      <c r="CC1753" s="57" t="s">
        <v>4010</v>
      </c>
      <c r="CD1753" s="58">
        <v>43951.0</v>
      </c>
      <c r="CE1753" s="58">
        <v>43962.0</v>
      </c>
      <c r="CF1753" s="57">
        <v>100.0</v>
      </c>
      <c r="CG1753" s="59" t="s">
        <v>5171</v>
      </c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14"/>
      <c r="DC1753" s="14"/>
      <c r="DD1753" s="14"/>
      <c r="DE1753" s="14"/>
      <c r="DF1753" s="14"/>
      <c r="DG1753" s="14"/>
      <c r="DH1753" s="14"/>
      <c r="DI1753" s="14"/>
      <c r="DJ1753" s="14"/>
      <c r="DK1753" s="14"/>
      <c r="DL1753" s="14"/>
      <c r="DM1753" s="14"/>
      <c r="DN1753" s="14"/>
      <c r="DO1753" s="14"/>
      <c r="DP1753" s="14"/>
      <c r="DQ1753" s="14"/>
      <c r="DR1753" s="14"/>
      <c r="DS1753" s="14"/>
      <c r="DT1753" s="14"/>
      <c r="DU1753" s="14"/>
      <c r="DV1753" s="14"/>
      <c r="DW1753" s="14"/>
      <c r="DX1753" s="14"/>
      <c r="DY1753" s="14"/>
      <c r="DZ1753" s="14"/>
      <c r="EA1753" s="14"/>
      <c r="EB1753" s="14"/>
      <c r="EC1753" s="14"/>
      <c r="ED1753" s="14"/>
      <c r="EE1753" s="14"/>
      <c r="EF1753" s="14"/>
      <c r="EG1753" s="14"/>
      <c r="EH1753" s="14"/>
      <c r="EI1753" s="14"/>
      <c r="EJ1753" s="14"/>
      <c r="EK1753" s="14"/>
      <c r="EL1753" s="14"/>
      <c r="EM1753" s="14"/>
      <c r="EN1753" s="14"/>
      <c r="EO1753" s="14"/>
      <c r="EP1753" s="14"/>
      <c r="EQ1753" s="14"/>
      <c r="ER1753" s="14"/>
      <c r="ES1753" s="14"/>
      <c r="ET1753" s="14"/>
      <c r="EU1753" s="14"/>
      <c r="EV1753" s="14"/>
      <c r="EW1753" s="14"/>
      <c r="EX1753" s="14"/>
      <c r="EY1753" s="14"/>
      <c r="EZ1753" s="14"/>
      <c r="FA1753" s="14"/>
      <c r="FB1753" s="14"/>
      <c r="FC1753" s="14"/>
      <c r="FD1753" s="14"/>
      <c r="FE1753" s="14"/>
      <c r="FF1753" s="14"/>
      <c r="FG1753" s="14"/>
      <c r="FH1753" s="14"/>
      <c r="FI1753" s="14"/>
      <c r="FJ1753" s="14"/>
      <c r="FK1753" s="14"/>
      <c r="FL1753" s="14"/>
      <c r="FM1753" s="14"/>
      <c r="FN1753" s="14"/>
      <c r="FO1753" s="14"/>
      <c r="FP1753" s="14"/>
      <c r="FQ1753" s="14"/>
      <c r="FR1753" s="14"/>
      <c r="FS1753" s="14"/>
      <c r="FT1753" s="14"/>
      <c r="FU1753" s="14"/>
      <c r="FV1753" s="14"/>
      <c r="FW1753" s="14"/>
      <c r="FX1753" s="14"/>
      <c r="FY1753" s="14"/>
      <c r="FZ1753" s="14"/>
      <c r="GA1753" s="14"/>
      <c r="GB1753" s="14"/>
      <c r="GC1753" s="14"/>
      <c r="GD1753" s="14"/>
      <c r="GE1753" s="14"/>
      <c r="GF1753" s="14"/>
      <c r="GG1753" s="14"/>
      <c r="GH1753" s="14"/>
      <c r="GI1753" s="14"/>
      <c r="GJ1753" s="14"/>
      <c r="GK1753" s="14"/>
      <c r="GL1753" s="14"/>
      <c r="GM1753" s="14"/>
      <c r="GN1753" s="14"/>
      <c r="GO1753" s="14"/>
      <c r="GP1753" s="14"/>
      <c r="GQ1753" s="14"/>
      <c r="GR1753" s="14"/>
      <c r="GS1753" s="14"/>
      <c r="GT1753" s="14"/>
      <c r="GU1753" s="14"/>
      <c r="GV1753" s="14"/>
      <c r="GW1753" s="14"/>
      <c r="GX1753" s="14"/>
      <c r="GY1753" s="14"/>
      <c r="GZ1753" s="14"/>
      <c r="HA1753" s="14"/>
    </row>
    <row r="1754" ht="23.25" customHeight="1">
      <c r="A1754" s="14"/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57" t="s">
        <v>1696</v>
      </c>
      <c r="BX1754" s="57" t="s">
        <v>403</v>
      </c>
      <c r="BY1754" s="14"/>
      <c r="BZ1754" s="57" t="s">
        <v>313</v>
      </c>
      <c r="CA1754" s="57" t="s">
        <v>1351</v>
      </c>
      <c r="CB1754" s="57" t="s">
        <v>345</v>
      </c>
      <c r="CC1754" s="57" t="s">
        <v>4010</v>
      </c>
      <c r="CD1754" s="58">
        <v>43930.0</v>
      </c>
      <c r="CE1754" s="58">
        <v>43944.0</v>
      </c>
      <c r="CF1754" s="57">
        <v>100.0</v>
      </c>
      <c r="CG1754" s="59" t="s">
        <v>5172</v>
      </c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14"/>
      <c r="DC1754" s="14"/>
      <c r="DD1754" s="14"/>
      <c r="DE1754" s="14"/>
      <c r="DF1754" s="14"/>
      <c r="DG1754" s="14"/>
      <c r="DH1754" s="14"/>
      <c r="DI1754" s="14"/>
      <c r="DJ1754" s="14"/>
      <c r="DK1754" s="14"/>
      <c r="DL1754" s="14"/>
      <c r="DM1754" s="14"/>
      <c r="DN1754" s="14"/>
      <c r="DO1754" s="14"/>
      <c r="DP1754" s="14"/>
      <c r="DQ1754" s="14"/>
      <c r="DR1754" s="14"/>
      <c r="DS1754" s="14"/>
      <c r="DT1754" s="14"/>
      <c r="DU1754" s="14"/>
      <c r="DV1754" s="14"/>
      <c r="DW1754" s="14"/>
      <c r="DX1754" s="14"/>
      <c r="DY1754" s="14"/>
      <c r="DZ1754" s="14"/>
      <c r="EA1754" s="14"/>
      <c r="EB1754" s="14"/>
      <c r="EC1754" s="14"/>
      <c r="ED1754" s="14"/>
      <c r="EE1754" s="14"/>
      <c r="EF1754" s="14"/>
      <c r="EG1754" s="14"/>
      <c r="EH1754" s="14"/>
      <c r="EI1754" s="14"/>
      <c r="EJ1754" s="14"/>
      <c r="EK1754" s="14"/>
      <c r="EL1754" s="14"/>
      <c r="EM1754" s="14"/>
      <c r="EN1754" s="14"/>
      <c r="EO1754" s="14"/>
      <c r="EP1754" s="14"/>
      <c r="EQ1754" s="14"/>
      <c r="ER1754" s="14"/>
      <c r="ES1754" s="14"/>
      <c r="ET1754" s="14"/>
      <c r="EU1754" s="14"/>
      <c r="EV1754" s="14"/>
      <c r="EW1754" s="14"/>
      <c r="EX1754" s="14"/>
      <c r="EY1754" s="14"/>
      <c r="EZ1754" s="14"/>
      <c r="FA1754" s="14"/>
      <c r="FB1754" s="14"/>
      <c r="FC1754" s="14"/>
      <c r="FD1754" s="14"/>
      <c r="FE1754" s="14"/>
      <c r="FF1754" s="14"/>
      <c r="FG1754" s="14"/>
      <c r="FH1754" s="14"/>
      <c r="FI1754" s="14"/>
      <c r="FJ1754" s="14"/>
      <c r="FK1754" s="14"/>
      <c r="FL1754" s="14"/>
      <c r="FM1754" s="14"/>
      <c r="FN1754" s="14"/>
      <c r="FO1754" s="14"/>
      <c r="FP1754" s="14"/>
      <c r="FQ1754" s="14"/>
      <c r="FR1754" s="14"/>
      <c r="FS1754" s="14"/>
      <c r="FT1754" s="14"/>
      <c r="FU1754" s="14"/>
      <c r="FV1754" s="14"/>
      <c r="FW1754" s="14"/>
      <c r="FX1754" s="14"/>
      <c r="FY1754" s="14"/>
      <c r="FZ1754" s="14"/>
      <c r="GA1754" s="14"/>
      <c r="GB1754" s="14"/>
      <c r="GC1754" s="14"/>
      <c r="GD1754" s="14"/>
      <c r="GE1754" s="14"/>
      <c r="GF1754" s="14"/>
      <c r="GG1754" s="14"/>
      <c r="GH1754" s="14"/>
      <c r="GI1754" s="14"/>
      <c r="GJ1754" s="14"/>
      <c r="GK1754" s="14"/>
      <c r="GL1754" s="14"/>
      <c r="GM1754" s="14"/>
      <c r="GN1754" s="14"/>
      <c r="GO1754" s="14"/>
      <c r="GP1754" s="14"/>
      <c r="GQ1754" s="14"/>
      <c r="GR1754" s="14"/>
      <c r="GS1754" s="14"/>
      <c r="GT1754" s="14"/>
      <c r="GU1754" s="14"/>
      <c r="GV1754" s="14"/>
      <c r="GW1754" s="14"/>
      <c r="GX1754" s="14"/>
      <c r="GY1754" s="14"/>
      <c r="GZ1754" s="14"/>
      <c r="HA1754" s="14"/>
    </row>
    <row r="1755" ht="23.25" customHeight="1">
      <c r="A1755" s="14"/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57" t="s">
        <v>1696</v>
      </c>
      <c r="BX1755" s="57" t="s">
        <v>403</v>
      </c>
      <c r="BY1755" s="14"/>
      <c r="BZ1755" s="57" t="s">
        <v>313</v>
      </c>
      <c r="CA1755" s="57" t="s">
        <v>5173</v>
      </c>
      <c r="CB1755" s="57" t="s">
        <v>345</v>
      </c>
      <c r="CC1755" s="57" t="s">
        <v>4010</v>
      </c>
      <c r="CD1755" s="58">
        <v>43965.0</v>
      </c>
      <c r="CE1755" s="58">
        <v>43979.0</v>
      </c>
      <c r="CF1755" s="57">
        <v>100.0</v>
      </c>
      <c r="CG1755" s="59" t="s">
        <v>5174</v>
      </c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14"/>
      <c r="DC1755" s="14"/>
      <c r="DD1755" s="14"/>
      <c r="DE1755" s="14"/>
      <c r="DF1755" s="14"/>
      <c r="DG1755" s="14"/>
      <c r="DH1755" s="14"/>
      <c r="DI1755" s="14"/>
      <c r="DJ1755" s="14"/>
      <c r="DK1755" s="14"/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14"/>
      <c r="EJ1755" s="14"/>
      <c r="EK1755" s="14"/>
      <c r="EL1755" s="14"/>
      <c r="EM1755" s="14"/>
      <c r="EN1755" s="14"/>
      <c r="EO1755" s="14"/>
      <c r="EP1755" s="14"/>
      <c r="EQ1755" s="14"/>
      <c r="ER1755" s="14"/>
      <c r="ES1755" s="14"/>
      <c r="ET1755" s="14"/>
      <c r="EU1755" s="14"/>
      <c r="EV1755" s="14"/>
      <c r="EW1755" s="14"/>
      <c r="EX1755" s="14"/>
      <c r="EY1755" s="14"/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4"/>
      <c r="FZ1755" s="14"/>
      <c r="GA1755" s="14"/>
      <c r="GB1755" s="14"/>
      <c r="GC1755" s="14"/>
      <c r="GD1755" s="14"/>
      <c r="GE1755" s="14"/>
      <c r="GF1755" s="14"/>
      <c r="GG1755" s="14"/>
      <c r="GH1755" s="14"/>
      <c r="GI1755" s="14"/>
      <c r="GJ1755" s="14"/>
      <c r="GK1755" s="14"/>
      <c r="GL1755" s="14"/>
      <c r="GM1755" s="14"/>
      <c r="GN1755" s="14"/>
      <c r="GO1755" s="14"/>
      <c r="GP1755" s="14"/>
      <c r="GQ1755" s="14"/>
      <c r="GR1755" s="14"/>
      <c r="GS1755" s="14"/>
      <c r="GT1755" s="14"/>
      <c r="GU1755" s="14"/>
      <c r="GV1755" s="14"/>
      <c r="GW1755" s="14"/>
      <c r="GX1755" s="14"/>
      <c r="GY1755" s="14"/>
      <c r="GZ1755" s="14"/>
      <c r="HA1755" s="14"/>
    </row>
    <row r="1756" ht="23.25" customHeight="1">
      <c r="A1756" s="14"/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57" t="s">
        <v>2123</v>
      </c>
      <c r="BX1756" s="57" t="s">
        <v>2124</v>
      </c>
      <c r="BY1756" s="14"/>
      <c r="BZ1756" s="57" t="s">
        <v>313</v>
      </c>
      <c r="CA1756" s="57" t="s">
        <v>5175</v>
      </c>
      <c r="CB1756" s="57" t="s">
        <v>1452</v>
      </c>
      <c r="CC1756" s="57" t="s">
        <v>5176</v>
      </c>
      <c r="CD1756" s="58">
        <v>44378.0</v>
      </c>
      <c r="CE1756" s="58">
        <v>44415.0</v>
      </c>
      <c r="CF1756" s="57">
        <v>100.0</v>
      </c>
      <c r="CG1756" s="59" t="s">
        <v>5177</v>
      </c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14"/>
      <c r="DC1756" s="14"/>
      <c r="DD1756" s="14"/>
      <c r="DE1756" s="14"/>
      <c r="DF1756" s="14"/>
      <c r="DG1756" s="14"/>
      <c r="DH1756" s="14"/>
      <c r="DI1756" s="14"/>
      <c r="DJ1756" s="14"/>
      <c r="DK1756" s="14"/>
      <c r="DL1756" s="14"/>
      <c r="DM1756" s="14"/>
      <c r="DN1756" s="14"/>
      <c r="DO1756" s="14"/>
      <c r="DP1756" s="14"/>
      <c r="DQ1756" s="14"/>
      <c r="DR1756" s="14"/>
      <c r="DS1756" s="14"/>
      <c r="DT1756" s="14"/>
      <c r="DU1756" s="14"/>
      <c r="DV1756" s="14"/>
      <c r="DW1756" s="14"/>
      <c r="DX1756" s="14"/>
      <c r="DY1756" s="14"/>
      <c r="DZ1756" s="14"/>
      <c r="EA1756" s="14"/>
      <c r="EB1756" s="14"/>
      <c r="EC1756" s="14"/>
      <c r="ED1756" s="14"/>
      <c r="EE1756" s="14"/>
      <c r="EF1756" s="14"/>
      <c r="EG1756" s="14"/>
      <c r="EH1756" s="14"/>
      <c r="EI1756" s="14"/>
      <c r="EJ1756" s="14"/>
      <c r="EK1756" s="14"/>
      <c r="EL1756" s="14"/>
      <c r="EM1756" s="14"/>
      <c r="EN1756" s="14"/>
      <c r="EO1756" s="14"/>
      <c r="EP1756" s="14"/>
      <c r="EQ1756" s="14"/>
      <c r="ER1756" s="14"/>
      <c r="ES1756" s="14"/>
      <c r="ET1756" s="14"/>
      <c r="EU1756" s="14"/>
      <c r="EV1756" s="14"/>
      <c r="EW1756" s="14"/>
      <c r="EX1756" s="14"/>
      <c r="EY1756" s="14"/>
      <c r="EZ1756" s="14"/>
      <c r="FA1756" s="14"/>
      <c r="FB1756" s="14"/>
      <c r="FC1756" s="14"/>
      <c r="FD1756" s="14"/>
      <c r="FE1756" s="14"/>
      <c r="FF1756" s="14"/>
      <c r="FG1756" s="14"/>
      <c r="FH1756" s="14"/>
      <c r="FI1756" s="14"/>
      <c r="FJ1756" s="14"/>
      <c r="FK1756" s="14"/>
      <c r="FL1756" s="14"/>
      <c r="FM1756" s="14"/>
      <c r="FN1756" s="14"/>
      <c r="FO1756" s="14"/>
      <c r="FP1756" s="14"/>
      <c r="FQ1756" s="14"/>
      <c r="FR1756" s="14"/>
      <c r="FS1756" s="14"/>
      <c r="FT1756" s="14"/>
      <c r="FU1756" s="14"/>
      <c r="FV1756" s="14"/>
      <c r="FW1756" s="14"/>
      <c r="FX1756" s="14"/>
      <c r="FY1756" s="14"/>
      <c r="FZ1756" s="14"/>
      <c r="GA1756" s="14"/>
      <c r="GB1756" s="14"/>
      <c r="GC1756" s="14"/>
      <c r="GD1756" s="14"/>
      <c r="GE1756" s="14"/>
      <c r="GF1756" s="14"/>
      <c r="GG1756" s="14"/>
      <c r="GH1756" s="14"/>
      <c r="GI1756" s="14"/>
      <c r="GJ1756" s="14"/>
      <c r="GK1756" s="14"/>
      <c r="GL1756" s="14"/>
      <c r="GM1756" s="14"/>
      <c r="GN1756" s="14"/>
      <c r="GO1756" s="14"/>
      <c r="GP1756" s="14"/>
      <c r="GQ1756" s="14"/>
      <c r="GR1756" s="14"/>
      <c r="GS1756" s="14"/>
      <c r="GT1756" s="14"/>
      <c r="GU1756" s="14"/>
      <c r="GV1756" s="14"/>
      <c r="GW1756" s="14"/>
      <c r="GX1756" s="14"/>
      <c r="GY1756" s="14"/>
      <c r="GZ1756" s="14"/>
      <c r="HA1756" s="14"/>
    </row>
    <row r="1757" ht="23.25" customHeight="1">
      <c r="A1757" s="14"/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57" t="s">
        <v>2123</v>
      </c>
      <c r="BX1757" s="57" t="s">
        <v>2124</v>
      </c>
      <c r="BY1757" s="14"/>
      <c r="BZ1757" s="57" t="s">
        <v>313</v>
      </c>
      <c r="CA1757" s="57" t="s">
        <v>5178</v>
      </c>
      <c r="CB1757" s="57" t="s">
        <v>1452</v>
      </c>
      <c r="CC1757" s="57" t="s">
        <v>5179</v>
      </c>
      <c r="CD1757" s="58">
        <v>44409.0</v>
      </c>
      <c r="CE1757" s="58">
        <v>44415.0</v>
      </c>
      <c r="CF1757" s="57">
        <v>100.0</v>
      </c>
      <c r="CG1757" s="59" t="s">
        <v>5180</v>
      </c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14"/>
      <c r="DC1757" s="14"/>
      <c r="DD1757" s="14"/>
      <c r="DE1757" s="14"/>
      <c r="DF1757" s="14"/>
      <c r="DG1757" s="14"/>
      <c r="DH1757" s="14"/>
      <c r="DI1757" s="14"/>
      <c r="DJ1757" s="14"/>
      <c r="DK1757" s="14"/>
      <c r="DL1757" s="14"/>
      <c r="DM1757" s="14"/>
      <c r="DN1757" s="14"/>
      <c r="DO1757" s="14"/>
      <c r="DP1757" s="14"/>
      <c r="DQ1757" s="14"/>
      <c r="DR1757" s="14"/>
      <c r="DS1757" s="14"/>
      <c r="DT1757" s="14"/>
      <c r="DU1757" s="14"/>
      <c r="DV1757" s="14"/>
      <c r="DW1757" s="14"/>
      <c r="DX1757" s="14"/>
      <c r="DY1757" s="14"/>
      <c r="DZ1757" s="14"/>
      <c r="EA1757" s="14"/>
      <c r="EB1757" s="14"/>
      <c r="EC1757" s="14"/>
      <c r="ED1757" s="14"/>
      <c r="EE1757" s="14"/>
      <c r="EF1757" s="14"/>
      <c r="EG1757" s="14"/>
      <c r="EH1757" s="14"/>
      <c r="EI1757" s="14"/>
      <c r="EJ1757" s="14"/>
      <c r="EK1757" s="14"/>
      <c r="EL1757" s="14"/>
      <c r="EM1757" s="14"/>
      <c r="EN1757" s="14"/>
      <c r="EO1757" s="14"/>
      <c r="EP1757" s="14"/>
      <c r="EQ1757" s="14"/>
      <c r="ER1757" s="14"/>
      <c r="ES1757" s="14"/>
      <c r="ET1757" s="14"/>
      <c r="EU1757" s="14"/>
      <c r="EV1757" s="14"/>
      <c r="EW1757" s="14"/>
      <c r="EX1757" s="14"/>
      <c r="EY1757" s="14"/>
      <c r="EZ1757" s="14"/>
      <c r="FA1757" s="14"/>
      <c r="FB1757" s="14"/>
      <c r="FC1757" s="14"/>
      <c r="FD1757" s="14"/>
      <c r="FE1757" s="14"/>
      <c r="FF1757" s="14"/>
      <c r="FG1757" s="14"/>
      <c r="FH1757" s="14"/>
      <c r="FI1757" s="14"/>
      <c r="FJ1757" s="14"/>
      <c r="FK1757" s="14"/>
      <c r="FL1757" s="14"/>
      <c r="FM1757" s="14"/>
      <c r="FN1757" s="14"/>
      <c r="FO1757" s="14"/>
      <c r="FP1757" s="14"/>
      <c r="FQ1757" s="14"/>
      <c r="FR1757" s="14"/>
      <c r="FS1757" s="14"/>
      <c r="FT1757" s="14"/>
      <c r="FU1757" s="14"/>
      <c r="FV1757" s="14"/>
      <c r="FW1757" s="14"/>
      <c r="FX1757" s="14"/>
      <c r="FY1757" s="14"/>
      <c r="FZ1757" s="14"/>
      <c r="GA1757" s="14"/>
      <c r="GB1757" s="14"/>
      <c r="GC1757" s="14"/>
      <c r="GD1757" s="14"/>
      <c r="GE1757" s="14"/>
      <c r="GF1757" s="14"/>
      <c r="GG1757" s="14"/>
      <c r="GH1757" s="14"/>
      <c r="GI1757" s="14"/>
      <c r="GJ1757" s="14"/>
      <c r="GK1757" s="14"/>
      <c r="GL1757" s="14"/>
      <c r="GM1757" s="14"/>
      <c r="GN1757" s="14"/>
      <c r="GO1757" s="14"/>
      <c r="GP1757" s="14"/>
      <c r="GQ1757" s="14"/>
      <c r="GR1757" s="14"/>
      <c r="GS1757" s="14"/>
      <c r="GT1757" s="14"/>
      <c r="GU1757" s="14"/>
      <c r="GV1757" s="14"/>
      <c r="GW1757" s="14"/>
      <c r="GX1757" s="14"/>
      <c r="GY1757" s="14"/>
      <c r="GZ1757" s="14"/>
      <c r="HA1757" s="14"/>
    </row>
    <row r="1758" ht="23.25" customHeight="1">
      <c r="A1758" s="14"/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57" t="s">
        <v>833</v>
      </c>
      <c r="BX1758" s="57" t="s">
        <v>834</v>
      </c>
      <c r="BY1758" s="14"/>
      <c r="BZ1758" s="57" t="s">
        <v>171</v>
      </c>
      <c r="CA1758" s="57" t="s">
        <v>5181</v>
      </c>
      <c r="CB1758" s="57" t="s">
        <v>345</v>
      </c>
      <c r="CC1758" s="57" t="s">
        <v>310</v>
      </c>
      <c r="CD1758" s="58">
        <v>44013.0</v>
      </c>
      <c r="CE1758" s="58">
        <v>44074.0</v>
      </c>
      <c r="CF1758" s="57">
        <v>100.0</v>
      </c>
      <c r="CG1758" s="59" t="s">
        <v>5182</v>
      </c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14"/>
      <c r="DC1758" s="14"/>
      <c r="DD1758" s="14"/>
      <c r="DE1758" s="14"/>
      <c r="DF1758" s="14"/>
      <c r="DG1758" s="14"/>
      <c r="DH1758" s="14"/>
      <c r="DI1758" s="14"/>
      <c r="DJ1758" s="14"/>
      <c r="DK1758" s="14"/>
      <c r="DL1758" s="14"/>
      <c r="DM1758" s="14"/>
      <c r="DN1758" s="14"/>
      <c r="DO1758" s="14"/>
      <c r="DP1758" s="14"/>
      <c r="DQ1758" s="14"/>
      <c r="DR1758" s="14"/>
      <c r="DS1758" s="14"/>
      <c r="DT1758" s="14"/>
      <c r="DU1758" s="14"/>
      <c r="DV1758" s="14"/>
      <c r="DW1758" s="14"/>
      <c r="DX1758" s="14"/>
      <c r="DY1758" s="14"/>
      <c r="DZ1758" s="14"/>
      <c r="EA1758" s="14"/>
      <c r="EB1758" s="14"/>
      <c r="EC1758" s="14"/>
      <c r="ED1758" s="14"/>
      <c r="EE1758" s="14"/>
      <c r="EF1758" s="14"/>
      <c r="EG1758" s="14"/>
      <c r="EH1758" s="14"/>
      <c r="EI1758" s="14"/>
      <c r="EJ1758" s="14"/>
      <c r="EK1758" s="14"/>
      <c r="EL1758" s="14"/>
      <c r="EM1758" s="14"/>
      <c r="EN1758" s="14"/>
      <c r="EO1758" s="14"/>
      <c r="EP1758" s="14"/>
      <c r="EQ1758" s="14"/>
      <c r="ER1758" s="14"/>
      <c r="ES1758" s="14"/>
      <c r="ET1758" s="14"/>
      <c r="EU1758" s="14"/>
      <c r="EV1758" s="14"/>
      <c r="EW1758" s="14"/>
      <c r="EX1758" s="14"/>
      <c r="EY1758" s="14"/>
      <c r="EZ1758" s="14"/>
      <c r="FA1758" s="14"/>
      <c r="FB1758" s="14"/>
      <c r="FC1758" s="14"/>
      <c r="FD1758" s="14"/>
      <c r="FE1758" s="14"/>
      <c r="FF1758" s="14"/>
      <c r="FG1758" s="14"/>
      <c r="FH1758" s="14"/>
      <c r="FI1758" s="14"/>
      <c r="FJ1758" s="14"/>
      <c r="FK1758" s="14"/>
      <c r="FL1758" s="14"/>
      <c r="FM1758" s="14"/>
      <c r="FN1758" s="14"/>
      <c r="FO1758" s="14"/>
      <c r="FP1758" s="14"/>
      <c r="FQ1758" s="14"/>
      <c r="FR1758" s="14"/>
      <c r="FS1758" s="14"/>
      <c r="FT1758" s="14"/>
      <c r="FU1758" s="14"/>
      <c r="FV1758" s="14"/>
      <c r="FW1758" s="14"/>
      <c r="FX1758" s="14"/>
      <c r="FY1758" s="14"/>
      <c r="FZ1758" s="14"/>
      <c r="GA1758" s="14"/>
      <c r="GB1758" s="14"/>
      <c r="GC1758" s="14"/>
      <c r="GD1758" s="14"/>
      <c r="GE1758" s="14"/>
      <c r="GF1758" s="14"/>
      <c r="GG1758" s="14"/>
      <c r="GH1758" s="14"/>
      <c r="GI1758" s="14"/>
      <c r="GJ1758" s="14"/>
      <c r="GK1758" s="14"/>
      <c r="GL1758" s="14"/>
      <c r="GM1758" s="14"/>
      <c r="GN1758" s="14"/>
      <c r="GO1758" s="14"/>
      <c r="GP1758" s="14"/>
      <c r="GQ1758" s="14"/>
      <c r="GR1758" s="14"/>
      <c r="GS1758" s="14"/>
      <c r="GT1758" s="14"/>
      <c r="GU1758" s="14"/>
      <c r="GV1758" s="14"/>
      <c r="GW1758" s="14"/>
      <c r="GX1758" s="14"/>
      <c r="GY1758" s="14"/>
      <c r="GZ1758" s="14"/>
      <c r="HA1758" s="14"/>
    </row>
    <row r="1759" ht="23.25" customHeight="1">
      <c r="A1759" s="14"/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57" t="s">
        <v>833</v>
      </c>
      <c r="BX1759" s="57" t="s">
        <v>834</v>
      </c>
      <c r="BY1759" s="14"/>
      <c r="BZ1759" s="57" t="s">
        <v>171</v>
      </c>
      <c r="CA1759" s="57" t="s">
        <v>1351</v>
      </c>
      <c r="CB1759" s="57" t="s">
        <v>345</v>
      </c>
      <c r="CC1759" s="57" t="s">
        <v>495</v>
      </c>
      <c r="CD1759" s="58">
        <v>43922.0</v>
      </c>
      <c r="CE1759" s="58">
        <v>43951.0</v>
      </c>
      <c r="CF1759" s="57">
        <v>100.0</v>
      </c>
      <c r="CG1759" s="59" t="s">
        <v>5183</v>
      </c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14"/>
      <c r="DC1759" s="14"/>
      <c r="DD1759" s="14"/>
      <c r="DE1759" s="14"/>
      <c r="DF1759" s="14"/>
      <c r="DG1759" s="14"/>
      <c r="DH1759" s="14"/>
      <c r="DI1759" s="14"/>
      <c r="DJ1759" s="14"/>
      <c r="DK1759" s="14"/>
      <c r="DL1759" s="14"/>
      <c r="DM1759" s="14"/>
      <c r="DN1759" s="14"/>
      <c r="DO1759" s="14"/>
      <c r="DP1759" s="14"/>
      <c r="DQ1759" s="14"/>
      <c r="DR1759" s="14"/>
      <c r="DS1759" s="14"/>
      <c r="DT1759" s="14"/>
      <c r="DU1759" s="14"/>
      <c r="DV1759" s="14"/>
      <c r="DW1759" s="14"/>
      <c r="DX1759" s="14"/>
      <c r="DY1759" s="14"/>
      <c r="DZ1759" s="14"/>
      <c r="EA1759" s="14"/>
      <c r="EB1759" s="14"/>
      <c r="EC1759" s="14"/>
      <c r="ED1759" s="14"/>
      <c r="EE1759" s="14"/>
      <c r="EF1759" s="14"/>
      <c r="EG1759" s="14"/>
      <c r="EH1759" s="14"/>
      <c r="EI1759" s="14"/>
      <c r="EJ1759" s="14"/>
      <c r="EK1759" s="14"/>
      <c r="EL1759" s="14"/>
      <c r="EM1759" s="14"/>
      <c r="EN1759" s="14"/>
      <c r="EO1759" s="14"/>
      <c r="EP1759" s="14"/>
      <c r="EQ1759" s="14"/>
      <c r="ER1759" s="14"/>
      <c r="ES1759" s="14"/>
      <c r="ET1759" s="14"/>
      <c r="EU1759" s="14"/>
      <c r="EV1759" s="14"/>
      <c r="EW1759" s="14"/>
      <c r="EX1759" s="14"/>
      <c r="EY1759" s="14"/>
      <c r="EZ1759" s="14"/>
      <c r="FA1759" s="14"/>
      <c r="FB1759" s="14"/>
      <c r="FC1759" s="14"/>
      <c r="FD1759" s="14"/>
      <c r="FE1759" s="14"/>
      <c r="FF1759" s="14"/>
      <c r="FG1759" s="14"/>
      <c r="FH1759" s="14"/>
      <c r="FI1759" s="14"/>
      <c r="FJ1759" s="14"/>
      <c r="FK1759" s="14"/>
      <c r="FL1759" s="14"/>
      <c r="FM1759" s="14"/>
      <c r="FN1759" s="14"/>
      <c r="FO1759" s="14"/>
      <c r="FP1759" s="14"/>
      <c r="FQ1759" s="14"/>
      <c r="FR1759" s="14"/>
      <c r="FS1759" s="14"/>
      <c r="FT1759" s="14"/>
      <c r="FU1759" s="14"/>
      <c r="FV1759" s="14"/>
      <c r="FW1759" s="14"/>
      <c r="FX1759" s="14"/>
      <c r="FY1759" s="14"/>
      <c r="FZ1759" s="14"/>
      <c r="GA1759" s="14"/>
      <c r="GB1759" s="14"/>
      <c r="GC1759" s="14"/>
      <c r="GD1759" s="14"/>
      <c r="GE1759" s="14"/>
      <c r="GF1759" s="14"/>
      <c r="GG1759" s="14"/>
      <c r="GH1759" s="14"/>
      <c r="GI1759" s="14"/>
      <c r="GJ1759" s="14"/>
      <c r="GK1759" s="14"/>
      <c r="GL1759" s="14"/>
      <c r="GM1759" s="14"/>
      <c r="GN1759" s="14"/>
      <c r="GO1759" s="14"/>
      <c r="GP1759" s="14"/>
      <c r="GQ1759" s="14"/>
      <c r="GR1759" s="14"/>
      <c r="GS1759" s="14"/>
      <c r="GT1759" s="14"/>
      <c r="GU1759" s="14"/>
      <c r="GV1759" s="14"/>
      <c r="GW1759" s="14"/>
      <c r="GX1759" s="14"/>
      <c r="GY1759" s="14"/>
      <c r="GZ1759" s="14"/>
      <c r="HA1759" s="14"/>
    </row>
    <row r="1760" ht="23.25" customHeight="1">
      <c r="A1760" s="14"/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57" t="s">
        <v>833</v>
      </c>
      <c r="BX1760" s="57" t="s">
        <v>834</v>
      </c>
      <c r="BY1760" s="14"/>
      <c r="BZ1760" s="57" t="s">
        <v>171</v>
      </c>
      <c r="CA1760" s="57" t="s">
        <v>5184</v>
      </c>
      <c r="CB1760" s="57" t="s">
        <v>345</v>
      </c>
      <c r="CC1760" s="57" t="s">
        <v>310</v>
      </c>
      <c r="CD1760" s="58">
        <v>43983.0</v>
      </c>
      <c r="CE1760" s="58">
        <v>44043.0</v>
      </c>
      <c r="CF1760" s="57">
        <v>100.0</v>
      </c>
      <c r="CG1760" s="59" t="s">
        <v>5185</v>
      </c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14"/>
      <c r="DC1760" s="14"/>
      <c r="DD1760" s="14"/>
      <c r="DE1760" s="14"/>
      <c r="DF1760" s="14"/>
      <c r="DG1760" s="14"/>
      <c r="DH1760" s="14"/>
      <c r="DI1760" s="14"/>
      <c r="DJ1760" s="14"/>
      <c r="DK1760" s="14"/>
      <c r="DL1760" s="14"/>
      <c r="DM1760" s="14"/>
      <c r="DN1760" s="14"/>
      <c r="DO1760" s="14"/>
      <c r="DP1760" s="14"/>
      <c r="DQ1760" s="14"/>
      <c r="DR1760" s="14"/>
      <c r="DS1760" s="14"/>
      <c r="DT1760" s="14"/>
      <c r="DU1760" s="14"/>
      <c r="DV1760" s="14"/>
      <c r="DW1760" s="14"/>
      <c r="DX1760" s="14"/>
      <c r="DY1760" s="14"/>
      <c r="DZ1760" s="14"/>
      <c r="EA1760" s="14"/>
      <c r="EB1760" s="14"/>
      <c r="EC1760" s="14"/>
      <c r="ED1760" s="14"/>
      <c r="EE1760" s="14"/>
      <c r="EF1760" s="14"/>
      <c r="EG1760" s="14"/>
      <c r="EH1760" s="14"/>
      <c r="EI1760" s="14"/>
      <c r="EJ1760" s="14"/>
      <c r="EK1760" s="14"/>
      <c r="EL1760" s="14"/>
      <c r="EM1760" s="14"/>
      <c r="EN1760" s="14"/>
      <c r="EO1760" s="14"/>
      <c r="EP1760" s="14"/>
      <c r="EQ1760" s="14"/>
      <c r="ER1760" s="14"/>
      <c r="ES1760" s="14"/>
      <c r="ET1760" s="14"/>
      <c r="EU1760" s="14"/>
      <c r="EV1760" s="14"/>
      <c r="EW1760" s="14"/>
      <c r="EX1760" s="14"/>
      <c r="EY1760" s="14"/>
      <c r="EZ1760" s="14"/>
      <c r="FA1760" s="14"/>
      <c r="FB1760" s="14"/>
      <c r="FC1760" s="14"/>
      <c r="FD1760" s="14"/>
      <c r="FE1760" s="14"/>
      <c r="FF1760" s="14"/>
      <c r="FG1760" s="14"/>
      <c r="FH1760" s="14"/>
      <c r="FI1760" s="14"/>
      <c r="FJ1760" s="14"/>
      <c r="FK1760" s="14"/>
      <c r="FL1760" s="14"/>
      <c r="FM1760" s="14"/>
      <c r="FN1760" s="14"/>
      <c r="FO1760" s="14"/>
      <c r="FP1760" s="14"/>
      <c r="FQ1760" s="14"/>
      <c r="FR1760" s="14"/>
      <c r="FS1760" s="14"/>
      <c r="FT1760" s="14"/>
      <c r="FU1760" s="14"/>
      <c r="FV1760" s="14"/>
      <c r="FW1760" s="14"/>
      <c r="FX1760" s="14"/>
      <c r="FY1760" s="14"/>
      <c r="FZ1760" s="14"/>
      <c r="GA1760" s="14"/>
      <c r="GB1760" s="14"/>
      <c r="GC1760" s="14"/>
      <c r="GD1760" s="14"/>
      <c r="GE1760" s="14"/>
      <c r="GF1760" s="14"/>
      <c r="GG1760" s="14"/>
      <c r="GH1760" s="14"/>
      <c r="GI1760" s="14"/>
      <c r="GJ1760" s="14"/>
      <c r="GK1760" s="14"/>
      <c r="GL1760" s="14"/>
      <c r="GM1760" s="14"/>
      <c r="GN1760" s="14"/>
      <c r="GO1760" s="14"/>
      <c r="GP1760" s="14"/>
      <c r="GQ1760" s="14"/>
      <c r="GR1760" s="14"/>
      <c r="GS1760" s="14"/>
      <c r="GT1760" s="14"/>
      <c r="GU1760" s="14"/>
      <c r="GV1760" s="14"/>
      <c r="GW1760" s="14"/>
      <c r="GX1760" s="14"/>
      <c r="GY1760" s="14"/>
      <c r="GZ1760" s="14"/>
      <c r="HA1760" s="14"/>
    </row>
    <row r="1761" ht="23.25" customHeight="1">
      <c r="A1761" s="14"/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57" t="s">
        <v>5186</v>
      </c>
      <c r="BX1761" s="57" t="s">
        <v>834</v>
      </c>
      <c r="BY1761" s="14"/>
      <c r="BZ1761" s="57" t="s">
        <v>171</v>
      </c>
      <c r="CA1761" s="57" t="s">
        <v>5187</v>
      </c>
      <c r="CB1761" s="57" t="s">
        <v>345</v>
      </c>
      <c r="CC1761" s="57" t="s">
        <v>310</v>
      </c>
      <c r="CD1761" s="58">
        <v>43983.0</v>
      </c>
      <c r="CE1761" s="58">
        <v>44043.0</v>
      </c>
      <c r="CF1761" s="57">
        <v>100.0</v>
      </c>
      <c r="CG1761" s="59" t="s">
        <v>5188</v>
      </c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14"/>
      <c r="DC1761" s="14"/>
      <c r="DD1761" s="14"/>
      <c r="DE1761" s="14"/>
      <c r="DF1761" s="14"/>
      <c r="DG1761" s="14"/>
      <c r="DH1761" s="14"/>
      <c r="DI1761" s="14"/>
      <c r="DJ1761" s="14"/>
      <c r="DK1761" s="14"/>
      <c r="DL1761" s="14"/>
      <c r="DM1761" s="14"/>
      <c r="DN1761" s="14"/>
      <c r="DO1761" s="14"/>
      <c r="DP1761" s="14"/>
      <c r="DQ1761" s="14"/>
      <c r="DR1761" s="14"/>
      <c r="DS1761" s="14"/>
      <c r="DT1761" s="14"/>
      <c r="DU1761" s="14"/>
      <c r="DV1761" s="14"/>
      <c r="DW1761" s="14"/>
      <c r="DX1761" s="14"/>
      <c r="DY1761" s="14"/>
      <c r="DZ1761" s="14"/>
      <c r="EA1761" s="14"/>
      <c r="EB1761" s="14"/>
      <c r="EC1761" s="14"/>
      <c r="ED1761" s="14"/>
      <c r="EE1761" s="14"/>
      <c r="EF1761" s="14"/>
      <c r="EG1761" s="14"/>
      <c r="EH1761" s="14"/>
      <c r="EI1761" s="14"/>
      <c r="EJ1761" s="14"/>
      <c r="EK1761" s="14"/>
      <c r="EL1761" s="14"/>
      <c r="EM1761" s="14"/>
      <c r="EN1761" s="14"/>
      <c r="EO1761" s="14"/>
      <c r="EP1761" s="14"/>
      <c r="EQ1761" s="14"/>
      <c r="ER1761" s="14"/>
      <c r="ES1761" s="14"/>
      <c r="ET1761" s="14"/>
      <c r="EU1761" s="14"/>
      <c r="EV1761" s="14"/>
      <c r="EW1761" s="14"/>
      <c r="EX1761" s="14"/>
      <c r="EY1761" s="14"/>
      <c r="EZ1761" s="14"/>
      <c r="FA1761" s="14"/>
      <c r="FB1761" s="14"/>
      <c r="FC1761" s="14"/>
      <c r="FD1761" s="14"/>
      <c r="FE1761" s="14"/>
      <c r="FF1761" s="14"/>
      <c r="FG1761" s="14"/>
      <c r="FH1761" s="14"/>
      <c r="FI1761" s="14"/>
      <c r="FJ1761" s="14"/>
      <c r="FK1761" s="14"/>
      <c r="FL1761" s="14"/>
      <c r="FM1761" s="14"/>
      <c r="FN1761" s="14"/>
      <c r="FO1761" s="14"/>
      <c r="FP1761" s="14"/>
      <c r="FQ1761" s="14"/>
      <c r="FR1761" s="14"/>
      <c r="FS1761" s="14"/>
      <c r="FT1761" s="14"/>
      <c r="FU1761" s="14"/>
      <c r="FV1761" s="14"/>
      <c r="FW1761" s="14"/>
      <c r="FX1761" s="14"/>
      <c r="FY1761" s="14"/>
      <c r="FZ1761" s="14"/>
      <c r="GA1761" s="14"/>
      <c r="GB1761" s="14"/>
      <c r="GC1761" s="14"/>
      <c r="GD1761" s="14"/>
      <c r="GE1761" s="14"/>
      <c r="GF1761" s="14"/>
      <c r="GG1761" s="14"/>
      <c r="GH1761" s="14"/>
      <c r="GI1761" s="14"/>
      <c r="GJ1761" s="14"/>
      <c r="GK1761" s="14"/>
      <c r="GL1761" s="14"/>
      <c r="GM1761" s="14"/>
      <c r="GN1761" s="14"/>
      <c r="GO1761" s="14"/>
      <c r="GP1761" s="14"/>
      <c r="GQ1761" s="14"/>
      <c r="GR1761" s="14"/>
      <c r="GS1761" s="14"/>
      <c r="GT1761" s="14"/>
      <c r="GU1761" s="14"/>
      <c r="GV1761" s="14"/>
      <c r="GW1761" s="14"/>
      <c r="GX1761" s="14"/>
      <c r="GY1761" s="14"/>
      <c r="GZ1761" s="14"/>
      <c r="HA1761" s="14"/>
    </row>
    <row r="1762" ht="23.25" customHeight="1">
      <c r="A1762" s="14"/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57" t="s">
        <v>833</v>
      </c>
      <c r="BX1762" s="57" t="s">
        <v>834</v>
      </c>
      <c r="BY1762" s="14"/>
      <c r="BZ1762" s="57" t="s">
        <v>171</v>
      </c>
      <c r="CA1762" s="57" t="s">
        <v>5189</v>
      </c>
      <c r="CB1762" s="57" t="s">
        <v>345</v>
      </c>
      <c r="CC1762" s="57" t="s">
        <v>310</v>
      </c>
      <c r="CD1762" s="58">
        <v>43952.0</v>
      </c>
      <c r="CE1762" s="58">
        <v>44012.0</v>
      </c>
      <c r="CF1762" s="57">
        <v>100.0</v>
      </c>
      <c r="CG1762" s="59" t="s">
        <v>5190</v>
      </c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14"/>
      <c r="DC1762" s="14"/>
      <c r="DD1762" s="14"/>
      <c r="DE1762" s="14"/>
      <c r="DF1762" s="14"/>
      <c r="DG1762" s="14"/>
      <c r="DH1762" s="14"/>
      <c r="DI1762" s="14"/>
      <c r="DJ1762" s="14"/>
      <c r="DK1762" s="14"/>
      <c r="DL1762" s="14"/>
      <c r="DM1762" s="14"/>
      <c r="DN1762" s="14"/>
      <c r="DO1762" s="14"/>
      <c r="DP1762" s="14"/>
      <c r="DQ1762" s="14"/>
      <c r="DR1762" s="14"/>
      <c r="DS1762" s="14"/>
      <c r="DT1762" s="14"/>
      <c r="DU1762" s="14"/>
      <c r="DV1762" s="14"/>
      <c r="DW1762" s="14"/>
      <c r="DX1762" s="14"/>
      <c r="DY1762" s="14"/>
      <c r="DZ1762" s="14"/>
      <c r="EA1762" s="14"/>
      <c r="EB1762" s="14"/>
      <c r="EC1762" s="14"/>
      <c r="ED1762" s="14"/>
      <c r="EE1762" s="14"/>
      <c r="EF1762" s="14"/>
      <c r="EG1762" s="14"/>
      <c r="EH1762" s="14"/>
      <c r="EI1762" s="14"/>
      <c r="EJ1762" s="14"/>
      <c r="EK1762" s="14"/>
      <c r="EL1762" s="14"/>
      <c r="EM1762" s="14"/>
      <c r="EN1762" s="14"/>
      <c r="EO1762" s="14"/>
      <c r="EP1762" s="14"/>
      <c r="EQ1762" s="14"/>
      <c r="ER1762" s="14"/>
      <c r="ES1762" s="14"/>
      <c r="ET1762" s="14"/>
      <c r="EU1762" s="14"/>
      <c r="EV1762" s="14"/>
      <c r="EW1762" s="14"/>
      <c r="EX1762" s="14"/>
      <c r="EY1762" s="14"/>
      <c r="EZ1762" s="14"/>
      <c r="FA1762" s="14"/>
      <c r="FB1762" s="14"/>
      <c r="FC1762" s="14"/>
      <c r="FD1762" s="14"/>
      <c r="FE1762" s="14"/>
      <c r="FF1762" s="14"/>
      <c r="FG1762" s="14"/>
      <c r="FH1762" s="14"/>
      <c r="FI1762" s="14"/>
      <c r="FJ1762" s="14"/>
      <c r="FK1762" s="14"/>
      <c r="FL1762" s="14"/>
      <c r="FM1762" s="14"/>
      <c r="FN1762" s="14"/>
      <c r="FO1762" s="14"/>
      <c r="FP1762" s="14"/>
      <c r="FQ1762" s="14"/>
      <c r="FR1762" s="14"/>
      <c r="FS1762" s="14"/>
      <c r="FT1762" s="14"/>
      <c r="FU1762" s="14"/>
      <c r="FV1762" s="14"/>
      <c r="FW1762" s="14"/>
      <c r="FX1762" s="14"/>
      <c r="FY1762" s="14"/>
      <c r="FZ1762" s="14"/>
      <c r="GA1762" s="14"/>
      <c r="GB1762" s="14"/>
      <c r="GC1762" s="14"/>
      <c r="GD1762" s="14"/>
      <c r="GE1762" s="14"/>
      <c r="GF1762" s="14"/>
      <c r="GG1762" s="14"/>
      <c r="GH1762" s="14"/>
      <c r="GI1762" s="14"/>
      <c r="GJ1762" s="14"/>
      <c r="GK1762" s="14"/>
      <c r="GL1762" s="14"/>
      <c r="GM1762" s="14"/>
      <c r="GN1762" s="14"/>
      <c r="GO1762" s="14"/>
      <c r="GP1762" s="14"/>
      <c r="GQ1762" s="14"/>
      <c r="GR1762" s="14"/>
      <c r="GS1762" s="14"/>
      <c r="GT1762" s="14"/>
      <c r="GU1762" s="14"/>
      <c r="GV1762" s="14"/>
      <c r="GW1762" s="14"/>
      <c r="GX1762" s="14"/>
      <c r="GY1762" s="14"/>
      <c r="GZ1762" s="14"/>
      <c r="HA1762" s="14"/>
    </row>
    <row r="1763" ht="23.25" customHeight="1">
      <c r="A1763" s="14"/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57" t="s">
        <v>833</v>
      </c>
      <c r="BX1763" s="57" t="s">
        <v>834</v>
      </c>
      <c r="BY1763" s="14"/>
      <c r="BZ1763" s="57" t="s">
        <v>171</v>
      </c>
      <c r="CA1763" s="57" t="s">
        <v>5166</v>
      </c>
      <c r="CB1763" s="57" t="s">
        <v>345</v>
      </c>
      <c r="CC1763" s="57" t="s">
        <v>310</v>
      </c>
      <c r="CD1763" s="58">
        <v>43952.0</v>
      </c>
      <c r="CE1763" s="58">
        <v>44012.0</v>
      </c>
      <c r="CF1763" s="57">
        <v>100.0</v>
      </c>
      <c r="CG1763" s="59" t="s">
        <v>5191</v>
      </c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14"/>
      <c r="DC1763" s="14"/>
      <c r="DD1763" s="14"/>
      <c r="DE1763" s="14"/>
      <c r="DF1763" s="14"/>
      <c r="DG1763" s="14"/>
      <c r="DH1763" s="14"/>
      <c r="DI1763" s="14"/>
      <c r="DJ1763" s="14"/>
      <c r="DK1763" s="14"/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14"/>
      <c r="EJ1763" s="14"/>
      <c r="EK1763" s="14"/>
      <c r="EL1763" s="14"/>
      <c r="EM1763" s="14"/>
      <c r="EN1763" s="14"/>
      <c r="EO1763" s="14"/>
      <c r="EP1763" s="14"/>
      <c r="EQ1763" s="14"/>
      <c r="ER1763" s="14"/>
      <c r="ES1763" s="14"/>
      <c r="ET1763" s="14"/>
      <c r="EU1763" s="14"/>
      <c r="EV1763" s="14"/>
      <c r="EW1763" s="14"/>
      <c r="EX1763" s="14"/>
      <c r="EY1763" s="14"/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4"/>
      <c r="FZ1763" s="14"/>
      <c r="GA1763" s="14"/>
      <c r="GB1763" s="14"/>
      <c r="GC1763" s="14"/>
      <c r="GD1763" s="14"/>
      <c r="GE1763" s="14"/>
      <c r="GF1763" s="14"/>
      <c r="GG1763" s="14"/>
      <c r="GH1763" s="14"/>
      <c r="GI1763" s="14"/>
      <c r="GJ1763" s="14"/>
      <c r="GK1763" s="14"/>
      <c r="GL1763" s="14"/>
      <c r="GM1763" s="14"/>
      <c r="GN1763" s="14"/>
      <c r="GO1763" s="14"/>
      <c r="GP1763" s="14"/>
      <c r="GQ1763" s="14"/>
      <c r="GR1763" s="14"/>
      <c r="GS1763" s="14"/>
      <c r="GT1763" s="14"/>
      <c r="GU1763" s="14"/>
      <c r="GV1763" s="14"/>
      <c r="GW1763" s="14"/>
      <c r="GX1763" s="14"/>
      <c r="GY1763" s="14"/>
      <c r="GZ1763" s="14"/>
      <c r="HA1763" s="14"/>
    </row>
    <row r="1764" ht="23.25" customHeight="1">
      <c r="A1764" s="14"/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57" t="s">
        <v>833</v>
      </c>
      <c r="BX1764" s="57" t="s">
        <v>834</v>
      </c>
      <c r="BY1764" s="14"/>
      <c r="BZ1764" s="57" t="s">
        <v>171</v>
      </c>
      <c r="CA1764" s="57" t="s">
        <v>5192</v>
      </c>
      <c r="CB1764" s="57" t="s">
        <v>345</v>
      </c>
      <c r="CC1764" s="57" t="s">
        <v>4613</v>
      </c>
      <c r="CD1764" s="58">
        <v>43983.0</v>
      </c>
      <c r="CE1764" s="58">
        <v>44012.0</v>
      </c>
      <c r="CF1764" s="57">
        <v>100.0</v>
      </c>
      <c r="CG1764" s="59" t="s">
        <v>5193</v>
      </c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14"/>
      <c r="DC1764" s="14"/>
      <c r="DD1764" s="14"/>
      <c r="DE1764" s="14"/>
      <c r="DF1764" s="14"/>
      <c r="DG1764" s="14"/>
      <c r="DH1764" s="14"/>
      <c r="DI1764" s="14"/>
      <c r="DJ1764" s="14"/>
      <c r="DK1764" s="14"/>
      <c r="DL1764" s="14"/>
      <c r="DM1764" s="14"/>
      <c r="DN1764" s="14"/>
      <c r="DO1764" s="14"/>
      <c r="DP1764" s="14"/>
      <c r="DQ1764" s="14"/>
      <c r="DR1764" s="14"/>
      <c r="DS1764" s="14"/>
      <c r="DT1764" s="14"/>
      <c r="DU1764" s="14"/>
      <c r="DV1764" s="14"/>
      <c r="DW1764" s="14"/>
      <c r="DX1764" s="14"/>
      <c r="DY1764" s="14"/>
      <c r="DZ1764" s="14"/>
      <c r="EA1764" s="14"/>
      <c r="EB1764" s="14"/>
      <c r="EC1764" s="14"/>
      <c r="ED1764" s="14"/>
      <c r="EE1764" s="14"/>
      <c r="EF1764" s="14"/>
      <c r="EG1764" s="14"/>
      <c r="EH1764" s="14"/>
      <c r="EI1764" s="14"/>
      <c r="EJ1764" s="14"/>
      <c r="EK1764" s="14"/>
      <c r="EL1764" s="14"/>
      <c r="EM1764" s="14"/>
      <c r="EN1764" s="14"/>
      <c r="EO1764" s="14"/>
      <c r="EP1764" s="14"/>
      <c r="EQ1764" s="14"/>
      <c r="ER1764" s="14"/>
      <c r="ES1764" s="14"/>
      <c r="ET1764" s="14"/>
      <c r="EU1764" s="14"/>
      <c r="EV1764" s="14"/>
      <c r="EW1764" s="14"/>
      <c r="EX1764" s="14"/>
      <c r="EY1764" s="14"/>
      <c r="EZ1764" s="14"/>
      <c r="FA1764" s="14"/>
      <c r="FB1764" s="14"/>
      <c r="FC1764" s="14"/>
      <c r="FD1764" s="14"/>
      <c r="FE1764" s="14"/>
      <c r="FF1764" s="14"/>
      <c r="FG1764" s="14"/>
      <c r="FH1764" s="14"/>
      <c r="FI1764" s="14"/>
      <c r="FJ1764" s="14"/>
      <c r="FK1764" s="14"/>
      <c r="FL1764" s="14"/>
      <c r="FM1764" s="14"/>
      <c r="FN1764" s="14"/>
      <c r="FO1764" s="14"/>
      <c r="FP1764" s="14"/>
      <c r="FQ1764" s="14"/>
      <c r="FR1764" s="14"/>
      <c r="FS1764" s="14"/>
      <c r="FT1764" s="14"/>
      <c r="FU1764" s="14"/>
      <c r="FV1764" s="14"/>
      <c r="FW1764" s="14"/>
      <c r="FX1764" s="14"/>
      <c r="FY1764" s="14"/>
      <c r="FZ1764" s="14"/>
      <c r="GA1764" s="14"/>
      <c r="GB1764" s="14"/>
      <c r="GC1764" s="14"/>
      <c r="GD1764" s="14"/>
      <c r="GE1764" s="14"/>
      <c r="GF1764" s="14"/>
      <c r="GG1764" s="14"/>
      <c r="GH1764" s="14"/>
      <c r="GI1764" s="14"/>
      <c r="GJ1764" s="14"/>
      <c r="GK1764" s="14"/>
      <c r="GL1764" s="14"/>
      <c r="GM1764" s="14"/>
      <c r="GN1764" s="14"/>
      <c r="GO1764" s="14"/>
      <c r="GP1764" s="14"/>
      <c r="GQ1764" s="14"/>
      <c r="GR1764" s="14"/>
      <c r="GS1764" s="14"/>
      <c r="GT1764" s="14"/>
      <c r="GU1764" s="14"/>
      <c r="GV1764" s="14"/>
      <c r="GW1764" s="14"/>
      <c r="GX1764" s="14"/>
      <c r="GY1764" s="14"/>
      <c r="GZ1764" s="14"/>
      <c r="HA1764" s="14"/>
    </row>
    <row r="1765" ht="23.25" customHeight="1">
      <c r="A1765" s="14"/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57" t="s">
        <v>833</v>
      </c>
      <c r="BX1765" s="57" t="s">
        <v>834</v>
      </c>
      <c r="BY1765" s="14"/>
      <c r="BZ1765" s="57" t="s">
        <v>171</v>
      </c>
      <c r="CA1765" s="57" t="s">
        <v>5194</v>
      </c>
      <c r="CB1765" s="57" t="s">
        <v>345</v>
      </c>
      <c r="CC1765" s="57" t="s">
        <v>310</v>
      </c>
      <c r="CD1765" s="58">
        <v>44075.0</v>
      </c>
      <c r="CE1765" s="58">
        <v>44135.0</v>
      </c>
      <c r="CF1765" s="57">
        <v>100.0</v>
      </c>
      <c r="CG1765" s="59" t="s">
        <v>5195</v>
      </c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14"/>
      <c r="DC1765" s="14"/>
      <c r="DD1765" s="14"/>
      <c r="DE1765" s="14"/>
      <c r="DF1765" s="14"/>
      <c r="DG1765" s="14"/>
      <c r="DH1765" s="14"/>
      <c r="DI1765" s="14"/>
      <c r="DJ1765" s="14"/>
      <c r="DK1765" s="14"/>
      <c r="DL1765" s="14"/>
      <c r="DM1765" s="14"/>
      <c r="DN1765" s="14"/>
      <c r="DO1765" s="14"/>
      <c r="DP1765" s="14"/>
      <c r="DQ1765" s="14"/>
      <c r="DR1765" s="14"/>
      <c r="DS1765" s="14"/>
      <c r="DT1765" s="14"/>
      <c r="DU1765" s="14"/>
      <c r="DV1765" s="14"/>
      <c r="DW1765" s="14"/>
      <c r="DX1765" s="14"/>
      <c r="DY1765" s="14"/>
      <c r="DZ1765" s="14"/>
      <c r="EA1765" s="14"/>
      <c r="EB1765" s="14"/>
      <c r="EC1765" s="14"/>
      <c r="ED1765" s="14"/>
      <c r="EE1765" s="14"/>
      <c r="EF1765" s="14"/>
      <c r="EG1765" s="14"/>
      <c r="EH1765" s="14"/>
      <c r="EI1765" s="14"/>
      <c r="EJ1765" s="14"/>
      <c r="EK1765" s="14"/>
      <c r="EL1765" s="14"/>
      <c r="EM1765" s="14"/>
      <c r="EN1765" s="14"/>
      <c r="EO1765" s="14"/>
      <c r="EP1765" s="14"/>
      <c r="EQ1765" s="14"/>
      <c r="ER1765" s="14"/>
      <c r="ES1765" s="14"/>
      <c r="ET1765" s="14"/>
      <c r="EU1765" s="14"/>
      <c r="EV1765" s="14"/>
      <c r="EW1765" s="14"/>
      <c r="EX1765" s="14"/>
      <c r="EY1765" s="14"/>
      <c r="EZ1765" s="14"/>
      <c r="FA1765" s="14"/>
      <c r="FB1765" s="14"/>
      <c r="FC1765" s="14"/>
      <c r="FD1765" s="14"/>
      <c r="FE1765" s="14"/>
      <c r="FF1765" s="14"/>
      <c r="FG1765" s="14"/>
      <c r="FH1765" s="14"/>
      <c r="FI1765" s="14"/>
      <c r="FJ1765" s="14"/>
      <c r="FK1765" s="14"/>
      <c r="FL1765" s="14"/>
      <c r="FM1765" s="14"/>
      <c r="FN1765" s="14"/>
      <c r="FO1765" s="14"/>
      <c r="FP1765" s="14"/>
      <c r="FQ1765" s="14"/>
      <c r="FR1765" s="14"/>
      <c r="FS1765" s="14"/>
      <c r="FT1765" s="14"/>
      <c r="FU1765" s="14"/>
      <c r="FV1765" s="14"/>
      <c r="FW1765" s="14"/>
      <c r="FX1765" s="14"/>
      <c r="FY1765" s="14"/>
      <c r="FZ1765" s="14"/>
      <c r="GA1765" s="14"/>
      <c r="GB1765" s="14"/>
      <c r="GC1765" s="14"/>
      <c r="GD1765" s="14"/>
      <c r="GE1765" s="14"/>
      <c r="GF1765" s="14"/>
      <c r="GG1765" s="14"/>
      <c r="GH1765" s="14"/>
      <c r="GI1765" s="14"/>
      <c r="GJ1765" s="14"/>
      <c r="GK1765" s="14"/>
      <c r="GL1765" s="14"/>
      <c r="GM1765" s="14"/>
      <c r="GN1765" s="14"/>
      <c r="GO1765" s="14"/>
      <c r="GP1765" s="14"/>
      <c r="GQ1765" s="14"/>
      <c r="GR1765" s="14"/>
      <c r="GS1765" s="14"/>
      <c r="GT1765" s="14"/>
      <c r="GU1765" s="14"/>
      <c r="GV1765" s="14"/>
      <c r="GW1765" s="14"/>
      <c r="GX1765" s="14"/>
      <c r="GY1765" s="14"/>
      <c r="GZ1765" s="14"/>
      <c r="HA1765" s="14"/>
    </row>
    <row r="1766" ht="23.25" customHeight="1">
      <c r="A1766" s="14"/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57" t="s">
        <v>833</v>
      </c>
      <c r="BX1766" s="57" t="s">
        <v>834</v>
      </c>
      <c r="BY1766" s="14"/>
      <c r="BZ1766" s="57" t="s">
        <v>171</v>
      </c>
      <c r="CA1766" s="57" t="s">
        <v>5196</v>
      </c>
      <c r="CB1766" s="57" t="s">
        <v>345</v>
      </c>
      <c r="CC1766" s="57" t="s">
        <v>310</v>
      </c>
      <c r="CD1766" s="58">
        <v>43922.0</v>
      </c>
      <c r="CE1766" s="58">
        <v>43982.0</v>
      </c>
      <c r="CF1766" s="57">
        <v>100.0</v>
      </c>
      <c r="CG1766" s="59" t="s">
        <v>5197</v>
      </c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14"/>
      <c r="DC1766" s="14"/>
      <c r="DD1766" s="14"/>
      <c r="DE1766" s="14"/>
      <c r="DF1766" s="14"/>
      <c r="DG1766" s="14"/>
      <c r="DH1766" s="14"/>
      <c r="DI1766" s="14"/>
      <c r="DJ1766" s="14"/>
      <c r="DK1766" s="14"/>
      <c r="DL1766" s="14"/>
      <c r="DM1766" s="14"/>
      <c r="DN1766" s="14"/>
      <c r="DO1766" s="14"/>
      <c r="DP1766" s="14"/>
      <c r="DQ1766" s="14"/>
      <c r="DR1766" s="14"/>
      <c r="DS1766" s="14"/>
      <c r="DT1766" s="14"/>
      <c r="DU1766" s="14"/>
      <c r="DV1766" s="14"/>
      <c r="DW1766" s="14"/>
      <c r="DX1766" s="14"/>
      <c r="DY1766" s="14"/>
      <c r="DZ1766" s="14"/>
      <c r="EA1766" s="14"/>
      <c r="EB1766" s="14"/>
      <c r="EC1766" s="14"/>
      <c r="ED1766" s="14"/>
      <c r="EE1766" s="14"/>
      <c r="EF1766" s="14"/>
      <c r="EG1766" s="14"/>
      <c r="EH1766" s="14"/>
      <c r="EI1766" s="14"/>
      <c r="EJ1766" s="14"/>
      <c r="EK1766" s="14"/>
      <c r="EL1766" s="14"/>
      <c r="EM1766" s="14"/>
      <c r="EN1766" s="14"/>
      <c r="EO1766" s="14"/>
      <c r="EP1766" s="14"/>
      <c r="EQ1766" s="14"/>
      <c r="ER1766" s="14"/>
      <c r="ES1766" s="14"/>
      <c r="ET1766" s="14"/>
      <c r="EU1766" s="14"/>
      <c r="EV1766" s="14"/>
      <c r="EW1766" s="14"/>
      <c r="EX1766" s="14"/>
      <c r="EY1766" s="14"/>
      <c r="EZ1766" s="14"/>
      <c r="FA1766" s="14"/>
      <c r="FB1766" s="14"/>
      <c r="FC1766" s="14"/>
      <c r="FD1766" s="14"/>
      <c r="FE1766" s="14"/>
      <c r="FF1766" s="14"/>
      <c r="FG1766" s="14"/>
      <c r="FH1766" s="14"/>
      <c r="FI1766" s="14"/>
      <c r="FJ1766" s="14"/>
      <c r="FK1766" s="14"/>
      <c r="FL1766" s="14"/>
      <c r="FM1766" s="14"/>
      <c r="FN1766" s="14"/>
      <c r="FO1766" s="14"/>
      <c r="FP1766" s="14"/>
      <c r="FQ1766" s="14"/>
      <c r="FR1766" s="14"/>
      <c r="FS1766" s="14"/>
      <c r="FT1766" s="14"/>
      <c r="FU1766" s="14"/>
      <c r="FV1766" s="14"/>
      <c r="FW1766" s="14"/>
      <c r="FX1766" s="14"/>
      <c r="FY1766" s="14"/>
      <c r="FZ1766" s="14"/>
      <c r="GA1766" s="14"/>
      <c r="GB1766" s="14"/>
      <c r="GC1766" s="14"/>
      <c r="GD1766" s="14"/>
      <c r="GE1766" s="14"/>
      <c r="GF1766" s="14"/>
      <c r="GG1766" s="14"/>
      <c r="GH1766" s="14"/>
      <c r="GI1766" s="14"/>
      <c r="GJ1766" s="14"/>
      <c r="GK1766" s="14"/>
      <c r="GL1766" s="14"/>
      <c r="GM1766" s="14"/>
      <c r="GN1766" s="14"/>
      <c r="GO1766" s="14"/>
      <c r="GP1766" s="14"/>
      <c r="GQ1766" s="14"/>
      <c r="GR1766" s="14"/>
      <c r="GS1766" s="14"/>
      <c r="GT1766" s="14"/>
      <c r="GU1766" s="14"/>
      <c r="GV1766" s="14"/>
      <c r="GW1766" s="14"/>
      <c r="GX1766" s="14"/>
      <c r="GY1766" s="14"/>
      <c r="GZ1766" s="14"/>
      <c r="HA1766" s="14"/>
    </row>
    <row r="1767" ht="23.25" customHeight="1">
      <c r="A1767" s="14"/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57" t="s">
        <v>2151</v>
      </c>
      <c r="BX1767" s="57" t="s">
        <v>2152</v>
      </c>
      <c r="BY1767" s="14"/>
      <c r="BZ1767" s="57" t="s">
        <v>171</v>
      </c>
      <c r="CA1767" s="57" t="s">
        <v>543</v>
      </c>
      <c r="CB1767" s="57" t="s">
        <v>1088</v>
      </c>
      <c r="CC1767" s="57" t="s">
        <v>2171</v>
      </c>
      <c r="CD1767" s="58">
        <v>43946.0</v>
      </c>
      <c r="CE1767" s="58">
        <v>43952.0</v>
      </c>
      <c r="CF1767" s="57">
        <v>100.0</v>
      </c>
      <c r="CG1767" s="59" t="s">
        <v>5198</v>
      </c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14"/>
      <c r="DC1767" s="14"/>
      <c r="DD1767" s="14"/>
      <c r="DE1767" s="14"/>
      <c r="DF1767" s="14"/>
      <c r="DG1767" s="14"/>
      <c r="DH1767" s="14"/>
      <c r="DI1767" s="14"/>
      <c r="DJ1767" s="14"/>
      <c r="DK1767" s="14"/>
      <c r="DL1767" s="14"/>
      <c r="DM1767" s="14"/>
      <c r="DN1767" s="14"/>
      <c r="DO1767" s="14"/>
      <c r="DP1767" s="14"/>
      <c r="DQ1767" s="14"/>
      <c r="DR1767" s="14"/>
      <c r="DS1767" s="14"/>
      <c r="DT1767" s="14"/>
      <c r="DU1767" s="14"/>
      <c r="DV1767" s="14"/>
      <c r="DW1767" s="14"/>
      <c r="DX1767" s="14"/>
      <c r="DY1767" s="14"/>
      <c r="DZ1767" s="14"/>
      <c r="EA1767" s="14"/>
      <c r="EB1767" s="14"/>
      <c r="EC1767" s="14"/>
      <c r="ED1767" s="14"/>
      <c r="EE1767" s="14"/>
      <c r="EF1767" s="14"/>
      <c r="EG1767" s="14"/>
      <c r="EH1767" s="14"/>
      <c r="EI1767" s="14"/>
      <c r="EJ1767" s="14"/>
      <c r="EK1767" s="14"/>
      <c r="EL1767" s="14"/>
      <c r="EM1767" s="14"/>
      <c r="EN1767" s="14"/>
      <c r="EO1767" s="14"/>
      <c r="EP1767" s="14"/>
      <c r="EQ1767" s="14"/>
      <c r="ER1767" s="14"/>
      <c r="ES1767" s="14"/>
      <c r="ET1767" s="14"/>
      <c r="EU1767" s="14"/>
      <c r="EV1767" s="14"/>
      <c r="EW1767" s="14"/>
      <c r="EX1767" s="14"/>
      <c r="EY1767" s="14"/>
      <c r="EZ1767" s="14"/>
      <c r="FA1767" s="14"/>
      <c r="FB1767" s="14"/>
      <c r="FC1767" s="14"/>
      <c r="FD1767" s="14"/>
      <c r="FE1767" s="14"/>
      <c r="FF1767" s="14"/>
      <c r="FG1767" s="14"/>
      <c r="FH1767" s="14"/>
      <c r="FI1767" s="14"/>
      <c r="FJ1767" s="14"/>
      <c r="FK1767" s="14"/>
      <c r="FL1767" s="14"/>
      <c r="FM1767" s="14"/>
      <c r="FN1767" s="14"/>
      <c r="FO1767" s="14"/>
      <c r="FP1767" s="14"/>
      <c r="FQ1767" s="14"/>
      <c r="FR1767" s="14"/>
      <c r="FS1767" s="14"/>
      <c r="FT1767" s="14"/>
      <c r="FU1767" s="14"/>
      <c r="FV1767" s="14"/>
      <c r="FW1767" s="14"/>
      <c r="FX1767" s="14"/>
      <c r="FY1767" s="14"/>
      <c r="FZ1767" s="14"/>
      <c r="GA1767" s="14"/>
      <c r="GB1767" s="14"/>
      <c r="GC1767" s="14"/>
      <c r="GD1767" s="14"/>
      <c r="GE1767" s="14"/>
      <c r="GF1767" s="14"/>
      <c r="GG1767" s="14"/>
      <c r="GH1767" s="14"/>
      <c r="GI1767" s="14"/>
      <c r="GJ1767" s="14"/>
      <c r="GK1767" s="14"/>
      <c r="GL1767" s="14"/>
      <c r="GM1767" s="14"/>
      <c r="GN1767" s="14"/>
      <c r="GO1767" s="14"/>
      <c r="GP1767" s="14"/>
      <c r="GQ1767" s="14"/>
      <c r="GR1767" s="14"/>
      <c r="GS1767" s="14"/>
      <c r="GT1767" s="14"/>
      <c r="GU1767" s="14"/>
      <c r="GV1767" s="14"/>
      <c r="GW1767" s="14"/>
      <c r="GX1767" s="14"/>
      <c r="GY1767" s="14"/>
      <c r="GZ1767" s="14"/>
      <c r="HA1767" s="14"/>
    </row>
    <row r="1768" ht="23.25" customHeight="1">
      <c r="A1768" s="14"/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57" t="s">
        <v>2151</v>
      </c>
      <c r="BX1768" s="57" t="s">
        <v>2152</v>
      </c>
      <c r="BY1768" s="14"/>
      <c r="BZ1768" s="57" t="s">
        <v>159</v>
      </c>
      <c r="CA1768" s="57" t="s">
        <v>1753</v>
      </c>
      <c r="CB1768" s="57" t="s">
        <v>1088</v>
      </c>
      <c r="CC1768" s="57" t="s">
        <v>2171</v>
      </c>
      <c r="CD1768" s="58">
        <v>43895.0</v>
      </c>
      <c r="CE1768" s="58">
        <v>43946.0</v>
      </c>
      <c r="CF1768" s="57">
        <v>99.08</v>
      </c>
      <c r="CG1768" s="59" t="s">
        <v>5199</v>
      </c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14"/>
      <c r="DC1768" s="14"/>
      <c r="DD1768" s="14"/>
      <c r="DE1768" s="14"/>
      <c r="DF1768" s="14"/>
      <c r="DG1768" s="14"/>
      <c r="DH1768" s="14"/>
      <c r="DI1768" s="14"/>
      <c r="DJ1768" s="14"/>
      <c r="DK1768" s="14"/>
      <c r="DL1768" s="14"/>
      <c r="DM1768" s="14"/>
      <c r="DN1768" s="14"/>
      <c r="DO1768" s="14"/>
      <c r="DP1768" s="14"/>
      <c r="DQ1768" s="14"/>
      <c r="DR1768" s="14"/>
      <c r="DS1768" s="14"/>
      <c r="DT1768" s="14"/>
      <c r="DU1768" s="14"/>
      <c r="DV1768" s="14"/>
      <c r="DW1768" s="14"/>
      <c r="DX1768" s="14"/>
      <c r="DY1768" s="14"/>
      <c r="DZ1768" s="14"/>
      <c r="EA1768" s="14"/>
      <c r="EB1768" s="14"/>
      <c r="EC1768" s="14"/>
      <c r="ED1768" s="14"/>
      <c r="EE1768" s="14"/>
      <c r="EF1768" s="14"/>
      <c r="EG1768" s="14"/>
      <c r="EH1768" s="14"/>
      <c r="EI1768" s="14"/>
      <c r="EJ1768" s="14"/>
      <c r="EK1768" s="14"/>
      <c r="EL1768" s="14"/>
      <c r="EM1768" s="14"/>
      <c r="EN1768" s="14"/>
      <c r="EO1768" s="14"/>
      <c r="EP1768" s="14"/>
      <c r="EQ1768" s="14"/>
      <c r="ER1768" s="14"/>
      <c r="ES1768" s="14"/>
      <c r="ET1768" s="14"/>
      <c r="EU1768" s="14"/>
      <c r="EV1768" s="14"/>
      <c r="EW1768" s="14"/>
      <c r="EX1768" s="14"/>
      <c r="EY1768" s="14"/>
      <c r="EZ1768" s="14"/>
      <c r="FA1768" s="14"/>
      <c r="FB1768" s="14"/>
      <c r="FC1768" s="14"/>
      <c r="FD1768" s="14"/>
      <c r="FE1768" s="14"/>
      <c r="FF1768" s="14"/>
      <c r="FG1768" s="14"/>
      <c r="FH1768" s="14"/>
      <c r="FI1768" s="14"/>
      <c r="FJ1768" s="14"/>
      <c r="FK1768" s="14"/>
      <c r="FL1768" s="14"/>
      <c r="FM1768" s="14"/>
      <c r="FN1768" s="14"/>
      <c r="FO1768" s="14"/>
      <c r="FP1768" s="14"/>
      <c r="FQ1768" s="14"/>
      <c r="FR1768" s="14"/>
      <c r="FS1768" s="14"/>
      <c r="FT1768" s="14"/>
      <c r="FU1768" s="14"/>
      <c r="FV1768" s="14"/>
      <c r="FW1768" s="14"/>
      <c r="FX1768" s="14"/>
      <c r="FY1768" s="14"/>
      <c r="FZ1768" s="14"/>
      <c r="GA1768" s="14"/>
      <c r="GB1768" s="14"/>
      <c r="GC1768" s="14"/>
      <c r="GD1768" s="14"/>
      <c r="GE1768" s="14"/>
      <c r="GF1768" s="14"/>
      <c r="GG1768" s="14"/>
      <c r="GH1768" s="14"/>
      <c r="GI1768" s="14"/>
      <c r="GJ1768" s="14"/>
      <c r="GK1768" s="14"/>
      <c r="GL1768" s="14"/>
      <c r="GM1768" s="14"/>
      <c r="GN1768" s="14"/>
      <c r="GO1768" s="14"/>
      <c r="GP1768" s="14"/>
      <c r="GQ1768" s="14"/>
      <c r="GR1768" s="14"/>
      <c r="GS1768" s="14"/>
      <c r="GT1768" s="14"/>
      <c r="GU1768" s="14"/>
      <c r="GV1768" s="14"/>
      <c r="GW1768" s="14"/>
      <c r="GX1768" s="14"/>
      <c r="GY1768" s="14"/>
      <c r="GZ1768" s="14"/>
      <c r="HA1768" s="14"/>
    </row>
    <row r="1769" ht="23.25" customHeight="1">
      <c r="A1769" s="14"/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57" t="s">
        <v>2151</v>
      </c>
      <c r="BX1769" s="57" t="s">
        <v>2152</v>
      </c>
      <c r="BY1769" s="14"/>
      <c r="BZ1769" s="57" t="s">
        <v>171</v>
      </c>
      <c r="CA1769" s="57" t="s">
        <v>5200</v>
      </c>
      <c r="CB1769" s="57" t="s">
        <v>1088</v>
      </c>
      <c r="CC1769" s="57" t="s">
        <v>4561</v>
      </c>
      <c r="CD1769" s="58">
        <v>43983.0</v>
      </c>
      <c r="CE1769" s="58">
        <v>44036.0</v>
      </c>
      <c r="CF1769" s="57">
        <v>97.88</v>
      </c>
      <c r="CG1769" s="59" t="s">
        <v>5201</v>
      </c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14"/>
      <c r="DC1769" s="14"/>
      <c r="DD1769" s="14"/>
      <c r="DE1769" s="14"/>
      <c r="DF1769" s="14"/>
      <c r="DG1769" s="14"/>
      <c r="DH1769" s="14"/>
      <c r="DI1769" s="14"/>
      <c r="DJ1769" s="14"/>
      <c r="DK1769" s="14"/>
      <c r="DL1769" s="14"/>
      <c r="DM1769" s="14"/>
      <c r="DN1769" s="14"/>
      <c r="DO1769" s="14"/>
      <c r="DP1769" s="14"/>
      <c r="DQ1769" s="14"/>
      <c r="DR1769" s="14"/>
      <c r="DS1769" s="14"/>
      <c r="DT1769" s="14"/>
      <c r="DU1769" s="14"/>
      <c r="DV1769" s="14"/>
      <c r="DW1769" s="14"/>
      <c r="DX1769" s="14"/>
      <c r="DY1769" s="14"/>
      <c r="DZ1769" s="14"/>
      <c r="EA1769" s="14"/>
      <c r="EB1769" s="14"/>
      <c r="EC1769" s="14"/>
      <c r="ED1769" s="14"/>
      <c r="EE1769" s="14"/>
      <c r="EF1769" s="14"/>
      <c r="EG1769" s="14"/>
      <c r="EH1769" s="14"/>
      <c r="EI1769" s="14"/>
      <c r="EJ1769" s="14"/>
      <c r="EK1769" s="14"/>
      <c r="EL1769" s="14"/>
      <c r="EM1769" s="14"/>
      <c r="EN1769" s="14"/>
      <c r="EO1769" s="14"/>
      <c r="EP1769" s="14"/>
      <c r="EQ1769" s="14"/>
      <c r="ER1769" s="14"/>
      <c r="ES1769" s="14"/>
      <c r="ET1769" s="14"/>
      <c r="EU1769" s="14"/>
      <c r="EV1769" s="14"/>
      <c r="EW1769" s="14"/>
      <c r="EX1769" s="14"/>
      <c r="EY1769" s="14"/>
      <c r="EZ1769" s="14"/>
      <c r="FA1769" s="14"/>
      <c r="FB1769" s="14"/>
      <c r="FC1769" s="14"/>
      <c r="FD1769" s="14"/>
      <c r="FE1769" s="14"/>
      <c r="FF1769" s="14"/>
      <c r="FG1769" s="14"/>
      <c r="FH1769" s="14"/>
      <c r="FI1769" s="14"/>
      <c r="FJ1769" s="14"/>
      <c r="FK1769" s="14"/>
      <c r="FL1769" s="14"/>
      <c r="FM1769" s="14"/>
      <c r="FN1769" s="14"/>
      <c r="FO1769" s="14"/>
      <c r="FP1769" s="14"/>
      <c r="FQ1769" s="14"/>
      <c r="FR1769" s="14"/>
      <c r="FS1769" s="14"/>
      <c r="FT1769" s="14"/>
      <c r="FU1769" s="14"/>
      <c r="FV1769" s="14"/>
      <c r="FW1769" s="14"/>
      <c r="FX1769" s="14"/>
      <c r="FY1769" s="14"/>
      <c r="FZ1769" s="14"/>
      <c r="GA1769" s="14"/>
      <c r="GB1769" s="14"/>
      <c r="GC1769" s="14"/>
      <c r="GD1769" s="14"/>
      <c r="GE1769" s="14"/>
      <c r="GF1769" s="14"/>
      <c r="GG1769" s="14"/>
      <c r="GH1769" s="14"/>
      <c r="GI1769" s="14"/>
      <c r="GJ1769" s="14"/>
      <c r="GK1769" s="14"/>
      <c r="GL1769" s="14"/>
      <c r="GM1769" s="14"/>
      <c r="GN1769" s="14"/>
      <c r="GO1769" s="14"/>
      <c r="GP1769" s="14"/>
      <c r="GQ1769" s="14"/>
      <c r="GR1769" s="14"/>
      <c r="GS1769" s="14"/>
      <c r="GT1769" s="14"/>
      <c r="GU1769" s="14"/>
      <c r="GV1769" s="14"/>
      <c r="GW1769" s="14"/>
      <c r="GX1769" s="14"/>
      <c r="GY1769" s="14"/>
      <c r="GZ1769" s="14"/>
      <c r="HA1769" s="14"/>
    </row>
    <row r="1770" ht="23.25" customHeight="1">
      <c r="A1770" s="14"/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57" t="s">
        <v>5202</v>
      </c>
      <c r="BX1770" s="57" t="s">
        <v>2152</v>
      </c>
      <c r="BY1770" s="14"/>
      <c r="BZ1770" s="57" t="s">
        <v>171</v>
      </c>
      <c r="CA1770" s="57" t="s">
        <v>2460</v>
      </c>
      <c r="CB1770" s="57" t="s">
        <v>5203</v>
      </c>
      <c r="CC1770" s="57" t="s">
        <v>973</v>
      </c>
      <c r="CD1770" s="58">
        <v>43992.0</v>
      </c>
      <c r="CE1770" s="58">
        <v>44032.0</v>
      </c>
      <c r="CF1770" s="57">
        <v>96.15</v>
      </c>
      <c r="CG1770" s="59" t="s">
        <v>5204</v>
      </c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14"/>
      <c r="DC1770" s="14"/>
      <c r="DD1770" s="14"/>
      <c r="DE1770" s="14"/>
      <c r="DF1770" s="14"/>
      <c r="DG1770" s="14"/>
      <c r="DH1770" s="14"/>
      <c r="DI1770" s="14"/>
      <c r="DJ1770" s="14"/>
      <c r="DK1770" s="14"/>
      <c r="DL1770" s="14"/>
      <c r="DM1770" s="14"/>
      <c r="DN1770" s="14"/>
      <c r="DO1770" s="14"/>
      <c r="DP1770" s="14"/>
      <c r="DQ1770" s="14"/>
      <c r="DR1770" s="14"/>
      <c r="DS1770" s="14"/>
      <c r="DT1770" s="14"/>
      <c r="DU1770" s="14"/>
      <c r="DV1770" s="14"/>
      <c r="DW1770" s="14"/>
      <c r="DX1770" s="14"/>
      <c r="DY1770" s="14"/>
      <c r="DZ1770" s="14"/>
      <c r="EA1770" s="14"/>
      <c r="EB1770" s="14"/>
      <c r="EC1770" s="14"/>
      <c r="ED1770" s="14"/>
      <c r="EE1770" s="14"/>
      <c r="EF1770" s="14"/>
      <c r="EG1770" s="14"/>
      <c r="EH1770" s="14"/>
      <c r="EI1770" s="14"/>
      <c r="EJ1770" s="14"/>
      <c r="EK1770" s="14"/>
      <c r="EL1770" s="14"/>
      <c r="EM1770" s="14"/>
      <c r="EN1770" s="14"/>
      <c r="EO1770" s="14"/>
      <c r="EP1770" s="14"/>
      <c r="EQ1770" s="14"/>
      <c r="ER1770" s="14"/>
      <c r="ES1770" s="14"/>
      <c r="ET1770" s="14"/>
      <c r="EU1770" s="14"/>
      <c r="EV1770" s="14"/>
      <c r="EW1770" s="14"/>
      <c r="EX1770" s="14"/>
      <c r="EY1770" s="14"/>
      <c r="EZ1770" s="14"/>
      <c r="FA1770" s="14"/>
      <c r="FB1770" s="14"/>
      <c r="FC1770" s="14"/>
      <c r="FD1770" s="14"/>
      <c r="FE1770" s="14"/>
      <c r="FF1770" s="14"/>
      <c r="FG1770" s="14"/>
      <c r="FH1770" s="14"/>
      <c r="FI1770" s="14"/>
      <c r="FJ1770" s="14"/>
      <c r="FK1770" s="14"/>
      <c r="FL1770" s="14"/>
      <c r="FM1770" s="14"/>
      <c r="FN1770" s="14"/>
      <c r="FO1770" s="14"/>
      <c r="FP1770" s="14"/>
      <c r="FQ1770" s="14"/>
      <c r="FR1770" s="14"/>
      <c r="FS1770" s="14"/>
      <c r="FT1770" s="14"/>
      <c r="FU1770" s="14"/>
      <c r="FV1770" s="14"/>
      <c r="FW1770" s="14"/>
      <c r="FX1770" s="14"/>
      <c r="FY1770" s="14"/>
      <c r="FZ1770" s="14"/>
      <c r="GA1770" s="14"/>
      <c r="GB1770" s="14"/>
      <c r="GC1770" s="14"/>
      <c r="GD1770" s="14"/>
      <c r="GE1770" s="14"/>
      <c r="GF1770" s="14"/>
      <c r="GG1770" s="14"/>
      <c r="GH1770" s="14"/>
      <c r="GI1770" s="14"/>
      <c r="GJ1770" s="14"/>
      <c r="GK1770" s="14"/>
      <c r="GL1770" s="14"/>
      <c r="GM1770" s="14"/>
      <c r="GN1770" s="14"/>
      <c r="GO1770" s="14"/>
      <c r="GP1770" s="14"/>
      <c r="GQ1770" s="14"/>
      <c r="GR1770" s="14"/>
      <c r="GS1770" s="14"/>
      <c r="GT1770" s="14"/>
      <c r="GU1770" s="14"/>
      <c r="GV1770" s="14"/>
      <c r="GW1770" s="14"/>
      <c r="GX1770" s="14"/>
      <c r="GY1770" s="14"/>
      <c r="GZ1770" s="14"/>
      <c r="HA1770" s="14"/>
    </row>
    <row r="1771" ht="23.25" customHeight="1">
      <c r="A1771" s="14"/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57" t="s">
        <v>2151</v>
      </c>
      <c r="BX1771" s="57" t="s">
        <v>2152</v>
      </c>
      <c r="BY1771" s="14"/>
      <c r="BZ1771" s="57" t="s">
        <v>171</v>
      </c>
      <c r="CA1771" s="57" t="s">
        <v>5205</v>
      </c>
      <c r="CB1771" s="57" t="s">
        <v>1088</v>
      </c>
      <c r="CC1771" s="57" t="s">
        <v>5206</v>
      </c>
      <c r="CD1771" s="58">
        <v>43961.0</v>
      </c>
      <c r="CE1771" s="58">
        <v>44004.0</v>
      </c>
      <c r="CF1771" s="57">
        <v>96.12</v>
      </c>
      <c r="CG1771" s="59" t="s">
        <v>5207</v>
      </c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14"/>
      <c r="DC1771" s="14"/>
      <c r="DD1771" s="14"/>
      <c r="DE1771" s="14"/>
      <c r="DF1771" s="14"/>
      <c r="DG1771" s="14"/>
      <c r="DH1771" s="14"/>
      <c r="DI1771" s="14"/>
      <c r="DJ1771" s="14"/>
      <c r="DK1771" s="14"/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14"/>
      <c r="EJ1771" s="14"/>
      <c r="EK1771" s="14"/>
      <c r="EL1771" s="14"/>
      <c r="EM1771" s="14"/>
      <c r="EN1771" s="14"/>
      <c r="EO1771" s="14"/>
      <c r="EP1771" s="14"/>
      <c r="EQ1771" s="14"/>
      <c r="ER1771" s="14"/>
      <c r="ES1771" s="14"/>
      <c r="ET1771" s="14"/>
      <c r="EU1771" s="14"/>
      <c r="EV1771" s="14"/>
      <c r="EW1771" s="14"/>
      <c r="EX1771" s="14"/>
      <c r="EY1771" s="14"/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4"/>
      <c r="FZ1771" s="14"/>
      <c r="GA1771" s="14"/>
      <c r="GB1771" s="14"/>
      <c r="GC1771" s="14"/>
      <c r="GD1771" s="14"/>
      <c r="GE1771" s="14"/>
      <c r="GF1771" s="14"/>
      <c r="GG1771" s="14"/>
      <c r="GH1771" s="14"/>
      <c r="GI1771" s="14"/>
      <c r="GJ1771" s="14"/>
      <c r="GK1771" s="14"/>
      <c r="GL1771" s="14"/>
      <c r="GM1771" s="14"/>
      <c r="GN1771" s="14"/>
      <c r="GO1771" s="14"/>
      <c r="GP1771" s="14"/>
      <c r="GQ1771" s="14"/>
      <c r="GR1771" s="14"/>
      <c r="GS1771" s="14"/>
      <c r="GT1771" s="14"/>
      <c r="GU1771" s="14"/>
      <c r="GV1771" s="14"/>
      <c r="GW1771" s="14"/>
      <c r="GX1771" s="14"/>
      <c r="GY1771" s="14"/>
      <c r="GZ1771" s="14"/>
      <c r="HA1771" s="14"/>
    </row>
    <row r="1772" ht="23.25" customHeight="1">
      <c r="A1772" s="14"/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57" t="s">
        <v>2151</v>
      </c>
      <c r="BX1772" s="57" t="s">
        <v>2152</v>
      </c>
      <c r="BY1772" s="14"/>
      <c r="BZ1772" s="57" t="s">
        <v>159</v>
      </c>
      <c r="CA1772" s="57" t="s">
        <v>3904</v>
      </c>
      <c r="CB1772" s="59" t="s">
        <v>5208</v>
      </c>
      <c r="CC1772" s="57" t="s">
        <v>882</v>
      </c>
      <c r="CD1772" s="58">
        <v>43952.0</v>
      </c>
      <c r="CE1772" s="58">
        <v>43982.0</v>
      </c>
      <c r="CF1772" s="57">
        <v>98.25</v>
      </c>
      <c r="CG1772" s="59" t="s">
        <v>5209</v>
      </c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14"/>
      <c r="DC1772" s="14"/>
      <c r="DD1772" s="14"/>
      <c r="DE1772" s="14"/>
      <c r="DF1772" s="14"/>
      <c r="DG1772" s="14"/>
      <c r="DH1772" s="14"/>
      <c r="DI1772" s="14"/>
      <c r="DJ1772" s="14"/>
      <c r="DK1772" s="14"/>
      <c r="DL1772" s="14"/>
      <c r="DM1772" s="14"/>
      <c r="DN1772" s="14"/>
      <c r="DO1772" s="14"/>
      <c r="DP1772" s="14"/>
      <c r="DQ1772" s="14"/>
      <c r="DR1772" s="14"/>
      <c r="DS1772" s="14"/>
      <c r="DT1772" s="14"/>
      <c r="DU1772" s="14"/>
      <c r="DV1772" s="14"/>
      <c r="DW1772" s="14"/>
      <c r="DX1772" s="14"/>
      <c r="DY1772" s="14"/>
      <c r="DZ1772" s="14"/>
      <c r="EA1772" s="14"/>
      <c r="EB1772" s="14"/>
      <c r="EC1772" s="14"/>
      <c r="ED1772" s="14"/>
      <c r="EE1772" s="14"/>
      <c r="EF1772" s="14"/>
      <c r="EG1772" s="14"/>
      <c r="EH1772" s="14"/>
      <c r="EI1772" s="14"/>
      <c r="EJ1772" s="14"/>
      <c r="EK1772" s="14"/>
      <c r="EL1772" s="14"/>
      <c r="EM1772" s="14"/>
      <c r="EN1772" s="14"/>
      <c r="EO1772" s="14"/>
      <c r="EP1772" s="14"/>
      <c r="EQ1772" s="14"/>
      <c r="ER1772" s="14"/>
      <c r="ES1772" s="14"/>
      <c r="ET1772" s="14"/>
      <c r="EU1772" s="14"/>
      <c r="EV1772" s="14"/>
      <c r="EW1772" s="14"/>
      <c r="EX1772" s="14"/>
      <c r="EY1772" s="14"/>
      <c r="EZ1772" s="14"/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s="14"/>
      <c r="FQ1772" s="14"/>
      <c r="FR1772" s="14"/>
      <c r="FS1772" s="14"/>
      <c r="FT1772" s="14"/>
      <c r="FU1772" s="14"/>
      <c r="FV1772" s="14"/>
      <c r="FW1772" s="14"/>
      <c r="FX1772" s="14"/>
      <c r="FY1772" s="14"/>
      <c r="FZ1772" s="14"/>
      <c r="GA1772" s="14"/>
      <c r="GB1772" s="14"/>
      <c r="GC1772" s="14"/>
      <c r="GD1772" s="14"/>
      <c r="GE1772" s="14"/>
      <c r="GF1772" s="14"/>
      <c r="GG1772" s="14"/>
      <c r="GH1772" s="14"/>
      <c r="GI1772" s="14"/>
      <c r="GJ1772" s="14"/>
      <c r="GK1772" s="14"/>
      <c r="GL1772" s="14"/>
      <c r="GM1772" s="14"/>
      <c r="GN1772" s="14"/>
      <c r="GO1772" s="14"/>
      <c r="GP1772" s="14"/>
      <c r="GQ1772" s="14"/>
      <c r="GR1772" s="14"/>
      <c r="GS1772" s="14"/>
      <c r="GT1772" s="14"/>
      <c r="GU1772" s="14"/>
      <c r="GV1772" s="14"/>
      <c r="GW1772" s="14"/>
      <c r="GX1772" s="14"/>
      <c r="GY1772" s="14"/>
      <c r="GZ1772" s="14"/>
      <c r="HA1772" s="14"/>
    </row>
    <row r="1773" ht="23.25" customHeight="1">
      <c r="A1773" s="14"/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57" t="s">
        <v>2476</v>
      </c>
      <c r="BX1773" s="57" t="s">
        <v>2477</v>
      </c>
      <c r="BY1773" s="14"/>
      <c r="BZ1773" s="57" t="s">
        <v>313</v>
      </c>
      <c r="CA1773" s="57" t="s">
        <v>1723</v>
      </c>
      <c r="CB1773" s="57" t="s">
        <v>1378</v>
      </c>
      <c r="CC1773" s="57" t="s">
        <v>1892</v>
      </c>
      <c r="CD1773" s="58">
        <v>44479.0</v>
      </c>
      <c r="CE1773" s="58">
        <v>44513.0</v>
      </c>
      <c r="CF1773" s="57">
        <v>100.0</v>
      </c>
      <c r="CG1773" s="59" t="s">
        <v>5210</v>
      </c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14"/>
      <c r="DC1773" s="14"/>
      <c r="DD1773" s="14"/>
      <c r="DE1773" s="14"/>
      <c r="DF1773" s="14"/>
      <c r="DG1773" s="14"/>
      <c r="DH1773" s="14"/>
      <c r="DI1773" s="14"/>
      <c r="DJ1773" s="14"/>
      <c r="DK1773" s="14"/>
      <c r="DL1773" s="14"/>
      <c r="DM1773" s="14"/>
      <c r="DN1773" s="14"/>
      <c r="DO1773" s="14"/>
      <c r="DP1773" s="14"/>
      <c r="DQ1773" s="14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ED1773" s="14"/>
      <c r="EE1773" s="14"/>
      <c r="EF1773" s="14"/>
      <c r="EG1773" s="14"/>
      <c r="EH1773" s="14"/>
      <c r="EI1773" s="14"/>
      <c r="EJ1773" s="14"/>
      <c r="EK1773" s="14"/>
      <c r="EL1773" s="14"/>
      <c r="EM1773" s="14"/>
      <c r="EN1773" s="14"/>
      <c r="EO1773" s="14"/>
      <c r="EP1773" s="14"/>
      <c r="EQ1773" s="14"/>
      <c r="ER1773" s="14"/>
      <c r="ES1773" s="14"/>
      <c r="ET1773" s="14"/>
      <c r="EU1773" s="14"/>
      <c r="EV1773" s="14"/>
      <c r="EW1773" s="14"/>
      <c r="EX1773" s="14"/>
      <c r="EY1773" s="14"/>
      <c r="EZ1773" s="14"/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s="14"/>
      <c r="FQ1773" s="14"/>
      <c r="FR1773" s="14"/>
      <c r="FS1773" s="14"/>
      <c r="FT1773" s="14"/>
      <c r="FU1773" s="14"/>
      <c r="FV1773" s="14"/>
      <c r="FW1773" s="14"/>
      <c r="FX1773" s="14"/>
      <c r="FY1773" s="14"/>
      <c r="FZ1773" s="14"/>
      <c r="GA1773" s="14"/>
      <c r="GB1773" s="14"/>
      <c r="GC1773" s="14"/>
      <c r="GD1773" s="14"/>
      <c r="GE1773" s="14"/>
      <c r="GF1773" s="14"/>
      <c r="GG1773" s="14"/>
      <c r="GH1773" s="14"/>
      <c r="GI1773" s="14"/>
      <c r="GJ1773" s="14"/>
      <c r="GK1773" s="14"/>
      <c r="GL1773" s="14"/>
      <c r="GM1773" s="14"/>
      <c r="GN1773" s="14"/>
      <c r="GO1773" s="14"/>
      <c r="GP1773" s="14"/>
      <c r="GQ1773" s="14"/>
      <c r="GR1773" s="14"/>
      <c r="GS1773" s="14"/>
      <c r="GT1773" s="14"/>
      <c r="GU1773" s="14"/>
      <c r="GV1773" s="14"/>
      <c r="GW1773" s="14"/>
      <c r="GX1773" s="14"/>
      <c r="GY1773" s="14"/>
      <c r="GZ1773" s="14"/>
      <c r="HA1773" s="14"/>
    </row>
    <row r="1774" ht="23.25" customHeight="1">
      <c r="A1774" s="14"/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57" t="s">
        <v>5148</v>
      </c>
      <c r="BX1774" s="57" t="s">
        <v>1136</v>
      </c>
      <c r="BY1774" s="14"/>
      <c r="BZ1774" s="57" t="s">
        <v>171</v>
      </c>
      <c r="CA1774" s="57" t="s">
        <v>5211</v>
      </c>
      <c r="CB1774" s="57" t="s">
        <v>534</v>
      </c>
      <c r="CC1774" s="57" t="s">
        <v>495</v>
      </c>
      <c r="CD1774" s="58">
        <v>44217.0</v>
      </c>
      <c r="CE1774" s="58">
        <v>44248.0</v>
      </c>
      <c r="CF1774" s="57">
        <v>100.0</v>
      </c>
      <c r="CG1774" s="59" t="s">
        <v>5212</v>
      </c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14"/>
      <c r="DC1774" s="14"/>
      <c r="DD1774" s="14"/>
      <c r="DE1774" s="14"/>
      <c r="DF1774" s="14"/>
      <c r="DG1774" s="14"/>
      <c r="DH1774" s="14"/>
      <c r="DI1774" s="14"/>
      <c r="DJ1774" s="14"/>
      <c r="DK1774" s="14"/>
      <c r="DL1774" s="14"/>
      <c r="DM1774" s="14"/>
      <c r="DN1774" s="14"/>
      <c r="DO1774" s="14"/>
      <c r="DP1774" s="14"/>
      <c r="DQ1774" s="14"/>
      <c r="DR1774" s="14"/>
      <c r="DS1774" s="14"/>
      <c r="DT1774" s="14"/>
      <c r="DU1774" s="14"/>
      <c r="DV1774" s="14"/>
      <c r="DW1774" s="14"/>
      <c r="DX1774" s="14"/>
      <c r="DY1774" s="14"/>
      <c r="DZ1774" s="14"/>
      <c r="EA1774" s="14"/>
      <c r="EB1774" s="14"/>
      <c r="EC1774" s="14"/>
      <c r="ED1774" s="14"/>
      <c r="EE1774" s="14"/>
      <c r="EF1774" s="14"/>
      <c r="EG1774" s="14"/>
      <c r="EH1774" s="14"/>
      <c r="EI1774" s="14"/>
      <c r="EJ1774" s="14"/>
      <c r="EK1774" s="14"/>
      <c r="EL1774" s="14"/>
      <c r="EM1774" s="14"/>
      <c r="EN1774" s="14"/>
      <c r="EO1774" s="14"/>
      <c r="EP1774" s="14"/>
      <c r="EQ1774" s="14"/>
      <c r="ER1774" s="14"/>
      <c r="ES1774" s="14"/>
      <c r="ET1774" s="14"/>
      <c r="EU1774" s="14"/>
      <c r="EV1774" s="14"/>
      <c r="EW1774" s="14"/>
      <c r="EX1774" s="14"/>
      <c r="EY1774" s="14"/>
      <c r="EZ1774" s="14"/>
      <c r="FA1774" s="14"/>
      <c r="FB1774" s="14"/>
      <c r="FC1774" s="14"/>
      <c r="FD1774" s="14"/>
      <c r="FE1774" s="14"/>
      <c r="FF1774" s="14"/>
      <c r="FG1774" s="14"/>
      <c r="FH1774" s="14"/>
      <c r="FI1774" s="14"/>
      <c r="FJ1774" s="14"/>
      <c r="FK1774" s="14"/>
      <c r="FL1774" s="14"/>
      <c r="FM1774" s="14"/>
      <c r="FN1774" s="14"/>
      <c r="FO1774" s="14"/>
      <c r="FP1774" s="14"/>
      <c r="FQ1774" s="14"/>
      <c r="FR1774" s="14"/>
      <c r="FS1774" s="14"/>
      <c r="FT1774" s="14"/>
      <c r="FU1774" s="14"/>
      <c r="FV1774" s="14"/>
      <c r="FW1774" s="14"/>
      <c r="FX1774" s="14"/>
      <c r="FY1774" s="14"/>
      <c r="FZ1774" s="14"/>
      <c r="GA1774" s="14"/>
      <c r="GB1774" s="14"/>
      <c r="GC1774" s="14"/>
      <c r="GD1774" s="14"/>
      <c r="GE1774" s="14"/>
      <c r="GF1774" s="14"/>
      <c r="GG1774" s="14"/>
      <c r="GH1774" s="14"/>
      <c r="GI1774" s="14"/>
      <c r="GJ1774" s="14"/>
      <c r="GK1774" s="14"/>
      <c r="GL1774" s="14"/>
      <c r="GM1774" s="14"/>
      <c r="GN1774" s="14"/>
      <c r="GO1774" s="14"/>
      <c r="GP1774" s="14"/>
      <c r="GQ1774" s="14"/>
      <c r="GR1774" s="14"/>
      <c r="GS1774" s="14"/>
      <c r="GT1774" s="14"/>
      <c r="GU1774" s="14"/>
      <c r="GV1774" s="14"/>
      <c r="GW1774" s="14"/>
      <c r="GX1774" s="14"/>
      <c r="GY1774" s="14"/>
      <c r="GZ1774" s="14"/>
      <c r="HA1774" s="14"/>
    </row>
    <row r="1775" ht="23.25" customHeight="1">
      <c r="A1775" s="14"/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57" t="s">
        <v>5148</v>
      </c>
      <c r="BX1775" s="57" t="s">
        <v>1136</v>
      </c>
      <c r="BY1775" s="14"/>
      <c r="BZ1775" s="57" t="s">
        <v>313</v>
      </c>
      <c r="CA1775" s="57" t="s">
        <v>5213</v>
      </c>
      <c r="CB1775" s="57" t="s">
        <v>582</v>
      </c>
      <c r="CC1775" s="57" t="s">
        <v>495</v>
      </c>
      <c r="CD1775" s="58">
        <v>44512.0</v>
      </c>
      <c r="CE1775" s="58">
        <v>44542.0</v>
      </c>
      <c r="CF1775" s="57">
        <v>94.0</v>
      </c>
      <c r="CG1775" s="59" t="s">
        <v>5214</v>
      </c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14"/>
      <c r="DC1775" s="14"/>
      <c r="DD1775" s="14"/>
      <c r="DE1775" s="14"/>
      <c r="DF1775" s="14"/>
      <c r="DG1775" s="14"/>
      <c r="DH1775" s="14"/>
      <c r="DI1775" s="14"/>
      <c r="DJ1775" s="14"/>
      <c r="DK1775" s="14"/>
      <c r="DL1775" s="14"/>
      <c r="DM1775" s="14"/>
      <c r="DN1775" s="14"/>
      <c r="DO1775" s="14"/>
      <c r="DP1775" s="14"/>
      <c r="DQ1775" s="14"/>
      <c r="DR1775" s="14"/>
      <c r="DS1775" s="14"/>
      <c r="DT1775" s="14"/>
      <c r="DU1775" s="14"/>
      <c r="DV1775" s="14"/>
      <c r="DW1775" s="14"/>
      <c r="DX1775" s="14"/>
      <c r="DY1775" s="14"/>
      <c r="DZ1775" s="14"/>
      <c r="EA1775" s="14"/>
      <c r="EB1775" s="14"/>
      <c r="EC1775" s="14"/>
      <c r="ED1775" s="14"/>
      <c r="EE1775" s="14"/>
      <c r="EF1775" s="14"/>
      <c r="EG1775" s="14"/>
      <c r="EH1775" s="14"/>
      <c r="EI1775" s="14"/>
      <c r="EJ1775" s="14"/>
      <c r="EK1775" s="14"/>
      <c r="EL1775" s="14"/>
      <c r="EM1775" s="14"/>
      <c r="EN1775" s="14"/>
      <c r="EO1775" s="14"/>
      <c r="EP1775" s="14"/>
      <c r="EQ1775" s="14"/>
      <c r="ER1775" s="14"/>
      <c r="ES1775" s="14"/>
      <c r="ET1775" s="14"/>
      <c r="EU1775" s="14"/>
      <c r="EV1775" s="14"/>
      <c r="EW1775" s="14"/>
      <c r="EX1775" s="14"/>
      <c r="EY1775" s="14"/>
      <c r="EZ1775" s="14"/>
      <c r="FA1775" s="14"/>
      <c r="FB1775" s="14"/>
      <c r="FC1775" s="14"/>
      <c r="FD1775" s="14"/>
      <c r="FE1775" s="14"/>
      <c r="FF1775" s="14"/>
      <c r="FG1775" s="14"/>
      <c r="FH1775" s="14"/>
      <c r="FI1775" s="14"/>
      <c r="FJ1775" s="14"/>
      <c r="FK1775" s="14"/>
      <c r="FL1775" s="14"/>
      <c r="FM1775" s="14"/>
      <c r="FN1775" s="14"/>
      <c r="FO1775" s="14"/>
      <c r="FP1775" s="14"/>
      <c r="FQ1775" s="14"/>
      <c r="FR1775" s="14"/>
      <c r="FS1775" s="14"/>
      <c r="FT1775" s="14"/>
      <c r="FU1775" s="14"/>
      <c r="FV1775" s="14"/>
      <c r="FW1775" s="14"/>
      <c r="FX1775" s="14"/>
      <c r="FY1775" s="14"/>
      <c r="FZ1775" s="14"/>
      <c r="GA1775" s="14"/>
      <c r="GB1775" s="14"/>
      <c r="GC1775" s="14"/>
      <c r="GD1775" s="14"/>
      <c r="GE1775" s="14"/>
      <c r="GF1775" s="14"/>
      <c r="GG1775" s="14"/>
      <c r="GH1775" s="14"/>
      <c r="GI1775" s="14"/>
      <c r="GJ1775" s="14"/>
      <c r="GK1775" s="14"/>
      <c r="GL1775" s="14"/>
      <c r="GM1775" s="14"/>
      <c r="GN1775" s="14"/>
      <c r="GO1775" s="14"/>
      <c r="GP1775" s="14"/>
      <c r="GQ1775" s="14"/>
      <c r="GR1775" s="14"/>
      <c r="GS1775" s="14"/>
      <c r="GT1775" s="14"/>
      <c r="GU1775" s="14"/>
      <c r="GV1775" s="14"/>
      <c r="GW1775" s="14"/>
      <c r="GX1775" s="14"/>
      <c r="GY1775" s="14"/>
      <c r="GZ1775" s="14"/>
      <c r="HA1775" s="14"/>
    </row>
    <row r="1776" ht="23.25" customHeight="1">
      <c r="A1776" s="14"/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57" t="s">
        <v>5215</v>
      </c>
      <c r="BX1776" s="57" t="s">
        <v>5216</v>
      </c>
      <c r="BY1776" s="14"/>
      <c r="BZ1776" s="57" t="s">
        <v>313</v>
      </c>
      <c r="CA1776" s="57" t="s">
        <v>5213</v>
      </c>
      <c r="CB1776" s="57" t="s">
        <v>582</v>
      </c>
      <c r="CC1776" s="57" t="s">
        <v>410</v>
      </c>
      <c r="CD1776" s="58">
        <v>44518.0</v>
      </c>
      <c r="CE1776" s="58">
        <v>44548.0</v>
      </c>
      <c r="CF1776" s="57">
        <v>93.0</v>
      </c>
      <c r="CG1776" s="59" t="s">
        <v>5217</v>
      </c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14"/>
      <c r="DC1776" s="14"/>
      <c r="DD1776" s="14"/>
      <c r="DE1776" s="14"/>
      <c r="DF1776" s="14"/>
      <c r="DG1776" s="14"/>
      <c r="DH1776" s="14"/>
      <c r="DI1776" s="14"/>
      <c r="DJ1776" s="14"/>
      <c r="DK1776" s="14"/>
      <c r="DL1776" s="14"/>
      <c r="DM1776" s="14"/>
      <c r="DN1776" s="14"/>
      <c r="DO1776" s="14"/>
      <c r="DP1776" s="14"/>
      <c r="DQ1776" s="14"/>
      <c r="DR1776" s="14"/>
      <c r="DS1776" s="14"/>
      <c r="DT1776" s="14"/>
      <c r="DU1776" s="14"/>
      <c r="DV1776" s="14"/>
      <c r="DW1776" s="14"/>
      <c r="DX1776" s="14"/>
      <c r="DY1776" s="14"/>
      <c r="DZ1776" s="14"/>
      <c r="EA1776" s="14"/>
      <c r="EB1776" s="14"/>
      <c r="EC1776" s="14"/>
      <c r="ED1776" s="14"/>
      <c r="EE1776" s="14"/>
      <c r="EF1776" s="14"/>
      <c r="EG1776" s="14"/>
      <c r="EH1776" s="14"/>
      <c r="EI1776" s="14"/>
      <c r="EJ1776" s="14"/>
      <c r="EK1776" s="14"/>
      <c r="EL1776" s="14"/>
      <c r="EM1776" s="14"/>
      <c r="EN1776" s="14"/>
      <c r="EO1776" s="14"/>
      <c r="EP1776" s="14"/>
      <c r="EQ1776" s="14"/>
      <c r="ER1776" s="14"/>
      <c r="ES1776" s="14"/>
      <c r="ET1776" s="14"/>
      <c r="EU1776" s="14"/>
      <c r="EV1776" s="14"/>
      <c r="EW1776" s="14"/>
      <c r="EX1776" s="14"/>
      <c r="EY1776" s="14"/>
      <c r="EZ1776" s="14"/>
      <c r="FA1776" s="14"/>
      <c r="FB1776" s="14"/>
      <c r="FC1776" s="14"/>
      <c r="FD1776" s="14"/>
      <c r="FE1776" s="14"/>
      <c r="FF1776" s="14"/>
      <c r="FG1776" s="14"/>
      <c r="FH1776" s="14"/>
      <c r="FI1776" s="14"/>
      <c r="FJ1776" s="14"/>
      <c r="FK1776" s="14"/>
      <c r="FL1776" s="14"/>
      <c r="FM1776" s="14"/>
      <c r="FN1776" s="14"/>
      <c r="FO1776" s="14"/>
      <c r="FP1776" s="14"/>
      <c r="FQ1776" s="14"/>
      <c r="FR1776" s="14"/>
      <c r="FS1776" s="14"/>
      <c r="FT1776" s="14"/>
      <c r="FU1776" s="14"/>
      <c r="FV1776" s="14"/>
      <c r="FW1776" s="14"/>
      <c r="FX1776" s="14"/>
      <c r="FY1776" s="14"/>
      <c r="FZ1776" s="14"/>
      <c r="GA1776" s="14"/>
      <c r="GB1776" s="14"/>
      <c r="GC1776" s="14"/>
      <c r="GD1776" s="14"/>
      <c r="GE1776" s="14"/>
      <c r="GF1776" s="14"/>
      <c r="GG1776" s="14"/>
      <c r="GH1776" s="14"/>
      <c r="GI1776" s="14"/>
      <c r="GJ1776" s="14"/>
      <c r="GK1776" s="14"/>
      <c r="GL1776" s="14"/>
      <c r="GM1776" s="14"/>
      <c r="GN1776" s="14"/>
      <c r="GO1776" s="14"/>
      <c r="GP1776" s="14"/>
      <c r="GQ1776" s="14"/>
      <c r="GR1776" s="14"/>
      <c r="GS1776" s="14"/>
      <c r="GT1776" s="14"/>
      <c r="GU1776" s="14"/>
      <c r="GV1776" s="14"/>
      <c r="GW1776" s="14"/>
      <c r="GX1776" s="14"/>
      <c r="GY1776" s="14"/>
      <c r="GZ1776" s="14"/>
      <c r="HA1776" s="14"/>
    </row>
    <row r="1777" ht="23.25" customHeight="1">
      <c r="A1777" s="14"/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57" t="s">
        <v>5215</v>
      </c>
      <c r="BX1777" s="57" t="s">
        <v>5216</v>
      </c>
      <c r="BY1777" s="14"/>
      <c r="BZ1777" s="57" t="s">
        <v>171</v>
      </c>
      <c r="CA1777" s="57" t="s">
        <v>862</v>
      </c>
      <c r="CB1777" s="57" t="s">
        <v>5218</v>
      </c>
      <c r="CC1777" s="57" t="s">
        <v>410</v>
      </c>
      <c r="CD1777" s="58">
        <v>44208.0</v>
      </c>
      <c r="CE1777" s="58">
        <v>44239.0</v>
      </c>
      <c r="CF1777" s="57">
        <v>100.0</v>
      </c>
      <c r="CG1777" s="59" t="s">
        <v>5219</v>
      </c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14"/>
      <c r="DC1777" s="14"/>
      <c r="DD1777" s="14"/>
      <c r="DE1777" s="14"/>
      <c r="DF1777" s="14"/>
      <c r="DG1777" s="14"/>
      <c r="DH1777" s="14"/>
      <c r="DI1777" s="14"/>
      <c r="DJ1777" s="14"/>
      <c r="DK1777" s="14"/>
      <c r="DL1777" s="14"/>
      <c r="DM1777" s="14"/>
      <c r="DN1777" s="14"/>
      <c r="DO1777" s="14"/>
      <c r="DP1777" s="14"/>
      <c r="DQ1777" s="14"/>
      <c r="DR1777" s="14"/>
      <c r="DS1777" s="14"/>
      <c r="DT1777" s="14"/>
      <c r="DU1777" s="14"/>
      <c r="DV1777" s="14"/>
      <c r="DW1777" s="14"/>
      <c r="DX1777" s="14"/>
      <c r="DY1777" s="14"/>
      <c r="DZ1777" s="14"/>
      <c r="EA1777" s="14"/>
      <c r="EB1777" s="14"/>
      <c r="EC1777" s="14"/>
      <c r="ED1777" s="14"/>
      <c r="EE1777" s="14"/>
      <c r="EF1777" s="14"/>
      <c r="EG1777" s="14"/>
      <c r="EH1777" s="14"/>
      <c r="EI1777" s="14"/>
      <c r="EJ1777" s="14"/>
      <c r="EK1777" s="14"/>
      <c r="EL1777" s="14"/>
      <c r="EM1777" s="14"/>
      <c r="EN1777" s="14"/>
      <c r="EO1777" s="14"/>
      <c r="EP1777" s="14"/>
      <c r="EQ1777" s="14"/>
      <c r="ER1777" s="14"/>
      <c r="ES1777" s="14"/>
      <c r="ET1777" s="14"/>
      <c r="EU1777" s="14"/>
      <c r="EV1777" s="14"/>
      <c r="EW1777" s="14"/>
      <c r="EX1777" s="14"/>
      <c r="EY1777" s="14"/>
      <c r="EZ1777" s="14"/>
      <c r="FA1777" s="14"/>
      <c r="FB1777" s="14"/>
      <c r="FC1777" s="14"/>
      <c r="FD1777" s="14"/>
      <c r="FE1777" s="14"/>
      <c r="FF1777" s="14"/>
      <c r="FG1777" s="14"/>
      <c r="FH1777" s="14"/>
      <c r="FI1777" s="14"/>
      <c r="FJ1777" s="14"/>
      <c r="FK1777" s="14"/>
      <c r="FL1777" s="14"/>
      <c r="FM1777" s="14"/>
      <c r="FN1777" s="14"/>
      <c r="FO1777" s="14"/>
      <c r="FP1777" s="14"/>
      <c r="FQ1777" s="14"/>
      <c r="FR1777" s="14"/>
      <c r="FS1777" s="14"/>
      <c r="FT1777" s="14"/>
      <c r="FU1777" s="14"/>
      <c r="FV1777" s="14"/>
      <c r="FW1777" s="14"/>
      <c r="FX1777" s="14"/>
      <c r="FY1777" s="14"/>
      <c r="FZ1777" s="14"/>
      <c r="GA1777" s="14"/>
      <c r="GB1777" s="14"/>
      <c r="GC1777" s="14"/>
      <c r="GD1777" s="14"/>
      <c r="GE1777" s="14"/>
      <c r="GF1777" s="14"/>
      <c r="GG1777" s="14"/>
      <c r="GH1777" s="14"/>
      <c r="GI1777" s="14"/>
      <c r="GJ1777" s="14"/>
      <c r="GK1777" s="14"/>
      <c r="GL1777" s="14"/>
      <c r="GM1777" s="14"/>
      <c r="GN1777" s="14"/>
      <c r="GO1777" s="14"/>
      <c r="GP1777" s="14"/>
      <c r="GQ1777" s="14"/>
      <c r="GR1777" s="14"/>
      <c r="GS1777" s="14"/>
      <c r="GT1777" s="14"/>
      <c r="GU1777" s="14"/>
      <c r="GV1777" s="14"/>
      <c r="GW1777" s="14"/>
      <c r="GX1777" s="14"/>
      <c r="GY1777" s="14"/>
      <c r="GZ1777" s="14"/>
      <c r="HA1777" s="14"/>
    </row>
    <row r="1778" ht="23.25" customHeight="1">
      <c r="A1778" s="14"/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57" t="s">
        <v>2664</v>
      </c>
      <c r="BX1778" s="57" t="s">
        <v>2665</v>
      </c>
      <c r="BY1778" s="14"/>
      <c r="BZ1778" s="57" t="s">
        <v>313</v>
      </c>
      <c r="CA1778" s="57" t="s">
        <v>5220</v>
      </c>
      <c r="CB1778" s="57" t="s">
        <v>5221</v>
      </c>
      <c r="CC1778" s="57" t="s">
        <v>450</v>
      </c>
      <c r="CD1778" s="58">
        <v>44440.0</v>
      </c>
      <c r="CE1778" s="58">
        <v>44537.0</v>
      </c>
      <c r="CF1778" s="57">
        <v>90.0</v>
      </c>
      <c r="CG1778" s="59" t="s">
        <v>5222</v>
      </c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14"/>
      <c r="DC1778" s="14"/>
      <c r="DD1778" s="14"/>
      <c r="DE1778" s="14"/>
      <c r="DF1778" s="14"/>
      <c r="DG1778" s="14"/>
      <c r="DH1778" s="14"/>
      <c r="DI1778" s="14"/>
      <c r="DJ1778" s="14"/>
      <c r="DK1778" s="14"/>
      <c r="DL1778" s="14"/>
      <c r="DM1778" s="14"/>
      <c r="DN1778" s="14"/>
      <c r="DO1778" s="14"/>
      <c r="DP1778" s="14"/>
      <c r="DQ1778" s="14"/>
      <c r="DR1778" s="14"/>
      <c r="DS1778" s="14"/>
      <c r="DT1778" s="14"/>
      <c r="DU1778" s="14"/>
      <c r="DV1778" s="14"/>
      <c r="DW1778" s="14"/>
      <c r="DX1778" s="14"/>
      <c r="DY1778" s="14"/>
      <c r="DZ1778" s="14"/>
      <c r="EA1778" s="14"/>
      <c r="EB1778" s="14"/>
      <c r="EC1778" s="14"/>
      <c r="ED1778" s="14"/>
      <c r="EE1778" s="14"/>
      <c r="EF1778" s="14"/>
      <c r="EG1778" s="14"/>
      <c r="EH1778" s="14"/>
      <c r="EI1778" s="14"/>
      <c r="EJ1778" s="14"/>
      <c r="EK1778" s="14"/>
      <c r="EL1778" s="14"/>
      <c r="EM1778" s="14"/>
      <c r="EN1778" s="14"/>
      <c r="EO1778" s="14"/>
      <c r="EP1778" s="14"/>
      <c r="EQ1778" s="14"/>
      <c r="ER1778" s="14"/>
      <c r="ES1778" s="14"/>
      <c r="ET1778" s="14"/>
      <c r="EU1778" s="14"/>
      <c r="EV1778" s="14"/>
      <c r="EW1778" s="14"/>
      <c r="EX1778" s="14"/>
      <c r="EY1778" s="14"/>
      <c r="EZ1778" s="14"/>
      <c r="FA1778" s="14"/>
      <c r="FB1778" s="14"/>
      <c r="FC1778" s="14"/>
      <c r="FD1778" s="14"/>
      <c r="FE1778" s="14"/>
      <c r="FF1778" s="14"/>
      <c r="FG1778" s="14"/>
      <c r="FH1778" s="14"/>
      <c r="FI1778" s="14"/>
      <c r="FJ1778" s="14"/>
      <c r="FK1778" s="14"/>
      <c r="FL1778" s="14"/>
      <c r="FM1778" s="14"/>
      <c r="FN1778" s="14"/>
      <c r="FO1778" s="14"/>
      <c r="FP1778" s="14"/>
      <c r="FQ1778" s="14"/>
      <c r="FR1778" s="14"/>
      <c r="FS1778" s="14"/>
      <c r="FT1778" s="14"/>
      <c r="FU1778" s="14"/>
      <c r="FV1778" s="14"/>
      <c r="FW1778" s="14"/>
      <c r="FX1778" s="14"/>
      <c r="FY1778" s="14"/>
      <c r="FZ1778" s="14"/>
      <c r="GA1778" s="14"/>
      <c r="GB1778" s="14"/>
      <c r="GC1778" s="14"/>
      <c r="GD1778" s="14"/>
      <c r="GE1778" s="14"/>
      <c r="GF1778" s="14"/>
      <c r="GG1778" s="14"/>
      <c r="GH1778" s="14"/>
      <c r="GI1778" s="14"/>
      <c r="GJ1778" s="14"/>
      <c r="GK1778" s="14"/>
      <c r="GL1778" s="14"/>
      <c r="GM1778" s="14"/>
      <c r="GN1778" s="14"/>
      <c r="GO1778" s="14"/>
      <c r="GP1778" s="14"/>
      <c r="GQ1778" s="14"/>
      <c r="GR1778" s="14"/>
      <c r="GS1778" s="14"/>
      <c r="GT1778" s="14"/>
      <c r="GU1778" s="14"/>
      <c r="GV1778" s="14"/>
      <c r="GW1778" s="14"/>
      <c r="GX1778" s="14"/>
      <c r="GY1778" s="14"/>
      <c r="GZ1778" s="14"/>
      <c r="HA1778" s="14"/>
    </row>
    <row r="1779" ht="23.25" customHeight="1">
      <c r="A1779" s="14"/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57" t="s">
        <v>2759</v>
      </c>
      <c r="BX1779" s="57" t="s">
        <v>2760</v>
      </c>
      <c r="BY1779" s="14"/>
      <c r="BZ1779" s="57" t="s">
        <v>159</v>
      </c>
      <c r="CA1779" s="57" t="s">
        <v>784</v>
      </c>
      <c r="CB1779" s="57" t="s">
        <v>345</v>
      </c>
      <c r="CC1779" s="57" t="s">
        <v>2784</v>
      </c>
      <c r="CD1779" s="58">
        <v>43923.0</v>
      </c>
      <c r="CE1779" s="58">
        <v>43953.0</v>
      </c>
      <c r="CF1779" s="57">
        <v>90.0</v>
      </c>
      <c r="CG1779" s="59" t="s">
        <v>5223</v>
      </c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14"/>
      <c r="DC1779" s="14"/>
      <c r="DD1779" s="14"/>
      <c r="DE1779" s="14"/>
      <c r="DF1779" s="14"/>
      <c r="DG1779" s="14"/>
      <c r="DH1779" s="14"/>
      <c r="DI1779" s="14"/>
      <c r="DJ1779" s="14"/>
      <c r="DK1779" s="14"/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14"/>
      <c r="EJ1779" s="14"/>
      <c r="EK1779" s="14"/>
      <c r="EL1779" s="14"/>
      <c r="EM1779" s="14"/>
      <c r="EN1779" s="14"/>
      <c r="EO1779" s="14"/>
      <c r="EP1779" s="14"/>
      <c r="EQ1779" s="14"/>
      <c r="ER1779" s="14"/>
      <c r="ES1779" s="14"/>
      <c r="ET1779" s="14"/>
      <c r="EU1779" s="14"/>
      <c r="EV1779" s="14"/>
      <c r="EW1779" s="14"/>
      <c r="EX1779" s="14"/>
      <c r="EY1779" s="14"/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4"/>
      <c r="FZ1779" s="14"/>
      <c r="GA1779" s="14"/>
      <c r="GB1779" s="14"/>
      <c r="GC1779" s="14"/>
      <c r="GD1779" s="14"/>
      <c r="GE1779" s="14"/>
      <c r="GF1779" s="14"/>
      <c r="GG1779" s="14"/>
      <c r="GH1779" s="14"/>
      <c r="GI1779" s="14"/>
      <c r="GJ1779" s="14"/>
      <c r="GK1779" s="14"/>
      <c r="GL1779" s="14"/>
      <c r="GM1779" s="14"/>
      <c r="GN1779" s="14"/>
      <c r="GO1779" s="14"/>
      <c r="GP1779" s="14"/>
      <c r="GQ1779" s="14"/>
      <c r="GR1779" s="14"/>
      <c r="GS1779" s="14"/>
      <c r="GT1779" s="14"/>
      <c r="GU1779" s="14"/>
      <c r="GV1779" s="14"/>
      <c r="GW1779" s="14"/>
      <c r="GX1779" s="14"/>
      <c r="GY1779" s="14"/>
      <c r="GZ1779" s="14"/>
      <c r="HA1779" s="14"/>
    </row>
    <row r="1780" ht="23.25" customHeight="1">
      <c r="A1780" s="14"/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57" t="s">
        <v>2759</v>
      </c>
      <c r="BX1780" s="57" t="s">
        <v>2760</v>
      </c>
      <c r="BY1780" s="14"/>
      <c r="BZ1780" s="57" t="s">
        <v>159</v>
      </c>
      <c r="CA1780" s="57" t="s">
        <v>3904</v>
      </c>
      <c r="CB1780" s="57" t="s">
        <v>345</v>
      </c>
      <c r="CC1780" s="57" t="s">
        <v>2784</v>
      </c>
      <c r="CD1780" s="58">
        <v>43950.0</v>
      </c>
      <c r="CE1780" s="58">
        <v>43980.0</v>
      </c>
      <c r="CF1780" s="57">
        <v>90.0</v>
      </c>
      <c r="CG1780" s="59" t="s">
        <v>5224</v>
      </c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14"/>
      <c r="DC1780" s="14"/>
      <c r="DD1780" s="14"/>
      <c r="DE1780" s="14"/>
      <c r="DF1780" s="14"/>
      <c r="DG1780" s="14"/>
      <c r="DH1780" s="14"/>
      <c r="DI1780" s="14"/>
      <c r="DJ1780" s="14"/>
      <c r="DK1780" s="14"/>
      <c r="DL1780" s="14"/>
      <c r="DM1780" s="14"/>
      <c r="DN1780" s="14"/>
      <c r="DO1780" s="14"/>
      <c r="DP1780" s="14"/>
      <c r="DQ1780" s="14"/>
      <c r="DR1780" s="14"/>
      <c r="DS1780" s="14"/>
      <c r="DT1780" s="14"/>
      <c r="DU1780" s="14"/>
      <c r="DV1780" s="14"/>
      <c r="DW1780" s="14"/>
      <c r="DX1780" s="14"/>
      <c r="DY1780" s="14"/>
      <c r="DZ1780" s="14"/>
      <c r="EA1780" s="14"/>
      <c r="EB1780" s="14"/>
      <c r="EC1780" s="14"/>
      <c r="ED1780" s="14"/>
      <c r="EE1780" s="14"/>
      <c r="EF1780" s="14"/>
      <c r="EG1780" s="14"/>
      <c r="EH1780" s="14"/>
      <c r="EI1780" s="14"/>
      <c r="EJ1780" s="14"/>
      <c r="EK1780" s="14"/>
      <c r="EL1780" s="14"/>
      <c r="EM1780" s="14"/>
      <c r="EN1780" s="14"/>
      <c r="EO1780" s="14"/>
      <c r="EP1780" s="14"/>
      <c r="EQ1780" s="14"/>
      <c r="ER1780" s="14"/>
      <c r="ES1780" s="14"/>
      <c r="ET1780" s="14"/>
      <c r="EU1780" s="14"/>
      <c r="EV1780" s="14"/>
      <c r="EW1780" s="14"/>
      <c r="EX1780" s="14"/>
      <c r="EY1780" s="14"/>
      <c r="EZ1780" s="14"/>
      <c r="FA1780" s="14"/>
      <c r="FB1780" s="14"/>
      <c r="FC1780" s="14"/>
      <c r="FD1780" s="14"/>
      <c r="FE1780" s="14"/>
      <c r="FF1780" s="14"/>
      <c r="FG1780" s="14"/>
      <c r="FH1780" s="14"/>
      <c r="FI1780" s="14"/>
      <c r="FJ1780" s="14"/>
      <c r="FK1780" s="14"/>
      <c r="FL1780" s="14"/>
      <c r="FM1780" s="14"/>
      <c r="FN1780" s="14"/>
      <c r="FO1780" s="14"/>
      <c r="FP1780" s="14"/>
      <c r="FQ1780" s="14"/>
      <c r="FR1780" s="14"/>
      <c r="FS1780" s="14"/>
      <c r="FT1780" s="14"/>
      <c r="FU1780" s="14"/>
      <c r="FV1780" s="14"/>
      <c r="FW1780" s="14"/>
      <c r="FX1780" s="14"/>
      <c r="FY1780" s="14"/>
      <c r="FZ1780" s="14"/>
      <c r="GA1780" s="14"/>
      <c r="GB1780" s="14"/>
      <c r="GC1780" s="14"/>
      <c r="GD1780" s="14"/>
      <c r="GE1780" s="14"/>
      <c r="GF1780" s="14"/>
      <c r="GG1780" s="14"/>
      <c r="GH1780" s="14"/>
      <c r="GI1780" s="14"/>
      <c r="GJ1780" s="14"/>
      <c r="GK1780" s="14"/>
      <c r="GL1780" s="14"/>
      <c r="GM1780" s="14"/>
      <c r="GN1780" s="14"/>
      <c r="GO1780" s="14"/>
      <c r="GP1780" s="14"/>
      <c r="GQ1780" s="14"/>
      <c r="GR1780" s="14"/>
      <c r="GS1780" s="14"/>
      <c r="GT1780" s="14"/>
      <c r="GU1780" s="14"/>
      <c r="GV1780" s="14"/>
      <c r="GW1780" s="14"/>
      <c r="GX1780" s="14"/>
      <c r="GY1780" s="14"/>
      <c r="GZ1780" s="14"/>
      <c r="HA1780" s="14"/>
    </row>
    <row r="1781" ht="23.25" customHeight="1">
      <c r="A1781" s="14"/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57" t="s">
        <v>3211</v>
      </c>
      <c r="BX1781" s="57" t="s">
        <v>3215</v>
      </c>
      <c r="BY1781" s="14"/>
      <c r="BZ1781" s="57" t="s">
        <v>159</v>
      </c>
      <c r="CA1781" s="57" t="s">
        <v>2367</v>
      </c>
      <c r="CB1781" s="57" t="s">
        <v>337</v>
      </c>
      <c r="CC1781" s="57" t="s">
        <v>1810</v>
      </c>
      <c r="CD1781" s="58">
        <v>44056.0</v>
      </c>
      <c r="CE1781" s="58">
        <v>44070.0</v>
      </c>
      <c r="CF1781" s="57">
        <v>100.0</v>
      </c>
      <c r="CG1781" s="59" t="s">
        <v>5225</v>
      </c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14"/>
      <c r="DC1781" s="14"/>
      <c r="DD1781" s="14"/>
      <c r="DE1781" s="14"/>
      <c r="DF1781" s="14"/>
      <c r="DG1781" s="14"/>
      <c r="DH1781" s="14"/>
      <c r="DI1781" s="14"/>
      <c r="DJ1781" s="14"/>
      <c r="DK1781" s="14"/>
      <c r="DL1781" s="14"/>
      <c r="DM1781" s="14"/>
      <c r="DN1781" s="14"/>
      <c r="DO1781" s="14"/>
      <c r="DP1781" s="14"/>
      <c r="DQ1781" s="14"/>
      <c r="DR1781" s="14"/>
      <c r="DS1781" s="14"/>
      <c r="DT1781" s="14"/>
      <c r="DU1781" s="14"/>
      <c r="DV1781" s="14"/>
      <c r="DW1781" s="14"/>
      <c r="DX1781" s="14"/>
      <c r="DY1781" s="14"/>
      <c r="DZ1781" s="14"/>
      <c r="EA1781" s="14"/>
      <c r="EB1781" s="14"/>
      <c r="EC1781" s="14"/>
      <c r="ED1781" s="14"/>
      <c r="EE1781" s="14"/>
      <c r="EF1781" s="14"/>
      <c r="EG1781" s="14"/>
      <c r="EH1781" s="14"/>
      <c r="EI1781" s="14"/>
      <c r="EJ1781" s="14"/>
      <c r="EK1781" s="14"/>
      <c r="EL1781" s="14"/>
      <c r="EM1781" s="14"/>
      <c r="EN1781" s="14"/>
      <c r="EO1781" s="14"/>
      <c r="EP1781" s="14"/>
      <c r="EQ1781" s="14"/>
      <c r="ER1781" s="14"/>
      <c r="ES1781" s="14"/>
      <c r="ET1781" s="14"/>
      <c r="EU1781" s="14"/>
      <c r="EV1781" s="14"/>
      <c r="EW1781" s="14"/>
      <c r="EX1781" s="14"/>
      <c r="EY1781" s="14"/>
      <c r="EZ1781" s="14"/>
      <c r="FA1781" s="14"/>
      <c r="FB1781" s="14"/>
      <c r="FC1781" s="14"/>
      <c r="FD1781" s="14"/>
      <c r="FE1781" s="14"/>
      <c r="FF1781" s="14"/>
      <c r="FG1781" s="14"/>
      <c r="FH1781" s="14"/>
      <c r="FI1781" s="14"/>
      <c r="FJ1781" s="14"/>
      <c r="FK1781" s="14"/>
      <c r="FL1781" s="14"/>
      <c r="FM1781" s="14"/>
      <c r="FN1781" s="14"/>
      <c r="FO1781" s="14"/>
      <c r="FP1781" s="14"/>
      <c r="FQ1781" s="14"/>
      <c r="FR1781" s="14"/>
      <c r="FS1781" s="14"/>
      <c r="FT1781" s="14"/>
      <c r="FU1781" s="14"/>
      <c r="FV1781" s="14"/>
      <c r="FW1781" s="14"/>
      <c r="FX1781" s="14"/>
      <c r="FY1781" s="14"/>
      <c r="FZ1781" s="14"/>
      <c r="GA1781" s="14"/>
      <c r="GB1781" s="14"/>
      <c r="GC1781" s="14"/>
      <c r="GD1781" s="14"/>
      <c r="GE1781" s="14"/>
      <c r="GF1781" s="14"/>
      <c r="GG1781" s="14"/>
      <c r="GH1781" s="14"/>
      <c r="GI1781" s="14"/>
      <c r="GJ1781" s="14"/>
      <c r="GK1781" s="14"/>
      <c r="GL1781" s="14"/>
      <c r="GM1781" s="14"/>
      <c r="GN1781" s="14"/>
      <c r="GO1781" s="14"/>
      <c r="GP1781" s="14"/>
      <c r="GQ1781" s="14"/>
      <c r="GR1781" s="14"/>
      <c r="GS1781" s="14"/>
      <c r="GT1781" s="14"/>
      <c r="GU1781" s="14"/>
      <c r="GV1781" s="14"/>
      <c r="GW1781" s="14"/>
      <c r="GX1781" s="14"/>
      <c r="GY1781" s="14"/>
      <c r="GZ1781" s="14"/>
      <c r="HA1781" s="14"/>
    </row>
    <row r="1782" ht="23.25" customHeight="1">
      <c r="A1782" s="14"/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57" t="s">
        <v>3298</v>
      </c>
      <c r="BX1782" s="57" t="s">
        <v>3299</v>
      </c>
      <c r="BY1782" s="14"/>
      <c r="BZ1782" s="57" t="s">
        <v>171</v>
      </c>
      <c r="CA1782" s="57" t="s">
        <v>5226</v>
      </c>
      <c r="CB1782" s="57" t="s">
        <v>1378</v>
      </c>
      <c r="CC1782" s="57" t="s">
        <v>701</v>
      </c>
      <c r="CD1782" s="58">
        <v>43983.0</v>
      </c>
      <c r="CE1782" s="58">
        <v>44013.0</v>
      </c>
      <c r="CF1782" s="57">
        <v>100.0</v>
      </c>
      <c r="CG1782" s="59" t="s">
        <v>5227</v>
      </c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14"/>
      <c r="DC1782" s="14"/>
      <c r="DD1782" s="14"/>
      <c r="DE1782" s="14"/>
      <c r="DF1782" s="14"/>
      <c r="DG1782" s="14"/>
      <c r="DH1782" s="14"/>
      <c r="DI1782" s="14"/>
      <c r="DJ1782" s="14"/>
      <c r="DK1782" s="14"/>
      <c r="DL1782" s="14"/>
      <c r="DM1782" s="14"/>
      <c r="DN1782" s="14"/>
      <c r="DO1782" s="14"/>
      <c r="DP1782" s="14"/>
      <c r="DQ1782" s="14"/>
      <c r="DR1782" s="14"/>
      <c r="DS1782" s="14"/>
      <c r="DT1782" s="14"/>
      <c r="DU1782" s="14"/>
      <c r="DV1782" s="14"/>
      <c r="DW1782" s="14"/>
      <c r="DX1782" s="14"/>
      <c r="DY1782" s="14"/>
      <c r="DZ1782" s="14"/>
      <c r="EA1782" s="14"/>
      <c r="EB1782" s="14"/>
      <c r="EC1782" s="14"/>
      <c r="ED1782" s="14"/>
      <c r="EE1782" s="14"/>
      <c r="EF1782" s="14"/>
      <c r="EG1782" s="14"/>
      <c r="EH1782" s="14"/>
      <c r="EI1782" s="14"/>
      <c r="EJ1782" s="14"/>
      <c r="EK1782" s="14"/>
      <c r="EL1782" s="14"/>
      <c r="EM1782" s="14"/>
      <c r="EN1782" s="14"/>
      <c r="EO1782" s="14"/>
      <c r="EP1782" s="14"/>
      <c r="EQ1782" s="14"/>
      <c r="ER1782" s="14"/>
      <c r="ES1782" s="14"/>
      <c r="ET1782" s="14"/>
      <c r="EU1782" s="14"/>
      <c r="EV1782" s="14"/>
      <c r="EW1782" s="14"/>
      <c r="EX1782" s="14"/>
      <c r="EY1782" s="14"/>
      <c r="EZ1782" s="14"/>
      <c r="FA1782" s="14"/>
      <c r="FB1782" s="14"/>
      <c r="FC1782" s="14"/>
      <c r="FD1782" s="14"/>
      <c r="FE1782" s="14"/>
      <c r="FF1782" s="14"/>
      <c r="FG1782" s="14"/>
      <c r="FH1782" s="14"/>
      <c r="FI1782" s="14"/>
      <c r="FJ1782" s="14"/>
      <c r="FK1782" s="14"/>
      <c r="FL1782" s="14"/>
      <c r="FM1782" s="14"/>
      <c r="FN1782" s="14"/>
      <c r="FO1782" s="14"/>
      <c r="FP1782" s="14"/>
      <c r="FQ1782" s="14"/>
      <c r="FR1782" s="14"/>
      <c r="FS1782" s="14"/>
      <c r="FT1782" s="14"/>
      <c r="FU1782" s="14"/>
      <c r="FV1782" s="14"/>
      <c r="FW1782" s="14"/>
      <c r="FX1782" s="14"/>
      <c r="FY1782" s="14"/>
      <c r="FZ1782" s="14"/>
      <c r="GA1782" s="14"/>
      <c r="GB1782" s="14"/>
      <c r="GC1782" s="14"/>
      <c r="GD1782" s="14"/>
      <c r="GE1782" s="14"/>
      <c r="GF1782" s="14"/>
      <c r="GG1782" s="14"/>
      <c r="GH1782" s="14"/>
      <c r="GI1782" s="14"/>
      <c r="GJ1782" s="14"/>
      <c r="GK1782" s="14"/>
      <c r="GL1782" s="14"/>
      <c r="GM1782" s="14"/>
      <c r="GN1782" s="14"/>
      <c r="GO1782" s="14"/>
      <c r="GP1782" s="14"/>
      <c r="GQ1782" s="14"/>
      <c r="GR1782" s="14"/>
      <c r="GS1782" s="14"/>
      <c r="GT1782" s="14"/>
      <c r="GU1782" s="14"/>
      <c r="GV1782" s="14"/>
      <c r="GW1782" s="14"/>
      <c r="GX1782" s="14"/>
      <c r="GY1782" s="14"/>
      <c r="GZ1782" s="14"/>
      <c r="HA1782" s="14"/>
    </row>
    <row r="1783" ht="23.25" customHeight="1">
      <c r="A1783" s="14"/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57" t="s">
        <v>3298</v>
      </c>
      <c r="BX1783" s="57" t="s">
        <v>3299</v>
      </c>
      <c r="BY1783" s="14"/>
      <c r="BZ1783" s="57" t="s">
        <v>171</v>
      </c>
      <c r="CA1783" s="57" t="s">
        <v>5228</v>
      </c>
      <c r="CB1783" s="57" t="s">
        <v>1378</v>
      </c>
      <c r="CC1783" s="57" t="s">
        <v>503</v>
      </c>
      <c r="CD1783" s="58">
        <v>43872.0</v>
      </c>
      <c r="CE1783" s="58">
        <v>43962.0</v>
      </c>
      <c r="CF1783" s="57">
        <v>100.0</v>
      </c>
      <c r="CG1783" s="59" t="s">
        <v>5229</v>
      </c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14"/>
      <c r="DC1783" s="14"/>
      <c r="DD1783" s="14"/>
      <c r="DE1783" s="14"/>
      <c r="DF1783" s="14"/>
      <c r="DG1783" s="14"/>
      <c r="DH1783" s="14"/>
      <c r="DI1783" s="14"/>
      <c r="DJ1783" s="14"/>
      <c r="DK1783" s="14"/>
      <c r="DL1783" s="14"/>
      <c r="DM1783" s="14"/>
      <c r="DN1783" s="14"/>
      <c r="DO1783" s="14"/>
      <c r="DP1783" s="14"/>
      <c r="DQ1783" s="14"/>
      <c r="DR1783" s="14"/>
      <c r="DS1783" s="14"/>
      <c r="DT1783" s="14"/>
      <c r="DU1783" s="14"/>
      <c r="DV1783" s="14"/>
      <c r="DW1783" s="14"/>
      <c r="DX1783" s="14"/>
      <c r="DY1783" s="14"/>
      <c r="DZ1783" s="14"/>
      <c r="EA1783" s="14"/>
      <c r="EB1783" s="14"/>
      <c r="EC1783" s="14"/>
      <c r="ED1783" s="14"/>
      <c r="EE1783" s="14"/>
      <c r="EF1783" s="14"/>
      <c r="EG1783" s="14"/>
      <c r="EH1783" s="14"/>
      <c r="EI1783" s="14"/>
      <c r="EJ1783" s="14"/>
      <c r="EK1783" s="14"/>
      <c r="EL1783" s="14"/>
      <c r="EM1783" s="14"/>
      <c r="EN1783" s="14"/>
      <c r="EO1783" s="14"/>
      <c r="EP1783" s="14"/>
      <c r="EQ1783" s="14"/>
      <c r="ER1783" s="14"/>
      <c r="ES1783" s="14"/>
      <c r="ET1783" s="14"/>
      <c r="EU1783" s="14"/>
      <c r="EV1783" s="14"/>
      <c r="EW1783" s="14"/>
      <c r="EX1783" s="14"/>
      <c r="EY1783" s="14"/>
      <c r="EZ1783" s="14"/>
      <c r="FA1783" s="14"/>
      <c r="FB1783" s="14"/>
      <c r="FC1783" s="14"/>
      <c r="FD1783" s="14"/>
      <c r="FE1783" s="14"/>
      <c r="FF1783" s="14"/>
      <c r="FG1783" s="14"/>
      <c r="FH1783" s="14"/>
      <c r="FI1783" s="14"/>
      <c r="FJ1783" s="14"/>
      <c r="FK1783" s="14"/>
      <c r="FL1783" s="14"/>
      <c r="FM1783" s="14"/>
      <c r="FN1783" s="14"/>
      <c r="FO1783" s="14"/>
      <c r="FP1783" s="14"/>
      <c r="FQ1783" s="14"/>
      <c r="FR1783" s="14"/>
      <c r="FS1783" s="14"/>
      <c r="FT1783" s="14"/>
      <c r="FU1783" s="14"/>
      <c r="FV1783" s="14"/>
      <c r="FW1783" s="14"/>
      <c r="FX1783" s="14"/>
      <c r="FY1783" s="14"/>
      <c r="FZ1783" s="14"/>
      <c r="GA1783" s="14"/>
      <c r="GB1783" s="14"/>
      <c r="GC1783" s="14"/>
      <c r="GD1783" s="14"/>
      <c r="GE1783" s="14"/>
      <c r="GF1783" s="14"/>
      <c r="GG1783" s="14"/>
      <c r="GH1783" s="14"/>
      <c r="GI1783" s="14"/>
      <c r="GJ1783" s="14"/>
      <c r="GK1783" s="14"/>
      <c r="GL1783" s="14"/>
      <c r="GM1783" s="14"/>
      <c r="GN1783" s="14"/>
      <c r="GO1783" s="14"/>
      <c r="GP1783" s="14"/>
      <c r="GQ1783" s="14"/>
      <c r="GR1783" s="14"/>
      <c r="GS1783" s="14"/>
      <c r="GT1783" s="14"/>
      <c r="GU1783" s="14"/>
      <c r="GV1783" s="14"/>
      <c r="GW1783" s="14"/>
      <c r="GX1783" s="14"/>
      <c r="GY1783" s="14"/>
      <c r="GZ1783" s="14"/>
      <c r="HA1783" s="14"/>
    </row>
    <row r="1784" ht="23.25" customHeight="1">
      <c r="A1784" s="14"/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57" t="s">
        <v>3298</v>
      </c>
      <c r="BX1784" s="57" t="s">
        <v>3299</v>
      </c>
      <c r="BY1784" s="14"/>
      <c r="BZ1784" s="57" t="s">
        <v>171</v>
      </c>
      <c r="CA1784" s="57" t="s">
        <v>5230</v>
      </c>
      <c r="CB1784" s="57" t="s">
        <v>1378</v>
      </c>
      <c r="CC1784" s="57" t="s">
        <v>701</v>
      </c>
      <c r="CD1784" s="58">
        <v>44334.0</v>
      </c>
      <c r="CE1784" s="58">
        <v>44365.0</v>
      </c>
      <c r="CF1784" s="57">
        <v>100.0</v>
      </c>
      <c r="CG1784" s="59" t="s">
        <v>5231</v>
      </c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14"/>
      <c r="DC1784" s="14"/>
      <c r="DD1784" s="14"/>
      <c r="DE1784" s="14"/>
      <c r="DF1784" s="14"/>
      <c r="DG1784" s="14"/>
      <c r="DH1784" s="14"/>
      <c r="DI1784" s="14"/>
      <c r="DJ1784" s="14"/>
      <c r="DK1784" s="14"/>
      <c r="DL1784" s="14"/>
      <c r="DM1784" s="14"/>
      <c r="DN1784" s="14"/>
      <c r="DO1784" s="14"/>
      <c r="DP1784" s="14"/>
      <c r="DQ1784" s="14"/>
      <c r="DR1784" s="14"/>
      <c r="DS1784" s="14"/>
      <c r="DT1784" s="14"/>
      <c r="DU1784" s="14"/>
      <c r="DV1784" s="14"/>
      <c r="DW1784" s="14"/>
      <c r="DX1784" s="14"/>
      <c r="DY1784" s="14"/>
      <c r="DZ1784" s="14"/>
      <c r="EA1784" s="14"/>
      <c r="EB1784" s="14"/>
      <c r="EC1784" s="14"/>
      <c r="ED1784" s="14"/>
      <c r="EE1784" s="14"/>
      <c r="EF1784" s="14"/>
      <c r="EG1784" s="14"/>
      <c r="EH1784" s="14"/>
      <c r="EI1784" s="14"/>
      <c r="EJ1784" s="14"/>
      <c r="EK1784" s="14"/>
      <c r="EL1784" s="14"/>
      <c r="EM1784" s="14"/>
      <c r="EN1784" s="14"/>
      <c r="EO1784" s="14"/>
      <c r="EP1784" s="14"/>
      <c r="EQ1784" s="14"/>
      <c r="ER1784" s="14"/>
      <c r="ES1784" s="14"/>
      <c r="ET1784" s="14"/>
      <c r="EU1784" s="14"/>
      <c r="EV1784" s="14"/>
      <c r="EW1784" s="14"/>
      <c r="EX1784" s="14"/>
      <c r="EY1784" s="14"/>
      <c r="EZ1784" s="14"/>
      <c r="FA1784" s="14"/>
      <c r="FB1784" s="14"/>
      <c r="FC1784" s="14"/>
      <c r="FD1784" s="14"/>
      <c r="FE1784" s="14"/>
      <c r="FF1784" s="14"/>
      <c r="FG1784" s="14"/>
      <c r="FH1784" s="14"/>
      <c r="FI1784" s="14"/>
      <c r="FJ1784" s="14"/>
      <c r="FK1784" s="14"/>
      <c r="FL1784" s="14"/>
      <c r="FM1784" s="14"/>
      <c r="FN1784" s="14"/>
      <c r="FO1784" s="14"/>
      <c r="FP1784" s="14"/>
      <c r="FQ1784" s="14"/>
      <c r="FR1784" s="14"/>
      <c r="FS1784" s="14"/>
      <c r="FT1784" s="14"/>
      <c r="FU1784" s="14"/>
      <c r="FV1784" s="14"/>
      <c r="FW1784" s="14"/>
      <c r="FX1784" s="14"/>
      <c r="FY1784" s="14"/>
      <c r="FZ1784" s="14"/>
      <c r="GA1784" s="14"/>
      <c r="GB1784" s="14"/>
      <c r="GC1784" s="14"/>
      <c r="GD1784" s="14"/>
      <c r="GE1784" s="14"/>
      <c r="GF1784" s="14"/>
      <c r="GG1784" s="14"/>
      <c r="GH1784" s="14"/>
      <c r="GI1784" s="14"/>
      <c r="GJ1784" s="14"/>
      <c r="GK1784" s="14"/>
      <c r="GL1784" s="14"/>
      <c r="GM1784" s="14"/>
      <c r="GN1784" s="14"/>
      <c r="GO1784" s="14"/>
      <c r="GP1784" s="14"/>
      <c r="GQ1784" s="14"/>
      <c r="GR1784" s="14"/>
      <c r="GS1784" s="14"/>
      <c r="GT1784" s="14"/>
      <c r="GU1784" s="14"/>
      <c r="GV1784" s="14"/>
      <c r="GW1784" s="14"/>
      <c r="GX1784" s="14"/>
      <c r="GY1784" s="14"/>
      <c r="GZ1784" s="14"/>
      <c r="HA1784" s="14"/>
    </row>
    <row r="1785" ht="23.25" customHeight="1">
      <c r="A1785" s="14"/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57" t="s">
        <v>3436</v>
      </c>
      <c r="BX1785" s="57" t="s">
        <v>3437</v>
      </c>
      <c r="BY1785" s="14"/>
      <c r="BZ1785" s="57" t="s">
        <v>159</v>
      </c>
      <c r="CA1785" s="57" t="s">
        <v>5232</v>
      </c>
      <c r="CB1785" s="57" t="s">
        <v>345</v>
      </c>
      <c r="CC1785" s="57" t="s">
        <v>5233</v>
      </c>
      <c r="CD1785" s="58">
        <v>44060.0</v>
      </c>
      <c r="CE1785" s="58">
        <v>44127.0</v>
      </c>
      <c r="CF1785" s="57">
        <v>100.0</v>
      </c>
      <c r="CG1785" s="59" t="s">
        <v>5234</v>
      </c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14"/>
      <c r="DC1785" s="14"/>
      <c r="DD1785" s="14"/>
      <c r="DE1785" s="14"/>
      <c r="DF1785" s="14"/>
      <c r="DG1785" s="14"/>
      <c r="DH1785" s="14"/>
      <c r="DI1785" s="14"/>
      <c r="DJ1785" s="14"/>
      <c r="DK1785" s="14"/>
      <c r="DL1785" s="14"/>
      <c r="DM1785" s="14"/>
      <c r="DN1785" s="14"/>
      <c r="DO1785" s="14"/>
      <c r="DP1785" s="14"/>
      <c r="DQ1785" s="14"/>
      <c r="DR1785" s="14"/>
      <c r="DS1785" s="14"/>
      <c r="DT1785" s="14"/>
      <c r="DU1785" s="14"/>
      <c r="DV1785" s="14"/>
      <c r="DW1785" s="14"/>
      <c r="DX1785" s="14"/>
      <c r="DY1785" s="14"/>
      <c r="DZ1785" s="14"/>
      <c r="EA1785" s="14"/>
      <c r="EB1785" s="14"/>
      <c r="EC1785" s="14"/>
      <c r="ED1785" s="14"/>
      <c r="EE1785" s="14"/>
      <c r="EF1785" s="14"/>
      <c r="EG1785" s="14"/>
      <c r="EH1785" s="14"/>
      <c r="EI1785" s="14"/>
      <c r="EJ1785" s="14"/>
      <c r="EK1785" s="14"/>
      <c r="EL1785" s="14"/>
      <c r="EM1785" s="14"/>
      <c r="EN1785" s="14"/>
      <c r="EO1785" s="14"/>
      <c r="EP1785" s="14"/>
      <c r="EQ1785" s="14"/>
      <c r="ER1785" s="14"/>
      <c r="ES1785" s="14"/>
      <c r="ET1785" s="14"/>
      <c r="EU1785" s="14"/>
      <c r="EV1785" s="14"/>
      <c r="EW1785" s="14"/>
      <c r="EX1785" s="14"/>
      <c r="EY1785" s="14"/>
      <c r="EZ1785" s="14"/>
      <c r="FA1785" s="14"/>
      <c r="FB1785" s="14"/>
      <c r="FC1785" s="14"/>
      <c r="FD1785" s="14"/>
      <c r="FE1785" s="14"/>
      <c r="FF1785" s="14"/>
      <c r="FG1785" s="14"/>
      <c r="FH1785" s="14"/>
      <c r="FI1785" s="14"/>
      <c r="FJ1785" s="14"/>
      <c r="FK1785" s="14"/>
      <c r="FL1785" s="14"/>
      <c r="FM1785" s="14"/>
      <c r="FN1785" s="14"/>
      <c r="FO1785" s="14"/>
      <c r="FP1785" s="14"/>
      <c r="FQ1785" s="14"/>
      <c r="FR1785" s="14"/>
      <c r="FS1785" s="14"/>
      <c r="FT1785" s="14"/>
      <c r="FU1785" s="14"/>
      <c r="FV1785" s="14"/>
      <c r="FW1785" s="14"/>
      <c r="FX1785" s="14"/>
      <c r="FY1785" s="14"/>
      <c r="FZ1785" s="14"/>
      <c r="GA1785" s="14"/>
      <c r="GB1785" s="14"/>
      <c r="GC1785" s="14"/>
      <c r="GD1785" s="14"/>
      <c r="GE1785" s="14"/>
      <c r="GF1785" s="14"/>
      <c r="GG1785" s="14"/>
      <c r="GH1785" s="14"/>
      <c r="GI1785" s="14"/>
      <c r="GJ1785" s="14"/>
      <c r="GK1785" s="14"/>
      <c r="GL1785" s="14"/>
      <c r="GM1785" s="14"/>
      <c r="GN1785" s="14"/>
      <c r="GO1785" s="14"/>
      <c r="GP1785" s="14"/>
      <c r="GQ1785" s="14"/>
      <c r="GR1785" s="14"/>
      <c r="GS1785" s="14"/>
      <c r="GT1785" s="14"/>
      <c r="GU1785" s="14"/>
      <c r="GV1785" s="14"/>
      <c r="GW1785" s="14"/>
      <c r="GX1785" s="14"/>
      <c r="GY1785" s="14"/>
      <c r="GZ1785" s="14"/>
      <c r="HA1785" s="14"/>
    </row>
    <row r="1786" ht="23.25" customHeight="1">
      <c r="A1786" s="14"/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57" t="s">
        <v>3436</v>
      </c>
      <c r="BX1786" s="57" t="s">
        <v>3437</v>
      </c>
      <c r="BY1786" s="14"/>
      <c r="BZ1786" s="57" t="s">
        <v>159</v>
      </c>
      <c r="CA1786" s="57" t="s">
        <v>1351</v>
      </c>
      <c r="CB1786" s="57" t="s">
        <v>5235</v>
      </c>
      <c r="CC1786" s="57" t="s">
        <v>882</v>
      </c>
      <c r="CD1786" s="58">
        <v>43866.0</v>
      </c>
      <c r="CE1786" s="58">
        <v>43895.0</v>
      </c>
      <c r="CF1786" s="57">
        <v>100.0</v>
      </c>
      <c r="CG1786" s="59" t="s">
        <v>5236</v>
      </c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14"/>
      <c r="DC1786" s="14"/>
      <c r="DD1786" s="14"/>
      <c r="DE1786" s="14"/>
      <c r="DF1786" s="14"/>
      <c r="DG1786" s="14"/>
      <c r="DH1786" s="14"/>
      <c r="DI1786" s="14"/>
      <c r="DJ1786" s="14"/>
      <c r="DK1786" s="14"/>
      <c r="DL1786" s="14"/>
      <c r="DM1786" s="14"/>
      <c r="DN1786" s="14"/>
      <c r="DO1786" s="14"/>
      <c r="DP1786" s="14"/>
      <c r="DQ1786" s="14"/>
      <c r="DR1786" s="14"/>
      <c r="DS1786" s="14"/>
      <c r="DT1786" s="14"/>
      <c r="DU1786" s="14"/>
      <c r="DV1786" s="14"/>
      <c r="DW1786" s="14"/>
      <c r="DX1786" s="14"/>
      <c r="DY1786" s="14"/>
      <c r="DZ1786" s="14"/>
      <c r="EA1786" s="14"/>
      <c r="EB1786" s="14"/>
      <c r="EC1786" s="14"/>
      <c r="ED1786" s="14"/>
      <c r="EE1786" s="14"/>
      <c r="EF1786" s="14"/>
      <c r="EG1786" s="14"/>
      <c r="EH1786" s="14"/>
      <c r="EI1786" s="14"/>
      <c r="EJ1786" s="14"/>
      <c r="EK1786" s="14"/>
      <c r="EL1786" s="14"/>
      <c r="EM1786" s="14"/>
      <c r="EN1786" s="14"/>
      <c r="EO1786" s="14"/>
      <c r="EP1786" s="14"/>
      <c r="EQ1786" s="14"/>
      <c r="ER1786" s="14"/>
      <c r="ES1786" s="14"/>
      <c r="ET1786" s="14"/>
      <c r="EU1786" s="14"/>
      <c r="EV1786" s="14"/>
      <c r="EW1786" s="14"/>
      <c r="EX1786" s="14"/>
      <c r="EY1786" s="14"/>
      <c r="EZ1786" s="14"/>
      <c r="FA1786" s="14"/>
      <c r="FB1786" s="14"/>
      <c r="FC1786" s="14"/>
      <c r="FD1786" s="14"/>
      <c r="FE1786" s="14"/>
      <c r="FF1786" s="14"/>
      <c r="FG1786" s="14"/>
      <c r="FH1786" s="14"/>
      <c r="FI1786" s="14"/>
      <c r="FJ1786" s="14"/>
      <c r="FK1786" s="14"/>
      <c r="FL1786" s="14"/>
      <c r="FM1786" s="14"/>
      <c r="FN1786" s="14"/>
      <c r="FO1786" s="14"/>
      <c r="FP1786" s="14"/>
      <c r="FQ1786" s="14"/>
      <c r="FR1786" s="14"/>
      <c r="FS1786" s="14"/>
      <c r="FT1786" s="14"/>
      <c r="FU1786" s="14"/>
      <c r="FV1786" s="14"/>
      <c r="FW1786" s="14"/>
      <c r="FX1786" s="14"/>
      <c r="FY1786" s="14"/>
      <c r="FZ1786" s="14"/>
      <c r="GA1786" s="14"/>
      <c r="GB1786" s="14"/>
      <c r="GC1786" s="14"/>
      <c r="GD1786" s="14"/>
      <c r="GE1786" s="14"/>
      <c r="GF1786" s="14"/>
      <c r="GG1786" s="14"/>
      <c r="GH1786" s="14"/>
      <c r="GI1786" s="14"/>
      <c r="GJ1786" s="14"/>
      <c r="GK1786" s="14"/>
      <c r="GL1786" s="14"/>
      <c r="GM1786" s="14"/>
      <c r="GN1786" s="14"/>
      <c r="GO1786" s="14"/>
      <c r="GP1786" s="14"/>
      <c r="GQ1786" s="14"/>
      <c r="GR1786" s="14"/>
      <c r="GS1786" s="14"/>
      <c r="GT1786" s="14"/>
      <c r="GU1786" s="14"/>
      <c r="GV1786" s="14"/>
      <c r="GW1786" s="14"/>
      <c r="GX1786" s="14"/>
      <c r="GY1786" s="14"/>
      <c r="GZ1786" s="14"/>
      <c r="HA1786" s="14"/>
    </row>
    <row r="1787" ht="23.25" customHeight="1">
      <c r="A1787" s="14"/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57" t="s">
        <v>3436</v>
      </c>
      <c r="BX1787" s="57" t="s">
        <v>3437</v>
      </c>
      <c r="BY1787" s="14"/>
      <c r="BZ1787" s="57" t="s">
        <v>159</v>
      </c>
      <c r="CA1787" s="57" t="s">
        <v>5237</v>
      </c>
      <c r="CB1787" s="57" t="s">
        <v>5238</v>
      </c>
      <c r="CC1787" s="57" t="s">
        <v>973</v>
      </c>
      <c r="CD1787" s="58">
        <v>43913.0</v>
      </c>
      <c r="CE1787" s="58">
        <v>43957.0</v>
      </c>
      <c r="CF1787" s="57">
        <v>100.0</v>
      </c>
      <c r="CG1787" s="59" t="s">
        <v>5239</v>
      </c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14"/>
      <c r="DC1787" s="14"/>
      <c r="DD1787" s="14"/>
      <c r="DE1787" s="14"/>
      <c r="DF1787" s="14"/>
      <c r="DG1787" s="14"/>
      <c r="DH1787" s="14"/>
      <c r="DI1787" s="14"/>
      <c r="DJ1787" s="14"/>
      <c r="DK1787" s="14"/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14"/>
      <c r="EJ1787" s="14"/>
      <c r="EK1787" s="14"/>
      <c r="EL1787" s="14"/>
      <c r="EM1787" s="14"/>
      <c r="EN1787" s="14"/>
      <c r="EO1787" s="14"/>
      <c r="EP1787" s="14"/>
      <c r="EQ1787" s="14"/>
      <c r="ER1787" s="14"/>
      <c r="ES1787" s="14"/>
      <c r="ET1787" s="14"/>
      <c r="EU1787" s="14"/>
      <c r="EV1787" s="14"/>
      <c r="EW1787" s="14"/>
      <c r="EX1787" s="14"/>
      <c r="EY1787" s="14"/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4"/>
      <c r="FZ1787" s="14"/>
      <c r="GA1787" s="14"/>
      <c r="GB1787" s="14"/>
      <c r="GC1787" s="14"/>
      <c r="GD1787" s="14"/>
      <c r="GE1787" s="14"/>
      <c r="GF1787" s="14"/>
      <c r="GG1787" s="14"/>
      <c r="GH1787" s="14"/>
      <c r="GI1787" s="14"/>
      <c r="GJ1787" s="14"/>
      <c r="GK1787" s="14"/>
      <c r="GL1787" s="14"/>
      <c r="GM1787" s="14"/>
      <c r="GN1787" s="14"/>
      <c r="GO1787" s="14"/>
      <c r="GP1787" s="14"/>
      <c r="GQ1787" s="14"/>
      <c r="GR1787" s="14"/>
      <c r="GS1787" s="14"/>
      <c r="GT1787" s="14"/>
      <c r="GU1787" s="14"/>
      <c r="GV1787" s="14"/>
      <c r="GW1787" s="14"/>
      <c r="GX1787" s="14"/>
      <c r="GY1787" s="14"/>
      <c r="GZ1787" s="14"/>
      <c r="HA1787" s="14"/>
    </row>
    <row r="1788" ht="23.25" customHeight="1">
      <c r="A1788" s="14"/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57" t="s">
        <v>3436</v>
      </c>
      <c r="BX1788" s="57" t="s">
        <v>3437</v>
      </c>
      <c r="BY1788" s="14"/>
      <c r="BZ1788" s="57" t="s">
        <v>159</v>
      </c>
      <c r="CA1788" s="57" t="s">
        <v>1753</v>
      </c>
      <c r="CB1788" s="57" t="s">
        <v>5240</v>
      </c>
      <c r="CC1788" s="57" t="s">
        <v>2171</v>
      </c>
      <c r="CD1788" s="58">
        <v>43891.0</v>
      </c>
      <c r="CE1788" s="58">
        <v>43952.0</v>
      </c>
      <c r="CF1788" s="57">
        <v>100.0</v>
      </c>
      <c r="CG1788" s="59" t="s">
        <v>5241</v>
      </c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14"/>
      <c r="DC1788" s="14"/>
      <c r="DD1788" s="14"/>
      <c r="DE1788" s="14"/>
      <c r="DF1788" s="14"/>
      <c r="DG1788" s="14"/>
      <c r="DH1788" s="14"/>
      <c r="DI1788" s="14"/>
      <c r="DJ1788" s="14"/>
      <c r="DK1788" s="14"/>
      <c r="DL1788" s="14"/>
      <c r="DM1788" s="14"/>
      <c r="DN1788" s="14"/>
      <c r="DO1788" s="14"/>
      <c r="DP1788" s="14"/>
      <c r="DQ1788" s="14"/>
      <c r="DR1788" s="14"/>
      <c r="DS1788" s="14"/>
      <c r="DT1788" s="14"/>
      <c r="DU1788" s="14"/>
      <c r="DV1788" s="14"/>
      <c r="DW1788" s="14"/>
      <c r="DX1788" s="14"/>
      <c r="DY1788" s="14"/>
      <c r="DZ1788" s="14"/>
      <c r="EA1788" s="14"/>
      <c r="EB1788" s="14"/>
      <c r="EC1788" s="14"/>
      <c r="ED1788" s="14"/>
      <c r="EE1788" s="14"/>
      <c r="EF1788" s="14"/>
      <c r="EG1788" s="14"/>
      <c r="EH1788" s="14"/>
      <c r="EI1788" s="14"/>
      <c r="EJ1788" s="14"/>
      <c r="EK1788" s="14"/>
      <c r="EL1788" s="14"/>
      <c r="EM1788" s="14"/>
      <c r="EN1788" s="14"/>
      <c r="EO1788" s="14"/>
      <c r="EP1788" s="14"/>
      <c r="EQ1788" s="14"/>
      <c r="ER1788" s="14"/>
      <c r="ES1788" s="14"/>
      <c r="ET1788" s="14"/>
      <c r="EU1788" s="14"/>
      <c r="EV1788" s="14"/>
      <c r="EW1788" s="14"/>
      <c r="EX1788" s="14"/>
      <c r="EY1788" s="14"/>
      <c r="EZ1788" s="14"/>
      <c r="FA1788" s="14"/>
      <c r="FB1788" s="14"/>
      <c r="FC1788" s="14"/>
      <c r="FD1788" s="14"/>
      <c r="FE1788" s="14"/>
      <c r="FF1788" s="14"/>
      <c r="FG1788" s="14"/>
      <c r="FH1788" s="14"/>
      <c r="FI1788" s="14"/>
      <c r="FJ1788" s="14"/>
      <c r="FK1788" s="14"/>
      <c r="FL1788" s="14"/>
      <c r="FM1788" s="14"/>
      <c r="FN1788" s="14"/>
      <c r="FO1788" s="14"/>
      <c r="FP1788" s="14"/>
      <c r="FQ1788" s="14"/>
      <c r="FR1788" s="14"/>
      <c r="FS1788" s="14"/>
      <c r="FT1788" s="14"/>
      <c r="FU1788" s="14"/>
      <c r="FV1788" s="14"/>
      <c r="FW1788" s="14"/>
      <c r="FX1788" s="14"/>
      <c r="FY1788" s="14"/>
      <c r="FZ1788" s="14"/>
      <c r="GA1788" s="14"/>
      <c r="GB1788" s="14"/>
      <c r="GC1788" s="14"/>
      <c r="GD1788" s="14"/>
      <c r="GE1788" s="14"/>
      <c r="GF1788" s="14"/>
      <c r="GG1788" s="14"/>
      <c r="GH1788" s="14"/>
      <c r="GI1788" s="14"/>
      <c r="GJ1788" s="14"/>
      <c r="GK1788" s="14"/>
      <c r="GL1788" s="14"/>
      <c r="GM1788" s="14"/>
      <c r="GN1788" s="14"/>
      <c r="GO1788" s="14"/>
      <c r="GP1788" s="14"/>
      <c r="GQ1788" s="14"/>
      <c r="GR1788" s="14"/>
      <c r="GS1788" s="14"/>
      <c r="GT1788" s="14"/>
      <c r="GU1788" s="14"/>
      <c r="GV1788" s="14"/>
      <c r="GW1788" s="14"/>
      <c r="GX1788" s="14"/>
      <c r="GY1788" s="14"/>
      <c r="GZ1788" s="14"/>
      <c r="HA1788" s="14"/>
    </row>
    <row r="1789" ht="23.25" customHeight="1">
      <c r="A1789" s="14"/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57" t="s">
        <v>3436</v>
      </c>
      <c r="BX1789" s="57" t="s">
        <v>3437</v>
      </c>
      <c r="BY1789" s="14"/>
      <c r="BZ1789" s="57" t="s">
        <v>159</v>
      </c>
      <c r="CA1789" s="57" t="s">
        <v>543</v>
      </c>
      <c r="CB1789" s="57" t="s">
        <v>5240</v>
      </c>
      <c r="CC1789" s="57" t="s">
        <v>553</v>
      </c>
      <c r="CD1789" s="58">
        <v>43891.0</v>
      </c>
      <c r="CE1789" s="58">
        <v>43952.0</v>
      </c>
      <c r="CF1789" s="57">
        <v>100.0</v>
      </c>
      <c r="CG1789" s="59" t="s">
        <v>5242</v>
      </c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14"/>
      <c r="DC1789" s="14"/>
      <c r="DD1789" s="14"/>
      <c r="DE1789" s="14"/>
      <c r="DF1789" s="14"/>
      <c r="DG1789" s="14"/>
      <c r="DH1789" s="14"/>
      <c r="DI1789" s="14"/>
      <c r="DJ1789" s="14"/>
      <c r="DK1789" s="14"/>
      <c r="DL1789" s="14"/>
      <c r="DM1789" s="14"/>
      <c r="DN1789" s="14"/>
      <c r="DO1789" s="14"/>
      <c r="DP1789" s="14"/>
      <c r="DQ1789" s="14"/>
      <c r="DR1789" s="14"/>
      <c r="DS1789" s="14"/>
      <c r="DT1789" s="14"/>
      <c r="DU1789" s="14"/>
      <c r="DV1789" s="14"/>
      <c r="DW1789" s="14"/>
      <c r="DX1789" s="14"/>
      <c r="DY1789" s="14"/>
      <c r="DZ1789" s="14"/>
      <c r="EA1789" s="14"/>
      <c r="EB1789" s="14"/>
      <c r="EC1789" s="14"/>
      <c r="ED1789" s="14"/>
      <c r="EE1789" s="14"/>
      <c r="EF1789" s="14"/>
      <c r="EG1789" s="14"/>
      <c r="EH1789" s="14"/>
      <c r="EI1789" s="14"/>
      <c r="EJ1789" s="14"/>
      <c r="EK1789" s="14"/>
      <c r="EL1789" s="14"/>
      <c r="EM1789" s="14"/>
      <c r="EN1789" s="14"/>
      <c r="EO1789" s="14"/>
      <c r="EP1789" s="14"/>
      <c r="EQ1789" s="14"/>
      <c r="ER1789" s="14"/>
      <c r="ES1789" s="14"/>
      <c r="ET1789" s="14"/>
      <c r="EU1789" s="14"/>
      <c r="EV1789" s="14"/>
      <c r="EW1789" s="14"/>
      <c r="EX1789" s="14"/>
      <c r="EY1789" s="14"/>
      <c r="EZ1789" s="14"/>
      <c r="FA1789" s="14"/>
      <c r="FB1789" s="14"/>
      <c r="FC1789" s="14"/>
      <c r="FD1789" s="14"/>
      <c r="FE1789" s="14"/>
      <c r="FF1789" s="14"/>
      <c r="FG1789" s="14"/>
      <c r="FH1789" s="14"/>
      <c r="FI1789" s="14"/>
      <c r="FJ1789" s="14"/>
      <c r="FK1789" s="14"/>
      <c r="FL1789" s="14"/>
      <c r="FM1789" s="14"/>
      <c r="FN1789" s="14"/>
      <c r="FO1789" s="14"/>
      <c r="FP1789" s="14"/>
      <c r="FQ1789" s="14"/>
      <c r="FR1789" s="14"/>
      <c r="FS1789" s="14"/>
      <c r="FT1789" s="14"/>
      <c r="FU1789" s="14"/>
      <c r="FV1789" s="14"/>
      <c r="FW1789" s="14"/>
      <c r="FX1789" s="14"/>
      <c r="FY1789" s="14"/>
      <c r="FZ1789" s="14"/>
      <c r="GA1789" s="14"/>
      <c r="GB1789" s="14"/>
      <c r="GC1789" s="14"/>
      <c r="GD1789" s="14"/>
      <c r="GE1789" s="14"/>
      <c r="GF1789" s="14"/>
      <c r="GG1789" s="14"/>
      <c r="GH1789" s="14"/>
      <c r="GI1789" s="14"/>
      <c r="GJ1789" s="14"/>
      <c r="GK1789" s="14"/>
      <c r="GL1789" s="14"/>
      <c r="GM1789" s="14"/>
      <c r="GN1789" s="14"/>
      <c r="GO1789" s="14"/>
      <c r="GP1789" s="14"/>
      <c r="GQ1789" s="14"/>
      <c r="GR1789" s="14"/>
      <c r="GS1789" s="14"/>
      <c r="GT1789" s="14"/>
      <c r="GU1789" s="14"/>
      <c r="GV1789" s="14"/>
      <c r="GW1789" s="14"/>
      <c r="GX1789" s="14"/>
      <c r="GY1789" s="14"/>
      <c r="GZ1789" s="14"/>
      <c r="HA1789" s="14"/>
    </row>
    <row r="1790" ht="23.25" customHeight="1">
      <c r="A1790" s="14"/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57" t="s">
        <v>3436</v>
      </c>
      <c r="BX1790" s="57" t="s">
        <v>3437</v>
      </c>
      <c r="BY1790" s="14"/>
      <c r="BZ1790" s="57" t="s">
        <v>159</v>
      </c>
      <c r="CA1790" s="57" t="s">
        <v>5205</v>
      </c>
      <c r="CB1790" s="57" t="s">
        <v>5240</v>
      </c>
      <c r="CC1790" s="57" t="s">
        <v>553</v>
      </c>
      <c r="CD1790" s="58">
        <v>43891.0</v>
      </c>
      <c r="CE1790" s="58">
        <v>43952.0</v>
      </c>
      <c r="CF1790" s="57">
        <v>100.0</v>
      </c>
      <c r="CG1790" s="59" t="s">
        <v>5243</v>
      </c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14"/>
      <c r="DC1790" s="14"/>
      <c r="DD1790" s="14"/>
      <c r="DE1790" s="14"/>
      <c r="DF1790" s="14"/>
      <c r="DG1790" s="14"/>
      <c r="DH1790" s="14"/>
      <c r="DI1790" s="14"/>
      <c r="DJ1790" s="14"/>
      <c r="DK1790" s="14"/>
      <c r="DL1790" s="14"/>
      <c r="DM1790" s="14"/>
      <c r="DN1790" s="14"/>
      <c r="DO1790" s="14"/>
      <c r="DP1790" s="14"/>
      <c r="DQ1790" s="14"/>
      <c r="DR1790" s="14"/>
      <c r="DS1790" s="14"/>
      <c r="DT1790" s="14"/>
      <c r="DU1790" s="14"/>
      <c r="DV1790" s="14"/>
      <c r="DW1790" s="14"/>
      <c r="DX1790" s="14"/>
      <c r="DY1790" s="14"/>
      <c r="DZ1790" s="14"/>
      <c r="EA1790" s="14"/>
      <c r="EB1790" s="14"/>
      <c r="EC1790" s="14"/>
      <c r="ED1790" s="14"/>
      <c r="EE1790" s="14"/>
      <c r="EF1790" s="14"/>
      <c r="EG1790" s="14"/>
      <c r="EH1790" s="14"/>
      <c r="EI1790" s="14"/>
      <c r="EJ1790" s="14"/>
      <c r="EK1790" s="14"/>
      <c r="EL1790" s="14"/>
      <c r="EM1790" s="14"/>
      <c r="EN1790" s="14"/>
      <c r="EO1790" s="14"/>
      <c r="EP1790" s="14"/>
      <c r="EQ1790" s="14"/>
      <c r="ER1790" s="14"/>
      <c r="ES1790" s="14"/>
      <c r="ET1790" s="14"/>
      <c r="EU1790" s="14"/>
      <c r="EV1790" s="14"/>
      <c r="EW1790" s="14"/>
      <c r="EX1790" s="14"/>
      <c r="EY1790" s="14"/>
      <c r="EZ1790" s="14"/>
      <c r="FA1790" s="14"/>
      <c r="FB1790" s="14"/>
      <c r="FC1790" s="14"/>
      <c r="FD1790" s="14"/>
      <c r="FE1790" s="14"/>
      <c r="FF1790" s="14"/>
      <c r="FG1790" s="14"/>
      <c r="FH1790" s="14"/>
      <c r="FI1790" s="14"/>
      <c r="FJ1790" s="14"/>
      <c r="FK1790" s="14"/>
      <c r="FL1790" s="14"/>
      <c r="FM1790" s="14"/>
      <c r="FN1790" s="14"/>
      <c r="FO1790" s="14"/>
      <c r="FP1790" s="14"/>
      <c r="FQ1790" s="14"/>
      <c r="FR1790" s="14"/>
      <c r="FS1790" s="14"/>
      <c r="FT1790" s="14"/>
      <c r="FU1790" s="14"/>
      <c r="FV1790" s="14"/>
      <c r="FW1790" s="14"/>
      <c r="FX1790" s="14"/>
      <c r="FY1790" s="14"/>
      <c r="FZ1790" s="14"/>
      <c r="GA1790" s="14"/>
      <c r="GB1790" s="14"/>
      <c r="GC1790" s="14"/>
      <c r="GD1790" s="14"/>
      <c r="GE1790" s="14"/>
      <c r="GF1790" s="14"/>
      <c r="GG1790" s="14"/>
      <c r="GH1790" s="14"/>
      <c r="GI1790" s="14"/>
      <c r="GJ1790" s="14"/>
      <c r="GK1790" s="14"/>
      <c r="GL1790" s="14"/>
      <c r="GM1790" s="14"/>
      <c r="GN1790" s="14"/>
      <c r="GO1790" s="14"/>
      <c r="GP1790" s="14"/>
      <c r="GQ1790" s="14"/>
      <c r="GR1790" s="14"/>
      <c r="GS1790" s="14"/>
      <c r="GT1790" s="14"/>
      <c r="GU1790" s="14"/>
      <c r="GV1790" s="14"/>
      <c r="GW1790" s="14"/>
      <c r="GX1790" s="14"/>
      <c r="GY1790" s="14"/>
      <c r="GZ1790" s="14"/>
      <c r="HA1790" s="14"/>
    </row>
    <row r="1791" ht="23.25" customHeight="1">
      <c r="A1791" s="14"/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57" t="s">
        <v>3436</v>
      </c>
      <c r="BX1791" s="57" t="s">
        <v>3437</v>
      </c>
      <c r="BY1791" s="14"/>
      <c r="BZ1791" s="57" t="s">
        <v>159</v>
      </c>
      <c r="CA1791" s="57" t="s">
        <v>5200</v>
      </c>
      <c r="CB1791" s="57" t="s">
        <v>5240</v>
      </c>
      <c r="CC1791" s="57" t="s">
        <v>553</v>
      </c>
      <c r="CD1791" s="58">
        <v>43891.0</v>
      </c>
      <c r="CE1791" s="58">
        <v>43952.0</v>
      </c>
      <c r="CF1791" s="57">
        <v>100.0</v>
      </c>
      <c r="CG1791" s="59" t="s">
        <v>5244</v>
      </c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14"/>
      <c r="DC1791" s="14"/>
      <c r="DD1791" s="14"/>
      <c r="DE1791" s="14"/>
      <c r="DF1791" s="14"/>
      <c r="DG1791" s="14"/>
      <c r="DH1791" s="14"/>
      <c r="DI1791" s="14"/>
      <c r="DJ1791" s="14"/>
      <c r="DK1791" s="14"/>
      <c r="DL1791" s="14"/>
      <c r="DM1791" s="14"/>
      <c r="DN1791" s="14"/>
      <c r="DO1791" s="14"/>
      <c r="DP1791" s="14"/>
      <c r="DQ1791" s="14"/>
      <c r="DR1791" s="14"/>
      <c r="DS1791" s="14"/>
      <c r="DT1791" s="14"/>
      <c r="DU1791" s="14"/>
      <c r="DV1791" s="14"/>
      <c r="DW1791" s="14"/>
      <c r="DX1791" s="14"/>
      <c r="DY1791" s="14"/>
      <c r="DZ1791" s="14"/>
      <c r="EA1791" s="14"/>
      <c r="EB1791" s="14"/>
      <c r="EC1791" s="14"/>
      <c r="ED1791" s="14"/>
      <c r="EE1791" s="14"/>
      <c r="EF1791" s="14"/>
      <c r="EG1791" s="14"/>
      <c r="EH1791" s="14"/>
      <c r="EI1791" s="14"/>
      <c r="EJ1791" s="14"/>
      <c r="EK1791" s="14"/>
      <c r="EL1791" s="14"/>
      <c r="EM1791" s="14"/>
      <c r="EN1791" s="14"/>
      <c r="EO1791" s="14"/>
      <c r="EP1791" s="14"/>
      <c r="EQ1791" s="14"/>
      <c r="ER1791" s="14"/>
      <c r="ES1791" s="14"/>
      <c r="ET1791" s="14"/>
      <c r="EU1791" s="14"/>
      <c r="EV1791" s="14"/>
      <c r="EW1791" s="14"/>
      <c r="EX1791" s="14"/>
      <c r="EY1791" s="14"/>
      <c r="EZ1791" s="14"/>
      <c r="FA1791" s="14"/>
      <c r="FB1791" s="14"/>
      <c r="FC1791" s="14"/>
      <c r="FD1791" s="14"/>
      <c r="FE1791" s="14"/>
      <c r="FF1791" s="14"/>
      <c r="FG1791" s="14"/>
      <c r="FH1791" s="14"/>
      <c r="FI1791" s="14"/>
      <c r="FJ1791" s="14"/>
      <c r="FK1791" s="14"/>
      <c r="FL1791" s="14"/>
      <c r="FM1791" s="14"/>
      <c r="FN1791" s="14"/>
      <c r="FO1791" s="14"/>
      <c r="FP1791" s="14"/>
      <c r="FQ1791" s="14"/>
      <c r="FR1791" s="14"/>
      <c r="FS1791" s="14"/>
      <c r="FT1791" s="14"/>
      <c r="FU1791" s="14"/>
      <c r="FV1791" s="14"/>
      <c r="FW1791" s="14"/>
      <c r="FX1791" s="14"/>
      <c r="FY1791" s="14"/>
      <c r="FZ1791" s="14"/>
      <c r="GA1791" s="14"/>
      <c r="GB1791" s="14"/>
      <c r="GC1791" s="14"/>
      <c r="GD1791" s="14"/>
      <c r="GE1791" s="14"/>
      <c r="GF1791" s="14"/>
      <c r="GG1791" s="14"/>
      <c r="GH1791" s="14"/>
      <c r="GI1791" s="14"/>
      <c r="GJ1791" s="14"/>
      <c r="GK1791" s="14"/>
      <c r="GL1791" s="14"/>
      <c r="GM1791" s="14"/>
      <c r="GN1791" s="14"/>
      <c r="GO1791" s="14"/>
      <c r="GP1791" s="14"/>
      <c r="GQ1791" s="14"/>
      <c r="GR1791" s="14"/>
      <c r="GS1791" s="14"/>
      <c r="GT1791" s="14"/>
      <c r="GU1791" s="14"/>
      <c r="GV1791" s="14"/>
      <c r="GW1791" s="14"/>
      <c r="GX1791" s="14"/>
      <c r="GY1791" s="14"/>
      <c r="GZ1791" s="14"/>
      <c r="HA1791" s="14"/>
    </row>
    <row r="1792" ht="23.25" customHeight="1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57" t="s">
        <v>3436</v>
      </c>
      <c r="BX1792" s="57" t="s">
        <v>3437</v>
      </c>
      <c r="BY1792" s="14"/>
      <c r="BZ1792" s="57" t="s">
        <v>159</v>
      </c>
      <c r="CA1792" s="57" t="s">
        <v>2460</v>
      </c>
      <c r="CB1792" s="57" t="s">
        <v>5240</v>
      </c>
      <c r="CC1792" s="57" t="s">
        <v>553</v>
      </c>
      <c r="CD1792" s="58">
        <v>43891.0</v>
      </c>
      <c r="CE1792" s="58">
        <v>43952.0</v>
      </c>
      <c r="CF1792" s="57">
        <v>100.0</v>
      </c>
      <c r="CG1792" s="59" t="s">
        <v>5245</v>
      </c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14"/>
      <c r="DC1792" s="14"/>
      <c r="DD1792" s="14"/>
      <c r="DE1792" s="14"/>
      <c r="DF1792" s="14"/>
      <c r="DG1792" s="14"/>
      <c r="DH1792" s="14"/>
      <c r="DI1792" s="14"/>
      <c r="DJ1792" s="14"/>
      <c r="DK1792" s="14"/>
      <c r="DL1792" s="14"/>
      <c r="DM1792" s="14"/>
      <c r="DN1792" s="14"/>
      <c r="DO1792" s="14"/>
      <c r="DP1792" s="14"/>
      <c r="DQ1792" s="14"/>
      <c r="DR1792" s="14"/>
      <c r="DS1792" s="14"/>
      <c r="DT1792" s="14"/>
      <c r="DU1792" s="14"/>
      <c r="DV1792" s="14"/>
      <c r="DW1792" s="14"/>
      <c r="DX1792" s="14"/>
      <c r="DY1792" s="14"/>
      <c r="DZ1792" s="14"/>
      <c r="EA1792" s="14"/>
      <c r="EB1792" s="14"/>
      <c r="EC1792" s="14"/>
      <c r="ED1792" s="14"/>
      <c r="EE1792" s="14"/>
      <c r="EF1792" s="14"/>
      <c r="EG1792" s="14"/>
      <c r="EH1792" s="14"/>
      <c r="EI1792" s="14"/>
      <c r="EJ1792" s="14"/>
      <c r="EK1792" s="14"/>
      <c r="EL1792" s="14"/>
      <c r="EM1792" s="14"/>
      <c r="EN1792" s="14"/>
      <c r="EO1792" s="14"/>
      <c r="EP1792" s="14"/>
      <c r="EQ1792" s="14"/>
      <c r="ER1792" s="14"/>
      <c r="ES1792" s="14"/>
      <c r="ET1792" s="14"/>
      <c r="EU1792" s="14"/>
      <c r="EV1792" s="14"/>
      <c r="EW1792" s="14"/>
      <c r="EX1792" s="14"/>
      <c r="EY1792" s="14"/>
      <c r="EZ1792" s="14"/>
      <c r="FA1792" s="14"/>
      <c r="FB1792" s="14"/>
      <c r="FC1792" s="14"/>
      <c r="FD1792" s="14"/>
      <c r="FE1792" s="14"/>
      <c r="FF1792" s="14"/>
      <c r="FG1792" s="14"/>
      <c r="FH1792" s="14"/>
      <c r="FI1792" s="14"/>
      <c r="FJ1792" s="14"/>
      <c r="FK1792" s="14"/>
      <c r="FL1792" s="14"/>
      <c r="FM1792" s="14"/>
      <c r="FN1792" s="14"/>
      <c r="FO1792" s="14"/>
      <c r="FP1792" s="14"/>
      <c r="FQ1792" s="14"/>
      <c r="FR1792" s="14"/>
      <c r="FS1792" s="14"/>
      <c r="FT1792" s="14"/>
      <c r="FU1792" s="14"/>
      <c r="FV1792" s="14"/>
      <c r="FW1792" s="14"/>
      <c r="FX1792" s="14"/>
      <c r="FY1792" s="14"/>
      <c r="FZ1792" s="14"/>
      <c r="GA1792" s="14"/>
      <c r="GB1792" s="14"/>
      <c r="GC1792" s="14"/>
      <c r="GD1792" s="14"/>
      <c r="GE1792" s="14"/>
      <c r="GF1792" s="14"/>
      <c r="GG1792" s="14"/>
      <c r="GH1792" s="14"/>
      <c r="GI1792" s="14"/>
      <c r="GJ1792" s="14"/>
      <c r="GK1792" s="14"/>
      <c r="GL1792" s="14"/>
      <c r="GM1792" s="14"/>
      <c r="GN1792" s="14"/>
      <c r="GO1792" s="14"/>
      <c r="GP1792" s="14"/>
      <c r="GQ1792" s="14"/>
      <c r="GR1792" s="14"/>
      <c r="GS1792" s="14"/>
      <c r="GT1792" s="14"/>
      <c r="GU1792" s="14"/>
      <c r="GV1792" s="14"/>
      <c r="GW1792" s="14"/>
      <c r="GX1792" s="14"/>
      <c r="GY1792" s="14"/>
      <c r="GZ1792" s="14"/>
      <c r="HA1792" s="14"/>
    </row>
    <row r="1793" ht="23.25" customHeight="1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57" t="s">
        <v>3436</v>
      </c>
      <c r="BX1793" s="57" t="s">
        <v>3437</v>
      </c>
      <c r="BY1793" s="14"/>
      <c r="BZ1793" s="57" t="s">
        <v>159</v>
      </c>
      <c r="CA1793" s="57" t="s">
        <v>5007</v>
      </c>
      <c r="CB1793" s="57" t="s">
        <v>5246</v>
      </c>
      <c r="CC1793" s="57" t="s">
        <v>553</v>
      </c>
      <c r="CD1793" s="58">
        <v>43922.0</v>
      </c>
      <c r="CE1793" s="58">
        <v>43971.0</v>
      </c>
      <c r="CF1793" s="57">
        <v>100.0</v>
      </c>
      <c r="CG1793" s="59" t="s">
        <v>5247</v>
      </c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14"/>
      <c r="DC1793" s="14"/>
      <c r="DD1793" s="14"/>
      <c r="DE1793" s="14"/>
      <c r="DF1793" s="14"/>
      <c r="DG1793" s="14"/>
      <c r="DH1793" s="14"/>
      <c r="DI1793" s="14"/>
      <c r="DJ1793" s="14"/>
      <c r="DK1793" s="14"/>
      <c r="DL1793" s="14"/>
      <c r="DM1793" s="14"/>
      <c r="DN1793" s="14"/>
      <c r="DO1793" s="14"/>
      <c r="DP1793" s="14"/>
      <c r="DQ1793" s="14"/>
      <c r="DR1793" s="14"/>
      <c r="DS1793" s="14"/>
      <c r="DT1793" s="14"/>
      <c r="DU1793" s="14"/>
      <c r="DV1793" s="14"/>
      <c r="DW1793" s="14"/>
      <c r="DX1793" s="14"/>
      <c r="DY1793" s="14"/>
      <c r="DZ1793" s="14"/>
      <c r="EA1793" s="14"/>
      <c r="EB1793" s="14"/>
      <c r="EC1793" s="14"/>
      <c r="ED1793" s="14"/>
      <c r="EE1793" s="14"/>
      <c r="EF1793" s="14"/>
      <c r="EG1793" s="14"/>
      <c r="EH1793" s="14"/>
      <c r="EI1793" s="14"/>
      <c r="EJ1793" s="14"/>
      <c r="EK1793" s="14"/>
      <c r="EL1793" s="14"/>
      <c r="EM1793" s="14"/>
      <c r="EN1793" s="14"/>
      <c r="EO1793" s="14"/>
      <c r="EP1793" s="14"/>
      <c r="EQ1793" s="14"/>
      <c r="ER1793" s="14"/>
      <c r="ES1793" s="14"/>
      <c r="ET1793" s="14"/>
      <c r="EU1793" s="14"/>
      <c r="EV1793" s="14"/>
      <c r="EW1793" s="14"/>
      <c r="EX1793" s="14"/>
      <c r="EY1793" s="14"/>
      <c r="EZ1793" s="14"/>
      <c r="FA1793" s="14"/>
      <c r="FB1793" s="14"/>
      <c r="FC1793" s="14"/>
      <c r="FD1793" s="14"/>
      <c r="FE1793" s="14"/>
      <c r="FF1793" s="14"/>
      <c r="FG1793" s="14"/>
      <c r="FH1793" s="14"/>
      <c r="FI1793" s="14"/>
      <c r="FJ1793" s="14"/>
      <c r="FK1793" s="14"/>
      <c r="FL1793" s="14"/>
      <c r="FM1793" s="14"/>
      <c r="FN1793" s="14"/>
      <c r="FO1793" s="14"/>
      <c r="FP1793" s="14"/>
      <c r="FQ1793" s="14"/>
      <c r="FR1793" s="14"/>
      <c r="FS1793" s="14"/>
      <c r="FT1793" s="14"/>
      <c r="FU1793" s="14"/>
      <c r="FV1793" s="14"/>
      <c r="FW1793" s="14"/>
      <c r="FX1793" s="14"/>
      <c r="FY1793" s="14"/>
      <c r="FZ1793" s="14"/>
      <c r="GA1793" s="14"/>
      <c r="GB1793" s="14"/>
      <c r="GC1793" s="14"/>
      <c r="GD1793" s="14"/>
      <c r="GE1793" s="14"/>
      <c r="GF1793" s="14"/>
      <c r="GG1793" s="14"/>
      <c r="GH1793" s="14"/>
      <c r="GI1793" s="14"/>
      <c r="GJ1793" s="14"/>
      <c r="GK1793" s="14"/>
      <c r="GL1793" s="14"/>
      <c r="GM1793" s="14"/>
      <c r="GN1793" s="14"/>
      <c r="GO1793" s="14"/>
      <c r="GP1793" s="14"/>
      <c r="GQ1793" s="14"/>
      <c r="GR1793" s="14"/>
      <c r="GS1793" s="14"/>
      <c r="GT1793" s="14"/>
      <c r="GU1793" s="14"/>
      <c r="GV1793" s="14"/>
      <c r="GW1793" s="14"/>
      <c r="GX1793" s="14"/>
      <c r="GY1793" s="14"/>
      <c r="GZ1793" s="14"/>
      <c r="HA1793" s="14"/>
    </row>
    <row r="1794" ht="23.25" customHeight="1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57" t="s">
        <v>3436</v>
      </c>
      <c r="BX1794" s="57" t="s">
        <v>3437</v>
      </c>
      <c r="BY1794" s="14"/>
      <c r="BZ1794" s="57" t="s">
        <v>159</v>
      </c>
      <c r="CA1794" s="57" t="s">
        <v>5248</v>
      </c>
      <c r="CB1794" s="57" t="s">
        <v>5246</v>
      </c>
      <c r="CC1794" s="57" t="s">
        <v>553</v>
      </c>
      <c r="CD1794" s="58">
        <v>43891.0</v>
      </c>
      <c r="CE1794" s="58">
        <v>43952.0</v>
      </c>
      <c r="CF1794" s="57">
        <v>100.0</v>
      </c>
      <c r="CG1794" s="59" t="s">
        <v>5249</v>
      </c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14"/>
      <c r="DC1794" s="14"/>
      <c r="DD1794" s="14"/>
      <c r="DE1794" s="14"/>
      <c r="DF1794" s="14"/>
      <c r="DG1794" s="14"/>
      <c r="DH1794" s="14"/>
      <c r="DI1794" s="14"/>
      <c r="DJ1794" s="14"/>
      <c r="DK1794" s="14"/>
      <c r="DL1794" s="14"/>
      <c r="DM1794" s="14"/>
      <c r="DN1794" s="14"/>
      <c r="DO1794" s="14"/>
      <c r="DP1794" s="14"/>
      <c r="DQ1794" s="14"/>
      <c r="DR1794" s="14"/>
      <c r="DS1794" s="14"/>
      <c r="DT1794" s="14"/>
      <c r="DU1794" s="14"/>
      <c r="DV1794" s="14"/>
      <c r="DW1794" s="14"/>
      <c r="DX1794" s="14"/>
      <c r="DY1794" s="14"/>
      <c r="DZ1794" s="14"/>
      <c r="EA1794" s="14"/>
      <c r="EB1794" s="14"/>
      <c r="EC1794" s="14"/>
      <c r="ED1794" s="14"/>
      <c r="EE1794" s="14"/>
      <c r="EF1794" s="14"/>
      <c r="EG1794" s="14"/>
      <c r="EH1794" s="14"/>
      <c r="EI1794" s="14"/>
      <c r="EJ1794" s="14"/>
      <c r="EK1794" s="14"/>
      <c r="EL1794" s="14"/>
      <c r="EM1794" s="14"/>
      <c r="EN1794" s="14"/>
      <c r="EO1794" s="14"/>
      <c r="EP1794" s="14"/>
      <c r="EQ1794" s="14"/>
      <c r="ER1794" s="14"/>
      <c r="ES1794" s="14"/>
      <c r="ET1794" s="14"/>
      <c r="EU1794" s="14"/>
      <c r="EV1794" s="14"/>
      <c r="EW1794" s="14"/>
      <c r="EX1794" s="14"/>
      <c r="EY1794" s="14"/>
      <c r="EZ1794" s="14"/>
      <c r="FA1794" s="14"/>
      <c r="FB1794" s="14"/>
      <c r="FC1794" s="14"/>
      <c r="FD1794" s="14"/>
      <c r="FE1794" s="14"/>
      <c r="FF1794" s="14"/>
      <c r="FG1794" s="14"/>
      <c r="FH1794" s="14"/>
      <c r="FI1794" s="14"/>
      <c r="FJ1794" s="14"/>
      <c r="FK1794" s="14"/>
      <c r="FL1794" s="14"/>
      <c r="FM1794" s="14"/>
      <c r="FN1794" s="14"/>
      <c r="FO1794" s="14"/>
      <c r="FP1794" s="14"/>
      <c r="FQ1794" s="14"/>
      <c r="FR1794" s="14"/>
      <c r="FS1794" s="14"/>
      <c r="FT1794" s="14"/>
      <c r="FU1794" s="14"/>
      <c r="FV1794" s="14"/>
      <c r="FW1794" s="14"/>
      <c r="FX1794" s="14"/>
      <c r="FY1794" s="14"/>
      <c r="FZ1794" s="14"/>
      <c r="GA1794" s="14"/>
      <c r="GB1794" s="14"/>
      <c r="GC1794" s="14"/>
      <c r="GD1794" s="14"/>
      <c r="GE1794" s="14"/>
      <c r="GF1794" s="14"/>
      <c r="GG1794" s="14"/>
      <c r="GH1794" s="14"/>
      <c r="GI1794" s="14"/>
      <c r="GJ1794" s="14"/>
      <c r="GK1794" s="14"/>
      <c r="GL1794" s="14"/>
      <c r="GM1794" s="14"/>
      <c r="GN1794" s="14"/>
      <c r="GO1794" s="14"/>
      <c r="GP1794" s="14"/>
      <c r="GQ1794" s="14"/>
      <c r="GR1794" s="14"/>
      <c r="GS1794" s="14"/>
      <c r="GT1794" s="14"/>
      <c r="GU1794" s="14"/>
      <c r="GV1794" s="14"/>
      <c r="GW1794" s="14"/>
      <c r="GX1794" s="14"/>
      <c r="GY1794" s="14"/>
      <c r="GZ1794" s="14"/>
      <c r="HA1794" s="14"/>
    </row>
    <row r="1795" ht="23.25" customHeight="1">
      <c r="A1795" s="14"/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57" t="s">
        <v>3436</v>
      </c>
      <c r="BX1795" s="57" t="s">
        <v>3437</v>
      </c>
      <c r="BY1795" s="14"/>
      <c r="BZ1795" s="57" t="s">
        <v>159</v>
      </c>
      <c r="CA1795" s="57" t="s">
        <v>4845</v>
      </c>
      <c r="CB1795" s="57" t="s">
        <v>5250</v>
      </c>
      <c r="CC1795" s="57" t="s">
        <v>882</v>
      </c>
      <c r="CD1795" s="58">
        <v>43952.0</v>
      </c>
      <c r="CE1795" s="58">
        <v>44013.0</v>
      </c>
      <c r="CF1795" s="57">
        <v>100.0</v>
      </c>
      <c r="CG1795" s="59" t="s">
        <v>5251</v>
      </c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14"/>
      <c r="DC1795" s="14"/>
      <c r="DD1795" s="14"/>
      <c r="DE1795" s="14"/>
      <c r="DF1795" s="14"/>
      <c r="DG1795" s="14"/>
      <c r="DH1795" s="14"/>
      <c r="DI1795" s="14"/>
      <c r="DJ1795" s="14"/>
      <c r="DK1795" s="14"/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14"/>
      <c r="EJ1795" s="14"/>
      <c r="EK1795" s="14"/>
      <c r="EL1795" s="14"/>
      <c r="EM1795" s="14"/>
      <c r="EN1795" s="14"/>
      <c r="EO1795" s="14"/>
      <c r="EP1795" s="14"/>
      <c r="EQ1795" s="14"/>
      <c r="ER1795" s="14"/>
      <c r="ES1795" s="14"/>
      <c r="ET1795" s="14"/>
      <c r="EU1795" s="14"/>
      <c r="EV1795" s="14"/>
      <c r="EW1795" s="14"/>
      <c r="EX1795" s="14"/>
      <c r="EY1795" s="14"/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4"/>
      <c r="FZ1795" s="14"/>
      <c r="GA1795" s="14"/>
      <c r="GB1795" s="14"/>
      <c r="GC1795" s="14"/>
      <c r="GD1795" s="14"/>
      <c r="GE1795" s="14"/>
      <c r="GF1795" s="14"/>
      <c r="GG1795" s="14"/>
      <c r="GH1795" s="14"/>
      <c r="GI1795" s="14"/>
      <c r="GJ1795" s="14"/>
      <c r="GK1795" s="14"/>
      <c r="GL1795" s="14"/>
      <c r="GM1795" s="14"/>
      <c r="GN1795" s="14"/>
      <c r="GO1795" s="14"/>
      <c r="GP1795" s="14"/>
      <c r="GQ1795" s="14"/>
      <c r="GR1795" s="14"/>
      <c r="GS1795" s="14"/>
      <c r="GT1795" s="14"/>
      <c r="GU1795" s="14"/>
      <c r="GV1795" s="14"/>
      <c r="GW1795" s="14"/>
      <c r="GX1795" s="14"/>
      <c r="GY1795" s="14"/>
      <c r="GZ1795" s="14"/>
      <c r="HA1795" s="14"/>
    </row>
    <row r="1796" ht="23.25" customHeight="1">
      <c r="A1796" s="14"/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57" t="s">
        <v>3436</v>
      </c>
      <c r="BX1796" s="57" t="s">
        <v>3437</v>
      </c>
      <c r="BY1796" s="14"/>
      <c r="BZ1796" s="57" t="s">
        <v>159</v>
      </c>
      <c r="CA1796" s="57" t="s">
        <v>5252</v>
      </c>
      <c r="CB1796" s="57" t="s">
        <v>5250</v>
      </c>
      <c r="CC1796" s="57" t="s">
        <v>882</v>
      </c>
      <c r="CD1796" s="58">
        <v>43983.0</v>
      </c>
      <c r="CE1796" s="58">
        <v>44013.0</v>
      </c>
      <c r="CF1796" s="57">
        <v>100.0</v>
      </c>
      <c r="CG1796" s="59" t="s">
        <v>5253</v>
      </c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14"/>
      <c r="DC1796" s="14"/>
      <c r="DD1796" s="14"/>
      <c r="DE1796" s="14"/>
      <c r="DF1796" s="14"/>
      <c r="DG1796" s="14"/>
      <c r="DH1796" s="14"/>
      <c r="DI1796" s="14"/>
      <c r="DJ1796" s="14"/>
      <c r="DK1796" s="14"/>
      <c r="DL1796" s="14"/>
      <c r="DM1796" s="14"/>
      <c r="DN1796" s="14"/>
      <c r="DO1796" s="14"/>
      <c r="DP1796" s="14"/>
      <c r="DQ1796" s="14"/>
      <c r="DR1796" s="14"/>
      <c r="DS1796" s="14"/>
      <c r="DT1796" s="14"/>
      <c r="DU1796" s="14"/>
      <c r="DV1796" s="14"/>
      <c r="DW1796" s="14"/>
      <c r="DX1796" s="14"/>
      <c r="DY1796" s="14"/>
      <c r="DZ1796" s="14"/>
      <c r="EA1796" s="14"/>
      <c r="EB1796" s="14"/>
      <c r="EC1796" s="14"/>
      <c r="ED1796" s="14"/>
      <c r="EE1796" s="14"/>
      <c r="EF1796" s="14"/>
      <c r="EG1796" s="14"/>
      <c r="EH1796" s="14"/>
      <c r="EI1796" s="14"/>
      <c r="EJ1796" s="14"/>
      <c r="EK1796" s="14"/>
      <c r="EL1796" s="14"/>
      <c r="EM1796" s="14"/>
      <c r="EN1796" s="14"/>
      <c r="EO1796" s="14"/>
      <c r="EP1796" s="14"/>
      <c r="EQ1796" s="14"/>
      <c r="ER1796" s="14"/>
      <c r="ES1796" s="14"/>
      <c r="ET1796" s="14"/>
      <c r="EU1796" s="14"/>
      <c r="EV1796" s="14"/>
      <c r="EW1796" s="14"/>
      <c r="EX1796" s="14"/>
      <c r="EY1796" s="14"/>
      <c r="EZ1796" s="14"/>
      <c r="FA1796" s="14"/>
      <c r="FB1796" s="14"/>
      <c r="FC1796" s="14"/>
      <c r="FD1796" s="14"/>
      <c r="FE1796" s="14"/>
      <c r="FF1796" s="14"/>
      <c r="FG1796" s="14"/>
      <c r="FH1796" s="14"/>
      <c r="FI1796" s="14"/>
      <c r="FJ1796" s="14"/>
      <c r="FK1796" s="14"/>
      <c r="FL1796" s="14"/>
      <c r="FM1796" s="14"/>
      <c r="FN1796" s="14"/>
      <c r="FO1796" s="14"/>
      <c r="FP1796" s="14"/>
      <c r="FQ1796" s="14"/>
      <c r="FR1796" s="14"/>
      <c r="FS1796" s="14"/>
      <c r="FT1796" s="14"/>
      <c r="FU1796" s="14"/>
      <c r="FV1796" s="14"/>
      <c r="FW1796" s="14"/>
      <c r="FX1796" s="14"/>
      <c r="FY1796" s="14"/>
      <c r="FZ1796" s="14"/>
      <c r="GA1796" s="14"/>
      <c r="GB1796" s="14"/>
      <c r="GC1796" s="14"/>
      <c r="GD1796" s="14"/>
      <c r="GE1796" s="14"/>
      <c r="GF1796" s="14"/>
      <c r="GG1796" s="14"/>
      <c r="GH1796" s="14"/>
      <c r="GI1796" s="14"/>
      <c r="GJ1796" s="14"/>
      <c r="GK1796" s="14"/>
      <c r="GL1796" s="14"/>
      <c r="GM1796" s="14"/>
      <c r="GN1796" s="14"/>
      <c r="GO1796" s="14"/>
      <c r="GP1796" s="14"/>
      <c r="GQ1796" s="14"/>
      <c r="GR1796" s="14"/>
      <c r="GS1796" s="14"/>
      <c r="GT1796" s="14"/>
      <c r="GU1796" s="14"/>
      <c r="GV1796" s="14"/>
      <c r="GW1796" s="14"/>
      <c r="GX1796" s="14"/>
      <c r="GY1796" s="14"/>
      <c r="GZ1796" s="14"/>
      <c r="HA1796" s="14"/>
    </row>
    <row r="1797" ht="23.25" customHeight="1">
      <c r="A1797" s="14"/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57" t="s">
        <v>3458</v>
      </c>
      <c r="BX1797" s="57" t="s">
        <v>3459</v>
      </c>
      <c r="BY1797" s="14"/>
      <c r="BZ1797" s="57" t="s">
        <v>150</v>
      </c>
      <c r="CA1797" s="57" t="s">
        <v>5254</v>
      </c>
      <c r="CB1797" s="57" t="s">
        <v>1452</v>
      </c>
      <c r="CC1797" s="57" t="s">
        <v>3607</v>
      </c>
      <c r="CD1797" s="58">
        <v>43551.0</v>
      </c>
      <c r="CE1797" s="58">
        <v>43551.0</v>
      </c>
      <c r="CF1797" s="57">
        <v>100.0</v>
      </c>
      <c r="CG1797" s="59" t="s">
        <v>5255</v>
      </c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14"/>
      <c r="DC1797" s="14"/>
      <c r="DD1797" s="14"/>
      <c r="DE1797" s="14"/>
      <c r="DF1797" s="14"/>
      <c r="DG1797" s="14"/>
      <c r="DH1797" s="14"/>
      <c r="DI1797" s="14"/>
      <c r="DJ1797" s="14"/>
      <c r="DK1797" s="14"/>
      <c r="DL1797" s="14"/>
      <c r="DM1797" s="14"/>
      <c r="DN1797" s="14"/>
      <c r="DO1797" s="14"/>
      <c r="DP1797" s="14"/>
      <c r="DQ1797" s="14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ED1797" s="14"/>
      <c r="EE1797" s="14"/>
      <c r="EF1797" s="14"/>
      <c r="EG1797" s="14"/>
      <c r="EH1797" s="14"/>
      <c r="EI1797" s="14"/>
      <c r="EJ1797" s="14"/>
      <c r="EK1797" s="14"/>
      <c r="EL1797" s="14"/>
      <c r="EM1797" s="14"/>
      <c r="EN1797" s="14"/>
      <c r="EO1797" s="14"/>
      <c r="EP1797" s="14"/>
      <c r="EQ1797" s="14"/>
      <c r="ER1797" s="14"/>
      <c r="ES1797" s="14"/>
      <c r="ET1797" s="14"/>
      <c r="EU1797" s="14"/>
      <c r="EV1797" s="14"/>
      <c r="EW1797" s="14"/>
      <c r="EX1797" s="14"/>
      <c r="EY1797" s="14"/>
      <c r="EZ1797" s="14"/>
      <c r="FA1797" s="14"/>
      <c r="FB1797" s="14"/>
      <c r="FC1797" s="14"/>
      <c r="FD1797" s="14"/>
      <c r="FE1797" s="14"/>
      <c r="FF1797" s="14"/>
      <c r="FG1797" s="14"/>
      <c r="FH1797" s="14"/>
      <c r="FI1797" s="14"/>
      <c r="FJ1797" s="14"/>
      <c r="FK1797" s="14"/>
      <c r="FL1797" s="14"/>
      <c r="FM1797" s="14"/>
      <c r="FN1797" s="14"/>
      <c r="FO1797" s="14"/>
      <c r="FP1797" s="14"/>
      <c r="FQ1797" s="14"/>
      <c r="FR1797" s="14"/>
      <c r="FS1797" s="14"/>
      <c r="FT1797" s="14"/>
      <c r="FU1797" s="14"/>
      <c r="FV1797" s="14"/>
      <c r="FW1797" s="14"/>
      <c r="FX1797" s="14"/>
      <c r="FY1797" s="14"/>
      <c r="FZ1797" s="14"/>
      <c r="GA1797" s="14"/>
      <c r="GB1797" s="14"/>
      <c r="GC1797" s="14"/>
      <c r="GD1797" s="14"/>
      <c r="GE1797" s="14"/>
      <c r="GF1797" s="14"/>
      <c r="GG1797" s="14"/>
      <c r="GH1797" s="14"/>
      <c r="GI1797" s="14"/>
      <c r="GJ1797" s="14"/>
      <c r="GK1797" s="14"/>
      <c r="GL1797" s="14"/>
      <c r="GM1797" s="14"/>
      <c r="GN1797" s="14"/>
      <c r="GO1797" s="14"/>
      <c r="GP1797" s="14"/>
      <c r="GQ1797" s="14"/>
      <c r="GR1797" s="14"/>
      <c r="GS1797" s="14"/>
      <c r="GT1797" s="14"/>
      <c r="GU1797" s="14"/>
      <c r="GV1797" s="14"/>
      <c r="GW1797" s="14"/>
      <c r="GX1797" s="14"/>
      <c r="GY1797" s="14"/>
      <c r="GZ1797" s="14"/>
      <c r="HA1797" s="14"/>
    </row>
    <row r="1798" ht="23.25" customHeight="1">
      <c r="A1798" s="14"/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57" t="s">
        <v>3458</v>
      </c>
      <c r="BX1798" s="57" t="s">
        <v>3459</v>
      </c>
      <c r="BY1798" s="14"/>
      <c r="BZ1798" s="57" t="s">
        <v>171</v>
      </c>
      <c r="CA1798" s="57" t="s">
        <v>1753</v>
      </c>
      <c r="CB1798" s="57" t="s">
        <v>345</v>
      </c>
      <c r="CC1798" s="57" t="s">
        <v>2116</v>
      </c>
      <c r="CD1798" s="58">
        <v>43995.0</v>
      </c>
      <c r="CE1798" s="58">
        <v>44025.0</v>
      </c>
      <c r="CF1798" s="57">
        <v>100.0</v>
      </c>
      <c r="CG1798" s="59" t="s">
        <v>5256</v>
      </c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14"/>
      <c r="DC1798" s="14"/>
      <c r="DD1798" s="14"/>
      <c r="DE1798" s="14"/>
      <c r="DF1798" s="14"/>
      <c r="DG1798" s="14"/>
      <c r="DH1798" s="14"/>
      <c r="DI1798" s="14"/>
      <c r="DJ1798" s="14"/>
      <c r="DK1798" s="14"/>
      <c r="DL1798" s="14"/>
      <c r="DM1798" s="14"/>
      <c r="DN1798" s="14"/>
      <c r="DO1798" s="14"/>
      <c r="DP1798" s="14"/>
      <c r="DQ1798" s="14"/>
      <c r="DR1798" s="14"/>
      <c r="DS1798" s="14"/>
      <c r="DT1798" s="14"/>
      <c r="DU1798" s="14"/>
      <c r="DV1798" s="14"/>
      <c r="DW1798" s="14"/>
      <c r="DX1798" s="14"/>
      <c r="DY1798" s="14"/>
      <c r="DZ1798" s="14"/>
      <c r="EA1798" s="14"/>
      <c r="EB1798" s="14"/>
      <c r="EC1798" s="14"/>
      <c r="ED1798" s="14"/>
      <c r="EE1798" s="14"/>
      <c r="EF1798" s="14"/>
      <c r="EG1798" s="14"/>
      <c r="EH1798" s="14"/>
      <c r="EI1798" s="14"/>
      <c r="EJ1798" s="14"/>
      <c r="EK1798" s="14"/>
      <c r="EL1798" s="14"/>
      <c r="EM1798" s="14"/>
      <c r="EN1798" s="14"/>
      <c r="EO1798" s="14"/>
      <c r="EP1798" s="14"/>
      <c r="EQ1798" s="14"/>
      <c r="ER1798" s="14"/>
      <c r="ES1798" s="14"/>
      <c r="ET1798" s="14"/>
      <c r="EU1798" s="14"/>
      <c r="EV1798" s="14"/>
      <c r="EW1798" s="14"/>
      <c r="EX1798" s="14"/>
      <c r="EY1798" s="14"/>
      <c r="EZ1798" s="14"/>
      <c r="FA1798" s="14"/>
      <c r="FB1798" s="14"/>
      <c r="FC1798" s="14"/>
      <c r="FD1798" s="14"/>
      <c r="FE1798" s="14"/>
      <c r="FF1798" s="14"/>
      <c r="FG1798" s="14"/>
      <c r="FH1798" s="14"/>
      <c r="FI1798" s="14"/>
      <c r="FJ1798" s="14"/>
      <c r="FK1798" s="14"/>
      <c r="FL1798" s="14"/>
      <c r="FM1798" s="14"/>
      <c r="FN1798" s="14"/>
      <c r="FO1798" s="14"/>
      <c r="FP1798" s="14"/>
      <c r="FQ1798" s="14"/>
      <c r="FR1798" s="14"/>
      <c r="FS1798" s="14"/>
      <c r="FT1798" s="14"/>
      <c r="FU1798" s="14"/>
      <c r="FV1798" s="14"/>
      <c r="FW1798" s="14"/>
      <c r="FX1798" s="14"/>
      <c r="FY1798" s="14"/>
      <c r="FZ1798" s="14"/>
      <c r="GA1798" s="14"/>
      <c r="GB1798" s="14"/>
      <c r="GC1798" s="14"/>
      <c r="GD1798" s="14"/>
      <c r="GE1798" s="14"/>
      <c r="GF1798" s="14"/>
      <c r="GG1798" s="14"/>
      <c r="GH1798" s="14"/>
      <c r="GI1798" s="14"/>
      <c r="GJ1798" s="14"/>
      <c r="GK1798" s="14"/>
      <c r="GL1798" s="14"/>
      <c r="GM1798" s="14"/>
      <c r="GN1798" s="14"/>
      <c r="GO1798" s="14"/>
      <c r="GP1798" s="14"/>
      <c r="GQ1798" s="14"/>
      <c r="GR1798" s="14"/>
      <c r="GS1798" s="14"/>
      <c r="GT1798" s="14"/>
      <c r="GU1798" s="14"/>
      <c r="GV1798" s="14"/>
      <c r="GW1798" s="14"/>
      <c r="GX1798" s="14"/>
      <c r="GY1798" s="14"/>
      <c r="GZ1798" s="14"/>
      <c r="HA1798" s="14"/>
    </row>
    <row r="1799" ht="23.25" customHeight="1">
      <c r="A1799" s="14"/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57" t="s">
        <v>3458</v>
      </c>
      <c r="BX1799" s="57" t="s">
        <v>3459</v>
      </c>
      <c r="BY1799" s="14"/>
      <c r="BZ1799" s="57" t="s">
        <v>171</v>
      </c>
      <c r="CA1799" s="57" t="s">
        <v>1351</v>
      </c>
      <c r="CB1799" s="57" t="s">
        <v>345</v>
      </c>
      <c r="CC1799" s="57" t="s">
        <v>2116</v>
      </c>
      <c r="CD1799" s="58">
        <v>44022.0</v>
      </c>
      <c r="CE1799" s="58">
        <v>44053.0</v>
      </c>
      <c r="CF1799" s="57">
        <v>100.0</v>
      </c>
      <c r="CG1799" s="59" t="s">
        <v>5257</v>
      </c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14"/>
      <c r="DC1799" s="14"/>
      <c r="DD1799" s="14"/>
      <c r="DE1799" s="14"/>
      <c r="DF1799" s="14"/>
      <c r="DG1799" s="14"/>
      <c r="DH1799" s="14"/>
      <c r="DI1799" s="14"/>
      <c r="DJ1799" s="14"/>
      <c r="DK1799" s="14"/>
      <c r="DL1799" s="14"/>
      <c r="DM1799" s="14"/>
      <c r="DN1799" s="14"/>
      <c r="DO1799" s="14"/>
      <c r="DP1799" s="14"/>
      <c r="DQ1799" s="14"/>
      <c r="DR1799" s="14"/>
      <c r="DS1799" s="14"/>
      <c r="DT1799" s="14"/>
      <c r="DU1799" s="14"/>
      <c r="DV1799" s="14"/>
      <c r="DW1799" s="14"/>
      <c r="DX1799" s="14"/>
      <c r="DY1799" s="14"/>
      <c r="DZ1799" s="14"/>
      <c r="EA1799" s="14"/>
      <c r="EB1799" s="14"/>
      <c r="EC1799" s="14"/>
      <c r="ED1799" s="14"/>
      <c r="EE1799" s="14"/>
      <c r="EF1799" s="14"/>
      <c r="EG1799" s="14"/>
      <c r="EH1799" s="14"/>
      <c r="EI1799" s="14"/>
      <c r="EJ1799" s="14"/>
      <c r="EK1799" s="14"/>
      <c r="EL1799" s="14"/>
      <c r="EM1799" s="14"/>
      <c r="EN1799" s="14"/>
      <c r="EO1799" s="14"/>
      <c r="EP1799" s="14"/>
      <c r="EQ1799" s="14"/>
      <c r="ER1799" s="14"/>
      <c r="ES1799" s="14"/>
      <c r="ET1799" s="14"/>
      <c r="EU1799" s="14"/>
      <c r="EV1799" s="14"/>
      <c r="EW1799" s="14"/>
      <c r="EX1799" s="14"/>
      <c r="EY1799" s="14"/>
      <c r="EZ1799" s="14"/>
      <c r="FA1799" s="14"/>
      <c r="FB1799" s="14"/>
      <c r="FC1799" s="14"/>
      <c r="FD1799" s="14"/>
      <c r="FE1799" s="14"/>
      <c r="FF1799" s="14"/>
      <c r="FG1799" s="14"/>
      <c r="FH1799" s="14"/>
      <c r="FI1799" s="14"/>
      <c r="FJ1799" s="14"/>
      <c r="FK1799" s="14"/>
      <c r="FL1799" s="14"/>
      <c r="FM1799" s="14"/>
      <c r="FN1799" s="14"/>
      <c r="FO1799" s="14"/>
      <c r="FP1799" s="14"/>
      <c r="FQ1799" s="14"/>
      <c r="FR1799" s="14"/>
      <c r="FS1799" s="14"/>
      <c r="FT1799" s="14"/>
      <c r="FU1799" s="14"/>
      <c r="FV1799" s="14"/>
      <c r="FW1799" s="14"/>
      <c r="FX1799" s="14"/>
      <c r="FY1799" s="14"/>
      <c r="FZ1799" s="14"/>
      <c r="GA1799" s="14"/>
      <c r="GB1799" s="14"/>
      <c r="GC1799" s="14"/>
      <c r="GD1799" s="14"/>
      <c r="GE1799" s="14"/>
      <c r="GF1799" s="14"/>
      <c r="GG1799" s="14"/>
      <c r="GH1799" s="14"/>
      <c r="GI1799" s="14"/>
      <c r="GJ1799" s="14"/>
      <c r="GK1799" s="14"/>
      <c r="GL1799" s="14"/>
      <c r="GM1799" s="14"/>
      <c r="GN1799" s="14"/>
      <c r="GO1799" s="14"/>
      <c r="GP1799" s="14"/>
      <c r="GQ1799" s="14"/>
      <c r="GR1799" s="14"/>
      <c r="GS1799" s="14"/>
      <c r="GT1799" s="14"/>
      <c r="GU1799" s="14"/>
      <c r="GV1799" s="14"/>
      <c r="GW1799" s="14"/>
      <c r="GX1799" s="14"/>
      <c r="GY1799" s="14"/>
      <c r="GZ1799" s="14"/>
      <c r="HA1799" s="14"/>
    </row>
    <row r="1800" ht="23.25" customHeight="1">
      <c r="A1800" s="14"/>
      <c r="B1800" s="14"/>
      <c r="C1800" s="36" t="s">
        <v>13</v>
      </c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57" t="s">
        <v>441</v>
      </c>
      <c r="AY1800" s="57" t="s">
        <v>149</v>
      </c>
      <c r="AZ1800" s="57" t="s">
        <v>5089</v>
      </c>
      <c r="BA1800" s="57" t="s">
        <v>345</v>
      </c>
      <c r="BB1800" s="57" t="s">
        <v>5090</v>
      </c>
      <c r="BC1800" s="58">
        <v>43971.0</v>
      </c>
      <c r="BD1800" s="58">
        <v>44102.0</v>
      </c>
      <c r="BE1800" s="14"/>
      <c r="BF1800" s="60">
        <v>100.0</v>
      </c>
      <c r="BG1800" s="14"/>
      <c r="BH1800" s="59" t="s">
        <v>5091</v>
      </c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57"/>
      <c r="BX1800" s="57"/>
      <c r="BY1800" s="14"/>
      <c r="BZ1800" s="57"/>
      <c r="CA1800" s="57"/>
      <c r="CB1800" s="57"/>
      <c r="CC1800" s="57"/>
      <c r="CD1800" s="58"/>
      <c r="CE1800" s="58"/>
      <c r="CF1800" s="57"/>
      <c r="CG1800" s="57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14"/>
      <c r="DC1800" s="14"/>
      <c r="DD1800" s="14"/>
      <c r="DE1800" s="14"/>
      <c r="DF1800" s="14"/>
      <c r="DG1800" s="14"/>
      <c r="DH1800" s="14"/>
      <c r="DI1800" s="14"/>
      <c r="DJ1800" s="14"/>
      <c r="DK1800" s="14"/>
      <c r="DL1800" s="14"/>
      <c r="DM1800" s="14"/>
      <c r="DN1800" s="14"/>
      <c r="DO1800" s="14"/>
      <c r="DP1800" s="14"/>
      <c r="DQ1800" s="14"/>
      <c r="DR1800" s="14"/>
      <c r="DS1800" s="14"/>
      <c r="DT1800" s="14"/>
      <c r="DU1800" s="14"/>
      <c r="DV1800" s="14"/>
      <c r="DW1800" s="14"/>
      <c r="DX1800" s="14"/>
      <c r="DY1800" s="14"/>
      <c r="DZ1800" s="14"/>
      <c r="EA1800" s="14"/>
      <c r="EB1800" s="14"/>
      <c r="EC1800" s="14"/>
      <c r="ED1800" s="14"/>
      <c r="EE1800" s="14"/>
      <c r="EF1800" s="14"/>
      <c r="EG1800" s="14"/>
      <c r="EH1800" s="14"/>
      <c r="EI1800" s="14"/>
      <c r="EJ1800" s="14"/>
      <c r="EK1800" s="14"/>
      <c r="EL1800" s="14"/>
      <c r="EM1800" s="14"/>
      <c r="EN1800" s="14"/>
      <c r="EO1800" s="14"/>
      <c r="EP1800" s="14"/>
      <c r="EQ1800" s="14"/>
      <c r="ER1800" s="14"/>
      <c r="ES1800" s="14"/>
      <c r="ET1800" s="14"/>
      <c r="EU1800" s="14"/>
      <c r="EV1800" s="14"/>
      <c r="EW1800" s="14"/>
      <c r="EX1800" s="14"/>
      <c r="EY1800" s="14"/>
      <c r="EZ1800" s="14"/>
      <c r="FA1800" s="14"/>
      <c r="FB1800" s="14"/>
      <c r="FC1800" s="14"/>
      <c r="FD1800" s="14"/>
      <c r="FE1800" s="14"/>
      <c r="FF1800" s="14"/>
      <c r="FG1800" s="14"/>
      <c r="FH1800" s="14"/>
      <c r="FI1800" s="14"/>
      <c r="FJ1800" s="14"/>
      <c r="FK1800" s="14"/>
      <c r="FL1800" s="57" t="s">
        <v>447</v>
      </c>
      <c r="FM1800" s="57" t="s">
        <v>260</v>
      </c>
      <c r="FN1800" s="14"/>
      <c r="FO1800" s="14"/>
      <c r="FP1800" s="14"/>
      <c r="FQ1800" s="14"/>
      <c r="FR1800" s="14"/>
      <c r="FS1800" s="14"/>
      <c r="FT1800" s="14"/>
      <c r="FU1800" s="14"/>
      <c r="FV1800" s="14"/>
      <c r="FW1800" s="14"/>
      <c r="FX1800" s="14"/>
      <c r="FY1800" s="14"/>
      <c r="FZ1800" s="14"/>
      <c r="GA1800" s="14"/>
      <c r="GB1800" s="14"/>
      <c r="GC1800" s="14"/>
      <c r="GD1800" s="14"/>
      <c r="GE1800" s="14"/>
      <c r="GF1800" s="14"/>
      <c r="GG1800" s="14"/>
      <c r="GH1800" s="14"/>
      <c r="GI1800" s="14"/>
      <c r="GJ1800" s="14"/>
      <c r="GK1800" s="14"/>
      <c r="GL1800" s="14"/>
      <c r="GM1800" s="14"/>
      <c r="GN1800" s="14"/>
      <c r="GO1800" s="14"/>
      <c r="GP1800" s="14"/>
      <c r="GQ1800" s="14"/>
      <c r="GR1800" s="14"/>
      <c r="GS1800" s="14"/>
      <c r="GT1800" s="14"/>
      <c r="GU1800" s="14"/>
      <c r="GV1800" s="14"/>
      <c r="GW1800" s="14"/>
      <c r="GX1800" s="14"/>
      <c r="GY1800" s="14"/>
      <c r="GZ1800" s="14"/>
      <c r="HA1800" s="14"/>
    </row>
    <row r="1801" ht="23.25" customHeight="1">
      <c r="A1801" s="14"/>
      <c r="B1801" s="14"/>
      <c r="C1801" s="36" t="s">
        <v>13</v>
      </c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57" t="s">
        <v>448</v>
      </c>
      <c r="AY1801" s="57" t="s">
        <v>449</v>
      </c>
      <c r="AZ1801" s="57" t="s">
        <v>5092</v>
      </c>
      <c r="BA1801" s="57" t="s">
        <v>345</v>
      </c>
      <c r="BB1801" s="57" t="s">
        <v>495</v>
      </c>
      <c r="BC1801" s="58">
        <v>43953.0</v>
      </c>
      <c r="BD1801" s="58">
        <v>43984.0</v>
      </c>
      <c r="BE1801" s="14"/>
      <c r="BF1801" s="60">
        <v>100.0</v>
      </c>
      <c r="BG1801" s="14"/>
      <c r="BH1801" s="59" t="s">
        <v>5093</v>
      </c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57"/>
      <c r="BX1801" s="57"/>
      <c r="BY1801" s="14"/>
      <c r="BZ1801" s="57"/>
      <c r="CA1801" s="57"/>
      <c r="CB1801" s="57"/>
      <c r="CC1801" s="57"/>
      <c r="CD1801" s="58"/>
      <c r="CE1801" s="58"/>
      <c r="CF1801" s="57"/>
      <c r="CG1801" s="57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14"/>
      <c r="DC1801" s="14"/>
      <c r="DD1801" s="14"/>
      <c r="DE1801" s="14"/>
      <c r="DF1801" s="14"/>
      <c r="DG1801" s="14"/>
      <c r="DH1801" s="14"/>
      <c r="DI1801" s="14"/>
      <c r="DJ1801" s="14"/>
      <c r="DK1801" s="14"/>
      <c r="DL1801" s="14"/>
      <c r="DM1801" s="14"/>
      <c r="DN1801" s="14"/>
      <c r="DO1801" s="14"/>
      <c r="DP1801" s="14"/>
      <c r="DQ1801" s="14"/>
      <c r="DR1801" s="14"/>
      <c r="DS1801" s="14"/>
      <c r="DT1801" s="14"/>
      <c r="DU1801" s="14"/>
      <c r="DV1801" s="14"/>
      <c r="DW1801" s="14"/>
      <c r="DX1801" s="14"/>
      <c r="DY1801" s="14"/>
      <c r="DZ1801" s="14"/>
      <c r="EA1801" s="14"/>
      <c r="EB1801" s="14"/>
      <c r="EC1801" s="14"/>
      <c r="ED1801" s="14"/>
      <c r="EE1801" s="14"/>
      <c r="EF1801" s="14"/>
      <c r="EG1801" s="14"/>
      <c r="EH1801" s="14"/>
      <c r="EI1801" s="14"/>
      <c r="EJ1801" s="14"/>
      <c r="EK1801" s="14"/>
      <c r="EL1801" s="14"/>
      <c r="EM1801" s="14"/>
      <c r="EN1801" s="14"/>
      <c r="EO1801" s="14"/>
      <c r="EP1801" s="14"/>
      <c r="EQ1801" s="14"/>
      <c r="ER1801" s="14"/>
      <c r="ES1801" s="14"/>
      <c r="ET1801" s="14"/>
      <c r="EU1801" s="14"/>
      <c r="EV1801" s="14"/>
      <c r="EW1801" s="14"/>
      <c r="EX1801" s="14"/>
      <c r="EY1801" s="14"/>
      <c r="EZ1801" s="14"/>
      <c r="FA1801" s="14"/>
      <c r="FB1801" s="14"/>
      <c r="FC1801" s="14"/>
      <c r="FD1801" s="14"/>
      <c r="FE1801" s="14"/>
      <c r="FF1801" s="14"/>
      <c r="FG1801" s="14"/>
      <c r="FH1801" s="14"/>
      <c r="FI1801" s="14"/>
      <c r="FJ1801" s="14"/>
      <c r="FK1801" s="14"/>
      <c r="FL1801" s="57" t="s">
        <v>452</v>
      </c>
      <c r="FM1801" s="57" t="s">
        <v>260</v>
      </c>
      <c r="FN1801" s="14"/>
      <c r="FO1801" s="14"/>
      <c r="FP1801" s="14"/>
      <c r="FQ1801" s="14"/>
      <c r="FR1801" s="14"/>
      <c r="FS1801" s="14"/>
      <c r="FT1801" s="14"/>
      <c r="FU1801" s="14"/>
      <c r="FV1801" s="14"/>
      <c r="FW1801" s="14"/>
      <c r="FX1801" s="14"/>
      <c r="FY1801" s="14"/>
      <c r="FZ1801" s="14"/>
      <c r="GA1801" s="14"/>
      <c r="GB1801" s="14"/>
      <c r="GC1801" s="14"/>
      <c r="GD1801" s="14"/>
      <c r="GE1801" s="14"/>
      <c r="GF1801" s="14"/>
      <c r="GG1801" s="14"/>
      <c r="GH1801" s="14"/>
      <c r="GI1801" s="14"/>
      <c r="GJ1801" s="14"/>
      <c r="GK1801" s="14"/>
      <c r="GL1801" s="14"/>
      <c r="GM1801" s="14"/>
      <c r="GN1801" s="14"/>
      <c r="GO1801" s="14"/>
      <c r="GP1801" s="14"/>
      <c r="GQ1801" s="14"/>
      <c r="GR1801" s="14"/>
      <c r="GS1801" s="14"/>
      <c r="GT1801" s="14"/>
      <c r="GU1801" s="14"/>
      <c r="GV1801" s="14"/>
      <c r="GW1801" s="14"/>
      <c r="GX1801" s="14"/>
      <c r="GY1801" s="14"/>
      <c r="GZ1801" s="14"/>
      <c r="HA1801" s="14"/>
    </row>
    <row r="1802" ht="23.25" customHeight="1">
      <c r="A1802" s="14"/>
      <c r="B1802" s="14"/>
      <c r="C1802" s="36" t="s">
        <v>13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57" t="s">
        <v>441</v>
      </c>
      <c r="AY1802" s="57" t="s">
        <v>149</v>
      </c>
      <c r="AZ1802" s="57" t="s">
        <v>5094</v>
      </c>
      <c r="BA1802" s="57" t="s">
        <v>345</v>
      </c>
      <c r="BB1802" s="57" t="s">
        <v>5095</v>
      </c>
      <c r="BC1802" s="58">
        <v>43983.0</v>
      </c>
      <c r="BD1802" s="58">
        <v>44068.0</v>
      </c>
      <c r="BE1802" s="14"/>
      <c r="BF1802" s="60">
        <v>100.0</v>
      </c>
      <c r="BG1802" s="14"/>
      <c r="BH1802" s="59" t="s">
        <v>5096</v>
      </c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57"/>
      <c r="BX1802" s="57"/>
      <c r="BY1802" s="14"/>
      <c r="BZ1802" s="57"/>
      <c r="CA1802" s="57"/>
      <c r="CB1802" s="57"/>
      <c r="CC1802" s="57"/>
      <c r="CD1802" s="58"/>
      <c r="CE1802" s="58"/>
      <c r="CF1802" s="57"/>
      <c r="CG1802" s="57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14"/>
      <c r="DC1802" s="14"/>
      <c r="DD1802" s="14"/>
      <c r="DE1802" s="14"/>
      <c r="DF1802" s="14"/>
      <c r="DG1802" s="14"/>
      <c r="DH1802" s="14"/>
      <c r="DI1802" s="14"/>
      <c r="DJ1802" s="14"/>
      <c r="DK1802" s="14"/>
      <c r="DL1802" s="14"/>
      <c r="DM1802" s="14"/>
      <c r="DN1802" s="14"/>
      <c r="DO1802" s="14"/>
      <c r="DP1802" s="14"/>
      <c r="DQ1802" s="14"/>
      <c r="DR1802" s="14"/>
      <c r="DS1802" s="14"/>
      <c r="DT1802" s="14"/>
      <c r="DU1802" s="14"/>
      <c r="DV1802" s="14"/>
      <c r="DW1802" s="14"/>
      <c r="DX1802" s="14"/>
      <c r="DY1802" s="14"/>
      <c r="DZ1802" s="14"/>
      <c r="EA1802" s="14"/>
      <c r="EB1802" s="14"/>
      <c r="EC1802" s="14"/>
      <c r="ED1802" s="14"/>
      <c r="EE1802" s="14"/>
      <c r="EF1802" s="14"/>
      <c r="EG1802" s="14"/>
      <c r="EH1802" s="14"/>
      <c r="EI1802" s="14"/>
      <c r="EJ1802" s="14"/>
      <c r="EK1802" s="14"/>
      <c r="EL1802" s="14"/>
      <c r="EM1802" s="14"/>
      <c r="EN1802" s="14"/>
      <c r="EO1802" s="14"/>
      <c r="EP1802" s="14"/>
      <c r="EQ1802" s="14"/>
      <c r="ER1802" s="14"/>
      <c r="ES1802" s="14"/>
      <c r="ET1802" s="14"/>
      <c r="EU1802" s="14"/>
      <c r="EV1802" s="14"/>
      <c r="EW1802" s="14"/>
      <c r="EX1802" s="14"/>
      <c r="EY1802" s="14"/>
      <c r="EZ1802" s="14"/>
      <c r="FA1802" s="14"/>
      <c r="FB1802" s="14"/>
      <c r="FC1802" s="14"/>
      <c r="FD1802" s="14"/>
      <c r="FE1802" s="14"/>
      <c r="FF1802" s="14"/>
      <c r="FG1802" s="14"/>
      <c r="FH1802" s="14"/>
      <c r="FI1802" s="14"/>
      <c r="FJ1802" s="14"/>
      <c r="FK1802" s="14"/>
      <c r="FL1802" s="57" t="s">
        <v>447</v>
      </c>
      <c r="FM1802" s="57" t="s">
        <v>260</v>
      </c>
      <c r="FN1802" s="14"/>
      <c r="FO1802" s="14"/>
      <c r="FP1802" s="14"/>
      <c r="FQ1802" s="14"/>
      <c r="FR1802" s="14"/>
      <c r="FS1802" s="14"/>
      <c r="FT1802" s="14"/>
      <c r="FU1802" s="14"/>
      <c r="FV1802" s="14"/>
      <c r="FW1802" s="14"/>
      <c r="FX1802" s="14"/>
      <c r="FY1802" s="14"/>
      <c r="FZ1802" s="14"/>
      <c r="GA1802" s="14"/>
      <c r="GB1802" s="14"/>
      <c r="GC1802" s="14"/>
      <c r="GD1802" s="14"/>
      <c r="GE1802" s="14"/>
      <c r="GF1802" s="14"/>
      <c r="GG1802" s="14"/>
      <c r="GH1802" s="14"/>
      <c r="GI1802" s="14"/>
      <c r="GJ1802" s="14"/>
      <c r="GK1802" s="14"/>
      <c r="GL1802" s="14"/>
      <c r="GM1802" s="14"/>
      <c r="GN1802" s="14"/>
      <c r="GO1802" s="14"/>
      <c r="GP1802" s="14"/>
      <c r="GQ1802" s="14"/>
      <c r="GR1802" s="14"/>
      <c r="GS1802" s="14"/>
      <c r="GT1802" s="14"/>
      <c r="GU1802" s="14"/>
      <c r="GV1802" s="14"/>
      <c r="GW1802" s="14"/>
      <c r="GX1802" s="14"/>
      <c r="GY1802" s="14"/>
      <c r="GZ1802" s="14"/>
      <c r="HA1802" s="14"/>
    </row>
    <row r="1803" ht="23.25" customHeight="1">
      <c r="A1803" s="14"/>
      <c r="B1803" s="14"/>
      <c r="C1803" s="36" t="s">
        <v>13</v>
      </c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57" t="s">
        <v>448</v>
      </c>
      <c r="AY1803" s="57" t="s">
        <v>449</v>
      </c>
      <c r="AZ1803" s="57" t="s">
        <v>1400</v>
      </c>
      <c r="BA1803" s="57" t="s">
        <v>345</v>
      </c>
      <c r="BB1803" s="57" t="s">
        <v>495</v>
      </c>
      <c r="BC1803" s="58">
        <v>43983.0</v>
      </c>
      <c r="BD1803" s="58">
        <v>44013.0</v>
      </c>
      <c r="BE1803" s="14"/>
      <c r="BF1803" s="60">
        <v>100.0</v>
      </c>
      <c r="BG1803" s="14"/>
      <c r="BH1803" s="59" t="s">
        <v>5097</v>
      </c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57"/>
      <c r="BX1803" s="57"/>
      <c r="BY1803" s="14"/>
      <c r="BZ1803" s="57"/>
      <c r="CA1803" s="57"/>
      <c r="CB1803" s="57"/>
      <c r="CC1803" s="57"/>
      <c r="CD1803" s="58"/>
      <c r="CE1803" s="58"/>
      <c r="CF1803" s="57"/>
      <c r="CG1803" s="57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14"/>
      <c r="DC1803" s="14"/>
      <c r="DD1803" s="14"/>
      <c r="DE1803" s="14"/>
      <c r="DF1803" s="14"/>
      <c r="DG1803" s="14"/>
      <c r="DH1803" s="14"/>
      <c r="DI1803" s="14"/>
      <c r="DJ1803" s="14"/>
      <c r="DK1803" s="14"/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14"/>
      <c r="EJ1803" s="14"/>
      <c r="EK1803" s="14"/>
      <c r="EL1803" s="14"/>
      <c r="EM1803" s="14"/>
      <c r="EN1803" s="14"/>
      <c r="EO1803" s="14"/>
      <c r="EP1803" s="14"/>
      <c r="EQ1803" s="14"/>
      <c r="ER1803" s="14"/>
      <c r="ES1803" s="14"/>
      <c r="ET1803" s="14"/>
      <c r="EU1803" s="14"/>
      <c r="EV1803" s="14"/>
      <c r="EW1803" s="14"/>
      <c r="EX1803" s="14"/>
      <c r="EY1803" s="14"/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57" t="s">
        <v>452</v>
      </c>
      <c r="FM1803" s="57" t="s">
        <v>260</v>
      </c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4"/>
      <c r="FZ1803" s="14"/>
      <c r="GA1803" s="14"/>
      <c r="GB1803" s="14"/>
      <c r="GC1803" s="14"/>
      <c r="GD1803" s="14"/>
      <c r="GE1803" s="14"/>
      <c r="GF1803" s="14"/>
      <c r="GG1803" s="14"/>
      <c r="GH1803" s="14"/>
      <c r="GI1803" s="14"/>
      <c r="GJ1803" s="14"/>
      <c r="GK1803" s="14"/>
      <c r="GL1803" s="14"/>
      <c r="GM1803" s="14"/>
      <c r="GN1803" s="14"/>
      <c r="GO1803" s="14"/>
      <c r="GP1803" s="14"/>
      <c r="GQ1803" s="14"/>
      <c r="GR1803" s="14"/>
      <c r="GS1803" s="14"/>
      <c r="GT1803" s="14"/>
      <c r="GU1803" s="14"/>
      <c r="GV1803" s="14"/>
      <c r="GW1803" s="14"/>
      <c r="GX1803" s="14"/>
      <c r="GY1803" s="14"/>
      <c r="GZ1803" s="14"/>
      <c r="HA1803" s="14"/>
    </row>
    <row r="1804" ht="23.25" customHeight="1">
      <c r="A1804" s="14"/>
      <c r="B1804" s="14"/>
      <c r="C1804" s="36" t="s">
        <v>13</v>
      </c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57" t="s">
        <v>441</v>
      </c>
      <c r="AY1804" s="57" t="s">
        <v>149</v>
      </c>
      <c r="AZ1804" s="57" t="s">
        <v>5098</v>
      </c>
      <c r="BA1804" s="57" t="s">
        <v>345</v>
      </c>
      <c r="BB1804" s="57" t="s">
        <v>5099</v>
      </c>
      <c r="BC1804" s="58">
        <v>43983.0</v>
      </c>
      <c r="BD1804" s="58">
        <v>44028.0</v>
      </c>
      <c r="BE1804" s="14"/>
      <c r="BF1804" s="60">
        <v>100.0</v>
      </c>
      <c r="BG1804" s="14"/>
      <c r="BH1804" s="59" t="s">
        <v>5100</v>
      </c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57"/>
      <c r="BX1804" s="57"/>
      <c r="BY1804" s="14"/>
      <c r="BZ1804" s="57"/>
      <c r="CA1804" s="57"/>
      <c r="CB1804" s="57"/>
      <c r="CC1804" s="57"/>
      <c r="CD1804" s="58"/>
      <c r="CE1804" s="58"/>
      <c r="CF1804" s="57"/>
      <c r="CG1804" s="57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14"/>
      <c r="DC1804" s="14"/>
      <c r="DD1804" s="14"/>
      <c r="DE1804" s="14"/>
      <c r="DF1804" s="14"/>
      <c r="DG1804" s="14"/>
      <c r="DH1804" s="14"/>
      <c r="DI1804" s="14"/>
      <c r="DJ1804" s="14"/>
      <c r="DK1804" s="14"/>
      <c r="DL1804" s="14"/>
      <c r="DM1804" s="14"/>
      <c r="DN1804" s="14"/>
      <c r="DO1804" s="14"/>
      <c r="DP1804" s="14"/>
      <c r="DQ1804" s="14"/>
      <c r="DR1804" s="14"/>
      <c r="DS1804" s="14"/>
      <c r="DT1804" s="14"/>
      <c r="DU1804" s="14"/>
      <c r="DV1804" s="14"/>
      <c r="DW1804" s="14"/>
      <c r="DX1804" s="14"/>
      <c r="DY1804" s="14"/>
      <c r="DZ1804" s="14"/>
      <c r="EA1804" s="14"/>
      <c r="EB1804" s="14"/>
      <c r="EC1804" s="14"/>
      <c r="ED1804" s="14"/>
      <c r="EE1804" s="14"/>
      <c r="EF1804" s="14"/>
      <c r="EG1804" s="14"/>
      <c r="EH1804" s="14"/>
      <c r="EI1804" s="14"/>
      <c r="EJ1804" s="14"/>
      <c r="EK1804" s="14"/>
      <c r="EL1804" s="14"/>
      <c r="EM1804" s="14"/>
      <c r="EN1804" s="14"/>
      <c r="EO1804" s="14"/>
      <c r="EP1804" s="14"/>
      <c r="EQ1804" s="14"/>
      <c r="ER1804" s="14"/>
      <c r="ES1804" s="14"/>
      <c r="ET1804" s="14"/>
      <c r="EU1804" s="14"/>
      <c r="EV1804" s="14"/>
      <c r="EW1804" s="14"/>
      <c r="EX1804" s="14"/>
      <c r="EY1804" s="14"/>
      <c r="EZ1804" s="14"/>
      <c r="FA1804" s="14"/>
      <c r="FB1804" s="14"/>
      <c r="FC1804" s="14"/>
      <c r="FD1804" s="14"/>
      <c r="FE1804" s="14"/>
      <c r="FF1804" s="14"/>
      <c r="FG1804" s="14"/>
      <c r="FH1804" s="14"/>
      <c r="FI1804" s="14"/>
      <c r="FJ1804" s="14"/>
      <c r="FK1804" s="14"/>
      <c r="FL1804" s="57" t="s">
        <v>447</v>
      </c>
      <c r="FM1804" s="57" t="s">
        <v>260</v>
      </c>
      <c r="FN1804" s="14"/>
      <c r="FO1804" s="14"/>
      <c r="FP1804" s="14"/>
      <c r="FQ1804" s="14"/>
      <c r="FR1804" s="14"/>
      <c r="FS1804" s="14"/>
      <c r="FT1804" s="14"/>
      <c r="FU1804" s="14"/>
      <c r="FV1804" s="14"/>
      <c r="FW1804" s="14"/>
      <c r="FX1804" s="14"/>
      <c r="FY1804" s="14"/>
      <c r="FZ1804" s="14"/>
      <c r="GA1804" s="14"/>
      <c r="GB1804" s="14"/>
      <c r="GC1804" s="14"/>
      <c r="GD1804" s="14"/>
      <c r="GE1804" s="14"/>
      <c r="GF1804" s="14"/>
      <c r="GG1804" s="14"/>
      <c r="GH1804" s="14"/>
      <c r="GI1804" s="14"/>
      <c r="GJ1804" s="14"/>
      <c r="GK1804" s="14"/>
      <c r="GL1804" s="14"/>
      <c r="GM1804" s="14"/>
      <c r="GN1804" s="14"/>
      <c r="GO1804" s="14"/>
      <c r="GP1804" s="14"/>
      <c r="GQ1804" s="14"/>
      <c r="GR1804" s="14"/>
      <c r="GS1804" s="14"/>
      <c r="GT1804" s="14"/>
      <c r="GU1804" s="14"/>
      <c r="GV1804" s="14"/>
      <c r="GW1804" s="14"/>
      <c r="GX1804" s="14"/>
      <c r="GY1804" s="14"/>
      <c r="GZ1804" s="14"/>
      <c r="HA1804" s="14"/>
    </row>
    <row r="1805" ht="23.25" customHeight="1">
      <c r="A1805" s="14"/>
      <c r="B1805" s="14"/>
      <c r="C1805" s="36" t="s">
        <v>13</v>
      </c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57" t="s">
        <v>441</v>
      </c>
      <c r="AY1805" s="57" t="s">
        <v>149</v>
      </c>
      <c r="AZ1805" s="57" t="s">
        <v>5101</v>
      </c>
      <c r="BA1805" s="57" t="s">
        <v>345</v>
      </c>
      <c r="BB1805" s="57" t="s">
        <v>5102</v>
      </c>
      <c r="BC1805" s="58">
        <v>43949.0</v>
      </c>
      <c r="BD1805" s="58">
        <v>44132.0</v>
      </c>
      <c r="BE1805" s="14"/>
      <c r="BF1805" s="60">
        <v>100.0</v>
      </c>
      <c r="BG1805" s="14"/>
      <c r="BH1805" s="59" t="s">
        <v>5103</v>
      </c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57"/>
      <c r="BX1805" s="57"/>
      <c r="BY1805" s="14"/>
      <c r="BZ1805" s="57"/>
      <c r="CA1805" s="57"/>
      <c r="CB1805" s="57"/>
      <c r="CC1805" s="57"/>
      <c r="CD1805" s="58"/>
      <c r="CE1805" s="58"/>
      <c r="CF1805" s="57"/>
      <c r="CG1805" s="57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14"/>
      <c r="DC1805" s="14"/>
      <c r="DD1805" s="14"/>
      <c r="DE1805" s="14"/>
      <c r="DF1805" s="14"/>
      <c r="DG1805" s="14"/>
      <c r="DH1805" s="14"/>
      <c r="DI1805" s="14"/>
      <c r="DJ1805" s="14"/>
      <c r="DK1805" s="14"/>
      <c r="DL1805" s="14"/>
      <c r="DM1805" s="14"/>
      <c r="DN1805" s="14"/>
      <c r="DO1805" s="14"/>
      <c r="DP1805" s="14"/>
      <c r="DQ1805" s="14"/>
      <c r="DR1805" s="14"/>
      <c r="DS1805" s="14"/>
      <c r="DT1805" s="14"/>
      <c r="DU1805" s="14"/>
      <c r="DV1805" s="14"/>
      <c r="DW1805" s="14"/>
      <c r="DX1805" s="14"/>
      <c r="DY1805" s="14"/>
      <c r="DZ1805" s="14"/>
      <c r="EA1805" s="14"/>
      <c r="EB1805" s="14"/>
      <c r="EC1805" s="14"/>
      <c r="ED1805" s="14"/>
      <c r="EE1805" s="14"/>
      <c r="EF1805" s="14"/>
      <c r="EG1805" s="14"/>
      <c r="EH1805" s="14"/>
      <c r="EI1805" s="14"/>
      <c r="EJ1805" s="14"/>
      <c r="EK1805" s="14"/>
      <c r="EL1805" s="14"/>
      <c r="EM1805" s="14"/>
      <c r="EN1805" s="14"/>
      <c r="EO1805" s="14"/>
      <c r="EP1805" s="14"/>
      <c r="EQ1805" s="14"/>
      <c r="ER1805" s="14"/>
      <c r="ES1805" s="14"/>
      <c r="ET1805" s="14"/>
      <c r="EU1805" s="14"/>
      <c r="EV1805" s="14"/>
      <c r="EW1805" s="14"/>
      <c r="EX1805" s="14"/>
      <c r="EY1805" s="14"/>
      <c r="EZ1805" s="14"/>
      <c r="FA1805" s="14"/>
      <c r="FB1805" s="14"/>
      <c r="FC1805" s="14"/>
      <c r="FD1805" s="14"/>
      <c r="FE1805" s="14"/>
      <c r="FF1805" s="14"/>
      <c r="FG1805" s="14"/>
      <c r="FH1805" s="14"/>
      <c r="FI1805" s="14"/>
      <c r="FJ1805" s="14"/>
      <c r="FK1805" s="14"/>
      <c r="FL1805" s="57" t="s">
        <v>447</v>
      </c>
      <c r="FM1805" s="57" t="s">
        <v>260</v>
      </c>
      <c r="FN1805" s="14"/>
      <c r="FO1805" s="14"/>
      <c r="FP1805" s="14"/>
      <c r="FQ1805" s="14"/>
      <c r="FR1805" s="14"/>
      <c r="FS1805" s="14"/>
      <c r="FT1805" s="14"/>
      <c r="FU1805" s="14"/>
      <c r="FV1805" s="14"/>
      <c r="FW1805" s="14"/>
      <c r="FX1805" s="14"/>
      <c r="FY1805" s="14"/>
      <c r="FZ1805" s="14"/>
      <c r="GA1805" s="14"/>
      <c r="GB1805" s="14"/>
      <c r="GC1805" s="14"/>
      <c r="GD1805" s="14"/>
      <c r="GE1805" s="14"/>
      <c r="GF1805" s="14"/>
      <c r="GG1805" s="14"/>
      <c r="GH1805" s="14"/>
      <c r="GI1805" s="14"/>
      <c r="GJ1805" s="14"/>
      <c r="GK1805" s="14"/>
      <c r="GL1805" s="14"/>
      <c r="GM1805" s="14"/>
      <c r="GN1805" s="14"/>
      <c r="GO1805" s="14"/>
      <c r="GP1805" s="14"/>
      <c r="GQ1805" s="14"/>
      <c r="GR1805" s="14"/>
      <c r="GS1805" s="14"/>
      <c r="GT1805" s="14"/>
      <c r="GU1805" s="14"/>
      <c r="GV1805" s="14"/>
      <c r="GW1805" s="14"/>
      <c r="GX1805" s="14"/>
      <c r="GY1805" s="14"/>
      <c r="GZ1805" s="14"/>
      <c r="HA1805" s="14"/>
    </row>
    <row r="1806" ht="23.25" customHeight="1">
      <c r="A1806" s="14"/>
      <c r="B1806" s="14"/>
      <c r="C1806" s="36" t="s">
        <v>13</v>
      </c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57" t="s">
        <v>252</v>
      </c>
      <c r="AY1806" s="57" t="s">
        <v>253</v>
      </c>
      <c r="AZ1806" s="57" t="s">
        <v>5104</v>
      </c>
      <c r="BA1806" s="57" t="s">
        <v>4197</v>
      </c>
      <c r="BB1806" s="57" t="s">
        <v>310</v>
      </c>
      <c r="BC1806" s="58">
        <v>44166.0</v>
      </c>
      <c r="BD1806" s="58">
        <v>44223.0</v>
      </c>
      <c r="BE1806" s="14"/>
      <c r="BF1806" s="60">
        <v>100.0</v>
      </c>
      <c r="BG1806" s="14"/>
      <c r="BH1806" s="59" t="s">
        <v>5105</v>
      </c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57"/>
      <c r="BX1806" s="57"/>
      <c r="BY1806" s="14"/>
      <c r="BZ1806" s="57"/>
      <c r="CA1806" s="57"/>
      <c r="CB1806" s="57"/>
      <c r="CC1806" s="57"/>
      <c r="CD1806" s="58"/>
      <c r="CE1806" s="58"/>
      <c r="CF1806" s="57"/>
      <c r="CG1806" s="57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14"/>
      <c r="DC1806" s="14"/>
      <c r="DD1806" s="14"/>
      <c r="DE1806" s="14"/>
      <c r="DF1806" s="14"/>
      <c r="DG1806" s="14"/>
      <c r="DH1806" s="14"/>
      <c r="DI1806" s="14"/>
      <c r="DJ1806" s="14"/>
      <c r="DK1806" s="14"/>
      <c r="DL1806" s="14"/>
      <c r="DM1806" s="14"/>
      <c r="DN1806" s="14"/>
      <c r="DO1806" s="14"/>
      <c r="DP1806" s="14"/>
      <c r="DQ1806" s="14"/>
      <c r="DR1806" s="14"/>
      <c r="DS1806" s="14"/>
      <c r="DT1806" s="14"/>
      <c r="DU1806" s="14"/>
      <c r="DV1806" s="14"/>
      <c r="DW1806" s="14"/>
      <c r="DX1806" s="14"/>
      <c r="DY1806" s="14"/>
      <c r="DZ1806" s="14"/>
      <c r="EA1806" s="14"/>
      <c r="EB1806" s="14"/>
      <c r="EC1806" s="14"/>
      <c r="ED1806" s="14"/>
      <c r="EE1806" s="14"/>
      <c r="EF1806" s="14"/>
      <c r="EG1806" s="14"/>
      <c r="EH1806" s="14"/>
      <c r="EI1806" s="14"/>
      <c r="EJ1806" s="14"/>
      <c r="EK1806" s="14"/>
      <c r="EL1806" s="14"/>
      <c r="EM1806" s="14"/>
      <c r="EN1806" s="14"/>
      <c r="EO1806" s="14"/>
      <c r="EP1806" s="14"/>
      <c r="EQ1806" s="14"/>
      <c r="ER1806" s="14"/>
      <c r="ES1806" s="14"/>
      <c r="ET1806" s="14"/>
      <c r="EU1806" s="14"/>
      <c r="EV1806" s="14"/>
      <c r="EW1806" s="14"/>
      <c r="EX1806" s="14"/>
      <c r="EY1806" s="14"/>
      <c r="EZ1806" s="14"/>
      <c r="FA1806" s="14"/>
      <c r="FB1806" s="14"/>
      <c r="FC1806" s="14"/>
      <c r="FD1806" s="14"/>
      <c r="FE1806" s="14"/>
      <c r="FF1806" s="14"/>
      <c r="FG1806" s="14"/>
      <c r="FH1806" s="14"/>
      <c r="FI1806" s="14"/>
      <c r="FJ1806" s="14"/>
      <c r="FK1806" s="14"/>
      <c r="FL1806" s="57" t="s">
        <v>259</v>
      </c>
      <c r="FM1806" s="57" t="s">
        <v>341</v>
      </c>
      <c r="FN1806" s="14"/>
      <c r="FO1806" s="14"/>
      <c r="FP1806" s="14"/>
      <c r="FQ1806" s="14"/>
      <c r="FR1806" s="14"/>
      <c r="FS1806" s="14"/>
      <c r="FT1806" s="14"/>
      <c r="FU1806" s="14"/>
      <c r="FV1806" s="14"/>
      <c r="FW1806" s="14"/>
      <c r="FX1806" s="14"/>
      <c r="FY1806" s="14"/>
      <c r="FZ1806" s="14"/>
      <c r="GA1806" s="14"/>
      <c r="GB1806" s="14"/>
      <c r="GC1806" s="14"/>
      <c r="GD1806" s="14"/>
      <c r="GE1806" s="14"/>
      <c r="GF1806" s="14"/>
      <c r="GG1806" s="14"/>
      <c r="GH1806" s="14"/>
      <c r="GI1806" s="14"/>
      <c r="GJ1806" s="14"/>
      <c r="GK1806" s="14"/>
      <c r="GL1806" s="14"/>
      <c r="GM1806" s="14"/>
      <c r="GN1806" s="14"/>
      <c r="GO1806" s="14"/>
      <c r="GP1806" s="14"/>
      <c r="GQ1806" s="14"/>
      <c r="GR1806" s="14"/>
      <c r="GS1806" s="14"/>
      <c r="GT1806" s="14"/>
      <c r="GU1806" s="14"/>
      <c r="GV1806" s="14"/>
      <c r="GW1806" s="14"/>
      <c r="GX1806" s="14"/>
      <c r="GY1806" s="14"/>
      <c r="GZ1806" s="14"/>
      <c r="HA1806" s="14"/>
    </row>
    <row r="1807" ht="23.25" customHeight="1">
      <c r="A1807" s="14"/>
      <c r="B1807" s="14"/>
      <c r="C1807" s="36" t="s">
        <v>13</v>
      </c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57" t="s">
        <v>252</v>
      </c>
      <c r="AY1807" s="57" t="s">
        <v>253</v>
      </c>
      <c r="AZ1807" s="57" t="s">
        <v>5106</v>
      </c>
      <c r="BA1807" s="57" t="s">
        <v>1386</v>
      </c>
      <c r="BB1807" s="57" t="s">
        <v>5107</v>
      </c>
      <c r="BC1807" s="58">
        <v>44317.0</v>
      </c>
      <c r="BD1807" s="58">
        <v>44404.0</v>
      </c>
      <c r="BE1807" s="14"/>
      <c r="BF1807" s="60">
        <v>100.0</v>
      </c>
      <c r="BG1807" s="14"/>
      <c r="BH1807" s="59" t="s">
        <v>5108</v>
      </c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57"/>
      <c r="BX1807" s="57"/>
      <c r="BY1807" s="14"/>
      <c r="BZ1807" s="57"/>
      <c r="CA1807" s="57"/>
      <c r="CB1807" s="57"/>
      <c r="CC1807" s="57"/>
      <c r="CD1807" s="58"/>
      <c r="CE1807" s="58"/>
      <c r="CF1807" s="57"/>
      <c r="CG1807" s="57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14"/>
      <c r="DC1807" s="14"/>
      <c r="DD1807" s="14"/>
      <c r="DE1807" s="14"/>
      <c r="DF1807" s="14"/>
      <c r="DG1807" s="14"/>
      <c r="DH1807" s="14"/>
      <c r="DI1807" s="14"/>
      <c r="DJ1807" s="14"/>
      <c r="DK1807" s="14"/>
      <c r="DL1807" s="14"/>
      <c r="DM1807" s="14"/>
      <c r="DN1807" s="14"/>
      <c r="DO1807" s="14"/>
      <c r="DP1807" s="14"/>
      <c r="DQ1807" s="14"/>
      <c r="DR1807" s="14"/>
      <c r="DS1807" s="14"/>
      <c r="DT1807" s="14"/>
      <c r="DU1807" s="14"/>
      <c r="DV1807" s="14"/>
      <c r="DW1807" s="14"/>
      <c r="DX1807" s="14"/>
      <c r="DY1807" s="14"/>
      <c r="DZ1807" s="14"/>
      <c r="EA1807" s="14"/>
      <c r="EB1807" s="14"/>
      <c r="EC1807" s="14"/>
      <c r="ED1807" s="14"/>
      <c r="EE1807" s="14"/>
      <c r="EF1807" s="14"/>
      <c r="EG1807" s="14"/>
      <c r="EH1807" s="14"/>
      <c r="EI1807" s="14"/>
      <c r="EJ1807" s="14"/>
      <c r="EK1807" s="14"/>
      <c r="EL1807" s="14"/>
      <c r="EM1807" s="14"/>
      <c r="EN1807" s="14"/>
      <c r="EO1807" s="14"/>
      <c r="EP1807" s="14"/>
      <c r="EQ1807" s="14"/>
      <c r="ER1807" s="14"/>
      <c r="ES1807" s="14"/>
      <c r="ET1807" s="14"/>
      <c r="EU1807" s="14"/>
      <c r="EV1807" s="14"/>
      <c r="EW1807" s="14"/>
      <c r="EX1807" s="14"/>
      <c r="EY1807" s="14"/>
      <c r="EZ1807" s="14"/>
      <c r="FA1807" s="14"/>
      <c r="FB1807" s="14"/>
      <c r="FC1807" s="14"/>
      <c r="FD1807" s="14"/>
      <c r="FE1807" s="14"/>
      <c r="FF1807" s="14"/>
      <c r="FG1807" s="14"/>
      <c r="FH1807" s="14"/>
      <c r="FI1807" s="14"/>
      <c r="FJ1807" s="14"/>
      <c r="FK1807" s="14"/>
      <c r="FL1807" s="57" t="s">
        <v>259</v>
      </c>
      <c r="FM1807" s="57" t="s">
        <v>341</v>
      </c>
      <c r="FN1807" s="14"/>
      <c r="FO1807" s="14"/>
      <c r="FP1807" s="14"/>
      <c r="FQ1807" s="14"/>
      <c r="FR1807" s="14"/>
      <c r="FS1807" s="14"/>
      <c r="FT1807" s="14"/>
      <c r="FU1807" s="14"/>
      <c r="FV1807" s="14"/>
      <c r="FW1807" s="14"/>
      <c r="FX1807" s="14"/>
      <c r="FY1807" s="14"/>
      <c r="FZ1807" s="14"/>
      <c r="GA1807" s="14"/>
      <c r="GB1807" s="14"/>
      <c r="GC1807" s="14"/>
      <c r="GD1807" s="14"/>
      <c r="GE1807" s="14"/>
      <c r="GF1807" s="14"/>
      <c r="GG1807" s="14"/>
      <c r="GH1807" s="14"/>
      <c r="GI1807" s="14"/>
      <c r="GJ1807" s="14"/>
      <c r="GK1807" s="14"/>
      <c r="GL1807" s="14"/>
      <c r="GM1807" s="14"/>
      <c r="GN1807" s="14"/>
      <c r="GO1807" s="14"/>
      <c r="GP1807" s="14"/>
      <c r="GQ1807" s="14"/>
      <c r="GR1807" s="14"/>
      <c r="GS1807" s="14"/>
      <c r="GT1807" s="14"/>
      <c r="GU1807" s="14"/>
      <c r="GV1807" s="14"/>
      <c r="GW1807" s="14"/>
      <c r="GX1807" s="14"/>
      <c r="GY1807" s="14"/>
      <c r="GZ1807" s="14"/>
      <c r="HA1807" s="14"/>
    </row>
    <row r="1808" ht="23.25" customHeight="1">
      <c r="A1808" s="14"/>
      <c r="B1808" s="14"/>
      <c r="C1808" s="36" t="s">
        <v>13</v>
      </c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57" t="s">
        <v>252</v>
      </c>
      <c r="AY1808" s="57" t="s">
        <v>253</v>
      </c>
      <c r="AZ1808" s="57" t="s">
        <v>4765</v>
      </c>
      <c r="BA1808" s="57" t="s">
        <v>1386</v>
      </c>
      <c r="BB1808" s="57" t="s">
        <v>973</v>
      </c>
      <c r="BC1808" s="58">
        <v>43983.0</v>
      </c>
      <c r="BD1808" s="58">
        <v>44025.0</v>
      </c>
      <c r="BE1808" s="14"/>
      <c r="BF1808" s="60">
        <v>100.0</v>
      </c>
      <c r="BG1808" s="14"/>
      <c r="BH1808" s="59" t="s">
        <v>5109</v>
      </c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57"/>
      <c r="BX1808" s="57"/>
      <c r="BY1808" s="14"/>
      <c r="BZ1808" s="57"/>
      <c r="CA1808" s="57"/>
      <c r="CB1808" s="57"/>
      <c r="CC1808" s="57"/>
      <c r="CD1808" s="58"/>
      <c r="CE1808" s="58"/>
      <c r="CF1808" s="57"/>
      <c r="CG1808" s="57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14"/>
      <c r="DC1808" s="14"/>
      <c r="DD1808" s="14"/>
      <c r="DE1808" s="14"/>
      <c r="DF1808" s="14"/>
      <c r="DG1808" s="14"/>
      <c r="DH1808" s="14"/>
      <c r="DI1808" s="14"/>
      <c r="DJ1808" s="14"/>
      <c r="DK1808" s="14"/>
      <c r="DL1808" s="14"/>
      <c r="DM1808" s="14"/>
      <c r="DN1808" s="14"/>
      <c r="DO1808" s="14"/>
      <c r="DP1808" s="14"/>
      <c r="DQ1808" s="14"/>
      <c r="DR1808" s="14"/>
      <c r="DS1808" s="14"/>
      <c r="DT1808" s="14"/>
      <c r="DU1808" s="14"/>
      <c r="DV1808" s="14"/>
      <c r="DW1808" s="14"/>
      <c r="DX1808" s="14"/>
      <c r="DY1808" s="14"/>
      <c r="DZ1808" s="14"/>
      <c r="EA1808" s="14"/>
      <c r="EB1808" s="14"/>
      <c r="EC1808" s="14"/>
      <c r="ED1808" s="14"/>
      <c r="EE1808" s="14"/>
      <c r="EF1808" s="14"/>
      <c r="EG1808" s="14"/>
      <c r="EH1808" s="14"/>
      <c r="EI1808" s="14"/>
      <c r="EJ1808" s="14"/>
      <c r="EK1808" s="14"/>
      <c r="EL1808" s="14"/>
      <c r="EM1808" s="14"/>
      <c r="EN1808" s="14"/>
      <c r="EO1808" s="14"/>
      <c r="EP1808" s="14"/>
      <c r="EQ1808" s="14"/>
      <c r="ER1808" s="14"/>
      <c r="ES1808" s="14"/>
      <c r="ET1808" s="14"/>
      <c r="EU1808" s="14"/>
      <c r="EV1808" s="14"/>
      <c r="EW1808" s="14"/>
      <c r="EX1808" s="14"/>
      <c r="EY1808" s="14"/>
      <c r="EZ1808" s="14"/>
      <c r="FA1808" s="14"/>
      <c r="FB1808" s="14"/>
      <c r="FC1808" s="14"/>
      <c r="FD1808" s="14"/>
      <c r="FE1808" s="14"/>
      <c r="FF1808" s="14"/>
      <c r="FG1808" s="14"/>
      <c r="FH1808" s="14"/>
      <c r="FI1808" s="14"/>
      <c r="FJ1808" s="14"/>
      <c r="FK1808" s="14"/>
      <c r="FL1808" s="57" t="s">
        <v>259</v>
      </c>
      <c r="FM1808" s="57" t="s">
        <v>341</v>
      </c>
      <c r="FN1808" s="14"/>
      <c r="FO1808" s="14"/>
      <c r="FP1808" s="14"/>
      <c r="FQ1808" s="14"/>
      <c r="FR1808" s="14"/>
      <c r="FS1808" s="14"/>
      <c r="FT1808" s="14"/>
      <c r="FU1808" s="14"/>
      <c r="FV1808" s="14"/>
      <c r="FW1808" s="14"/>
      <c r="FX1808" s="14"/>
      <c r="FY1808" s="14"/>
      <c r="FZ1808" s="14"/>
      <c r="GA1808" s="14"/>
      <c r="GB1808" s="14"/>
      <c r="GC1808" s="14"/>
      <c r="GD1808" s="14"/>
      <c r="GE1808" s="14"/>
      <c r="GF1808" s="14"/>
      <c r="GG1808" s="14"/>
      <c r="GH1808" s="14"/>
      <c r="GI1808" s="14"/>
      <c r="GJ1808" s="14"/>
      <c r="GK1808" s="14"/>
      <c r="GL1808" s="14"/>
      <c r="GM1808" s="14"/>
      <c r="GN1808" s="14"/>
      <c r="GO1808" s="14"/>
      <c r="GP1808" s="14"/>
      <c r="GQ1808" s="14"/>
      <c r="GR1808" s="14"/>
      <c r="GS1808" s="14"/>
      <c r="GT1808" s="14"/>
      <c r="GU1808" s="14"/>
      <c r="GV1808" s="14"/>
      <c r="GW1808" s="14"/>
      <c r="GX1808" s="14"/>
      <c r="GY1808" s="14"/>
      <c r="GZ1808" s="14"/>
      <c r="HA1808" s="14"/>
    </row>
    <row r="1809" ht="23.25" customHeight="1">
      <c r="A1809" s="14"/>
      <c r="B1809" s="14"/>
      <c r="C1809" s="36" t="s">
        <v>13</v>
      </c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57" t="s">
        <v>430</v>
      </c>
      <c r="AY1809" s="57" t="s">
        <v>431</v>
      </c>
      <c r="AZ1809" s="57" t="s">
        <v>5110</v>
      </c>
      <c r="BA1809" s="57" t="s">
        <v>1093</v>
      </c>
      <c r="BB1809" s="57" t="s">
        <v>627</v>
      </c>
      <c r="BC1809" s="58">
        <v>43956.0</v>
      </c>
      <c r="BD1809" s="58">
        <v>43987.0</v>
      </c>
      <c r="BE1809" s="14"/>
      <c r="BF1809" s="60">
        <v>95.0</v>
      </c>
      <c r="BG1809" s="14"/>
      <c r="BH1809" s="59" t="s">
        <v>5111</v>
      </c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57"/>
      <c r="BX1809" s="57"/>
      <c r="BY1809" s="14"/>
      <c r="BZ1809" s="57"/>
      <c r="CA1809" s="57"/>
      <c r="CB1809" s="57"/>
      <c r="CC1809" s="57"/>
      <c r="CD1809" s="58"/>
      <c r="CE1809" s="58"/>
      <c r="CF1809" s="57"/>
      <c r="CG1809" s="57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14"/>
      <c r="DC1809" s="14"/>
      <c r="DD1809" s="14"/>
      <c r="DE1809" s="14"/>
      <c r="DF1809" s="14"/>
      <c r="DG1809" s="14"/>
      <c r="DH1809" s="14"/>
      <c r="DI1809" s="14"/>
      <c r="DJ1809" s="14"/>
      <c r="DK1809" s="14"/>
      <c r="DL1809" s="14"/>
      <c r="DM1809" s="14"/>
      <c r="DN1809" s="14"/>
      <c r="DO1809" s="14"/>
      <c r="DP1809" s="14"/>
      <c r="DQ1809" s="14"/>
      <c r="DR1809" s="14"/>
      <c r="DS1809" s="14"/>
      <c r="DT1809" s="14"/>
      <c r="DU1809" s="14"/>
      <c r="DV1809" s="14"/>
      <c r="DW1809" s="14"/>
      <c r="DX1809" s="14"/>
      <c r="DY1809" s="14"/>
      <c r="DZ1809" s="14"/>
      <c r="EA1809" s="14"/>
      <c r="EB1809" s="14"/>
      <c r="EC1809" s="14"/>
      <c r="ED1809" s="14"/>
      <c r="EE1809" s="14"/>
      <c r="EF1809" s="14"/>
      <c r="EG1809" s="14"/>
      <c r="EH1809" s="14"/>
      <c r="EI1809" s="14"/>
      <c r="EJ1809" s="14"/>
      <c r="EK1809" s="14"/>
      <c r="EL1809" s="14"/>
      <c r="EM1809" s="14"/>
      <c r="EN1809" s="14"/>
      <c r="EO1809" s="14"/>
      <c r="EP1809" s="14"/>
      <c r="EQ1809" s="14"/>
      <c r="ER1809" s="14"/>
      <c r="ES1809" s="14"/>
      <c r="ET1809" s="14"/>
      <c r="EU1809" s="14"/>
      <c r="EV1809" s="14"/>
      <c r="EW1809" s="14"/>
      <c r="EX1809" s="14"/>
      <c r="EY1809" s="14"/>
      <c r="EZ1809" s="14"/>
      <c r="FA1809" s="14"/>
      <c r="FB1809" s="14"/>
      <c r="FC1809" s="14"/>
      <c r="FD1809" s="14"/>
      <c r="FE1809" s="14"/>
      <c r="FF1809" s="14"/>
      <c r="FG1809" s="14"/>
      <c r="FH1809" s="14"/>
      <c r="FI1809" s="14"/>
      <c r="FJ1809" s="14"/>
      <c r="FK1809" s="14"/>
      <c r="FL1809" s="57" t="s">
        <v>436</v>
      </c>
      <c r="FM1809" s="57" t="s">
        <v>323</v>
      </c>
      <c r="FN1809" s="14"/>
      <c r="FO1809" s="14"/>
      <c r="FP1809" s="14"/>
      <c r="FQ1809" s="14"/>
      <c r="FR1809" s="14"/>
      <c r="FS1809" s="14"/>
      <c r="FT1809" s="14"/>
      <c r="FU1809" s="14"/>
      <c r="FV1809" s="14"/>
      <c r="FW1809" s="14"/>
      <c r="FX1809" s="14"/>
      <c r="FY1809" s="14"/>
      <c r="FZ1809" s="14"/>
      <c r="GA1809" s="14"/>
      <c r="GB1809" s="14"/>
      <c r="GC1809" s="14"/>
      <c r="GD1809" s="14"/>
      <c r="GE1809" s="14"/>
      <c r="GF1809" s="14"/>
      <c r="GG1809" s="14"/>
      <c r="GH1809" s="14"/>
      <c r="GI1809" s="14"/>
      <c r="GJ1809" s="14"/>
      <c r="GK1809" s="14"/>
      <c r="GL1809" s="14"/>
      <c r="GM1809" s="14"/>
      <c r="GN1809" s="14"/>
      <c r="GO1809" s="14"/>
      <c r="GP1809" s="14"/>
      <c r="GQ1809" s="14"/>
      <c r="GR1809" s="14"/>
      <c r="GS1809" s="14"/>
      <c r="GT1809" s="14"/>
      <c r="GU1809" s="14"/>
      <c r="GV1809" s="14"/>
      <c r="GW1809" s="14"/>
      <c r="GX1809" s="14"/>
      <c r="GY1809" s="14"/>
      <c r="GZ1809" s="14"/>
      <c r="HA1809" s="14"/>
    </row>
    <row r="1810" ht="23.25" customHeight="1">
      <c r="A1810" s="14"/>
      <c r="B1810" s="14"/>
      <c r="C1810" s="36" t="s">
        <v>13</v>
      </c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57" t="s">
        <v>252</v>
      </c>
      <c r="AY1810" s="57" t="s">
        <v>253</v>
      </c>
      <c r="AZ1810" s="57" t="s">
        <v>5112</v>
      </c>
      <c r="BA1810" s="57" t="s">
        <v>5113</v>
      </c>
      <c r="BB1810" s="57" t="s">
        <v>495</v>
      </c>
      <c r="BC1810" s="58">
        <v>44624.0</v>
      </c>
      <c r="BD1810" s="58">
        <v>44651.0</v>
      </c>
      <c r="BE1810" s="14"/>
      <c r="BF1810" s="60">
        <v>100.0</v>
      </c>
      <c r="BG1810" s="14"/>
      <c r="BH1810" s="59" t="s">
        <v>5114</v>
      </c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57"/>
      <c r="BX1810" s="57"/>
      <c r="BY1810" s="14"/>
      <c r="BZ1810" s="57"/>
      <c r="CA1810" s="57"/>
      <c r="CB1810" s="57"/>
      <c r="CC1810" s="57"/>
      <c r="CD1810" s="58"/>
      <c r="CE1810" s="58"/>
      <c r="CF1810" s="57"/>
      <c r="CG1810" s="57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14"/>
      <c r="DC1810" s="14"/>
      <c r="DD1810" s="14"/>
      <c r="DE1810" s="14"/>
      <c r="DF1810" s="14"/>
      <c r="DG1810" s="14"/>
      <c r="DH1810" s="14"/>
      <c r="DI1810" s="14"/>
      <c r="DJ1810" s="14"/>
      <c r="DK1810" s="14"/>
      <c r="DL1810" s="14"/>
      <c r="DM1810" s="14"/>
      <c r="DN1810" s="14"/>
      <c r="DO1810" s="14"/>
      <c r="DP1810" s="14"/>
      <c r="DQ1810" s="14"/>
      <c r="DR1810" s="14"/>
      <c r="DS1810" s="14"/>
      <c r="DT1810" s="14"/>
      <c r="DU1810" s="14"/>
      <c r="DV1810" s="14"/>
      <c r="DW1810" s="14"/>
      <c r="DX1810" s="14"/>
      <c r="DY1810" s="14"/>
      <c r="DZ1810" s="14"/>
      <c r="EA1810" s="14"/>
      <c r="EB1810" s="14"/>
      <c r="EC1810" s="14"/>
      <c r="ED1810" s="14"/>
      <c r="EE1810" s="14"/>
      <c r="EF1810" s="14"/>
      <c r="EG1810" s="14"/>
      <c r="EH1810" s="14"/>
      <c r="EI1810" s="14"/>
      <c r="EJ1810" s="14"/>
      <c r="EK1810" s="14"/>
      <c r="EL1810" s="14"/>
      <c r="EM1810" s="14"/>
      <c r="EN1810" s="14"/>
      <c r="EO1810" s="14"/>
      <c r="EP1810" s="14"/>
      <c r="EQ1810" s="14"/>
      <c r="ER1810" s="14"/>
      <c r="ES1810" s="14"/>
      <c r="ET1810" s="14"/>
      <c r="EU1810" s="14"/>
      <c r="EV1810" s="14"/>
      <c r="EW1810" s="14"/>
      <c r="EX1810" s="14"/>
      <c r="EY1810" s="14"/>
      <c r="EZ1810" s="14"/>
      <c r="FA1810" s="14"/>
      <c r="FB1810" s="14"/>
      <c r="FC1810" s="14"/>
      <c r="FD1810" s="14"/>
      <c r="FE1810" s="14"/>
      <c r="FF1810" s="14"/>
      <c r="FG1810" s="14"/>
      <c r="FH1810" s="14"/>
      <c r="FI1810" s="14"/>
      <c r="FJ1810" s="14"/>
      <c r="FK1810" s="14"/>
      <c r="FL1810" s="57" t="s">
        <v>259</v>
      </c>
      <c r="FM1810" s="57" t="s">
        <v>260</v>
      </c>
      <c r="FN1810" s="14"/>
      <c r="FO1810" s="14"/>
      <c r="FP1810" s="14"/>
      <c r="FQ1810" s="14"/>
      <c r="FR1810" s="14"/>
      <c r="FS1810" s="14"/>
      <c r="FT1810" s="14"/>
      <c r="FU1810" s="14"/>
      <c r="FV1810" s="14"/>
      <c r="FW1810" s="14"/>
      <c r="FX1810" s="14"/>
      <c r="FY1810" s="14"/>
      <c r="FZ1810" s="14"/>
      <c r="GA1810" s="14"/>
      <c r="GB1810" s="14"/>
      <c r="GC1810" s="14"/>
      <c r="GD1810" s="14"/>
      <c r="GE1810" s="14"/>
      <c r="GF1810" s="14"/>
      <c r="GG1810" s="14"/>
      <c r="GH1810" s="14"/>
      <c r="GI1810" s="14"/>
      <c r="GJ1810" s="14"/>
      <c r="GK1810" s="14"/>
      <c r="GL1810" s="14"/>
      <c r="GM1810" s="14"/>
      <c r="GN1810" s="14"/>
      <c r="GO1810" s="14"/>
      <c r="GP1810" s="14"/>
      <c r="GQ1810" s="14"/>
      <c r="GR1810" s="14"/>
      <c r="GS1810" s="14"/>
      <c r="GT1810" s="14"/>
      <c r="GU1810" s="14"/>
      <c r="GV1810" s="14"/>
      <c r="GW1810" s="14"/>
      <c r="GX1810" s="14"/>
      <c r="GY1810" s="14"/>
      <c r="GZ1810" s="14"/>
      <c r="HA1810" s="14"/>
    </row>
    <row r="1811" ht="23.25" customHeight="1">
      <c r="A1811" s="14"/>
      <c r="B1811" s="14"/>
      <c r="C1811" s="36" t="s">
        <v>13</v>
      </c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57" t="s">
        <v>430</v>
      </c>
      <c r="AY1811" s="57" t="s">
        <v>431</v>
      </c>
      <c r="AZ1811" s="57" t="s">
        <v>5115</v>
      </c>
      <c r="BA1811" s="57" t="s">
        <v>5116</v>
      </c>
      <c r="BB1811" s="57" t="s">
        <v>627</v>
      </c>
      <c r="BC1811" s="58">
        <v>43947.0</v>
      </c>
      <c r="BD1811" s="58">
        <v>43977.0</v>
      </c>
      <c r="BE1811" s="14"/>
      <c r="BF1811" s="60">
        <v>90.0</v>
      </c>
      <c r="BG1811" s="14"/>
      <c r="BH1811" s="59" t="s">
        <v>5117</v>
      </c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57"/>
      <c r="BX1811" s="57"/>
      <c r="BY1811" s="14"/>
      <c r="BZ1811" s="57"/>
      <c r="CA1811" s="57"/>
      <c r="CB1811" s="57"/>
      <c r="CC1811" s="57"/>
      <c r="CD1811" s="58"/>
      <c r="CE1811" s="58"/>
      <c r="CF1811" s="57"/>
      <c r="CG1811" s="57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14"/>
      <c r="DC1811" s="14"/>
      <c r="DD1811" s="14"/>
      <c r="DE1811" s="14"/>
      <c r="DF1811" s="14"/>
      <c r="DG1811" s="14"/>
      <c r="DH1811" s="14"/>
      <c r="DI1811" s="14"/>
      <c r="DJ1811" s="14"/>
      <c r="DK1811" s="14"/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14"/>
      <c r="EJ1811" s="14"/>
      <c r="EK1811" s="14"/>
      <c r="EL1811" s="14"/>
      <c r="EM1811" s="14"/>
      <c r="EN1811" s="14"/>
      <c r="EO1811" s="14"/>
      <c r="EP1811" s="14"/>
      <c r="EQ1811" s="14"/>
      <c r="ER1811" s="14"/>
      <c r="ES1811" s="14"/>
      <c r="ET1811" s="14"/>
      <c r="EU1811" s="14"/>
      <c r="EV1811" s="14"/>
      <c r="EW1811" s="14"/>
      <c r="EX1811" s="14"/>
      <c r="EY1811" s="14"/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57" t="s">
        <v>436</v>
      </c>
      <c r="FM1811" s="57" t="s">
        <v>323</v>
      </c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4"/>
      <c r="FZ1811" s="14"/>
      <c r="GA1811" s="14"/>
      <c r="GB1811" s="14"/>
      <c r="GC1811" s="14"/>
      <c r="GD1811" s="14"/>
      <c r="GE1811" s="14"/>
      <c r="GF1811" s="14"/>
      <c r="GG1811" s="14"/>
      <c r="GH1811" s="14"/>
      <c r="GI1811" s="14"/>
      <c r="GJ1811" s="14"/>
      <c r="GK1811" s="14"/>
      <c r="GL1811" s="14"/>
      <c r="GM1811" s="14"/>
      <c r="GN1811" s="14"/>
      <c r="GO1811" s="14"/>
      <c r="GP1811" s="14"/>
      <c r="GQ1811" s="14"/>
      <c r="GR1811" s="14"/>
      <c r="GS1811" s="14"/>
      <c r="GT1811" s="14"/>
      <c r="GU1811" s="14"/>
      <c r="GV1811" s="14"/>
      <c r="GW1811" s="14"/>
      <c r="GX1811" s="14"/>
      <c r="GY1811" s="14"/>
      <c r="GZ1811" s="14"/>
      <c r="HA1811" s="14"/>
    </row>
    <row r="1812" ht="23.25" customHeight="1">
      <c r="A1812" s="14"/>
      <c r="B1812" s="14"/>
      <c r="C1812" s="36" t="s">
        <v>13</v>
      </c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57" t="s">
        <v>252</v>
      </c>
      <c r="AY1812" s="57" t="s">
        <v>253</v>
      </c>
      <c r="AZ1812" s="57" t="s">
        <v>5118</v>
      </c>
      <c r="BA1812" s="57" t="s">
        <v>5119</v>
      </c>
      <c r="BB1812" s="57" t="s">
        <v>495</v>
      </c>
      <c r="BC1812" s="58">
        <v>44625.0</v>
      </c>
      <c r="BD1812" s="58">
        <v>44651.0</v>
      </c>
      <c r="BE1812" s="14"/>
      <c r="BF1812" s="60">
        <v>98.0</v>
      </c>
      <c r="BG1812" s="14"/>
      <c r="BH1812" s="59" t="s">
        <v>5120</v>
      </c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57"/>
      <c r="BX1812" s="57"/>
      <c r="BY1812" s="14"/>
      <c r="BZ1812" s="57"/>
      <c r="CA1812" s="57"/>
      <c r="CB1812" s="57"/>
      <c r="CC1812" s="57"/>
      <c r="CD1812" s="58"/>
      <c r="CE1812" s="58"/>
      <c r="CF1812" s="57"/>
      <c r="CG1812" s="57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14"/>
      <c r="DC1812" s="14"/>
      <c r="DD1812" s="14"/>
      <c r="DE1812" s="14"/>
      <c r="DF1812" s="14"/>
      <c r="DG1812" s="14"/>
      <c r="DH1812" s="14"/>
      <c r="DI1812" s="14"/>
      <c r="DJ1812" s="14"/>
      <c r="DK1812" s="14"/>
      <c r="DL1812" s="14"/>
      <c r="DM1812" s="14"/>
      <c r="DN1812" s="14"/>
      <c r="DO1812" s="14"/>
      <c r="DP1812" s="14"/>
      <c r="DQ1812" s="14"/>
      <c r="DR1812" s="14"/>
      <c r="DS1812" s="14"/>
      <c r="DT1812" s="14"/>
      <c r="DU1812" s="14"/>
      <c r="DV1812" s="14"/>
      <c r="DW1812" s="14"/>
      <c r="DX1812" s="14"/>
      <c r="DY1812" s="14"/>
      <c r="DZ1812" s="14"/>
      <c r="EA1812" s="14"/>
      <c r="EB1812" s="14"/>
      <c r="EC1812" s="14"/>
      <c r="ED1812" s="14"/>
      <c r="EE1812" s="14"/>
      <c r="EF1812" s="14"/>
      <c r="EG1812" s="14"/>
      <c r="EH1812" s="14"/>
      <c r="EI1812" s="14"/>
      <c r="EJ1812" s="14"/>
      <c r="EK1812" s="14"/>
      <c r="EL1812" s="14"/>
      <c r="EM1812" s="14"/>
      <c r="EN1812" s="14"/>
      <c r="EO1812" s="14"/>
      <c r="EP1812" s="14"/>
      <c r="EQ1812" s="14"/>
      <c r="ER1812" s="14"/>
      <c r="ES1812" s="14"/>
      <c r="ET1812" s="14"/>
      <c r="EU1812" s="14"/>
      <c r="EV1812" s="14"/>
      <c r="EW1812" s="14"/>
      <c r="EX1812" s="14"/>
      <c r="EY1812" s="14"/>
      <c r="EZ1812" s="14"/>
      <c r="FA1812" s="14"/>
      <c r="FB1812" s="14"/>
      <c r="FC1812" s="14"/>
      <c r="FD1812" s="14"/>
      <c r="FE1812" s="14"/>
      <c r="FF1812" s="14"/>
      <c r="FG1812" s="14"/>
      <c r="FH1812" s="14"/>
      <c r="FI1812" s="14"/>
      <c r="FJ1812" s="14"/>
      <c r="FK1812" s="14"/>
      <c r="FL1812" s="57" t="s">
        <v>259</v>
      </c>
      <c r="FM1812" s="57" t="s">
        <v>260</v>
      </c>
      <c r="FN1812" s="14"/>
      <c r="FO1812" s="14"/>
      <c r="FP1812" s="14"/>
      <c r="FQ1812" s="14"/>
      <c r="FR1812" s="14"/>
      <c r="FS1812" s="14"/>
      <c r="FT1812" s="14"/>
      <c r="FU1812" s="14"/>
      <c r="FV1812" s="14"/>
      <c r="FW1812" s="14"/>
      <c r="FX1812" s="14"/>
      <c r="FY1812" s="14"/>
      <c r="FZ1812" s="14"/>
      <c r="GA1812" s="14"/>
      <c r="GB1812" s="14"/>
      <c r="GC1812" s="14"/>
      <c r="GD1812" s="14"/>
      <c r="GE1812" s="14"/>
      <c r="GF1812" s="14"/>
      <c r="GG1812" s="14"/>
      <c r="GH1812" s="14"/>
      <c r="GI1812" s="14"/>
      <c r="GJ1812" s="14"/>
      <c r="GK1812" s="14"/>
      <c r="GL1812" s="14"/>
      <c r="GM1812" s="14"/>
      <c r="GN1812" s="14"/>
      <c r="GO1812" s="14"/>
      <c r="GP1812" s="14"/>
      <c r="GQ1812" s="14"/>
      <c r="GR1812" s="14"/>
      <c r="GS1812" s="14"/>
      <c r="GT1812" s="14"/>
      <c r="GU1812" s="14"/>
      <c r="GV1812" s="14"/>
      <c r="GW1812" s="14"/>
      <c r="GX1812" s="14"/>
      <c r="GY1812" s="14"/>
      <c r="GZ1812" s="14"/>
      <c r="HA1812" s="14"/>
    </row>
    <row r="1813" ht="23.25" customHeight="1">
      <c r="A1813" s="14"/>
      <c r="B1813" s="14"/>
      <c r="C1813" s="36" t="s">
        <v>13</v>
      </c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57" t="s">
        <v>430</v>
      </c>
      <c r="AY1813" s="57" t="s">
        <v>431</v>
      </c>
      <c r="AZ1813" s="57" t="s">
        <v>5121</v>
      </c>
      <c r="BA1813" s="57" t="s">
        <v>5122</v>
      </c>
      <c r="BB1813" s="57" t="s">
        <v>444</v>
      </c>
      <c r="BC1813" s="58">
        <v>43872.0</v>
      </c>
      <c r="BD1813" s="58">
        <v>43962.0</v>
      </c>
      <c r="BE1813" s="14"/>
      <c r="BF1813" s="60">
        <v>89.0</v>
      </c>
      <c r="BG1813" s="14"/>
      <c r="BH1813" s="59" t="s">
        <v>5123</v>
      </c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57"/>
      <c r="BX1813" s="57"/>
      <c r="BY1813" s="14"/>
      <c r="BZ1813" s="57"/>
      <c r="CA1813" s="57"/>
      <c r="CB1813" s="57"/>
      <c r="CC1813" s="57"/>
      <c r="CD1813" s="58"/>
      <c r="CE1813" s="58"/>
      <c r="CF1813" s="57"/>
      <c r="CG1813" s="57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14"/>
      <c r="DC1813" s="14"/>
      <c r="DD1813" s="14"/>
      <c r="DE1813" s="14"/>
      <c r="DF1813" s="14"/>
      <c r="DG1813" s="14"/>
      <c r="DH1813" s="14"/>
      <c r="DI1813" s="14"/>
      <c r="DJ1813" s="14"/>
      <c r="DK1813" s="14"/>
      <c r="DL1813" s="14"/>
      <c r="DM1813" s="14"/>
      <c r="DN1813" s="14"/>
      <c r="DO1813" s="14"/>
      <c r="DP1813" s="14"/>
      <c r="DQ1813" s="14"/>
      <c r="DR1813" s="14"/>
      <c r="DS1813" s="14"/>
      <c r="DT1813" s="14"/>
      <c r="DU1813" s="14"/>
      <c r="DV1813" s="14"/>
      <c r="DW1813" s="14"/>
      <c r="DX1813" s="14"/>
      <c r="DY1813" s="14"/>
      <c r="DZ1813" s="14"/>
      <c r="EA1813" s="14"/>
      <c r="EB1813" s="14"/>
      <c r="EC1813" s="14"/>
      <c r="ED1813" s="14"/>
      <c r="EE1813" s="14"/>
      <c r="EF1813" s="14"/>
      <c r="EG1813" s="14"/>
      <c r="EH1813" s="14"/>
      <c r="EI1813" s="14"/>
      <c r="EJ1813" s="14"/>
      <c r="EK1813" s="14"/>
      <c r="EL1813" s="14"/>
      <c r="EM1813" s="14"/>
      <c r="EN1813" s="14"/>
      <c r="EO1813" s="14"/>
      <c r="EP1813" s="14"/>
      <c r="EQ1813" s="14"/>
      <c r="ER1813" s="14"/>
      <c r="ES1813" s="14"/>
      <c r="ET1813" s="14"/>
      <c r="EU1813" s="14"/>
      <c r="EV1813" s="14"/>
      <c r="EW1813" s="14"/>
      <c r="EX1813" s="14"/>
      <c r="EY1813" s="14"/>
      <c r="EZ1813" s="14"/>
      <c r="FA1813" s="14"/>
      <c r="FB1813" s="14"/>
      <c r="FC1813" s="14"/>
      <c r="FD1813" s="14"/>
      <c r="FE1813" s="14"/>
      <c r="FF1813" s="14"/>
      <c r="FG1813" s="14"/>
      <c r="FH1813" s="14"/>
      <c r="FI1813" s="14"/>
      <c r="FJ1813" s="14"/>
      <c r="FK1813" s="14"/>
      <c r="FL1813" s="57" t="s">
        <v>436</v>
      </c>
      <c r="FM1813" s="57" t="s">
        <v>323</v>
      </c>
      <c r="FN1813" s="14"/>
      <c r="FO1813" s="14"/>
      <c r="FP1813" s="14"/>
      <c r="FQ1813" s="14"/>
      <c r="FR1813" s="14"/>
      <c r="FS1813" s="14"/>
      <c r="FT1813" s="14"/>
      <c r="FU1813" s="14"/>
      <c r="FV1813" s="14"/>
      <c r="FW1813" s="14"/>
      <c r="FX1813" s="14"/>
      <c r="FY1813" s="14"/>
      <c r="FZ1813" s="14"/>
      <c r="GA1813" s="14"/>
      <c r="GB1813" s="14"/>
      <c r="GC1813" s="14"/>
      <c r="GD1813" s="14"/>
      <c r="GE1813" s="14"/>
      <c r="GF1813" s="14"/>
      <c r="GG1813" s="14"/>
      <c r="GH1813" s="14"/>
      <c r="GI1813" s="14"/>
      <c r="GJ1813" s="14"/>
      <c r="GK1813" s="14"/>
      <c r="GL1813" s="14"/>
      <c r="GM1813" s="14"/>
      <c r="GN1813" s="14"/>
      <c r="GO1813" s="14"/>
      <c r="GP1813" s="14"/>
      <c r="GQ1813" s="14"/>
      <c r="GR1813" s="14"/>
      <c r="GS1813" s="14"/>
      <c r="GT1813" s="14"/>
      <c r="GU1813" s="14"/>
      <c r="GV1813" s="14"/>
      <c r="GW1813" s="14"/>
      <c r="GX1813" s="14"/>
      <c r="GY1813" s="14"/>
      <c r="GZ1813" s="14"/>
      <c r="HA1813" s="14"/>
    </row>
    <row r="1814" ht="23.25" customHeight="1">
      <c r="A1814" s="14"/>
      <c r="B1814" s="14"/>
      <c r="C1814" s="36" t="s">
        <v>13</v>
      </c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57" t="s">
        <v>430</v>
      </c>
      <c r="AY1814" s="57" t="s">
        <v>431</v>
      </c>
      <c r="AZ1814" s="57" t="s">
        <v>5124</v>
      </c>
      <c r="BA1814" s="57" t="s">
        <v>5122</v>
      </c>
      <c r="BB1814" s="57" t="s">
        <v>320</v>
      </c>
      <c r="BC1814" s="58">
        <v>43889.0</v>
      </c>
      <c r="BD1814" s="58">
        <v>43952.0</v>
      </c>
      <c r="BE1814" s="14"/>
      <c r="BF1814" s="60">
        <v>90.0</v>
      </c>
      <c r="BG1814" s="14"/>
      <c r="BH1814" s="59" t="s">
        <v>5125</v>
      </c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57"/>
      <c r="BX1814" s="57"/>
      <c r="BY1814" s="14"/>
      <c r="BZ1814" s="57"/>
      <c r="CA1814" s="57"/>
      <c r="CB1814" s="57"/>
      <c r="CC1814" s="57"/>
      <c r="CD1814" s="58"/>
      <c r="CE1814" s="58"/>
      <c r="CF1814" s="57"/>
      <c r="CG1814" s="57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14"/>
      <c r="DC1814" s="14"/>
      <c r="DD1814" s="14"/>
      <c r="DE1814" s="14"/>
      <c r="DF1814" s="14"/>
      <c r="DG1814" s="14"/>
      <c r="DH1814" s="14"/>
      <c r="DI1814" s="14"/>
      <c r="DJ1814" s="14"/>
      <c r="DK1814" s="14"/>
      <c r="DL1814" s="14"/>
      <c r="DM1814" s="14"/>
      <c r="DN1814" s="14"/>
      <c r="DO1814" s="14"/>
      <c r="DP1814" s="14"/>
      <c r="DQ1814" s="14"/>
      <c r="DR1814" s="14"/>
      <c r="DS1814" s="14"/>
      <c r="DT1814" s="14"/>
      <c r="DU1814" s="14"/>
      <c r="DV1814" s="14"/>
      <c r="DW1814" s="14"/>
      <c r="DX1814" s="14"/>
      <c r="DY1814" s="14"/>
      <c r="DZ1814" s="14"/>
      <c r="EA1814" s="14"/>
      <c r="EB1814" s="14"/>
      <c r="EC1814" s="14"/>
      <c r="ED1814" s="14"/>
      <c r="EE1814" s="14"/>
      <c r="EF1814" s="14"/>
      <c r="EG1814" s="14"/>
      <c r="EH1814" s="14"/>
      <c r="EI1814" s="14"/>
      <c r="EJ1814" s="14"/>
      <c r="EK1814" s="14"/>
      <c r="EL1814" s="14"/>
      <c r="EM1814" s="14"/>
      <c r="EN1814" s="14"/>
      <c r="EO1814" s="14"/>
      <c r="EP1814" s="14"/>
      <c r="EQ1814" s="14"/>
      <c r="ER1814" s="14"/>
      <c r="ES1814" s="14"/>
      <c r="ET1814" s="14"/>
      <c r="EU1814" s="14"/>
      <c r="EV1814" s="14"/>
      <c r="EW1814" s="14"/>
      <c r="EX1814" s="14"/>
      <c r="EY1814" s="14"/>
      <c r="EZ1814" s="14"/>
      <c r="FA1814" s="14"/>
      <c r="FB1814" s="14"/>
      <c r="FC1814" s="14"/>
      <c r="FD1814" s="14"/>
      <c r="FE1814" s="14"/>
      <c r="FF1814" s="14"/>
      <c r="FG1814" s="14"/>
      <c r="FH1814" s="14"/>
      <c r="FI1814" s="14"/>
      <c r="FJ1814" s="14"/>
      <c r="FK1814" s="14"/>
      <c r="FL1814" s="57" t="s">
        <v>436</v>
      </c>
      <c r="FM1814" s="57" t="s">
        <v>323</v>
      </c>
      <c r="FN1814" s="14"/>
      <c r="FO1814" s="14"/>
      <c r="FP1814" s="14"/>
      <c r="FQ1814" s="14"/>
      <c r="FR1814" s="14"/>
      <c r="FS1814" s="14"/>
      <c r="FT1814" s="14"/>
      <c r="FU1814" s="14"/>
      <c r="FV1814" s="14"/>
      <c r="FW1814" s="14"/>
      <c r="FX1814" s="14"/>
      <c r="FY1814" s="14"/>
      <c r="FZ1814" s="14"/>
      <c r="GA1814" s="14"/>
      <c r="GB1814" s="14"/>
      <c r="GC1814" s="14"/>
      <c r="GD1814" s="14"/>
      <c r="GE1814" s="14"/>
      <c r="GF1814" s="14"/>
      <c r="GG1814" s="14"/>
      <c r="GH1814" s="14"/>
      <c r="GI1814" s="14"/>
      <c r="GJ1814" s="14"/>
      <c r="GK1814" s="14"/>
      <c r="GL1814" s="14"/>
      <c r="GM1814" s="14"/>
      <c r="GN1814" s="14"/>
      <c r="GO1814" s="14"/>
      <c r="GP1814" s="14"/>
      <c r="GQ1814" s="14"/>
      <c r="GR1814" s="14"/>
      <c r="GS1814" s="14"/>
      <c r="GT1814" s="14"/>
      <c r="GU1814" s="14"/>
      <c r="GV1814" s="14"/>
      <c r="GW1814" s="14"/>
      <c r="GX1814" s="14"/>
      <c r="GY1814" s="14"/>
      <c r="GZ1814" s="14"/>
      <c r="HA1814" s="14"/>
    </row>
    <row r="1815" ht="23.25" customHeight="1">
      <c r="A1815" s="14"/>
      <c r="B1815" s="14"/>
      <c r="C1815" s="36" t="s">
        <v>13</v>
      </c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57" t="s">
        <v>430</v>
      </c>
      <c r="AY1815" s="57" t="s">
        <v>431</v>
      </c>
      <c r="AZ1815" s="57" t="s">
        <v>5126</v>
      </c>
      <c r="BA1815" s="57" t="s">
        <v>5127</v>
      </c>
      <c r="BB1815" s="57" t="s">
        <v>444</v>
      </c>
      <c r="BC1815" s="58">
        <v>43845.0</v>
      </c>
      <c r="BD1815" s="58">
        <v>43951.0</v>
      </c>
      <c r="BE1815" s="14"/>
      <c r="BF1815" s="60">
        <v>85.0</v>
      </c>
      <c r="BG1815" s="14"/>
      <c r="BH1815" s="59" t="s">
        <v>5128</v>
      </c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57"/>
      <c r="BX1815" s="57"/>
      <c r="BY1815" s="14"/>
      <c r="BZ1815" s="57"/>
      <c r="CA1815" s="57"/>
      <c r="CB1815" s="57"/>
      <c r="CC1815" s="57"/>
      <c r="CD1815" s="58"/>
      <c r="CE1815" s="58"/>
      <c r="CF1815" s="57"/>
      <c r="CG1815" s="57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14"/>
      <c r="DC1815" s="14"/>
      <c r="DD1815" s="14"/>
      <c r="DE1815" s="14"/>
      <c r="DF1815" s="14"/>
      <c r="DG1815" s="14"/>
      <c r="DH1815" s="14"/>
      <c r="DI1815" s="14"/>
      <c r="DJ1815" s="14"/>
      <c r="DK1815" s="14"/>
      <c r="DL1815" s="14"/>
      <c r="DM1815" s="14"/>
      <c r="DN1815" s="14"/>
      <c r="DO1815" s="14"/>
      <c r="DP1815" s="14"/>
      <c r="DQ1815" s="14"/>
      <c r="DR1815" s="14"/>
      <c r="DS1815" s="14"/>
      <c r="DT1815" s="14"/>
      <c r="DU1815" s="14"/>
      <c r="DV1815" s="14"/>
      <c r="DW1815" s="14"/>
      <c r="DX1815" s="14"/>
      <c r="DY1815" s="14"/>
      <c r="DZ1815" s="14"/>
      <c r="EA1815" s="14"/>
      <c r="EB1815" s="14"/>
      <c r="EC1815" s="14"/>
      <c r="ED1815" s="14"/>
      <c r="EE1815" s="14"/>
      <c r="EF1815" s="14"/>
      <c r="EG1815" s="14"/>
      <c r="EH1815" s="14"/>
      <c r="EI1815" s="14"/>
      <c r="EJ1815" s="14"/>
      <c r="EK1815" s="14"/>
      <c r="EL1815" s="14"/>
      <c r="EM1815" s="14"/>
      <c r="EN1815" s="14"/>
      <c r="EO1815" s="14"/>
      <c r="EP1815" s="14"/>
      <c r="EQ1815" s="14"/>
      <c r="ER1815" s="14"/>
      <c r="ES1815" s="14"/>
      <c r="ET1815" s="14"/>
      <c r="EU1815" s="14"/>
      <c r="EV1815" s="14"/>
      <c r="EW1815" s="14"/>
      <c r="EX1815" s="14"/>
      <c r="EY1815" s="14"/>
      <c r="EZ1815" s="14"/>
      <c r="FA1815" s="14"/>
      <c r="FB1815" s="14"/>
      <c r="FC1815" s="14"/>
      <c r="FD1815" s="14"/>
      <c r="FE1815" s="14"/>
      <c r="FF1815" s="14"/>
      <c r="FG1815" s="14"/>
      <c r="FH1815" s="14"/>
      <c r="FI1815" s="14"/>
      <c r="FJ1815" s="14"/>
      <c r="FK1815" s="14"/>
      <c r="FL1815" s="57" t="s">
        <v>436</v>
      </c>
      <c r="FM1815" s="57" t="s">
        <v>323</v>
      </c>
      <c r="FN1815" s="14"/>
      <c r="FO1815" s="14"/>
      <c r="FP1815" s="14"/>
      <c r="FQ1815" s="14"/>
      <c r="FR1815" s="14"/>
      <c r="FS1815" s="14"/>
      <c r="FT1815" s="14"/>
      <c r="FU1815" s="14"/>
      <c r="FV1815" s="14"/>
      <c r="FW1815" s="14"/>
      <c r="FX1815" s="14"/>
      <c r="FY1815" s="14"/>
      <c r="FZ1815" s="14"/>
      <c r="GA1815" s="14"/>
      <c r="GB1815" s="14"/>
      <c r="GC1815" s="14"/>
      <c r="GD1815" s="14"/>
      <c r="GE1815" s="14"/>
      <c r="GF1815" s="14"/>
      <c r="GG1815" s="14"/>
      <c r="GH1815" s="14"/>
      <c r="GI1815" s="14"/>
      <c r="GJ1815" s="14"/>
      <c r="GK1815" s="14"/>
      <c r="GL1815" s="14"/>
      <c r="GM1815" s="14"/>
      <c r="GN1815" s="14"/>
      <c r="GO1815" s="14"/>
      <c r="GP1815" s="14"/>
      <c r="GQ1815" s="14"/>
      <c r="GR1815" s="14"/>
      <c r="GS1815" s="14"/>
      <c r="GT1815" s="14"/>
      <c r="GU1815" s="14"/>
      <c r="GV1815" s="14"/>
      <c r="GW1815" s="14"/>
      <c r="GX1815" s="14"/>
      <c r="GY1815" s="14"/>
      <c r="GZ1815" s="14"/>
      <c r="HA1815" s="14"/>
    </row>
    <row r="1816" ht="23.25" customHeight="1">
      <c r="A1816" s="14"/>
      <c r="B1816" s="14"/>
      <c r="C1816" s="36" t="s">
        <v>13</v>
      </c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57" t="s">
        <v>430</v>
      </c>
      <c r="AY1816" s="57" t="s">
        <v>431</v>
      </c>
      <c r="AZ1816" s="57" t="s">
        <v>5129</v>
      </c>
      <c r="BA1816" s="57" t="s">
        <v>5127</v>
      </c>
      <c r="BB1816" s="57" t="s">
        <v>444</v>
      </c>
      <c r="BC1816" s="58">
        <v>43836.0</v>
      </c>
      <c r="BD1816" s="58">
        <v>43959.0</v>
      </c>
      <c r="BE1816" s="14"/>
      <c r="BF1816" s="60">
        <v>85.0</v>
      </c>
      <c r="BG1816" s="14"/>
      <c r="BH1816" s="59" t="s">
        <v>5130</v>
      </c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57"/>
      <c r="BX1816" s="57"/>
      <c r="BY1816" s="14"/>
      <c r="BZ1816" s="57"/>
      <c r="CA1816" s="57"/>
      <c r="CB1816" s="57"/>
      <c r="CC1816" s="57"/>
      <c r="CD1816" s="58"/>
      <c r="CE1816" s="58"/>
      <c r="CF1816" s="57"/>
      <c r="CG1816" s="57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14"/>
      <c r="DC1816" s="14"/>
      <c r="DD1816" s="14"/>
      <c r="DE1816" s="14"/>
      <c r="DF1816" s="14"/>
      <c r="DG1816" s="14"/>
      <c r="DH1816" s="14"/>
      <c r="DI1816" s="14"/>
      <c r="DJ1816" s="14"/>
      <c r="DK1816" s="14"/>
      <c r="DL1816" s="14"/>
      <c r="DM1816" s="14"/>
      <c r="DN1816" s="14"/>
      <c r="DO1816" s="14"/>
      <c r="DP1816" s="14"/>
      <c r="DQ1816" s="14"/>
      <c r="DR1816" s="14"/>
      <c r="DS1816" s="14"/>
      <c r="DT1816" s="14"/>
      <c r="DU1816" s="14"/>
      <c r="DV1816" s="14"/>
      <c r="DW1816" s="14"/>
      <c r="DX1816" s="14"/>
      <c r="DY1816" s="14"/>
      <c r="DZ1816" s="14"/>
      <c r="EA1816" s="14"/>
      <c r="EB1816" s="14"/>
      <c r="EC1816" s="14"/>
      <c r="ED1816" s="14"/>
      <c r="EE1816" s="14"/>
      <c r="EF1816" s="14"/>
      <c r="EG1816" s="14"/>
      <c r="EH1816" s="14"/>
      <c r="EI1816" s="14"/>
      <c r="EJ1816" s="14"/>
      <c r="EK1816" s="14"/>
      <c r="EL1816" s="14"/>
      <c r="EM1816" s="14"/>
      <c r="EN1816" s="14"/>
      <c r="EO1816" s="14"/>
      <c r="EP1816" s="14"/>
      <c r="EQ1816" s="14"/>
      <c r="ER1816" s="14"/>
      <c r="ES1816" s="14"/>
      <c r="ET1816" s="14"/>
      <c r="EU1816" s="14"/>
      <c r="EV1816" s="14"/>
      <c r="EW1816" s="14"/>
      <c r="EX1816" s="14"/>
      <c r="EY1816" s="14"/>
      <c r="EZ1816" s="14"/>
      <c r="FA1816" s="14"/>
      <c r="FB1816" s="14"/>
      <c r="FC1816" s="14"/>
      <c r="FD1816" s="14"/>
      <c r="FE1816" s="14"/>
      <c r="FF1816" s="14"/>
      <c r="FG1816" s="14"/>
      <c r="FH1816" s="14"/>
      <c r="FI1816" s="14"/>
      <c r="FJ1816" s="14"/>
      <c r="FK1816" s="14"/>
      <c r="FL1816" s="57" t="s">
        <v>436</v>
      </c>
      <c r="FM1816" s="57" t="s">
        <v>323</v>
      </c>
      <c r="FN1816" s="14"/>
      <c r="FO1816" s="14"/>
      <c r="FP1816" s="14"/>
      <c r="FQ1816" s="14"/>
      <c r="FR1816" s="14"/>
      <c r="FS1816" s="14"/>
      <c r="FT1816" s="14"/>
      <c r="FU1816" s="14"/>
      <c r="FV1816" s="14"/>
      <c r="FW1816" s="14"/>
      <c r="FX1816" s="14"/>
      <c r="FY1816" s="14"/>
      <c r="FZ1816" s="14"/>
      <c r="GA1816" s="14"/>
      <c r="GB1816" s="14"/>
      <c r="GC1816" s="14"/>
      <c r="GD1816" s="14"/>
      <c r="GE1816" s="14"/>
      <c r="GF1816" s="14"/>
      <c r="GG1816" s="14"/>
      <c r="GH1816" s="14"/>
      <c r="GI1816" s="14"/>
      <c r="GJ1816" s="14"/>
      <c r="GK1816" s="14"/>
      <c r="GL1816" s="14"/>
      <c r="GM1816" s="14"/>
      <c r="GN1816" s="14"/>
      <c r="GO1816" s="14"/>
      <c r="GP1816" s="14"/>
      <c r="GQ1816" s="14"/>
      <c r="GR1816" s="14"/>
      <c r="GS1816" s="14"/>
      <c r="GT1816" s="14"/>
      <c r="GU1816" s="14"/>
      <c r="GV1816" s="14"/>
      <c r="GW1816" s="14"/>
      <c r="GX1816" s="14"/>
      <c r="GY1816" s="14"/>
      <c r="GZ1816" s="14"/>
      <c r="HA1816" s="14"/>
    </row>
    <row r="1817" ht="23.25" customHeight="1">
      <c r="A1817" s="14"/>
      <c r="B1817" s="14"/>
      <c r="C1817" s="36" t="s">
        <v>13</v>
      </c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57" t="s">
        <v>441</v>
      </c>
      <c r="AY1817" s="57" t="s">
        <v>149</v>
      </c>
      <c r="AZ1817" s="57" t="s">
        <v>687</v>
      </c>
      <c r="BA1817" s="57" t="s">
        <v>377</v>
      </c>
      <c r="BB1817" s="57" t="s">
        <v>3413</v>
      </c>
      <c r="BC1817" s="58">
        <v>44348.0</v>
      </c>
      <c r="BD1817" s="58">
        <v>44379.0</v>
      </c>
      <c r="BE1817" s="14"/>
      <c r="BF1817" s="60">
        <v>100.0</v>
      </c>
      <c r="BG1817" s="14"/>
      <c r="BH1817" s="59" t="s">
        <v>5131</v>
      </c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57"/>
      <c r="BX1817" s="57"/>
      <c r="BY1817" s="14"/>
      <c r="BZ1817" s="57"/>
      <c r="CA1817" s="57"/>
      <c r="CB1817" s="57"/>
      <c r="CC1817" s="57"/>
      <c r="CD1817" s="58"/>
      <c r="CE1817" s="58"/>
      <c r="CF1817" s="57"/>
      <c r="CG1817" s="57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14"/>
      <c r="DC1817" s="14"/>
      <c r="DD1817" s="14"/>
      <c r="DE1817" s="14"/>
      <c r="DF1817" s="14"/>
      <c r="DG1817" s="14"/>
      <c r="DH1817" s="14"/>
      <c r="DI1817" s="14"/>
      <c r="DJ1817" s="14"/>
      <c r="DK1817" s="14"/>
      <c r="DL1817" s="14"/>
      <c r="DM1817" s="14"/>
      <c r="DN1817" s="14"/>
      <c r="DO1817" s="14"/>
      <c r="DP1817" s="14"/>
      <c r="DQ1817" s="14"/>
      <c r="DR1817" s="14"/>
      <c r="DS1817" s="14"/>
      <c r="DT1817" s="14"/>
      <c r="DU1817" s="14"/>
      <c r="DV1817" s="14"/>
      <c r="DW1817" s="14"/>
      <c r="DX1817" s="14"/>
      <c r="DY1817" s="14"/>
      <c r="DZ1817" s="14"/>
      <c r="EA1817" s="14"/>
      <c r="EB1817" s="14"/>
      <c r="EC1817" s="14"/>
      <c r="ED1817" s="14"/>
      <c r="EE1817" s="14"/>
      <c r="EF1817" s="14"/>
      <c r="EG1817" s="14"/>
      <c r="EH1817" s="14"/>
      <c r="EI1817" s="14"/>
      <c r="EJ1817" s="14"/>
      <c r="EK1817" s="14"/>
      <c r="EL1817" s="14"/>
      <c r="EM1817" s="14"/>
      <c r="EN1817" s="14"/>
      <c r="EO1817" s="14"/>
      <c r="EP1817" s="14"/>
      <c r="EQ1817" s="14"/>
      <c r="ER1817" s="14"/>
      <c r="ES1817" s="14"/>
      <c r="ET1817" s="14"/>
      <c r="EU1817" s="14"/>
      <c r="EV1817" s="14"/>
      <c r="EW1817" s="14"/>
      <c r="EX1817" s="14"/>
      <c r="EY1817" s="14"/>
      <c r="EZ1817" s="14"/>
      <c r="FA1817" s="14"/>
      <c r="FB1817" s="14"/>
      <c r="FC1817" s="14"/>
      <c r="FD1817" s="14"/>
      <c r="FE1817" s="14"/>
      <c r="FF1817" s="14"/>
      <c r="FG1817" s="14"/>
      <c r="FH1817" s="14"/>
      <c r="FI1817" s="14"/>
      <c r="FJ1817" s="14"/>
      <c r="FK1817" s="14"/>
      <c r="FL1817" s="57" t="s">
        <v>447</v>
      </c>
      <c r="FM1817" s="57" t="s">
        <v>260</v>
      </c>
      <c r="FN1817" s="14"/>
      <c r="FO1817" s="14"/>
      <c r="FP1817" s="14"/>
      <c r="FQ1817" s="14"/>
      <c r="FR1817" s="14"/>
      <c r="FS1817" s="14"/>
      <c r="FT1817" s="14"/>
      <c r="FU1817" s="14"/>
      <c r="FV1817" s="14"/>
      <c r="FW1817" s="14"/>
      <c r="FX1817" s="14"/>
      <c r="FY1817" s="14"/>
      <c r="FZ1817" s="14"/>
      <c r="GA1817" s="14"/>
      <c r="GB1817" s="14"/>
      <c r="GC1817" s="14"/>
      <c r="GD1817" s="14"/>
      <c r="GE1817" s="14"/>
      <c r="GF1817" s="14"/>
      <c r="GG1817" s="14"/>
      <c r="GH1817" s="14"/>
      <c r="GI1817" s="14"/>
      <c r="GJ1817" s="14"/>
      <c r="GK1817" s="14"/>
      <c r="GL1817" s="14"/>
      <c r="GM1817" s="14"/>
      <c r="GN1817" s="14"/>
      <c r="GO1817" s="14"/>
      <c r="GP1817" s="14"/>
      <c r="GQ1817" s="14"/>
      <c r="GR1817" s="14"/>
      <c r="GS1817" s="14"/>
      <c r="GT1817" s="14"/>
      <c r="GU1817" s="14"/>
      <c r="GV1817" s="14"/>
      <c r="GW1817" s="14"/>
      <c r="GX1817" s="14"/>
      <c r="GY1817" s="14"/>
      <c r="GZ1817" s="14"/>
      <c r="HA1817" s="14"/>
    </row>
    <row r="1818" ht="23.25" customHeight="1">
      <c r="A1818" s="14"/>
      <c r="B1818" s="14"/>
      <c r="C1818" s="36" t="s">
        <v>13</v>
      </c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57" t="s">
        <v>441</v>
      </c>
      <c r="AY1818" s="57" t="s">
        <v>149</v>
      </c>
      <c r="AZ1818" s="57" t="s">
        <v>356</v>
      </c>
      <c r="BA1818" s="57" t="s">
        <v>377</v>
      </c>
      <c r="BB1818" s="57" t="s">
        <v>523</v>
      </c>
      <c r="BC1818" s="58">
        <v>44287.0</v>
      </c>
      <c r="BD1818" s="58">
        <v>44347.0</v>
      </c>
      <c r="BE1818" s="14"/>
      <c r="BF1818" s="60">
        <v>100.0</v>
      </c>
      <c r="BG1818" s="14"/>
      <c r="BH1818" s="59" t="s">
        <v>5132</v>
      </c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57"/>
      <c r="BX1818" s="57"/>
      <c r="BY1818" s="14"/>
      <c r="BZ1818" s="57"/>
      <c r="CA1818" s="57"/>
      <c r="CB1818" s="57"/>
      <c r="CC1818" s="57"/>
      <c r="CD1818" s="58"/>
      <c r="CE1818" s="58"/>
      <c r="CF1818" s="57"/>
      <c r="CG1818" s="57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14"/>
      <c r="DC1818" s="14"/>
      <c r="DD1818" s="14"/>
      <c r="DE1818" s="14"/>
      <c r="DF1818" s="14"/>
      <c r="DG1818" s="14"/>
      <c r="DH1818" s="14"/>
      <c r="DI1818" s="14"/>
      <c r="DJ1818" s="14"/>
      <c r="DK1818" s="14"/>
      <c r="DL1818" s="14"/>
      <c r="DM1818" s="14"/>
      <c r="DN1818" s="14"/>
      <c r="DO1818" s="14"/>
      <c r="DP1818" s="14"/>
      <c r="DQ1818" s="14"/>
      <c r="DR1818" s="14"/>
      <c r="DS1818" s="14"/>
      <c r="DT1818" s="14"/>
      <c r="DU1818" s="14"/>
      <c r="DV1818" s="14"/>
      <c r="DW1818" s="14"/>
      <c r="DX1818" s="14"/>
      <c r="DY1818" s="14"/>
      <c r="DZ1818" s="14"/>
      <c r="EA1818" s="14"/>
      <c r="EB1818" s="14"/>
      <c r="EC1818" s="14"/>
      <c r="ED1818" s="14"/>
      <c r="EE1818" s="14"/>
      <c r="EF1818" s="14"/>
      <c r="EG1818" s="14"/>
      <c r="EH1818" s="14"/>
      <c r="EI1818" s="14"/>
      <c r="EJ1818" s="14"/>
      <c r="EK1818" s="14"/>
      <c r="EL1818" s="14"/>
      <c r="EM1818" s="14"/>
      <c r="EN1818" s="14"/>
      <c r="EO1818" s="14"/>
      <c r="EP1818" s="14"/>
      <c r="EQ1818" s="14"/>
      <c r="ER1818" s="14"/>
      <c r="ES1818" s="14"/>
      <c r="ET1818" s="14"/>
      <c r="EU1818" s="14"/>
      <c r="EV1818" s="14"/>
      <c r="EW1818" s="14"/>
      <c r="EX1818" s="14"/>
      <c r="EY1818" s="14"/>
      <c r="EZ1818" s="14"/>
      <c r="FA1818" s="14"/>
      <c r="FB1818" s="14"/>
      <c r="FC1818" s="14"/>
      <c r="FD1818" s="14"/>
      <c r="FE1818" s="14"/>
      <c r="FF1818" s="14"/>
      <c r="FG1818" s="14"/>
      <c r="FH1818" s="14"/>
      <c r="FI1818" s="14"/>
      <c r="FJ1818" s="14"/>
      <c r="FK1818" s="14"/>
      <c r="FL1818" s="57" t="s">
        <v>447</v>
      </c>
      <c r="FM1818" s="57" t="s">
        <v>260</v>
      </c>
      <c r="FN1818" s="14"/>
      <c r="FO1818" s="14"/>
      <c r="FP1818" s="14"/>
      <c r="FQ1818" s="14"/>
      <c r="FR1818" s="14"/>
      <c r="FS1818" s="14"/>
      <c r="FT1818" s="14"/>
      <c r="FU1818" s="14"/>
      <c r="FV1818" s="14"/>
      <c r="FW1818" s="14"/>
      <c r="FX1818" s="14"/>
      <c r="FY1818" s="14"/>
      <c r="FZ1818" s="14"/>
      <c r="GA1818" s="14"/>
      <c r="GB1818" s="14"/>
      <c r="GC1818" s="14"/>
      <c r="GD1818" s="14"/>
      <c r="GE1818" s="14"/>
      <c r="GF1818" s="14"/>
      <c r="GG1818" s="14"/>
      <c r="GH1818" s="14"/>
      <c r="GI1818" s="14"/>
      <c r="GJ1818" s="14"/>
      <c r="GK1818" s="14"/>
      <c r="GL1818" s="14"/>
      <c r="GM1818" s="14"/>
      <c r="GN1818" s="14"/>
      <c r="GO1818" s="14"/>
      <c r="GP1818" s="14"/>
      <c r="GQ1818" s="14"/>
      <c r="GR1818" s="14"/>
      <c r="GS1818" s="14"/>
      <c r="GT1818" s="14"/>
      <c r="GU1818" s="14"/>
      <c r="GV1818" s="14"/>
      <c r="GW1818" s="14"/>
      <c r="GX1818" s="14"/>
      <c r="GY1818" s="14"/>
      <c r="GZ1818" s="14"/>
      <c r="HA1818" s="14"/>
    </row>
    <row r="1819" ht="23.25" customHeight="1">
      <c r="A1819" s="14"/>
      <c r="B1819" s="14"/>
      <c r="C1819" s="36" t="s">
        <v>13</v>
      </c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57" t="s">
        <v>441</v>
      </c>
      <c r="AY1819" s="57" t="s">
        <v>149</v>
      </c>
      <c r="AZ1819" s="57" t="s">
        <v>571</v>
      </c>
      <c r="BA1819" s="57" t="s">
        <v>377</v>
      </c>
      <c r="BB1819" s="57" t="s">
        <v>3402</v>
      </c>
      <c r="BC1819" s="58">
        <v>44348.0</v>
      </c>
      <c r="BD1819" s="58">
        <v>44378.0</v>
      </c>
      <c r="BE1819" s="14"/>
      <c r="BF1819" s="60">
        <v>100.0</v>
      </c>
      <c r="BG1819" s="14"/>
      <c r="BH1819" s="59" t="s">
        <v>5133</v>
      </c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57"/>
      <c r="BX1819" s="57"/>
      <c r="BY1819" s="14"/>
      <c r="BZ1819" s="57"/>
      <c r="CA1819" s="57"/>
      <c r="CB1819" s="57"/>
      <c r="CC1819" s="57"/>
      <c r="CD1819" s="58"/>
      <c r="CE1819" s="58"/>
      <c r="CF1819" s="57"/>
      <c r="CG1819" s="57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14"/>
      <c r="DC1819" s="14"/>
      <c r="DD1819" s="14"/>
      <c r="DE1819" s="14"/>
      <c r="DF1819" s="14"/>
      <c r="DG1819" s="14"/>
      <c r="DH1819" s="14"/>
      <c r="DI1819" s="14"/>
      <c r="DJ1819" s="14"/>
      <c r="DK1819" s="14"/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14"/>
      <c r="EJ1819" s="14"/>
      <c r="EK1819" s="14"/>
      <c r="EL1819" s="14"/>
      <c r="EM1819" s="14"/>
      <c r="EN1819" s="14"/>
      <c r="EO1819" s="14"/>
      <c r="EP1819" s="14"/>
      <c r="EQ1819" s="14"/>
      <c r="ER1819" s="14"/>
      <c r="ES1819" s="14"/>
      <c r="ET1819" s="14"/>
      <c r="EU1819" s="14"/>
      <c r="EV1819" s="14"/>
      <c r="EW1819" s="14"/>
      <c r="EX1819" s="14"/>
      <c r="EY1819" s="14"/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57" t="s">
        <v>447</v>
      </c>
      <c r="FM1819" s="57" t="s">
        <v>260</v>
      </c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4"/>
      <c r="FZ1819" s="14"/>
      <c r="GA1819" s="14"/>
      <c r="GB1819" s="14"/>
      <c r="GC1819" s="14"/>
      <c r="GD1819" s="14"/>
      <c r="GE1819" s="14"/>
      <c r="GF1819" s="14"/>
      <c r="GG1819" s="14"/>
      <c r="GH1819" s="14"/>
      <c r="GI1819" s="14"/>
      <c r="GJ1819" s="14"/>
      <c r="GK1819" s="14"/>
      <c r="GL1819" s="14"/>
      <c r="GM1819" s="14"/>
      <c r="GN1819" s="14"/>
      <c r="GO1819" s="14"/>
      <c r="GP1819" s="14"/>
      <c r="GQ1819" s="14"/>
      <c r="GR1819" s="14"/>
      <c r="GS1819" s="14"/>
      <c r="GT1819" s="14"/>
      <c r="GU1819" s="14"/>
      <c r="GV1819" s="14"/>
      <c r="GW1819" s="14"/>
      <c r="GX1819" s="14"/>
      <c r="GY1819" s="14"/>
      <c r="GZ1819" s="14"/>
      <c r="HA1819" s="14"/>
    </row>
    <row r="1820" ht="23.25" customHeight="1">
      <c r="A1820" s="14"/>
      <c r="B1820" s="14"/>
      <c r="C1820" s="36" t="s">
        <v>13</v>
      </c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57" t="s">
        <v>441</v>
      </c>
      <c r="AY1820" s="57" t="s">
        <v>149</v>
      </c>
      <c r="AZ1820" s="57" t="s">
        <v>351</v>
      </c>
      <c r="BA1820" s="57" t="s">
        <v>377</v>
      </c>
      <c r="BB1820" s="57" t="s">
        <v>3545</v>
      </c>
      <c r="BC1820" s="58">
        <v>43646.0</v>
      </c>
      <c r="BD1820" s="58">
        <v>43672.0</v>
      </c>
      <c r="BE1820" s="14"/>
      <c r="BF1820" s="60">
        <v>100.0</v>
      </c>
      <c r="BG1820" s="14"/>
      <c r="BH1820" s="59" t="s">
        <v>5134</v>
      </c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57"/>
      <c r="BX1820" s="57"/>
      <c r="BY1820" s="14"/>
      <c r="BZ1820" s="57"/>
      <c r="CA1820" s="57"/>
      <c r="CB1820" s="57"/>
      <c r="CC1820" s="57"/>
      <c r="CD1820" s="58"/>
      <c r="CE1820" s="58"/>
      <c r="CF1820" s="57"/>
      <c r="CG1820" s="57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14"/>
      <c r="DC1820" s="14"/>
      <c r="DD1820" s="14"/>
      <c r="DE1820" s="14"/>
      <c r="DF1820" s="14"/>
      <c r="DG1820" s="14"/>
      <c r="DH1820" s="14"/>
      <c r="DI1820" s="14"/>
      <c r="DJ1820" s="14"/>
      <c r="DK1820" s="14"/>
      <c r="DL1820" s="14"/>
      <c r="DM1820" s="14"/>
      <c r="DN1820" s="14"/>
      <c r="DO1820" s="14"/>
      <c r="DP1820" s="14"/>
      <c r="DQ1820" s="14"/>
      <c r="DR1820" s="14"/>
      <c r="DS1820" s="14"/>
      <c r="DT1820" s="14"/>
      <c r="DU1820" s="14"/>
      <c r="DV1820" s="14"/>
      <c r="DW1820" s="14"/>
      <c r="DX1820" s="14"/>
      <c r="DY1820" s="14"/>
      <c r="DZ1820" s="14"/>
      <c r="EA1820" s="14"/>
      <c r="EB1820" s="14"/>
      <c r="EC1820" s="14"/>
      <c r="ED1820" s="14"/>
      <c r="EE1820" s="14"/>
      <c r="EF1820" s="14"/>
      <c r="EG1820" s="14"/>
      <c r="EH1820" s="14"/>
      <c r="EI1820" s="14"/>
      <c r="EJ1820" s="14"/>
      <c r="EK1820" s="14"/>
      <c r="EL1820" s="14"/>
      <c r="EM1820" s="14"/>
      <c r="EN1820" s="14"/>
      <c r="EO1820" s="14"/>
      <c r="EP1820" s="14"/>
      <c r="EQ1820" s="14"/>
      <c r="ER1820" s="14"/>
      <c r="ES1820" s="14"/>
      <c r="ET1820" s="14"/>
      <c r="EU1820" s="14"/>
      <c r="EV1820" s="14"/>
      <c r="EW1820" s="14"/>
      <c r="EX1820" s="14"/>
      <c r="EY1820" s="14"/>
      <c r="EZ1820" s="14"/>
      <c r="FA1820" s="14"/>
      <c r="FB1820" s="14"/>
      <c r="FC1820" s="14"/>
      <c r="FD1820" s="14"/>
      <c r="FE1820" s="14"/>
      <c r="FF1820" s="14"/>
      <c r="FG1820" s="14"/>
      <c r="FH1820" s="14"/>
      <c r="FI1820" s="14"/>
      <c r="FJ1820" s="14"/>
      <c r="FK1820" s="14"/>
      <c r="FL1820" s="57" t="s">
        <v>447</v>
      </c>
      <c r="FM1820" s="57" t="s">
        <v>260</v>
      </c>
      <c r="FN1820" s="14"/>
      <c r="FO1820" s="14"/>
      <c r="FP1820" s="14"/>
      <c r="FQ1820" s="14"/>
      <c r="FR1820" s="14"/>
      <c r="FS1820" s="14"/>
      <c r="FT1820" s="14"/>
      <c r="FU1820" s="14"/>
      <c r="FV1820" s="14"/>
      <c r="FW1820" s="14"/>
      <c r="FX1820" s="14"/>
      <c r="FY1820" s="14"/>
      <c r="FZ1820" s="14"/>
      <c r="GA1820" s="14"/>
      <c r="GB1820" s="14"/>
      <c r="GC1820" s="14"/>
      <c r="GD1820" s="14"/>
      <c r="GE1820" s="14"/>
      <c r="GF1820" s="14"/>
      <c r="GG1820" s="14"/>
      <c r="GH1820" s="14"/>
      <c r="GI1820" s="14"/>
      <c r="GJ1820" s="14"/>
      <c r="GK1820" s="14"/>
      <c r="GL1820" s="14"/>
      <c r="GM1820" s="14"/>
      <c r="GN1820" s="14"/>
      <c r="GO1820" s="14"/>
      <c r="GP1820" s="14"/>
      <c r="GQ1820" s="14"/>
      <c r="GR1820" s="14"/>
      <c r="GS1820" s="14"/>
      <c r="GT1820" s="14"/>
      <c r="GU1820" s="14"/>
      <c r="GV1820" s="14"/>
      <c r="GW1820" s="14"/>
      <c r="GX1820" s="14"/>
      <c r="GY1820" s="14"/>
      <c r="GZ1820" s="14"/>
      <c r="HA1820" s="14"/>
    </row>
    <row r="1821" ht="23.25" customHeight="1">
      <c r="A1821" s="14"/>
      <c r="B1821" s="14"/>
      <c r="C1821" s="36" t="s">
        <v>13</v>
      </c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57" t="s">
        <v>441</v>
      </c>
      <c r="AY1821" s="57" t="s">
        <v>149</v>
      </c>
      <c r="AZ1821" s="57" t="s">
        <v>502</v>
      </c>
      <c r="BA1821" s="57" t="s">
        <v>377</v>
      </c>
      <c r="BB1821" s="57" t="s">
        <v>5135</v>
      </c>
      <c r="BC1821" s="58">
        <v>44341.0</v>
      </c>
      <c r="BD1821" s="58">
        <v>44348.0</v>
      </c>
      <c r="BE1821" s="14"/>
      <c r="BF1821" s="60">
        <v>100.0</v>
      </c>
      <c r="BG1821" s="14"/>
      <c r="BH1821" s="59" t="s">
        <v>5136</v>
      </c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57"/>
      <c r="BX1821" s="57"/>
      <c r="BY1821" s="14"/>
      <c r="BZ1821" s="57"/>
      <c r="CA1821" s="57"/>
      <c r="CB1821" s="57"/>
      <c r="CC1821" s="57"/>
      <c r="CD1821" s="58"/>
      <c r="CE1821" s="58"/>
      <c r="CF1821" s="57"/>
      <c r="CG1821" s="57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14"/>
      <c r="DC1821" s="14"/>
      <c r="DD1821" s="14"/>
      <c r="DE1821" s="14"/>
      <c r="DF1821" s="14"/>
      <c r="DG1821" s="14"/>
      <c r="DH1821" s="14"/>
      <c r="DI1821" s="14"/>
      <c r="DJ1821" s="14"/>
      <c r="DK1821" s="14"/>
      <c r="DL1821" s="14"/>
      <c r="DM1821" s="14"/>
      <c r="DN1821" s="14"/>
      <c r="DO1821" s="14"/>
      <c r="DP1821" s="14"/>
      <c r="DQ1821" s="14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ED1821" s="14"/>
      <c r="EE1821" s="14"/>
      <c r="EF1821" s="14"/>
      <c r="EG1821" s="14"/>
      <c r="EH1821" s="14"/>
      <c r="EI1821" s="14"/>
      <c r="EJ1821" s="14"/>
      <c r="EK1821" s="14"/>
      <c r="EL1821" s="14"/>
      <c r="EM1821" s="14"/>
      <c r="EN1821" s="14"/>
      <c r="EO1821" s="14"/>
      <c r="EP1821" s="14"/>
      <c r="EQ1821" s="14"/>
      <c r="ER1821" s="14"/>
      <c r="ES1821" s="14"/>
      <c r="ET1821" s="14"/>
      <c r="EU1821" s="14"/>
      <c r="EV1821" s="14"/>
      <c r="EW1821" s="14"/>
      <c r="EX1821" s="14"/>
      <c r="EY1821" s="14"/>
      <c r="EZ1821" s="14"/>
      <c r="FA1821" s="14"/>
      <c r="FB1821" s="14"/>
      <c r="FC1821" s="14"/>
      <c r="FD1821" s="14"/>
      <c r="FE1821" s="14"/>
      <c r="FF1821" s="14"/>
      <c r="FG1821" s="14"/>
      <c r="FH1821" s="14"/>
      <c r="FI1821" s="14"/>
      <c r="FJ1821" s="14"/>
      <c r="FK1821" s="14"/>
      <c r="FL1821" s="57" t="s">
        <v>447</v>
      </c>
      <c r="FM1821" s="57" t="s">
        <v>260</v>
      </c>
      <c r="FN1821" s="14"/>
      <c r="FO1821" s="14"/>
      <c r="FP1821" s="14"/>
      <c r="FQ1821" s="14"/>
      <c r="FR1821" s="14"/>
      <c r="FS1821" s="14"/>
      <c r="FT1821" s="14"/>
      <c r="FU1821" s="14"/>
      <c r="FV1821" s="14"/>
      <c r="FW1821" s="14"/>
      <c r="FX1821" s="14"/>
      <c r="FY1821" s="14"/>
      <c r="FZ1821" s="14"/>
      <c r="GA1821" s="14"/>
      <c r="GB1821" s="14"/>
      <c r="GC1821" s="14"/>
      <c r="GD1821" s="14"/>
      <c r="GE1821" s="14"/>
      <c r="GF1821" s="14"/>
      <c r="GG1821" s="14"/>
      <c r="GH1821" s="14"/>
      <c r="GI1821" s="14"/>
      <c r="GJ1821" s="14"/>
      <c r="GK1821" s="14"/>
      <c r="GL1821" s="14"/>
      <c r="GM1821" s="14"/>
      <c r="GN1821" s="14"/>
      <c r="GO1821" s="14"/>
      <c r="GP1821" s="14"/>
      <c r="GQ1821" s="14"/>
      <c r="GR1821" s="14"/>
      <c r="GS1821" s="14"/>
      <c r="GT1821" s="14"/>
      <c r="GU1821" s="14"/>
      <c r="GV1821" s="14"/>
      <c r="GW1821" s="14"/>
      <c r="GX1821" s="14"/>
      <c r="GY1821" s="14"/>
      <c r="GZ1821" s="14"/>
      <c r="HA1821" s="14"/>
    </row>
    <row r="1822" ht="23.25" customHeight="1">
      <c r="A1822" s="14"/>
      <c r="B1822" s="14"/>
      <c r="C1822" s="36" t="s">
        <v>13</v>
      </c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57" t="s">
        <v>833</v>
      </c>
      <c r="AY1822" s="57" t="s">
        <v>834</v>
      </c>
      <c r="AZ1822" s="57" t="s">
        <v>5101</v>
      </c>
      <c r="BA1822" s="57" t="s">
        <v>345</v>
      </c>
      <c r="BB1822" s="57" t="s">
        <v>378</v>
      </c>
      <c r="BC1822" s="58">
        <v>43922.0</v>
      </c>
      <c r="BD1822" s="58">
        <v>44044.0</v>
      </c>
      <c r="BE1822" s="14"/>
      <c r="BF1822" s="60">
        <v>94.0</v>
      </c>
      <c r="BG1822" s="14"/>
      <c r="BH1822" s="59" t="s">
        <v>5137</v>
      </c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57"/>
      <c r="BX1822" s="57"/>
      <c r="BY1822" s="14"/>
      <c r="BZ1822" s="57"/>
      <c r="CA1822" s="57"/>
      <c r="CB1822" s="57"/>
      <c r="CC1822" s="57"/>
      <c r="CD1822" s="58"/>
      <c r="CE1822" s="58"/>
      <c r="CF1822" s="57"/>
      <c r="CG1822" s="57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14"/>
      <c r="DC1822" s="14"/>
      <c r="DD1822" s="14"/>
      <c r="DE1822" s="14"/>
      <c r="DF1822" s="14"/>
      <c r="DG1822" s="14"/>
      <c r="DH1822" s="14"/>
      <c r="DI1822" s="14"/>
      <c r="DJ1822" s="14"/>
      <c r="DK1822" s="14"/>
      <c r="DL1822" s="14"/>
      <c r="DM1822" s="14"/>
      <c r="DN1822" s="14"/>
      <c r="DO1822" s="14"/>
      <c r="DP1822" s="14"/>
      <c r="DQ1822" s="14"/>
      <c r="DR1822" s="14"/>
      <c r="DS1822" s="14"/>
      <c r="DT1822" s="14"/>
      <c r="DU1822" s="14"/>
      <c r="DV1822" s="14"/>
      <c r="DW1822" s="14"/>
      <c r="DX1822" s="14"/>
      <c r="DY1822" s="14"/>
      <c r="DZ1822" s="14"/>
      <c r="EA1822" s="14"/>
      <c r="EB1822" s="14"/>
      <c r="EC1822" s="14"/>
      <c r="ED1822" s="14"/>
      <c r="EE1822" s="14"/>
      <c r="EF1822" s="14"/>
      <c r="EG1822" s="14"/>
      <c r="EH1822" s="14"/>
      <c r="EI1822" s="14"/>
      <c r="EJ1822" s="14"/>
      <c r="EK1822" s="14"/>
      <c r="EL1822" s="14"/>
      <c r="EM1822" s="14"/>
      <c r="EN1822" s="14"/>
      <c r="EO1822" s="14"/>
      <c r="EP1822" s="14"/>
      <c r="EQ1822" s="14"/>
      <c r="ER1822" s="14"/>
      <c r="ES1822" s="14"/>
      <c r="ET1822" s="14"/>
      <c r="EU1822" s="14"/>
      <c r="EV1822" s="14"/>
      <c r="EW1822" s="14"/>
      <c r="EX1822" s="14"/>
      <c r="EY1822" s="14"/>
      <c r="EZ1822" s="14"/>
      <c r="FA1822" s="14"/>
      <c r="FB1822" s="14"/>
      <c r="FC1822" s="14"/>
      <c r="FD1822" s="14"/>
      <c r="FE1822" s="14"/>
      <c r="FF1822" s="14"/>
      <c r="FG1822" s="14"/>
      <c r="FH1822" s="14"/>
      <c r="FI1822" s="14"/>
      <c r="FJ1822" s="14"/>
      <c r="FK1822" s="14"/>
      <c r="FL1822" s="57" t="s">
        <v>837</v>
      </c>
      <c r="FM1822" s="57" t="s">
        <v>260</v>
      </c>
      <c r="FN1822" s="14"/>
      <c r="FO1822" s="14"/>
      <c r="FP1822" s="14"/>
      <c r="FQ1822" s="14"/>
      <c r="FR1822" s="14"/>
      <c r="FS1822" s="14"/>
      <c r="FT1822" s="14"/>
      <c r="FU1822" s="14"/>
      <c r="FV1822" s="14"/>
      <c r="FW1822" s="14"/>
      <c r="FX1822" s="14"/>
      <c r="FY1822" s="14"/>
      <c r="FZ1822" s="14"/>
      <c r="GA1822" s="14"/>
      <c r="GB1822" s="14"/>
      <c r="GC1822" s="14"/>
      <c r="GD1822" s="14"/>
      <c r="GE1822" s="14"/>
      <c r="GF1822" s="14"/>
      <c r="GG1822" s="14"/>
      <c r="GH1822" s="14"/>
      <c r="GI1822" s="14"/>
      <c r="GJ1822" s="14"/>
      <c r="GK1822" s="14"/>
      <c r="GL1822" s="14"/>
      <c r="GM1822" s="14"/>
      <c r="GN1822" s="14"/>
      <c r="GO1822" s="14"/>
      <c r="GP1822" s="14"/>
      <c r="GQ1822" s="14"/>
      <c r="GR1822" s="14"/>
      <c r="GS1822" s="14"/>
      <c r="GT1822" s="14"/>
      <c r="GU1822" s="14"/>
      <c r="GV1822" s="14"/>
      <c r="GW1822" s="14"/>
      <c r="GX1822" s="14"/>
      <c r="GY1822" s="14"/>
      <c r="GZ1822" s="14"/>
      <c r="HA1822" s="14"/>
    </row>
    <row r="1823" ht="23.25" customHeight="1">
      <c r="A1823" s="14"/>
      <c r="B1823" s="14"/>
      <c r="C1823" s="36" t="s">
        <v>13</v>
      </c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57" t="s">
        <v>833</v>
      </c>
      <c r="AY1823" s="57" t="s">
        <v>834</v>
      </c>
      <c r="AZ1823" s="57" t="s">
        <v>5138</v>
      </c>
      <c r="BA1823" s="57" t="s">
        <v>345</v>
      </c>
      <c r="BB1823" s="57" t="s">
        <v>450</v>
      </c>
      <c r="BC1823" s="58">
        <v>43922.0</v>
      </c>
      <c r="BD1823" s="58">
        <v>44012.0</v>
      </c>
      <c r="BE1823" s="14"/>
      <c r="BF1823" s="60">
        <v>95.0</v>
      </c>
      <c r="BG1823" s="14"/>
      <c r="BH1823" s="59" t="s">
        <v>5139</v>
      </c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57"/>
      <c r="BX1823" s="57"/>
      <c r="BY1823" s="14"/>
      <c r="BZ1823" s="57"/>
      <c r="CA1823" s="57"/>
      <c r="CB1823" s="57"/>
      <c r="CC1823" s="57"/>
      <c r="CD1823" s="58"/>
      <c r="CE1823" s="58"/>
      <c r="CF1823" s="57"/>
      <c r="CG1823" s="57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14"/>
      <c r="DC1823" s="14"/>
      <c r="DD1823" s="14"/>
      <c r="DE1823" s="14"/>
      <c r="DF1823" s="14"/>
      <c r="DG1823" s="14"/>
      <c r="DH1823" s="14"/>
      <c r="DI1823" s="14"/>
      <c r="DJ1823" s="14"/>
      <c r="DK1823" s="14"/>
      <c r="DL1823" s="14"/>
      <c r="DM1823" s="14"/>
      <c r="DN1823" s="14"/>
      <c r="DO1823" s="14"/>
      <c r="DP1823" s="14"/>
      <c r="DQ1823" s="14"/>
      <c r="DR1823" s="14"/>
      <c r="DS1823" s="14"/>
      <c r="DT1823" s="14"/>
      <c r="DU1823" s="14"/>
      <c r="DV1823" s="14"/>
      <c r="DW1823" s="14"/>
      <c r="DX1823" s="14"/>
      <c r="DY1823" s="14"/>
      <c r="DZ1823" s="14"/>
      <c r="EA1823" s="14"/>
      <c r="EB1823" s="14"/>
      <c r="EC1823" s="14"/>
      <c r="ED1823" s="14"/>
      <c r="EE1823" s="14"/>
      <c r="EF1823" s="14"/>
      <c r="EG1823" s="14"/>
      <c r="EH1823" s="14"/>
      <c r="EI1823" s="14"/>
      <c r="EJ1823" s="14"/>
      <c r="EK1823" s="14"/>
      <c r="EL1823" s="14"/>
      <c r="EM1823" s="14"/>
      <c r="EN1823" s="14"/>
      <c r="EO1823" s="14"/>
      <c r="EP1823" s="14"/>
      <c r="EQ1823" s="14"/>
      <c r="ER1823" s="14"/>
      <c r="ES1823" s="14"/>
      <c r="ET1823" s="14"/>
      <c r="EU1823" s="14"/>
      <c r="EV1823" s="14"/>
      <c r="EW1823" s="14"/>
      <c r="EX1823" s="14"/>
      <c r="EY1823" s="14"/>
      <c r="EZ1823" s="14"/>
      <c r="FA1823" s="14"/>
      <c r="FB1823" s="14"/>
      <c r="FC1823" s="14"/>
      <c r="FD1823" s="14"/>
      <c r="FE1823" s="14"/>
      <c r="FF1823" s="14"/>
      <c r="FG1823" s="14"/>
      <c r="FH1823" s="14"/>
      <c r="FI1823" s="14"/>
      <c r="FJ1823" s="14"/>
      <c r="FK1823" s="14"/>
      <c r="FL1823" s="57" t="s">
        <v>837</v>
      </c>
      <c r="FM1823" s="57" t="s">
        <v>260</v>
      </c>
      <c r="FN1823" s="14"/>
      <c r="FO1823" s="14"/>
      <c r="FP1823" s="14"/>
      <c r="FQ1823" s="14"/>
      <c r="FR1823" s="14"/>
      <c r="FS1823" s="14"/>
      <c r="FT1823" s="14"/>
      <c r="FU1823" s="14"/>
      <c r="FV1823" s="14"/>
      <c r="FW1823" s="14"/>
      <c r="FX1823" s="14"/>
      <c r="FY1823" s="14"/>
      <c r="FZ1823" s="14"/>
      <c r="GA1823" s="14"/>
      <c r="GB1823" s="14"/>
      <c r="GC1823" s="14"/>
      <c r="GD1823" s="14"/>
      <c r="GE1823" s="14"/>
      <c r="GF1823" s="14"/>
      <c r="GG1823" s="14"/>
      <c r="GH1823" s="14"/>
      <c r="GI1823" s="14"/>
      <c r="GJ1823" s="14"/>
      <c r="GK1823" s="14"/>
      <c r="GL1823" s="14"/>
      <c r="GM1823" s="14"/>
      <c r="GN1823" s="14"/>
      <c r="GO1823" s="14"/>
      <c r="GP1823" s="14"/>
      <c r="GQ1823" s="14"/>
      <c r="GR1823" s="14"/>
      <c r="GS1823" s="14"/>
      <c r="GT1823" s="14"/>
      <c r="GU1823" s="14"/>
      <c r="GV1823" s="14"/>
      <c r="GW1823" s="14"/>
      <c r="GX1823" s="14"/>
      <c r="GY1823" s="14"/>
      <c r="GZ1823" s="14"/>
      <c r="HA1823" s="14"/>
    </row>
    <row r="1824" ht="23.25" customHeight="1">
      <c r="A1824" s="14"/>
      <c r="B1824" s="14"/>
      <c r="C1824" s="36" t="s">
        <v>13</v>
      </c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57" t="s">
        <v>833</v>
      </c>
      <c r="AY1824" s="57" t="s">
        <v>834</v>
      </c>
      <c r="AZ1824" s="57" t="s">
        <v>5098</v>
      </c>
      <c r="BA1824" s="57" t="s">
        <v>345</v>
      </c>
      <c r="BB1824" s="57" t="s">
        <v>450</v>
      </c>
      <c r="BC1824" s="58">
        <v>43922.0</v>
      </c>
      <c r="BD1824" s="58">
        <v>44012.0</v>
      </c>
      <c r="BE1824" s="14"/>
      <c r="BF1824" s="60">
        <v>95.0</v>
      </c>
      <c r="BG1824" s="14"/>
      <c r="BH1824" s="59" t="s">
        <v>5140</v>
      </c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57"/>
      <c r="BX1824" s="57"/>
      <c r="BY1824" s="14"/>
      <c r="BZ1824" s="57"/>
      <c r="CA1824" s="57"/>
      <c r="CB1824" s="57"/>
      <c r="CC1824" s="57"/>
      <c r="CD1824" s="58"/>
      <c r="CE1824" s="58"/>
      <c r="CF1824" s="57"/>
      <c r="CG1824" s="57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14"/>
      <c r="DC1824" s="14"/>
      <c r="DD1824" s="14"/>
      <c r="DE1824" s="14"/>
      <c r="DF1824" s="14"/>
      <c r="DG1824" s="14"/>
      <c r="DH1824" s="14"/>
      <c r="DI1824" s="14"/>
      <c r="DJ1824" s="14"/>
      <c r="DK1824" s="14"/>
      <c r="DL1824" s="14"/>
      <c r="DM1824" s="14"/>
      <c r="DN1824" s="14"/>
      <c r="DO1824" s="14"/>
      <c r="DP1824" s="14"/>
      <c r="DQ1824" s="14"/>
      <c r="DR1824" s="14"/>
      <c r="DS1824" s="14"/>
      <c r="DT1824" s="14"/>
      <c r="DU1824" s="14"/>
      <c r="DV1824" s="14"/>
      <c r="DW1824" s="14"/>
      <c r="DX1824" s="14"/>
      <c r="DY1824" s="14"/>
      <c r="DZ1824" s="14"/>
      <c r="EA1824" s="14"/>
      <c r="EB1824" s="14"/>
      <c r="EC1824" s="14"/>
      <c r="ED1824" s="14"/>
      <c r="EE1824" s="14"/>
      <c r="EF1824" s="14"/>
      <c r="EG1824" s="14"/>
      <c r="EH1824" s="14"/>
      <c r="EI1824" s="14"/>
      <c r="EJ1824" s="14"/>
      <c r="EK1824" s="14"/>
      <c r="EL1824" s="14"/>
      <c r="EM1824" s="14"/>
      <c r="EN1824" s="14"/>
      <c r="EO1824" s="14"/>
      <c r="EP1824" s="14"/>
      <c r="EQ1824" s="14"/>
      <c r="ER1824" s="14"/>
      <c r="ES1824" s="14"/>
      <c r="ET1824" s="14"/>
      <c r="EU1824" s="14"/>
      <c r="EV1824" s="14"/>
      <c r="EW1824" s="14"/>
      <c r="EX1824" s="14"/>
      <c r="EY1824" s="14"/>
      <c r="EZ1824" s="14"/>
      <c r="FA1824" s="14"/>
      <c r="FB1824" s="14"/>
      <c r="FC1824" s="14"/>
      <c r="FD1824" s="14"/>
      <c r="FE1824" s="14"/>
      <c r="FF1824" s="14"/>
      <c r="FG1824" s="14"/>
      <c r="FH1824" s="14"/>
      <c r="FI1824" s="14"/>
      <c r="FJ1824" s="14"/>
      <c r="FK1824" s="14"/>
      <c r="FL1824" s="57" t="s">
        <v>837</v>
      </c>
      <c r="FM1824" s="57" t="s">
        <v>260</v>
      </c>
      <c r="FN1824" s="14"/>
      <c r="FO1824" s="14"/>
      <c r="FP1824" s="14"/>
      <c r="FQ1824" s="14"/>
      <c r="FR1824" s="14"/>
      <c r="FS1824" s="14"/>
      <c r="FT1824" s="14"/>
      <c r="FU1824" s="14"/>
      <c r="FV1824" s="14"/>
      <c r="FW1824" s="14"/>
      <c r="FX1824" s="14"/>
      <c r="FY1824" s="14"/>
      <c r="FZ1824" s="14"/>
      <c r="GA1824" s="14"/>
      <c r="GB1824" s="14"/>
      <c r="GC1824" s="14"/>
      <c r="GD1824" s="14"/>
      <c r="GE1824" s="14"/>
      <c r="GF1824" s="14"/>
      <c r="GG1824" s="14"/>
      <c r="GH1824" s="14"/>
      <c r="GI1824" s="14"/>
      <c r="GJ1824" s="14"/>
      <c r="GK1824" s="14"/>
      <c r="GL1824" s="14"/>
      <c r="GM1824" s="14"/>
      <c r="GN1824" s="14"/>
      <c r="GO1824" s="14"/>
      <c r="GP1824" s="14"/>
      <c r="GQ1824" s="14"/>
      <c r="GR1824" s="14"/>
      <c r="GS1824" s="14"/>
      <c r="GT1824" s="14"/>
      <c r="GU1824" s="14"/>
      <c r="GV1824" s="14"/>
      <c r="GW1824" s="14"/>
      <c r="GX1824" s="14"/>
      <c r="GY1824" s="14"/>
      <c r="GZ1824" s="14"/>
      <c r="HA1824" s="14"/>
    </row>
    <row r="1825" ht="23.25" customHeight="1">
      <c r="A1825" s="14"/>
      <c r="B1825" s="14"/>
      <c r="C1825" s="36" t="s">
        <v>13</v>
      </c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57" t="s">
        <v>833</v>
      </c>
      <c r="AY1825" s="57" t="s">
        <v>834</v>
      </c>
      <c r="AZ1825" s="57" t="s">
        <v>5141</v>
      </c>
      <c r="BA1825" s="57" t="s">
        <v>345</v>
      </c>
      <c r="BB1825" s="57" t="s">
        <v>310</v>
      </c>
      <c r="BC1825" s="58">
        <v>43922.0</v>
      </c>
      <c r="BD1825" s="58">
        <v>44007.0</v>
      </c>
      <c r="BE1825" s="14"/>
      <c r="BF1825" s="60">
        <v>94.0</v>
      </c>
      <c r="BG1825" s="14"/>
      <c r="BH1825" s="59" t="s">
        <v>5142</v>
      </c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57"/>
      <c r="BX1825" s="57"/>
      <c r="BY1825" s="14"/>
      <c r="BZ1825" s="57"/>
      <c r="CA1825" s="57"/>
      <c r="CB1825" s="57"/>
      <c r="CC1825" s="57"/>
      <c r="CD1825" s="58"/>
      <c r="CE1825" s="58"/>
      <c r="CF1825" s="57"/>
      <c r="CG1825" s="57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14"/>
      <c r="DC1825" s="14"/>
      <c r="DD1825" s="14"/>
      <c r="DE1825" s="14"/>
      <c r="DF1825" s="14"/>
      <c r="DG1825" s="14"/>
      <c r="DH1825" s="14"/>
      <c r="DI1825" s="14"/>
      <c r="DJ1825" s="14"/>
      <c r="DK1825" s="14"/>
      <c r="DL1825" s="14"/>
      <c r="DM1825" s="14"/>
      <c r="DN1825" s="14"/>
      <c r="DO1825" s="14"/>
      <c r="DP1825" s="14"/>
      <c r="DQ1825" s="14"/>
      <c r="DR1825" s="14"/>
      <c r="DS1825" s="14"/>
      <c r="DT1825" s="14"/>
      <c r="DU1825" s="14"/>
      <c r="DV1825" s="14"/>
      <c r="DW1825" s="14"/>
      <c r="DX1825" s="14"/>
      <c r="DY1825" s="14"/>
      <c r="DZ1825" s="14"/>
      <c r="EA1825" s="14"/>
      <c r="EB1825" s="14"/>
      <c r="EC1825" s="14"/>
      <c r="ED1825" s="14"/>
      <c r="EE1825" s="14"/>
      <c r="EF1825" s="14"/>
      <c r="EG1825" s="14"/>
      <c r="EH1825" s="14"/>
      <c r="EI1825" s="14"/>
      <c r="EJ1825" s="14"/>
      <c r="EK1825" s="14"/>
      <c r="EL1825" s="14"/>
      <c r="EM1825" s="14"/>
      <c r="EN1825" s="14"/>
      <c r="EO1825" s="14"/>
      <c r="EP1825" s="14"/>
      <c r="EQ1825" s="14"/>
      <c r="ER1825" s="14"/>
      <c r="ES1825" s="14"/>
      <c r="ET1825" s="14"/>
      <c r="EU1825" s="14"/>
      <c r="EV1825" s="14"/>
      <c r="EW1825" s="14"/>
      <c r="EX1825" s="14"/>
      <c r="EY1825" s="14"/>
      <c r="EZ1825" s="14"/>
      <c r="FA1825" s="14"/>
      <c r="FB1825" s="14"/>
      <c r="FC1825" s="14"/>
      <c r="FD1825" s="14"/>
      <c r="FE1825" s="14"/>
      <c r="FF1825" s="14"/>
      <c r="FG1825" s="14"/>
      <c r="FH1825" s="14"/>
      <c r="FI1825" s="14"/>
      <c r="FJ1825" s="14"/>
      <c r="FK1825" s="14"/>
      <c r="FL1825" s="57" t="s">
        <v>837</v>
      </c>
      <c r="FM1825" s="57" t="s">
        <v>260</v>
      </c>
      <c r="FN1825" s="14"/>
      <c r="FO1825" s="14"/>
      <c r="FP1825" s="14"/>
      <c r="FQ1825" s="14"/>
      <c r="FR1825" s="14"/>
      <c r="FS1825" s="14"/>
      <c r="FT1825" s="14"/>
      <c r="FU1825" s="14"/>
      <c r="FV1825" s="14"/>
      <c r="FW1825" s="14"/>
      <c r="FX1825" s="14"/>
      <c r="FY1825" s="14"/>
      <c r="FZ1825" s="14"/>
      <c r="GA1825" s="14"/>
      <c r="GB1825" s="14"/>
      <c r="GC1825" s="14"/>
      <c r="GD1825" s="14"/>
      <c r="GE1825" s="14"/>
      <c r="GF1825" s="14"/>
      <c r="GG1825" s="14"/>
      <c r="GH1825" s="14"/>
      <c r="GI1825" s="14"/>
      <c r="GJ1825" s="14"/>
      <c r="GK1825" s="14"/>
      <c r="GL1825" s="14"/>
      <c r="GM1825" s="14"/>
      <c r="GN1825" s="14"/>
      <c r="GO1825" s="14"/>
      <c r="GP1825" s="14"/>
      <c r="GQ1825" s="14"/>
      <c r="GR1825" s="14"/>
      <c r="GS1825" s="14"/>
      <c r="GT1825" s="14"/>
      <c r="GU1825" s="14"/>
      <c r="GV1825" s="14"/>
      <c r="GW1825" s="14"/>
      <c r="GX1825" s="14"/>
      <c r="GY1825" s="14"/>
      <c r="GZ1825" s="14"/>
      <c r="HA1825" s="14"/>
    </row>
    <row r="1826" ht="23.25" customHeight="1">
      <c r="A1826" s="14"/>
      <c r="B1826" s="14"/>
      <c r="C1826" s="36" t="s">
        <v>13</v>
      </c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57" t="s">
        <v>833</v>
      </c>
      <c r="AY1826" s="57" t="s">
        <v>834</v>
      </c>
      <c r="AZ1826" s="57" t="s">
        <v>5143</v>
      </c>
      <c r="BA1826" s="57" t="s">
        <v>345</v>
      </c>
      <c r="BB1826" s="57" t="s">
        <v>450</v>
      </c>
      <c r="BC1826" s="58">
        <v>43952.0</v>
      </c>
      <c r="BD1826" s="58">
        <v>44804.0</v>
      </c>
      <c r="BE1826" s="14"/>
      <c r="BF1826" s="60">
        <v>96.0</v>
      </c>
      <c r="BG1826" s="14"/>
      <c r="BH1826" s="59" t="s">
        <v>5144</v>
      </c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57"/>
      <c r="BX1826" s="57"/>
      <c r="BY1826" s="14"/>
      <c r="BZ1826" s="57"/>
      <c r="CA1826" s="57"/>
      <c r="CB1826" s="57"/>
      <c r="CC1826" s="57"/>
      <c r="CD1826" s="58"/>
      <c r="CE1826" s="58"/>
      <c r="CF1826" s="57"/>
      <c r="CG1826" s="57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14"/>
      <c r="DC1826" s="14"/>
      <c r="DD1826" s="14"/>
      <c r="DE1826" s="14"/>
      <c r="DF1826" s="14"/>
      <c r="DG1826" s="14"/>
      <c r="DH1826" s="14"/>
      <c r="DI1826" s="14"/>
      <c r="DJ1826" s="14"/>
      <c r="DK1826" s="14"/>
      <c r="DL1826" s="14"/>
      <c r="DM1826" s="14"/>
      <c r="DN1826" s="14"/>
      <c r="DO1826" s="14"/>
      <c r="DP1826" s="14"/>
      <c r="DQ1826" s="14"/>
      <c r="DR1826" s="14"/>
      <c r="DS1826" s="14"/>
      <c r="DT1826" s="14"/>
      <c r="DU1826" s="14"/>
      <c r="DV1826" s="14"/>
      <c r="DW1826" s="14"/>
      <c r="DX1826" s="14"/>
      <c r="DY1826" s="14"/>
      <c r="DZ1826" s="14"/>
      <c r="EA1826" s="14"/>
      <c r="EB1826" s="14"/>
      <c r="EC1826" s="14"/>
      <c r="ED1826" s="14"/>
      <c r="EE1826" s="14"/>
      <c r="EF1826" s="14"/>
      <c r="EG1826" s="14"/>
      <c r="EH1826" s="14"/>
      <c r="EI1826" s="14"/>
      <c r="EJ1826" s="14"/>
      <c r="EK1826" s="14"/>
      <c r="EL1826" s="14"/>
      <c r="EM1826" s="14"/>
      <c r="EN1826" s="14"/>
      <c r="EO1826" s="14"/>
      <c r="EP1826" s="14"/>
      <c r="EQ1826" s="14"/>
      <c r="ER1826" s="14"/>
      <c r="ES1826" s="14"/>
      <c r="ET1826" s="14"/>
      <c r="EU1826" s="14"/>
      <c r="EV1826" s="14"/>
      <c r="EW1826" s="14"/>
      <c r="EX1826" s="14"/>
      <c r="EY1826" s="14"/>
      <c r="EZ1826" s="14"/>
      <c r="FA1826" s="14"/>
      <c r="FB1826" s="14"/>
      <c r="FC1826" s="14"/>
      <c r="FD1826" s="14"/>
      <c r="FE1826" s="14"/>
      <c r="FF1826" s="14"/>
      <c r="FG1826" s="14"/>
      <c r="FH1826" s="14"/>
      <c r="FI1826" s="14"/>
      <c r="FJ1826" s="14"/>
      <c r="FK1826" s="14"/>
      <c r="FL1826" s="57" t="s">
        <v>837</v>
      </c>
      <c r="FM1826" s="57" t="s">
        <v>260</v>
      </c>
      <c r="FN1826" s="14"/>
      <c r="FO1826" s="14"/>
      <c r="FP1826" s="14"/>
      <c r="FQ1826" s="14"/>
      <c r="FR1826" s="14"/>
      <c r="FS1826" s="14"/>
      <c r="FT1826" s="14"/>
      <c r="FU1826" s="14"/>
      <c r="FV1826" s="14"/>
      <c r="FW1826" s="14"/>
      <c r="FX1826" s="14"/>
      <c r="FY1826" s="14"/>
      <c r="FZ1826" s="14"/>
      <c r="GA1826" s="14"/>
      <c r="GB1826" s="14"/>
      <c r="GC1826" s="14"/>
      <c r="GD1826" s="14"/>
      <c r="GE1826" s="14"/>
      <c r="GF1826" s="14"/>
      <c r="GG1826" s="14"/>
      <c r="GH1826" s="14"/>
      <c r="GI1826" s="14"/>
      <c r="GJ1826" s="14"/>
      <c r="GK1826" s="14"/>
      <c r="GL1826" s="14"/>
      <c r="GM1826" s="14"/>
      <c r="GN1826" s="14"/>
      <c r="GO1826" s="14"/>
      <c r="GP1826" s="14"/>
      <c r="GQ1826" s="14"/>
      <c r="GR1826" s="14"/>
      <c r="GS1826" s="14"/>
      <c r="GT1826" s="14"/>
      <c r="GU1826" s="14"/>
      <c r="GV1826" s="14"/>
      <c r="GW1826" s="14"/>
      <c r="GX1826" s="14"/>
      <c r="GY1826" s="14"/>
      <c r="GZ1826" s="14"/>
      <c r="HA1826" s="14"/>
    </row>
    <row r="1827" ht="23.25" customHeight="1">
      <c r="A1827" s="14"/>
      <c r="B1827" s="14"/>
      <c r="C1827" s="36" t="s">
        <v>13</v>
      </c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57" t="s">
        <v>957</v>
      </c>
      <c r="AY1827" s="57" t="s">
        <v>958</v>
      </c>
      <c r="AZ1827" s="57" t="s">
        <v>5145</v>
      </c>
      <c r="BA1827" s="57" t="s">
        <v>5146</v>
      </c>
      <c r="BB1827" s="57" t="s">
        <v>450</v>
      </c>
      <c r="BC1827" s="58">
        <v>43942.0</v>
      </c>
      <c r="BD1827" s="58">
        <v>44014.0</v>
      </c>
      <c r="BE1827" s="14"/>
      <c r="BF1827" s="60">
        <v>96.89</v>
      </c>
      <c r="BG1827" s="14"/>
      <c r="BH1827" s="59" t="s">
        <v>5147</v>
      </c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57"/>
      <c r="BX1827" s="57"/>
      <c r="BY1827" s="14"/>
      <c r="BZ1827" s="57"/>
      <c r="CA1827" s="57"/>
      <c r="CB1827" s="57"/>
      <c r="CC1827" s="57"/>
      <c r="CD1827" s="58"/>
      <c r="CE1827" s="58"/>
      <c r="CF1827" s="57"/>
      <c r="CG1827" s="57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14"/>
      <c r="DC1827" s="14"/>
      <c r="DD1827" s="14"/>
      <c r="DE1827" s="14"/>
      <c r="DF1827" s="14"/>
      <c r="DG1827" s="14"/>
      <c r="DH1827" s="14"/>
      <c r="DI1827" s="14"/>
      <c r="DJ1827" s="14"/>
      <c r="DK1827" s="14"/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14"/>
      <c r="EJ1827" s="14"/>
      <c r="EK1827" s="14"/>
      <c r="EL1827" s="14"/>
      <c r="EM1827" s="14"/>
      <c r="EN1827" s="14"/>
      <c r="EO1827" s="14"/>
      <c r="EP1827" s="14"/>
      <c r="EQ1827" s="14"/>
      <c r="ER1827" s="14"/>
      <c r="ES1827" s="14"/>
      <c r="ET1827" s="14"/>
      <c r="EU1827" s="14"/>
      <c r="EV1827" s="14"/>
      <c r="EW1827" s="14"/>
      <c r="EX1827" s="14"/>
      <c r="EY1827" s="14"/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57" t="s">
        <v>962</v>
      </c>
      <c r="FM1827" s="57" t="s">
        <v>260</v>
      </c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4"/>
      <c r="FZ1827" s="14"/>
      <c r="GA1827" s="14"/>
      <c r="GB1827" s="14"/>
      <c r="GC1827" s="14"/>
      <c r="GD1827" s="14"/>
      <c r="GE1827" s="14"/>
      <c r="GF1827" s="14"/>
      <c r="GG1827" s="14"/>
      <c r="GH1827" s="14"/>
      <c r="GI1827" s="14"/>
      <c r="GJ1827" s="14"/>
      <c r="GK1827" s="14"/>
      <c r="GL1827" s="14"/>
      <c r="GM1827" s="14"/>
      <c r="GN1827" s="14"/>
      <c r="GO1827" s="14"/>
      <c r="GP1827" s="14"/>
      <c r="GQ1827" s="14"/>
      <c r="GR1827" s="14"/>
      <c r="GS1827" s="14"/>
      <c r="GT1827" s="14"/>
      <c r="GU1827" s="14"/>
      <c r="GV1827" s="14"/>
      <c r="GW1827" s="14"/>
      <c r="GX1827" s="14"/>
      <c r="GY1827" s="14"/>
      <c r="GZ1827" s="14"/>
      <c r="HA1827" s="14"/>
    </row>
    <row r="1828" ht="23.25" customHeight="1">
      <c r="A1828" s="14"/>
      <c r="B1828" s="14"/>
      <c r="C1828" s="36" t="s">
        <v>13</v>
      </c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57" t="s">
        <v>5148</v>
      </c>
      <c r="AY1828" s="57" t="s">
        <v>1136</v>
      </c>
      <c r="AZ1828" s="57" t="s">
        <v>5149</v>
      </c>
      <c r="BA1828" s="57" t="s">
        <v>345</v>
      </c>
      <c r="BB1828" s="57" t="s">
        <v>410</v>
      </c>
      <c r="BC1828" s="58">
        <v>43924.0</v>
      </c>
      <c r="BD1828" s="58">
        <v>43954.0</v>
      </c>
      <c r="BE1828" s="14"/>
      <c r="BF1828" s="60">
        <v>97.0</v>
      </c>
      <c r="BG1828" s="14"/>
      <c r="BH1828" s="59" t="s">
        <v>5150</v>
      </c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57"/>
      <c r="BX1828" s="57"/>
      <c r="BY1828" s="14"/>
      <c r="BZ1828" s="57"/>
      <c r="CA1828" s="57"/>
      <c r="CB1828" s="57"/>
      <c r="CC1828" s="57"/>
      <c r="CD1828" s="58"/>
      <c r="CE1828" s="58"/>
      <c r="CF1828" s="57"/>
      <c r="CG1828" s="57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14"/>
      <c r="DC1828" s="14"/>
      <c r="DD1828" s="14"/>
      <c r="DE1828" s="14"/>
      <c r="DF1828" s="14"/>
      <c r="DG1828" s="14"/>
      <c r="DH1828" s="14"/>
      <c r="DI1828" s="14"/>
      <c r="DJ1828" s="14"/>
      <c r="DK1828" s="14"/>
      <c r="DL1828" s="14"/>
      <c r="DM1828" s="14"/>
      <c r="DN1828" s="14"/>
      <c r="DO1828" s="14"/>
      <c r="DP1828" s="14"/>
      <c r="DQ1828" s="14"/>
      <c r="DR1828" s="14"/>
      <c r="DS1828" s="14"/>
      <c r="DT1828" s="14"/>
      <c r="DU1828" s="14"/>
      <c r="DV1828" s="14"/>
      <c r="DW1828" s="14"/>
      <c r="DX1828" s="14"/>
      <c r="DY1828" s="14"/>
      <c r="DZ1828" s="14"/>
      <c r="EA1828" s="14"/>
      <c r="EB1828" s="14"/>
      <c r="EC1828" s="14"/>
      <c r="ED1828" s="14"/>
      <c r="EE1828" s="14"/>
      <c r="EF1828" s="14"/>
      <c r="EG1828" s="14"/>
      <c r="EH1828" s="14"/>
      <c r="EI1828" s="14"/>
      <c r="EJ1828" s="14"/>
      <c r="EK1828" s="14"/>
      <c r="EL1828" s="14"/>
      <c r="EM1828" s="14"/>
      <c r="EN1828" s="14"/>
      <c r="EO1828" s="14"/>
      <c r="EP1828" s="14"/>
      <c r="EQ1828" s="14"/>
      <c r="ER1828" s="14"/>
      <c r="ES1828" s="14"/>
      <c r="ET1828" s="14"/>
      <c r="EU1828" s="14"/>
      <c r="EV1828" s="14"/>
      <c r="EW1828" s="14"/>
      <c r="EX1828" s="14"/>
      <c r="EY1828" s="14"/>
      <c r="EZ1828" s="14"/>
      <c r="FA1828" s="14"/>
      <c r="FB1828" s="14"/>
      <c r="FC1828" s="14"/>
      <c r="FD1828" s="14"/>
      <c r="FE1828" s="14"/>
      <c r="FF1828" s="14"/>
      <c r="FG1828" s="14"/>
      <c r="FH1828" s="14"/>
      <c r="FI1828" s="14"/>
      <c r="FJ1828" s="14"/>
      <c r="FK1828" s="14"/>
      <c r="FL1828" s="57" t="s">
        <v>1138</v>
      </c>
      <c r="FM1828" s="57" t="s">
        <v>260</v>
      </c>
      <c r="FN1828" s="14"/>
      <c r="FO1828" s="14"/>
      <c r="FP1828" s="14"/>
      <c r="FQ1828" s="14"/>
      <c r="FR1828" s="14"/>
      <c r="FS1828" s="14"/>
      <c r="FT1828" s="14"/>
      <c r="FU1828" s="14"/>
      <c r="FV1828" s="14"/>
      <c r="FW1828" s="14"/>
      <c r="FX1828" s="14"/>
      <c r="FY1828" s="14"/>
      <c r="FZ1828" s="14"/>
      <c r="GA1828" s="14"/>
      <c r="GB1828" s="14"/>
      <c r="GC1828" s="14"/>
      <c r="GD1828" s="14"/>
      <c r="GE1828" s="14"/>
      <c r="GF1828" s="14"/>
      <c r="GG1828" s="14"/>
      <c r="GH1828" s="14"/>
      <c r="GI1828" s="14"/>
      <c r="GJ1828" s="14"/>
      <c r="GK1828" s="14"/>
      <c r="GL1828" s="14"/>
      <c r="GM1828" s="14"/>
      <c r="GN1828" s="14"/>
      <c r="GO1828" s="14"/>
      <c r="GP1828" s="14"/>
      <c r="GQ1828" s="14"/>
      <c r="GR1828" s="14"/>
      <c r="GS1828" s="14"/>
      <c r="GT1828" s="14"/>
      <c r="GU1828" s="14"/>
      <c r="GV1828" s="14"/>
      <c r="GW1828" s="14"/>
      <c r="GX1828" s="14"/>
      <c r="GY1828" s="14"/>
      <c r="GZ1828" s="14"/>
      <c r="HA1828" s="14"/>
    </row>
    <row r="1829" ht="23.25" customHeight="1">
      <c r="A1829" s="14"/>
      <c r="B1829" s="14"/>
      <c r="C1829" s="36" t="s">
        <v>13</v>
      </c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57" t="s">
        <v>5148</v>
      </c>
      <c r="AY1829" s="57" t="s">
        <v>1136</v>
      </c>
      <c r="AZ1829" s="57" t="s">
        <v>1569</v>
      </c>
      <c r="BA1829" s="57" t="s">
        <v>345</v>
      </c>
      <c r="BB1829" s="57" t="s">
        <v>410</v>
      </c>
      <c r="BC1829" s="58">
        <v>44334.0</v>
      </c>
      <c r="BD1829" s="58">
        <v>44365.0</v>
      </c>
      <c r="BE1829" s="14"/>
      <c r="BF1829" s="60">
        <v>97.0</v>
      </c>
      <c r="BG1829" s="14"/>
      <c r="BH1829" s="59" t="s">
        <v>5151</v>
      </c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57"/>
      <c r="BX1829" s="57"/>
      <c r="BY1829" s="14"/>
      <c r="BZ1829" s="57"/>
      <c r="CA1829" s="57"/>
      <c r="CB1829" s="57"/>
      <c r="CC1829" s="57"/>
      <c r="CD1829" s="58"/>
      <c r="CE1829" s="58"/>
      <c r="CF1829" s="57"/>
      <c r="CG1829" s="57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14"/>
      <c r="DC1829" s="14"/>
      <c r="DD1829" s="14"/>
      <c r="DE1829" s="14"/>
      <c r="DF1829" s="14"/>
      <c r="DG1829" s="14"/>
      <c r="DH1829" s="14"/>
      <c r="DI1829" s="14"/>
      <c r="DJ1829" s="14"/>
      <c r="DK1829" s="14"/>
      <c r="DL1829" s="14"/>
      <c r="DM1829" s="14"/>
      <c r="DN1829" s="14"/>
      <c r="DO1829" s="14"/>
      <c r="DP1829" s="14"/>
      <c r="DQ1829" s="14"/>
      <c r="DR1829" s="14"/>
      <c r="DS1829" s="14"/>
      <c r="DT1829" s="14"/>
      <c r="DU1829" s="14"/>
      <c r="DV1829" s="14"/>
      <c r="DW1829" s="14"/>
      <c r="DX1829" s="14"/>
      <c r="DY1829" s="14"/>
      <c r="DZ1829" s="14"/>
      <c r="EA1829" s="14"/>
      <c r="EB1829" s="14"/>
      <c r="EC1829" s="14"/>
      <c r="ED1829" s="14"/>
      <c r="EE1829" s="14"/>
      <c r="EF1829" s="14"/>
      <c r="EG1829" s="14"/>
      <c r="EH1829" s="14"/>
      <c r="EI1829" s="14"/>
      <c r="EJ1829" s="14"/>
      <c r="EK1829" s="14"/>
      <c r="EL1829" s="14"/>
      <c r="EM1829" s="14"/>
      <c r="EN1829" s="14"/>
      <c r="EO1829" s="14"/>
      <c r="EP1829" s="14"/>
      <c r="EQ1829" s="14"/>
      <c r="ER1829" s="14"/>
      <c r="ES1829" s="14"/>
      <c r="ET1829" s="14"/>
      <c r="EU1829" s="14"/>
      <c r="EV1829" s="14"/>
      <c r="EW1829" s="14"/>
      <c r="EX1829" s="14"/>
      <c r="EY1829" s="14"/>
      <c r="EZ1829" s="14"/>
      <c r="FA1829" s="14"/>
      <c r="FB1829" s="14"/>
      <c r="FC1829" s="14"/>
      <c r="FD1829" s="14"/>
      <c r="FE1829" s="14"/>
      <c r="FF1829" s="14"/>
      <c r="FG1829" s="14"/>
      <c r="FH1829" s="14"/>
      <c r="FI1829" s="14"/>
      <c r="FJ1829" s="14"/>
      <c r="FK1829" s="14"/>
      <c r="FL1829" s="57" t="s">
        <v>1138</v>
      </c>
      <c r="FM1829" s="57" t="s">
        <v>260</v>
      </c>
      <c r="FN1829" s="14"/>
      <c r="FO1829" s="14"/>
      <c r="FP1829" s="14"/>
      <c r="FQ1829" s="14"/>
      <c r="FR1829" s="14"/>
      <c r="FS1829" s="14"/>
      <c r="FT1829" s="14"/>
      <c r="FU1829" s="14"/>
      <c r="FV1829" s="14"/>
      <c r="FW1829" s="14"/>
      <c r="FX1829" s="14"/>
      <c r="FY1829" s="14"/>
      <c r="FZ1829" s="14"/>
      <c r="GA1829" s="14"/>
      <c r="GB1829" s="14"/>
      <c r="GC1829" s="14"/>
      <c r="GD1829" s="14"/>
      <c r="GE1829" s="14"/>
      <c r="GF1829" s="14"/>
      <c r="GG1829" s="14"/>
      <c r="GH1829" s="14"/>
      <c r="GI1829" s="14"/>
      <c r="GJ1829" s="14"/>
      <c r="GK1829" s="14"/>
      <c r="GL1829" s="14"/>
      <c r="GM1829" s="14"/>
      <c r="GN1829" s="14"/>
      <c r="GO1829" s="14"/>
      <c r="GP1829" s="14"/>
      <c r="GQ1829" s="14"/>
      <c r="GR1829" s="14"/>
      <c r="GS1829" s="14"/>
      <c r="GT1829" s="14"/>
      <c r="GU1829" s="14"/>
      <c r="GV1829" s="14"/>
      <c r="GW1829" s="14"/>
      <c r="GX1829" s="14"/>
      <c r="GY1829" s="14"/>
      <c r="GZ1829" s="14"/>
      <c r="HA1829" s="14"/>
    </row>
    <row r="1830" ht="23.25" customHeight="1">
      <c r="A1830" s="14"/>
      <c r="B1830" s="14"/>
      <c r="C1830" s="36" t="s">
        <v>13</v>
      </c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57" t="s">
        <v>5148</v>
      </c>
      <c r="AY1830" s="57" t="s">
        <v>1136</v>
      </c>
      <c r="AZ1830" s="57" t="s">
        <v>5152</v>
      </c>
      <c r="BA1830" s="57" t="s">
        <v>345</v>
      </c>
      <c r="BB1830" s="57" t="s">
        <v>410</v>
      </c>
      <c r="BC1830" s="58">
        <v>43937.0</v>
      </c>
      <c r="BD1830" s="58">
        <v>43967.0</v>
      </c>
      <c r="BE1830" s="14"/>
      <c r="BF1830" s="60">
        <v>98.0</v>
      </c>
      <c r="BG1830" s="14"/>
      <c r="BH1830" s="59" t="s">
        <v>5153</v>
      </c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57"/>
      <c r="BX1830" s="57"/>
      <c r="BY1830" s="14"/>
      <c r="BZ1830" s="57"/>
      <c r="CA1830" s="57"/>
      <c r="CB1830" s="57"/>
      <c r="CC1830" s="57"/>
      <c r="CD1830" s="58"/>
      <c r="CE1830" s="58"/>
      <c r="CF1830" s="57"/>
      <c r="CG1830" s="57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14"/>
      <c r="DC1830" s="14"/>
      <c r="DD1830" s="14"/>
      <c r="DE1830" s="14"/>
      <c r="DF1830" s="14"/>
      <c r="DG1830" s="14"/>
      <c r="DH1830" s="14"/>
      <c r="DI1830" s="14"/>
      <c r="DJ1830" s="14"/>
      <c r="DK1830" s="14"/>
      <c r="DL1830" s="14"/>
      <c r="DM1830" s="14"/>
      <c r="DN1830" s="14"/>
      <c r="DO1830" s="14"/>
      <c r="DP1830" s="14"/>
      <c r="DQ1830" s="14"/>
      <c r="DR1830" s="14"/>
      <c r="DS1830" s="14"/>
      <c r="DT1830" s="14"/>
      <c r="DU1830" s="14"/>
      <c r="DV1830" s="14"/>
      <c r="DW1830" s="14"/>
      <c r="DX1830" s="14"/>
      <c r="DY1830" s="14"/>
      <c r="DZ1830" s="14"/>
      <c r="EA1830" s="14"/>
      <c r="EB1830" s="14"/>
      <c r="EC1830" s="14"/>
      <c r="ED1830" s="14"/>
      <c r="EE1830" s="14"/>
      <c r="EF1830" s="14"/>
      <c r="EG1830" s="14"/>
      <c r="EH1830" s="14"/>
      <c r="EI1830" s="14"/>
      <c r="EJ1830" s="14"/>
      <c r="EK1830" s="14"/>
      <c r="EL1830" s="14"/>
      <c r="EM1830" s="14"/>
      <c r="EN1830" s="14"/>
      <c r="EO1830" s="14"/>
      <c r="EP1830" s="14"/>
      <c r="EQ1830" s="14"/>
      <c r="ER1830" s="14"/>
      <c r="ES1830" s="14"/>
      <c r="ET1830" s="14"/>
      <c r="EU1830" s="14"/>
      <c r="EV1830" s="14"/>
      <c r="EW1830" s="14"/>
      <c r="EX1830" s="14"/>
      <c r="EY1830" s="14"/>
      <c r="EZ1830" s="14"/>
      <c r="FA1830" s="14"/>
      <c r="FB1830" s="14"/>
      <c r="FC1830" s="14"/>
      <c r="FD1830" s="14"/>
      <c r="FE1830" s="14"/>
      <c r="FF1830" s="14"/>
      <c r="FG1830" s="14"/>
      <c r="FH1830" s="14"/>
      <c r="FI1830" s="14"/>
      <c r="FJ1830" s="14"/>
      <c r="FK1830" s="14"/>
      <c r="FL1830" s="57" t="s">
        <v>1138</v>
      </c>
      <c r="FM1830" s="57" t="s">
        <v>260</v>
      </c>
      <c r="FN1830" s="14"/>
      <c r="FO1830" s="14"/>
      <c r="FP1830" s="14"/>
      <c r="FQ1830" s="14"/>
      <c r="FR1830" s="14"/>
      <c r="FS1830" s="14"/>
      <c r="FT1830" s="14"/>
      <c r="FU1830" s="14"/>
      <c r="FV1830" s="14"/>
      <c r="FW1830" s="14"/>
      <c r="FX1830" s="14"/>
      <c r="FY1830" s="14"/>
      <c r="FZ1830" s="14"/>
      <c r="GA1830" s="14"/>
      <c r="GB1830" s="14"/>
      <c r="GC1830" s="14"/>
      <c r="GD1830" s="14"/>
      <c r="GE1830" s="14"/>
      <c r="GF1830" s="14"/>
      <c r="GG1830" s="14"/>
      <c r="GH1830" s="14"/>
      <c r="GI1830" s="14"/>
      <c r="GJ1830" s="14"/>
      <c r="GK1830" s="14"/>
      <c r="GL1830" s="14"/>
      <c r="GM1830" s="14"/>
      <c r="GN1830" s="14"/>
      <c r="GO1830" s="14"/>
      <c r="GP1830" s="14"/>
      <c r="GQ1830" s="14"/>
      <c r="GR1830" s="14"/>
      <c r="GS1830" s="14"/>
      <c r="GT1830" s="14"/>
      <c r="GU1830" s="14"/>
      <c r="GV1830" s="14"/>
      <c r="GW1830" s="14"/>
      <c r="GX1830" s="14"/>
      <c r="GY1830" s="14"/>
      <c r="GZ1830" s="14"/>
      <c r="HA1830" s="14"/>
    </row>
    <row r="1831" ht="23.25" customHeight="1">
      <c r="A1831" s="14"/>
      <c r="B1831" s="14"/>
      <c r="C1831" s="36" t="s">
        <v>13</v>
      </c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57" t="s">
        <v>5148</v>
      </c>
      <c r="AY1831" s="57" t="s">
        <v>1136</v>
      </c>
      <c r="AZ1831" s="57" t="s">
        <v>5154</v>
      </c>
      <c r="BA1831" s="57" t="s">
        <v>345</v>
      </c>
      <c r="BB1831" s="57" t="s">
        <v>5155</v>
      </c>
      <c r="BC1831" s="58">
        <v>44623.0</v>
      </c>
      <c r="BD1831" s="58">
        <v>44630.0</v>
      </c>
      <c r="BE1831" s="14"/>
      <c r="BF1831" s="60">
        <v>98.0</v>
      </c>
      <c r="BG1831" s="14"/>
      <c r="BH1831" s="59" t="s">
        <v>5156</v>
      </c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57"/>
      <c r="BX1831" s="57"/>
      <c r="BY1831" s="14"/>
      <c r="BZ1831" s="57"/>
      <c r="CA1831" s="57"/>
      <c r="CB1831" s="57"/>
      <c r="CC1831" s="57"/>
      <c r="CD1831" s="58"/>
      <c r="CE1831" s="58"/>
      <c r="CF1831" s="57"/>
      <c r="CG1831" s="57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14"/>
      <c r="DC1831" s="14"/>
      <c r="DD1831" s="14"/>
      <c r="DE1831" s="14"/>
      <c r="DF1831" s="14"/>
      <c r="DG1831" s="14"/>
      <c r="DH1831" s="14"/>
      <c r="DI1831" s="14"/>
      <c r="DJ1831" s="14"/>
      <c r="DK1831" s="14"/>
      <c r="DL1831" s="14"/>
      <c r="DM1831" s="14"/>
      <c r="DN1831" s="14"/>
      <c r="DO1831" s="14"/>
      <c r="DP1831" s="14"/>
      <c r="DQ1831" s="14"/>
      <c r="DR1831" s="14"/>
      <c r="DS1831" s="14"/>
      <c r="DT1831" s="14"/>
      <c r="DU1831" s="14"/>
      <c r="DV1831" s="14"/>
      <c r="DW1831" s="14"/>
      <c r="DX1831" s="14"/>
      <c r="DY1831" s="14"/>
      <c r="DZ1831" s="14"/>
      <c r="EA1831" s="14"/>
      <c r="EB1831" s="14"/>
      <c r="EC1831" s="14"/>
      <c r="ED1831" s="14"/>
      <c r="EE1831" s="14"/>
      <c r="EF1831" s="14"/>
      <c r="EG1831" s="14"/>
      <c r="EH1831" s="14"/>
      <c r="EI1831" s="14"/>
      <c r="EJ1831" s="14"/>
      <c r="EK1831" s="14"/>
      <c r="EL1831" s="14"/>
      <c r="EM1831" s="14"/>
      <c r="EN1831" s="14"/>
      <c r="EO1831" s="14"/>
      <c r="EP1831" s="14"/>
      <c r="EQ1831" s="14"/>
      <c r="ER1831" s="14"/>
      <c r="ES1831" s="14"/>
      <c r="ET1831" s="14"/>
      <c r="EU1831" s="14"/>
      <c r="EV1831" s="14"/>
      <c r="EW1831" s="14"/>
      <c r="EX1831" s="14"/>
      <c r="EY1831" s="14"/>
      <c r="EZ1831" s="14"/>
      <c r="FA1831" s="14"/>
      <c r="FB1831" s="14"/>
      <c r="FC1831" s="14"/>
      <c r="FD1831" s="14"/>
      <c r="FE1831" s="14"/>
      <c r="FF1831" s="14"/>
      <c r="FG1831" s="14"/>
      <c r="FH1831" s="14"/>
      <c r="FI1831" s="14"/>
      <c r="FJ1831" s="14"/>
      <c r="FK1831" s="14"/>
      <c r="FL1831" s="57" t="s">
        <v>1138</v>
      </c>
      <c r="FM1831" s="57" t="s">
        <v>260</v>
      </c>
      <c r="FN1831" s="14"/>
      <c r="FO1831" s="14"/>
      <c r="FP1831" s="14"/>
      <c r="FQ1831" s="14"/>
      <c r="FR1831" s="14"/>
      <c r="FS1831" s="14"/>
      <c r="FT1831" s="14"/>
      <c r="FU1831" s="14"/>
      <c r="FV1831" s="14"/>
      <c r="FW1831" s="14"/>
      <c r="FX1831" s="14"/>
      <c r="FY1831" s="14"/>
      <c r="FZ1831" s="14"/>
      <c r="GA1831" s="14"/>
      <c r="GB1831" s="14"/>
      <c r="GC1831" s="14"/>
      <c r="GD1831" s="14"/>
      <c r="GE1831" s="14"/>
      <c r="GF1831" s="14"/>
      <c r="GG1831" s="14"/>
      <c r="GH1831" s="14"/>
      <c r="GI1831" s="14"/>
      <c r="GJ1831" s="14"/>
      <c r="GK1831" s="14"/>
      <c r="GL1831" s="14"/>
      <c r="GM1831" s="14"/>
      <c r="GN1831" s="14"/>
      <c r="GO1831" s="14"/>
      <c r="GP1831" s="14"/>
      <c r="GQ1831" s="14"/>
      <c r="GR1831" s="14"/>
      <c r="GS1831" s="14"/>
      <c r="GT1831" s="14"/>
      <c r="GU1831" s="14"/>
      <c r="GV1831" s="14"/>
      <c r="GW1831" s="14"/>
      <c r="GX1831" s="14"/>
      <c r="GY1831" s="14"/>
      <c r="GZ1831" s="14"/>
      <c r="HA1831" s="14"/>
    </row>
    <row r="1832" ht="23.25" customHeight="1">
      <c r="A1832" s="14"/>
      <c r="B1832" s="14"/>
      <c r="C1832" s="36" t="s">
        <v>13</v>
      </c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57" t="s">
        <v>5148</v>
      </c>
      <c r="AY1832" s="57" t="s">
        <v>1136</v>
      </c>
      <c r="AZ1832" s="57" t="s">
        <v>662</v>
      </c>
      <c r="BA1832" s="57" t="s">
        <v>2131</v>
      </c>
      <c r="BB1832" s="57" t="s">
        <v>410</v>
      </c>
      <c r="BC1832" s="58">
        <v>44348.0</v>
      </c>
      <c r="BD1832" s="58">
        <v>44378.0</v>
      </c>
      <c r="BE1832" s="14"/>
      <c r="BF1832" s="60">
        <v>92.0</v>
      </c>
      <c r="BG1832" s="14"/>
      <c r="BH1832" s="59" t="s">
        <v>5157</v>
      </c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57"/>
      <c r="BX1832" s="57"/>
      <c r="BY1832" s="14"/>
      <c r="BZ1832" s="57"/>
      <c r="CA1832" s="57"/>
      <c r="CB1832" s="57"/>
      <c r="CC1832" s="57"/>
      <c r="CD1832" s="58"/>
      <c r="CE1832" s="58"/>
      <c r="CF1832" s="57"/>
      <c r="CG1832" s="57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14"/>
      <c r="DC1832" s="14"/>
      <c r="DD1832" s="14"/>
      <c r="DE1832" s="14"/>
      <c r="DF1832" s="14"/>
      <c r="DG1832" s="14"/>
      <c r="DH1832" s="14"/>
      <c r="DI1832" s="14"/>
      <c r="DJ1832" s="14"/>
      <c r="DK1832" s="14"/>
      <c r="DL1832" s="14"/>
      <c r="DM1832" s="14"/>
      <c r="DN1832" s="14"/>
      <c r="DO1832" s="14"/>
      <c r="DP1832" s="14"/>
      <c r="DQ1832" s="14"/>
      <c r="DR1832" s="14"/>
      <c r="DS1832" s="14"/>
      <c r="DT1832" s="14"/>
      <c r="DU1832" s="14"/>
      <c r="DV1832" s="14"/>
      <c r="DW1832" s="14"/>
      <c r="DX1832" s="14"/>
      <c r="DY1832" s="14"/>
      <c r="DZ1832" s="14"/>
      <c r="EA1832" s="14"/>
      <c r="EB1832" s="14"/>
      <c r="EC1832" s="14"/>
      <c r="ED1832" s="14"/>
      <c r="EE1832" s="14"/>
      <c r="EF1832" s="14"/>
      <c r="EG1832" s="14"/>
      <c r="EH1832" s="14"/>
      <c r="EI1832" s="14"/>
      <c r="EJ1832" s="14"/>
      <c r="EK1832" s="14"/>
      <c r="EL1832" s="14"/>
      <c r="EM1832" s="14"/>
      <c r="EN1832" s="14"/>
      <c r="EO1832" s="14"/>
      <c r="EP1832" s="14"/>
      <c r="EQ1832" s="14"/>
      <c r="ER1832" s="14"/>
      <c r="ES1832" s="14"/>
      <c r="ET1832" s="14"/>
      <c r="EU1832" s="14"/>
      <c r="EV1832" s="14"/>
      <c r="EW1832" s="14"/>
      <c r="EX1832" s="14"/>
      <c r="EY1832" s="14"/>
      <c r="EZ1832" s="14"/>
      <c r="FA1832" s="14"/>
      <c r="FB1832" s="14"/>
      <c r="FC1832" s="14"/>
      <c r="FD1832" s="14"/>
      <c r="FE1832" s="14"/>
      <c r="FF1832" s="14"/>
      <c r="FG1832" s="14"/>
      <c r="FH1832" s="14"/>
      <c r="FI1832" s="14"/>
      <c r="FJ1832" s="14"/>
      <c r="FK1832" s="14"/>
      <c r="FL1832" s="57" t="s">
        <v>1138</v>
      </c>
      <c r="FM1832" s="57" t="s">
        <v>260</v>
      </c>
      <c r="FN1832" s="14"/>
      <c r="FO1832" s="14"/>
      <c r="FP1832" s="14"/>
      <c r="FQ1832" s="14"/>
      <c r="FR1832" s="14"/>
      <c r="FS1832" s="14"/>
      <c r="FT1832" s="14"/>
      <c r="FU1832" s="14"/>
      <c r="FV1832" s="14"/>
      <c r="FW1832" s="14"/>
      <c r="FX1832" s="14"/>
      <c r="FY1832" s="14"/>
      <c r="FZ1832" s="14"/>
      <c r="GA1832" s="14"/>
      <c r="GB1832" s="14"/>
      <c r="GC1832" s="14"/>
      <c r="GD1832" s="14"/>
      <c r="GE1832" s="14"/>
      <c r="GF1832" s="14"/>
      <c r="GG1832" s="14"/>
      <c r="GH1832" s="14"/>
      <c r="GI1832" s="14"/>
      <c r="GJ1832" s="14"/>
      <c r="GK1832" s="14"/>
      <c r="GL1832" s="14"/>
      <c r="GM1832" s="14"/>
      <c r="GN1832" s="14"/>
      <c r="GO1832" s="14"/>
      <c r="GP1832" s="14"/>
      <c r="GQ1832" s="14"/>
      <c r="GR1832" s="14"/>
      <c r="GS1832" s="14"/>
      <c r="GT1832" s="14"/>
      <c r="GU1832" s="14"/>
      <c r="GV1832" s="14"/>
      <c r="GW1832" s="14"/>
      <c r="GX1832" s="14"/>
      <c r="GY1832" s="14"/>
      <c r="GZ1832" s="14"/>
      <c r="HA1832" s="14"/>
    </row>
    <row r="1833" ht="23.25" customHeight="1">
      <c r="A1833" s="14"/>
      <c r="B1833" s="14"/>
      <c r="C1833" s="36" t="s">
        <v>13</v>
      </c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57" t="s">
        <v>448</v>
      </c>
      <c r="AY1833" s="57" t="s">
        <v>449</v>
      </c>
      <c r="AZ1833" s="57" t="s">
        <v>566</v>
      </c>
      <c r="BA1833" s="57" t="s">
        <v>620</v>
      </c>
      <c r="BB1833" s="57" t="s">
        <v>1311</v>
      </c>
      <c r="BC1833" s="58">
        <v>44371.0</v>
      </c>
      <c r="BD1833" s="58">
        <v>44378.0</v>
      </c>
      <c r="BE1833" s="14"/>
      <c r="BF1833" s="60">
        <v>100.0</v>
      </c>
      <c r="BG1833" s="14"/>
      <c r="BH1833" s="59" t="s">
        <v>5158</v>
      </c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57"/>
      <c r="BX1833" s="57"/>
      <c r="BY1833" s="14"/>
      <c r="BZ1833" s="57"/>
      <c r="CA1833" s="57"/>
      <c r="CB1833" s="57"/>
      <c r="CC1833" s="57"/>
      <c r="CD1833" s="58"/>
      <c r="CE1833" s="58"/>
      <c r="CF1833" s="57"/>
      <c r="CG1833" s="57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14"/>
      <c r="DC1833" s="14"/>
      <c r="DD1833" s="14"/>
      <c r="DE1833" s="14"/>
      <c r="DF1833" s="14"/>
      <c r="DG1833" s="14"/>
      <c r="DH1833" s="14"/>
      <c r="DI1833" s="14"/>
      <c r="DJ1833" s="14"/>
      <c r="DK1833" s="14"/>
      <c r="DL1833" s="14"/>
      <c r="DM1833" s="14"/>
      <c r="DN1833" s="14"/>
      <c r="DO1833" s="14"/>
      <c r="DP1833" s="14"/>
      <c r="DQ1833" s="14"/>
      <c r="DR1833" s="14"/>
      <c r="DS1833" s="14"/>
      <c r="DT1833" s="14"/>
      <c r="DU1833" s="14"/>
      <c r="DV1833" s="14"/>
      <c r="DW1833" s="14"/>
      <c r="DX1833" s="14"/>
      <c r="DY1833" s="14"/>
      <c r="DZ1833" s="14"/>
      <c r="EA1833" s="14"/>
      <c r="EB1833" s="14"/>
      <c r="EC1833" s="14"/>
      <c r="ED1833" s="14"/>
      <c r="EE1833" s="14"/>
      <c r="EF1833" s="14"/>
      <c r="EG1833" s="14"/>
      <c r="EH1833" s="14"/>
      <c r="EI1833" s="14"/>
      <c r="EJ1833" s="14"/>
      <c r="EK1833" s="14"/>
      <c r="EL1833" s="14"/>
      <c r="EM1833" s="14"/>
      <c r="EN1833" s="14"/>
      <c r="EO1833" s="14"/>
      <c r="EP1833" s="14"/>
      <c r="EQ1833" s="14"/>
      <c r="ER1833" s="14"/>
      <c r="ES1833" s="14"/>
      <c r="ET1833" s="14"/>
      <c r="EU1833" s="14"/>
      <c r="EV1833" s="14"/>
      <c r="EW1833" s="14"/>
      <c r="EX1833" s="14"/>
      <c r="EY1833" s="14"/>
      <c r="EZ1833" s="14"/>
      <c r="FA1833" s="14"/>
      <c r="FB1833" s="14"/>
      <c r="FC1833" s="14"/>
      <c r="FD1833" s="14"/>
      <c r="FE1833" s="14"/>
      <c r="FF1833" s="14"/>
      <c r="FG1833" s="14"/>
      <c r="FH1833" s="14"/>
      <c r="FI1833" s="14"/>
      <c r="FJ1833" s="14"/>
      <c r="FK1833" s="14"/>
      <c r="FL1833" s="57" t="s">
        <v>5258</v>
      </c>
      <c r="FM1833" s="57" t="s">
        <v>260</v>
      </c>
      <c r="FN1833" s="14"/>
      <c r="FO1833" s="14"/>
      <c r="FP1833" s="14"/>
      <c r="FQ1833" s="14"/>
      <c r="FR1833" s="14"/>
      <c r="FS1833" s="14"/>
      <c r="FT1833" s="14"/>
      <c r="FU1833" s="14"/>
      <c r="FV1833" s="14"/>
      <c r="FW1833" s="14"/>
      <c r="FX1833" s="14"/>
      <c r="FY1833" s="14"/>
      <c r="FZ1833" s="14"/>
      <c r="GA1833" s="14"/>
      <c r="GB1833" s="14"/>
      <c r="GC1833" s="14"/>
      <c r="GD1833" s="14"/>
      <c r="GE1833" s="14"/>
      <c r="GF1833" s="14"/>
      <c r="GG1833" s="14"/>
      <c r="GH1833" s="14"/>
      <c r="GI1833" s="14"/>
      <c r="GJ1833" s="14"/>
      <c r="GK1833" s="14"/>
      <c r="GL1833" s="14"/>
      <c r="GM1833" s="14"/>
      <c r="GN1833" s="14"/>
      <c r="GO1833" s="14"/>
      <c r="GP1833" s="14"/>
      <c r="GQ1833" s="14"/>
      <c r="GR1833" s="14"/>
      <c r="GS1833" s="14"/>
      <c r="GT1833" s="14"/>
      <c r="GU1833" s="14"/>
      <c r="GV1833" s="14"/>
      <c r="GW1833" s="14"/>
      <c r="GX1833" s="14"/>
      <c r="GY1833" s="14"/>
      <c r="GZ1833" s="14"/>
      <c r="HA1833" s="14"/>
    </row>
    <row r="1834" ht="23.25" customHeight="1">
      <c r="A1834" s="14"/>
      <c r="B1834" s="14"/>
      <c r="C1834" s="36" t="s">
        <v>13</v>
      </c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57" t="s">
        <v>448</v>
      </c>
      <c r="AY1834" s="57" t="s">
        <v>449</v>
      </c>
      <c r="AZ1834" s="57" t="s">
        <v>5159</v>
      </c>
      <c r="BA1834" s="57" t="s">
        <v>345</v>
      </c>
      <c r="BB1834" s="57" t="s">
        <v>1311</v>
      </c>
      <c r="BC1834" s="58">
        <v>43941.0</v>
      </c>
      <c r="BD1834" s="58">
        <v>43971.0</v>
      </c>
      <c r="BE1834" s="14"/>
      <c r="BF1834" s="60">
        <v>100.0</v>
      </c>
      <c r="BG1834" s="14"/>
      <c r="BH1834" s="59" t="s">
        <v>5160</v>
      </c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57"/>
      <c r="BX1834" s="57"/>
      <c r="BY1834" s="14"/>
      <c r="BZ1834" s="57"/>
      <c r="CA1834" s="57"/>
      <c r="CB1834" s="57"/>
      <c r="CC1834" s="57"/>
      <c r="CD1834" s="58"/>
      <c r="CE1834" s="58"/>
      <c r="CF1834" s="57"/>
      <c r="CG1834" s="57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14"/>
      <c r="DC1834" s="14"/>
      <c r="DD1834" s="14"/>
      <c r="DE1834" s="14"/>
      <c r="DF1834" s="14"/>
      <c r="DG1834" s="14"/>
      <c r="DH1834" s="14"/>
      <c r="DI1834" s="14"/>
      <c r="DJ1834" s="14"/>
      <c r="DK1834" s="14"/>
      <c r="DL1834" s="14"/>
      <c r="DM1834" s="14"/>
      <c r="DN1834" s="14"/>
      <c r="DO1834" s="14"/>
      <c r="DP1834" s="14"/>
      <c r="DQ1834" s="14"/>
      <c r="DR1834" s="14"/>
      <c r="DS1834" s="14"/>
      <c r="DT1834" s="14"/>
      <c r="DU1834" s="14"/>
      <c r="DV1834" s="14"/>
      <c r="DW1834" s="14"/>
      <c r="DX1834" s="14"/>
      <c r="DY1834" s="14"/>
      <c r="DZ1834" s="14"/>
      <c r="EA1834" s="14"/>
      <c r="EB1834" s="14"/>
      <c r="EC1834" s="14"/>
      <c r="ED1834" s="14"/>
      <c r="EE1834" s="14"/>
      <c r="EF1834" s="14"/>
      <c r="EG1834" s="14"/>
      <c r="EH1834" s="14"/>
      <c r="EI1834" s="14"/>
      <c r="EJ1834" s="14"/>
      <c r="EK1834" s="14"/>
      <c r="EL1834" s="14"/>
      <c r="EM1834" s="14"/>
      <c r="EN1834" s="14"/>
      <c r="EO1834" s="14"/>
      <c r="EP1834" s="14"/>
      <c r="EQ1834" s="14"/>
      <c r="ER1834" s="14"/>
      <c r="ES1834" s="14"/>
      <c r="ET1834" s="14"/>
      <c r="EU1834" s="14"/>
      <c r="EV1834" s="14"/>
      <c r="EW1834" s="14"/>
      <c r="EX1834" s="14"/>
      <c r="EY1834" s="14"/>
      <c r="EZ1834" s="14"/>
      <c r="FA1834" s="14"/>
      <c r="FB1834" s="14"/>
      <c r="FC1834" s="14"/>
      <c r="FD1834" s="14"/>
      <c r="FE1834" s="14"/>
      <c r="FF1834" s="14"/>
      <c r="FG1834" s="14"/>
      <c r="FH1834" s="14"/>
      <c r="FI1834" s="14"/>
      <c r="FJ1834" s="14"/>
      <c r="FK1834" s="14"/>
      <c r="FL1834" s="57" t="s">
        <v>452</v>
      </c>
      <c r="FM1834" s="57" t="s">
        <v>260</v>
      </c>
      <c r="FN1834" s="14"/>
      <c r="FO1834" s="14"/>
      <c r="FP1834" s="14"/>
      <c r="FQ1834" s="14"/>
      <c r="FR1834" s="14"/>
      <c r="FS1834" s="14"/>
      <c r="FT1834" s="14"/>
      <c r="FU1834" s="14"/>
      <c r="FV1834" s="14"/>
      <c r="FW1834" s="14"/>
      <c r="FX1834" s="14"/>
      <c r="FY1834" s="14"/>
      <c r="FZ1834" s="14"/>
      <c r="GA1834" s="14"/>
      <c r="GB1834" s="14"/>
      <c r="GC1834" s="14"/>
      <c r="GD1834" s="14"/>
      <c r="GE1834" s="14"/>
      <c r="GF1834" s="14"/>
      <c r="GG1834" s="14"/>
      <c r="GH1834" s="14"/>
      <c r="GI1834" s="14"/>
      <c r="GJ1834" s="14"/>
      <c r="GK1834" s="14"/>
      <c r="GL1834" s="14"/>
      <c r="GM1834" s="14"/>
      <c r="GN1834" s="14"/>
      <c r="GO1834" s="14"/>
      <c r="GP1834" s="14"/>
      <c r="GQ1834" s="14"/>
      <c r="GR1834" s="14"/>
      <c r="GS1834" s="14"/>
      <c r="GT1834" s="14"/>
      <c r="GU1834" s="14"/>
      <c r="GV1834" s="14"/>
      <c r="GW1834" s="14"/>
      <c r="GX1834" s="14"/>
      <c r="GY1834" s="14"/>
      <c r="GZ1834" s="14"/>
      <c r="HA1834" s="14"/>
    </row>
    <row r="1835" ht="23.25" customHeight="1">
      <c r="A1835" s="14"/>
      <c r="B1835" s="14"/>
      <c r="C1835" s="36" t="s">
        <v>13</v>
      </c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57" t="s">
        <v>448</v>
      </c>
      <c r="AY1835" s="57" t="s">
        <v>449</v>
      </c>
      <c r="AZ1835" s="57" t="s">
        <v>1374</v>
      </c>
      <c r="BA1835" s="57" t="s">
        <v>345</v>
      </c>
      <c r="BB1835" s="57" t="s">
        <v>1311</v>
      </c>
      <c r="BC1835" s="58">
        <v>43951.0</v>
      </c>
      <c r="BD1835" s="58">
        <v>43957.0</v>
      </c>
      <c r="BE1835" s="14"/>
      <c r="BF1835" s="60">
        <v>100.0</v>
      </c>
      <c r="BG1835" s="14"/>
      <c r="BH1835" s="59" t="s">
        <v>5161</v>
      </c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57"/>
      <c r="BX1835" s="57"/>
      <c r="BY1835" s="14"/>
      <c r="BZ1835" s="57"/>
      <c r="CA1835" s="57"/>
      <c r="CB1835" s="57"/>
      <c r="CC1835" s="57"/>
      <c r="CD1835" s="58"/>
      <c r="CE1835" s="58"/>
      <c r="CF1835" s="57"/>
      <c r="CG1835" s="57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14"/>
      <c r="DC1835" s="14"/>
      <c r="DD1835" s="14"/>
      <c r="DE1835" s="14"/>
      <c r="DF1835" s="14"/>
      <c r="DG1835" s="14"/>
      <c r="DH1835" s="14"/>
      <c r="DI1835" s="14"/>
      <c r="DJ1835" s="14"/>
      <c r="DK1835" s="14"/>
      <c r="DL1835" s="14"/>
      <c r="DM1835" s="14"/>
      <c r="DN1835" s="14"/>
      <c r="DO1835" s="14"/>
      <c r="DP1835" s="14"/>
      <c r="DQ1835" s="14"/>
      <c r="DR1835" s="14"/>
      <c r="DS1835" s="14"/>
      <c r="DT1835" s="14"/>
      <c r="DU1835" s="14"/>
      <c r="DV1835" s="14"/>
      <c r="DW1835" s="14"/>
      <c r="DX1835" s="14"/>
      <c r="DY1835" s="14"/>
      <c r="DZ1835" s="14"/>
      <c r="EA1835" s="14"/>
      <c r="EB1835" s="14"/>
      <c r="EC1835" s="14"/>
      <c r="ED1835" s="14"/>
      <c r="EE1835" s="14"/>
      <c r="EF1835" s="14"/>
      <c r="EG1835" s="14"/>
      <c r="EH1835" s="14"/>
      <c r="EI1835" s="14"/>
      <c r="EJ1835" s="14"/>
      <c r="EK1835" s="14"/>
      <c r="EL1835" s="14"/>
      <c r="EM1835" s="14"/>
      <c r="EN1835" s="14"/>
      <c r="EO1835" s="14"/>
      <c r="EP1835" s="14"/>
      <c r="EQ1835" s="14"/>
      <c r="ER1835" s="14"/>
      <c r="ES1835" s="14"/>
      <c r="ET1835" s="14"/>
      <c r="EU1835" s="14"/>
      <c r="EV1835" s="14"/>
      <c r="EW1835" s="14"/>
      <c r="EX1835" s="14"/>
      <c r="EY1835" s="14"/>
      <c r="EZ1835" s="14"/>
      <c r="FA1835" s="14"/>
      <c r="FB1835" s="14"/>
      <c r="FC1835" s="14"/>
      <c r="FD1835" s="14"/>
      <c r="FE1835" s="14"/>
      <c r="FF1835" s="14"/>
      <c r="FG1835" s="14"/>
      <c r="FH1835" s="14"/>
      <c r="FI1835" s="14"/>
      <c r="FJ1835" s="14"/>
      <c r="FK1835" s="14"/>
      <c r="FL1835" s="57" t="s">
        <v>452</v>
      </c>
      <c r="FM1835" s="57" t="s">
        <v>260</v>
      </c>
      <c r="FN1835" s="14"/>
      <c r="FO1835" s="14"/>
      <c r="FP1835" s="14"/>
      <c r="FQ1835" s="14"/>
      <c r="FR1835" s="14"/>
      <c r="FS1835" s="14"/>
      <c r="FT1835" s="14"/>
      <c r="FU1835" s="14"/>
      <c r="FV1835" s="14"/>
      <c r="FW1835" s="14"/>
      <c r="FX1835" s="14"/>
      <c r="FY1835" s="14"/>
      <c r="FZ1835" s="14"/>
      <c r="GA1835" s="14"/>
      <c r="GB1835" s="14"/>
      <c r="GC1835" s="14"/>
      <c r="GD1835" s="14"/>
      <c r="GE1835" s="14"/>
      <c r="GF1835" s="14"/>
      <c r="GG1835" s="14"/>
      <c r="GH1835" s="14"/>
      <c r="GI1835" s="14"/>
      <c r="GJ1835" s="14"/>
      <c r="GK1835" s="14"/>
      <c r="GL1835" s="14"/>
      <c r="GM1835" s="14"/>
      <c r="GN1835" s="14"/>
      <c r="GO1835" s="14"/>
      <c r="GP1835" s="14"/>
      <c r="GQ1835" s="14"/>
      <c r="GR1835" s="14"/>
      <c r="GS1835" s="14"/>
      <c r="GT1835" s="14"/>
      <c r="GU1835" s="14"/>
      <c r="GV1835" s="14"/>
      <c r="GW1835" s="14"/>
      <c r="GX1835" s="14"/>
      <c r="GY1835" s="14"/>
      <c r="GZ1835" s="14"/>
      <c r="HA1835" s="14"/>
    </row>
    <row r="1836" ht="23.25" customHeight="1">
      <c r="A1836" s="14"/>
      <c r="B1836" s="14"/>
      <c r="C1836" s="36" t="s">
        <v>13</v>
      </c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57" t="s">
        <v>1696</v>
      </c>
      <c r="AY1836" s="57" t="s">
        <v>403</v>
      </c>
      <c r="AZ1836" s="57" t="s">
        <v>5162</v>
      </c>
      <c r="BA1836" s="57" t="s">
        <v>345</v>
      </c>
      <c r="BB1836" s="57" t="s">
        <v>4010</v>
      </c>
      <c r="BC1836" s="58">
        <v>43997.0</v>
      </c>
      <c r="BD1836" s="58">
        <v>44013.0</v>
      </c>
      <c r="BE1836" s="14"/>
      <c r="BF1836" s="60">
        <v>100.0</v>
      </c>
      <c r="BG1836" s="14"/>
      <c r="BH1836" s="59" t="s">
        <v>5163</v>
      </c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57"/>
      <c r="BX1836" s="57"/>
      <c r="BY1836" s="14"/>
      <c r="BZ1836" s="57"/>
      <c r="CA1836" s="57"/>
      <c r="CB1836" s="57"/>
      <c r="CC1836" s="57"/>
      <c r="CD1836" s="58"/>
      <c r="CE1836" s="58"/>
      <c r="CF1836" s="57"/>
      <c r="CG1836" s="57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14"/>
      <c r="DC1836" s="14"/>
      <c r="DD1836" s="14"/>
      <c r="DE1836" s="14"/>
      <c r="DF1836" s="14"/>
      <c r="DG1836" s="14"/>
      <c r="DH1836" s="14"/>
      <c r="DI1836" s="14"/>
      <c r="DJ1836" s="14"/>
      <c r="DK1836" s="14"/>
      <c r="DL1836" s="14"/>
      <c r="DM1836" s="14"/>
      <c r="DN1836" s="14"/>
      <c r="DO1836" s="14"/>
      <c r="DP1836" s="14"/>
      <c r="DQ1836" s="14"/>
      <c r="DR1836" s="14"/>
      <c r="DS1836" s="14"/>
      <c r="DT1836" s="14"/>
      <c r="DU1836" s="14"/>
      <c r="DV1836" s="14"/>
      <c r="DW1836" s="14"/>
      <c r="DX1836" s="14"/>
      <c r="DY1836" s="14"/>
      <c r="DZ1836" s="14"/>
      <c r="EA1836" s="14"/>
      <c r="EB1836" s="14"/>
      <c r="EC1836" s="14"/>
      <c r="ED1836" s="14"/>
      <c r="EE1836" s="14"/>
      <c r="EF1836" s="14"/>
      <c r="EG1836" s="14"/>
      <c r="EH1836" s="14"/>
      <c r="EI1836" s="14"/>
      <c r="EJ1836" s="14"/>
      <c r="EK1836" s="14"/>
      <c r="EL1836" s="14"/>
      <c r="EM1836" s="14"/>
      <c r="EN1836" s="14"/>
      <c r="EO1836" s="14"/>
      <c r="EP1836" s="14"/>
      <c r="EQ1836" s="14"/>
      <c r="ER1836" s="14"/>
      <c r="ES1836" s="14"/>
      <c r="ET1836" s="14"/>
      <c r="EU1836" s="14"/>
      <c r="EV1836" s="14"/>
      <c r="EW1836" s="14"/>
      <c r="EX1836" s="14"/>
      <c r="EY1836" s="14"/>
      <c r="EZ1836" s="14"/>
      <c r="FA1836" s="14"/>
      <c r="FB1836" s="14"/>
      <c r="FC1836" s="14"/>
      <c r="FD1836" s="14"/>
      <c r="FE1836" s="14"/>
      <c r="FF1836" s="14"/>
      <c r="FG1836" s="14"/>
      <c r="FH1836" s="14"/>
      <c r="FI1836" s="14"/>
      <c r="FJ1836" s="14"/>
      <c r="FK1836" s="14"/>
      <c r="FL1836" s="57" t="s">
        <v>405</v>
      </c>
      <c r="FM1836" s="57" t="s">
        <v>260</v>
      </c>
      <c r="FN1836" s="14"/>
      <c r="FO1836" s="14"/>
      <c r="FP1836" s="14"/>
      <c r="FQ1836" s="14"/>
      <c r="FR1836" s="14"/>
      <c r="FS1836" s="14"/>
      <c r="FT1836" s="14"/>
      <c r="FU1836" s="14"/>
      <c r="FV1836" s="14"/>
      <c r="FW1836" s="14"/>
      <c r="FX1836" s="14"/>
      <c r="FY1836" s="14"/>
      <c r="FZ1836" s="14"/>
      <c r="GA1836" s="14"/>
      <c r="GB1836" s="14"/>
      <c r="GC1836" s="14"/>
      <c r="GD1836" s="14"/>
      <c r="GE1836" s="14"/>
      <c r="GF1836" s="14"/>
      <c r="GG1836" s="14"/>
      <c r="GH1836" s="14"/>
      <c r="GI1836" s="14"/>
      <c r="GJ1836" s="14"/>
      <c r="GK1836" s="14"/>
      <c r="GL1836" s="14"/>
      <c r="GM1836" s="14"/>
      <c r="GN1836" s="14"/>
      <c r="GO1836" s="14"/>
      <c r="GP1836" s="14"/>
      <c r="GQ1836" s="14"/>
      <c r="GR1836" s="14"/>
      <c r="GS1836" s="14"/>
      <c r="GT1836" s="14"/>
      <c r="GU1836" s="14"/>
      <c r="GV1836" s="14"/>
      <c r="GW1836" s="14"/>
      <c r="GX1836" s="14"/>
      <c r="GY1836" s="14"/>
      <c r="GZ1836" s="14"/>
      <c r="HA1836" s="14"/>
    </row>
    <row r="1837" ht="23.25" customHeight="1">
      <c r="A1837" s="14"/>
      <c r="B1837" s="14"/>
      <c r="C1837" s="36" t="s">
        <v>13</v>
      </c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57" t="s">
        <v>1696</v>
      </c>
      <c r="AY1837" s="57" t="s">
        <v>403</v>
      </c>
      <c r="AZ1837" s="57" t="s">
        <v>5164</v>
      </c>
      <c r="BA1837" s="57" t="s">
        <v>345</v>
      </c>
      <c r="BB1837" s="57" t="s">
        <v>4010</v>
      </c>
      <c r="BC1837" s="58">
        <v>44013.0</v>
      </c>
      <c r="BD1837" s="58">
        <v>44023.0</v>
      </c>
      <c r="BE1837" s="14"/>
      <c r="BF1837" s="60">
        <v>100.0</v>
      </c>
      <c r="BG1837" s="14"/>
      <c r="BH1837" s="59" t="s">
        <v>5165</v>
      </c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57"/>
      <c r="BX1837" s="57"/>
      <c r="BY1837" s="14"/>
      <c r="BZ1837" s="57"/>
      <c r="CA1837" s="57"/>
      <c r="CB1837" s="57"/>
      <c r="CC1837" s="57"/>
      <c r="CD1837" s="58"/>
      <c r="CE1837" s="58"/>
      <c r="CF1837" s="57"/>
      <c r="CG1837" s="57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14"/>
      <c r="DC1837" s="14"/>
      <c r="DD1837" s="14"/>
      <c r="DE1837" s="14"/>
      <c r="DF1837" s="14"/>
      <c r="DG1837" s="14"/>
      <c r="DH1837" s="14"/>
      <c r="DI1837" s="14"/>
      <c r="DJ1837" s="14"/>
      <c r="DK1837" s="14"/>
      <c r="DL1837" s="14"/>
      <c r="DM1837" s="14"/>
      <c r="DN1837" s="14"/>
      <c r="DO1837" s="14"/>
      <c r="DP1837" s="14"/>
      <c r="DQ1837" s="14"/>
      <c r="DR1837" s="14"/>
      <c r="DS1837" s="14"/>
      <c r="DT1837" s="14"/>
      <c r="DU1837" s="14"/>
      <c r="DV1837" s="14"/>
      <c r="DW1837" s="14"/>
      <c r="DX1837" s="14"/>
      <c r="DY1837" s="14"/>
      <c r="DZ1837" s="14"/>
      <c r="EA1837" s="14"/>
      <c r="EB1837" s="14"/>
      <c r="EC1837" s="14"/>
      <c r="ED1837" s="14"/>
      <c r="EE1837" s="14"/>
      <c r="EF1837" s="14"/>
      <c r="EG1837" s="14"/>
      <c r="EH1837" s="14"/>
      <c r="EI1837" s="14"/>
      <c r="EJ1837" s="14"/>
      <c r="EK1837" s="14"/>
      <c r="EL1837" s="14"/>
      <c r="EM1837" s="14"/>
      <c r="EN1837" s="14"/>
      <c r="EO1837" s="14"/>
      <c r="EP1837" s="14"/>
      <c r="EQ1837" s="14"/>
      <c r="ER1837" s="14"/>
      <c r="ES1837" s="14"/>
      <c r="ET1837" s="14"/>
      <c r="EU1837" s="14"/>
      <c r="EV1837" s="14"/>
      <c r="EW1837" s="14"/>
      <c r="EX1837" s="14"/>
      <c r="EY1837" s="14"/>
      <c r="EZ1837" s="14"/>
      <c r="FA1837" s="14"/>
      <c r="FB1837" s="14"/>
      <c r="FC1837" s="14"/>
      <c r="FD1837" s="14"/>
      <c r="FE1837" s="14"/>
      <c r="FF1837" s="14"/>
      <c r="FG1837" s="14"/>
      <c r="FH1837" s="14"/>
      <c r="FI1837" s="14"/>
      <c r="FJ1837" s="14"/>
      <c r="FK1837" s="14"/>
      <c r="FL1837" s="57" t="s">
        <v>405</v>
      </c>
      <c r="FM1837" s="57" t="s">
        <v>260</v>
      </c>
      <c r="FN1837" s="14"/>
      <c r="FO1837" s="14"/>
      <c r="FP1837" s="14"/>
      <c r="FQ1837" s="14"/>
      <c r="FR1837" s="14"/>
      <c r="FS1837" s="14"/>
      <c r="FT1837" s="14"/>
      <c r="FU1837" s="14"/>
      <c r="FV1837" s="14"/>
      <c r="FW1837" s="14"/>
      <c r="FX1837" s="14"/>
      <c r="FY1837" s="14"/>
      <c r="FZ1837" s="14"/>
      <c r="GA1837" s="14"/>
      <c r="GB1837" s="14"/>
      <c r="GC1837" s="14"/>
      <c r="GD1837" s="14"/>
      <c r="GE1837" s="14"/>
      <c r="GF1837" s="14"/>
      <c r="GG1837" s="14"/>
      <c r="GH1837" s="14"/>
      <c r="GI1837" s="14"/>
      <c r="GJ1837" s="14"/>
      <c r="GK1837" s="14"/>
      <c r="GL1837" s="14"/>
      <c r="GM1837" s="14"/>
      <c r="GN1837" s="14"/>
      <c r="GO1837" s="14"/>
      <c r="GP1837" s="14"/>
      <c r="GQ1837" s="14"/>
      <c r="GR1837" s="14"/>
      <c r="GS1837" s="14"/>
      <c r="GT1837" s="14"/>
      <c r="GU1837" s="14"/>
      <c r="GV1837" s="14"/>
      <c r="GW1837" s="14"/>
      <c r="GX1837" s="14"/>
      <c r="GY1837" s="14"/>
      <c r="GZ1837" s="14"/>
      <c r="HA1837" s="14"/>
    </row>
    <row r="1838" ht="23.25" customHeight="1">
      <c r="A1838" s="14"/>
      <c r="B1838" s="14"/>
      <c r="C1838" s="36" t="s">
        <v>13</v>
      </c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57" t="s">
        <v>1696</v>
      </c>
      <c r="AY1838" s="57" t="s">
        <v>403</v>
      </c>
      <c r="AZ1838" s="57" t="s">
        <v>5166</v>
      </c>
      <c r="BA1838" s="57" t="s">
        <v>345</v>
      </c>
      <c r="BB1838" s="57" t="s">
        <v>4010</v>
      </c>
      <c r="BC1838" s="58">
        <v>43990.0</v>
      </c>
      <c r="BD1838" s="58">
        <v>44009.0</v>
      </c>
      <c r="BE1838" s="14"/>
      <c r="BF1838" s="60">
        <v>100.0</v>
      </c>
      <c r="BG1838" s="14"/>
      <c r="BH1838" s="59" t="s">
        <v>5167</v>
      </c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57"/>
      <c r="BX1838" s="57"/>
      <c r="BY1838" s="14"/>
      <c r="BZ1838" s="57"/>
      <c r="CA1838" s="57"/>
      <c r="CB1838" s="57"/>
      <c r="CC1838" s="57"/>
      <c r="CD1838" s="58"/>
      <c r="CE1838" s="58"/>
      <c r="CF1838" s="57"/>
      <c r="CG1838" s="57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14"/>
      <c r="DC1838" s="14"/>
      <c r="DD1838" s="14"/>
      <c r="DE1838" s="14"/>
      <c r="DF1838" s="14"/>
      <c r="DG1838" s="14"/>
      <c r="DH1838" s="14"/>
      <c r="DI1838" s="14"/>
      <c r="DJ1838" s="14"/>
      <c r="DK1838" s="14"/>
      <c r="DL1838" s="14"/>
      <c r="DM1838" s="14"/>
      <c r="DN1838" s="14"/>
      <c r="DO1838" s="14"/>
      <c r="DP1838" s="14"/>
      <c r="DQ1838" s="14"/>
      <c r="DR1838" s="14"/>
      <c r="DS1838" s="14"/>
      <c r="DT1838" s="14"/>
      <c r="DU1838" s="14"/>
      <c r="DV1838" s="14"/>
      <c r="DW1838" s="14"/>
      <c r="DX1838" s="14"/>
      <c r="DY1838" s="14"/>
      <c r="DZ1838" s="14"/>
      <c r="EA1838" s="14"/>
      <c r="EB1838" s="14"/>
      <c r="EC1838" s="14"/>
      <c r="ED1838" s="14"/>
      <c r="EE1838" s="14"/>
      <c r="EF1838" s="14"/>
      <c r="EG1838" s="14"/>
      <c r="EH1838" s="14"/>
      <c r="EI1838" s="14"/>
      <c r="EJ1838" s="14"/>
      <c r="EK1838" s="14"/>
      <c r="EL1838" s="14"/>
      <c r="EM1838" s="14"/>
      <c r="EN1838" s="14"/>
      <c r="EO1838" s="14"/>
      <c r="EP1838" s="14"/>
      <c r="EQ1838" s="14"/>
      <c r="ER1838" s="14"/>
      <c r="ES1838" s="14"/>
      <c r="ET1838" s="14"/>
      <c r="EU1838" s="14"/>
      <c r="EV1838" s="14"/>
      <c r="EW1838" s="14"/>
      <c r="EX1838" s="14"/>
      <c r="EY1838" s="14"/>
      <c r="EZ1838" s="14"/>
      <c r="FA1838" s="14"/>
      <c r="FB1838" s="14"/>
      <c r="FC1838" s="14"/>
      <c r="FD1838" s="14"/>
      <c r="FE1838" s="14"/>
      <c r="FF1838" s="14"/>
      <c r="FG1838" s="14"/>
      <c r="FH1838" s="14"/>
      <c r="FI1838" s="14"/>
      <c r="FJ1838" s="14"/>
      <c r="FK1838" s="14"/>
      <c r="FL1838" s="57" t="s">
        <v>405</v>
      </c>
      <c r="FM1838" s="57" t="s">
        <v>260</v>
      </c>
      <c r="FN1838" s="14"/>
      <c r="FO1838" s="14"/>
      <c r="FP1838" s="14"/>
      <c r="FQ1838" s="14"/>
      <c r="FR1838" s="14"/>
      <c r="FS1838" s="14"/>
      <c r="FT1838" s="14"/>
      <c r="FU1838" s="14"/>
      <c r="FV1838" s="14"/>
      <c r="FW1838" s="14"/>
      <c r="FX1838" s="14"/>
      <c r="FY1838" s="14"/>
      <c r="FZ1838" s="14"/>
      <c r="GA1838" s="14"/>
      <c r="GB1838" s="14"/>
      <c r="GC1838" s="14"/>
      <c r="GD1838" s="14"/>
      <c r="GE1838" s="14"/>
      <c r="GF1838" s="14"/>
      <c r="GG1838" s="14"/>
      <c r="GH1838" s="14"/>
      <c r="GI1838" s="14"/>
      <c r="GJ1838" s="14"/>
      <c r="GK1838" s="14"/>
      <c r="GL1838" s="14"/>
      <c r="GM1838" s="14"/>
      <c r="GN1838" s="14"/>
      <c r="GO1838" s="14"/>
      <c r="GP1838" s="14"/>
      <c r="GQ1838" s="14"/>
      <c r="GR1838" s="14"/>
      <c r="GS1838" s="14"/>
      <c r="GT1838" s="14"/>
      <c r="GU1838" s="14"/>
      <c r="GV1838" s="14"/>
      <c r="GW1838" s="14"/>
      <c r="GX1838" s="14"/>
      <c r="GY1838" s="14"/>
      <c r="GZ1838" s="14"/>
      <c r="HA1838" s="14"/>
    </row>
    <row r="1839" ht="23.25" customHeight="1">
      <c r="A1839" s="14"/>
      <c r="B1839" s="14"/>
      <c r="C1839" s="36" t="s">
        <v>13</v>
      </c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57" t="s">
        <v>1696</v>
      </c>
      <c r="AY1839" s="57" t="s">
        <v>403</v>
      </c>
      <c r="AZ1839" s="57" t="s">
        <v>1903</v>
      </c>
      <c r="BA1839" s="57" t="s">
        <v>345</v>
      </c>
      <c r="BB1839" s="57" t="s">
        <v>4010</v>
      </c>
      <c r="BC1839" s="58">
        <v>43990.0</v>
      </c>
      <c r="BD1839" s="58">
        <v>44009.0</v>
      </c>
      <c r="BE1839" s="14"/>
      <c r="BF1839" s="60">
        <v>100.0</v>
      </c>
      <c r="BG1839" s="14"/>
      <c r="BH1839" s="59" t="s">
        <v>5168</v>
      </c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57"/>
      <c r="BX1839" s="57"/>
      <c r="BY1839" s="14"/>
      <c r="BZ1839" s="57"/>
      <c r="CA1839" s="57"/>
      <c r="CB1839" s="57"/>
      <c r="CC1839" s="57"/>
      <c r="CD1839" s="58"/>
      <c r="CE1839" s="58"/>
      <c r="CF1839" s="57"/>
      <c r="CG1839" s="57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14"/>
      <c r="DC1839" s="14"/>
      <c r="DD1839" s="14"/>
      <c r="DE1839" s="14"/>
      <c r="DF1839" s="14"/>
      <c r="DG1839" s="14"/>
      <c r="DH1839" s="14"/>
      <c r="DI1839" s="14"/>
      <c r="DJ1839" s="14"/>
      <c r="DK1839" s="14"/>
      <c r="DL1839" s="14"/>
      <c r="DM1839" s="14"/>
      <c r="DN1839" s="14"/>
      <c r="DO1839" s="14"/>
      <c r="DP1839" s="14"/>
      <c r="DQ1839" s="14"/>
      <c r="DR1839" s="14"/>
      <c r="DS1839" s="14"/>
      <c r="DT1839" s="14"/>
      <c r="DU1839" s="14"/>
      <c r="DV1839" s="14"/>
      <c r="DW1839" s="14"/>
      <c r="DX1839" s="14"/>
      <c r="DY1839" s="14"/>
      <c r="DZ1839" s="14"/>
      <c r="EA1839" s="14"/>
      <c r="EB1839" s="14"/>
      <c r="EC1839" s="14"/>
      <c r="ED1839" s="14"/>
      <c r="EE1839" s="14"/>
      <c r="EF1839" s="14"/>
      <c r="EG1839" s="14"/>
      <c r="EH1839" s="14"/>
      <c r="EI1839" s="14"/>
      <c r="EJ1839" s="14"/>
      <c r="EK1839" s="14"/>
      <c r="EL1839" s="14"/>
      <c r="EM1839" s="14"/>
      <c r="EN1839" s="14"/>
      <c r="EO1839" s="14"/>
      <c r="EP1839" s="14"/>
      <c r="EQ1839" s="14"/>
      <c r="ER1839" s="14"/>
      <c r="ES1839" s="14"/>
      <c r="ET1839" s="14"/>
      <c r="EU1839" s="14"/>
      <c r="EV1839" s="14"/>
      <c r="EW1839" s="14"/>
      <c r="EX1839" s="14"/>
      <c r="EY1839" s="14"/>
      <c r="EZ1839" s="14"/>
      <c r="FA1839" s="14"/>
      <c r="FB1839" s="14"/>
      <c r="FC1839" s="14"/>
      <c r="FD1839" s="14"/>
      <c r="FE1839" s="14"/>
      <c r="FF1839" s="14"/>
      <c r="FG1839" s="14"/>
      <c r="FH1839" s="14"/>
      <c r="FI1839" s="14"/>
      <c r="FJ1839" s="14"/>
      <c r="FK1839" s="14"/>
      <c r="FL1839" s="57" t="s">
        <v>405</v>
      </c>
      <c r="FM1839" s="57" t="s">
        <v>260</v>
      </c>
      <c r="FN1839" s="14"/>
      <c r="FO1839" s="14"/>
      <c r="FP1839" s="14"/>
      <c r="FQ1839" s="14"/>
      <c r="FR1839" s="14"/>
      <c r="FS1839" s="14"/>
      <c r="FT1839" s="14"/>
      <c r="FU1839" s="14"/>
      <c r="FV1839" s="14"/>
      <c r="FW1839" s="14"/>
      <c r="FX1839" s="14"/>
      <c r="FY1839" s="14"/>
      <c r="FZ1839" s="14"/>
      <c r="GA1839" s="14"/>
      <c r="GB1839" s="14"/>
      <c r="GC1839" s="14"/>
      <c r="GD1839" s="14"/>
      <c r="GE1839" s="14"/>
      <c r="GF1839" s="14"/>
      <c r="GG1839" s="14"/>
      <c r="GH1839" s="14"/>
      <c r="GI1839" s="14"/>
      <c r="GJ1839" s="14"/>
      <c r="GK1839" s="14"/>
      <c r="GL1839" s="14"/>
      <c r="GM1839" s="14"/>
      <c r="GN1839" s="14"/>
      <c r="GO1839" s="14"/>
      <c r="GP1839" s="14"/>
      <c r="GQ1839" s="14"/>
      <c r="GR1839" s="14"/>
      <c r="GS1839" s="14"/>
      <c r="GT1839" s="14"/>
      <c r="GU1839" s="14"/>
      <c r="GV1839" s="14"/>
      <c r="GW1839" s="14"/>
      <c r="GX1839" s="14"/>
      <c r="GY1839" s="14"/>
      <c r="GZ1839" s="14"/>
      <c r="HA1839" s="14"/>
    </row>
    <row r="1840" ht="23.25" customHeight="1">
      <c r="A1840" s="14"/>
      <c r="B1840" s="14"/>
      <c r="C1840" s="36" t="s">
        <v>13</v>
      </c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57" t="s">
        <v>1696</v>
      </c>
      <c r="AY1840" s="57" t="s">
        <v>403</v>
      </c>
      <c r="AZ1840" s="57" t="s">
        <v>5169</v>
      </c>
      <c r="BA1840" s="57" t="s">
        <v>345</v>
      </c>
      <c r="BB1840" s="57" t="s">
        <v>4010</v>
      </c>
      <c r="BC1840" s="58">
        <v>43976.0</v>
      </c>
      <c r="BD1840" s="58">
        <v>43990.0</v>
      </c>
      <c r="BE1840" s="14"/>
      <c r="BF1840" s="60">
        <v>100.0</v>
      </c>
      <c r="BG1840" s="14"/>
      <c r="BH1840" s="59" t="s">
        <v>5170</v>
      </c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57"/>
      <c r="BX1840" s="57"/>
      <c r="BY1840" s="14"/>
      <c r="BZ1840" s="57"/>
      <c r="CA1840" s="57"/>
      <c r="CB1840" s="57"/>
      <c r="CC1840" s="57"/>
      <c r="CD1840" s="58"/>
      <c r="CE1840" s="58"/>
      <c r="CF1840" s="57"/>
      <c r="CG1840" s="57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14"/>
      <c r="DC1840" s="14"/>
      <c r="DD1840" s="14"/>
      <c r="DE1840" s="14"/>
      <c r="DF1840" s="14"/>
      <c r="DG1840" s="14"/>
      <c r="DH1840" s="14"/>
      <c r="DI1840" s="14"/>
      <c r="DJ1840" s="14"/>
      <c r="DK1840" s="14"/>
      <c r="DL1840" s="14"/>
      <c r="DM1840" s="14"/>
      <c r="DN1840" s="14"/>
      <c r="DO1840" s="14"/>
      <c r="DP1840" s="14"/>
      <c r="DQ1840" s="14"/>
      <c r="DR1840" s="14"/>
      <c r="DS1840" s="14"/>
      <c r="DT1840" s="14"/>
      <c r="DU1840" s="14"/>
      <c r="DV1840" s="14"/>
      <c r="DW1840" s="14"/>
      <c r="DX1840" s="14"/>
      <c r="DY1840" s="14"/>
      <c r="DZ1840" s="14"/>
      <c r="EA1840" s="14"/>
      <c r="EB1840" s="14"/>
      <c r="EC1840" s="14"/>
      <c r="ED1840" s="14"/>
      <c r="EE1840" s="14"/>
      <c r="EF1840" s="14"/>
      <c r="EG1840" s="14"/>
      <c r="EH1840" s="14"/>
      <c r="EI1840" s="14"/>
      <c r="EJ1840" s="14"/>
      <c r="EK1840" s="14"/>
      <c r="EL1840" s="14"/>
      <c r="EM1840" s="14"/>
      <c r="EN1840" s="14"/>
      <c r="EO1840" s="14"/>
      <c r="EP1840" s="14"/>
      <c r="EQ1840" s="14"/>
      <c r="ER1840" s="14"/>
      <c r="ES1840" s="14"/>
      <c r="ET1840" s="14"/>
      <c r="EU1840" s="14"/>
      <c r="EV1840" s="14"/>
      <c r="EW1840" s="14"/>
      <c r="EX1840" s="14"/>
      <c r="EY1840" s="14"/>
      <c r="EZ1840" s="14"/>
      <c r="FA1840" s="14"/>
      <c r="FB1840" s="14"/>
      <c r="FC1840" s="14"/>
      <c r="FD1840" s="14"/>
      <c r="FE1840" s="14"/>
      <c r="FF1840" s="14"/>
      <c r="FG1840" s="14"/>
      <c r="FH1840" s="14"/>
      <c r="FI1840" s="14"/>
      <c r="FJ1840" s="14"/>
      <c r="FK1840" s="14"/>
      <c r="FL1840" s="57" t="s">
        <v>405</v>
      </c>
      <c r="FM1840" s="57" t="s">
        <v>260</v>
      </c>
      <c r="FN1840" s="14"/>
      <c r="FO1840" s="14"/>
      <c r="FP1840" s="14"/>
      <c r="FQ1840" s="14"/>
      <c r="FR1840" s="14"/>
      <c r="FS1840" s="14"/>
      <c r="FT1840" s="14"/>
      <c r="FU1840" s="14"/>
      <c r="FV1840" s="14"/>
      <c r="FW1840" s="14"/>
      <c r="FX1840" s="14"/>
      <c r="FY1840" s="14"/>
      <c r="FZ1840" s="14"/>
      <c r="GA1840" s="14"/>
      <c r="GB1840" s="14"/>
      <c r="GC1840" s="14"/>
      <c r="GD1840" s="14"/>
      <c r="GE1840" s="14"/>
      <c r="GF1840" s="14"/>
      <c r="GG1840" s="14"/>
      <c r="GH1840" s="14"/>
      <c r="GI1840" s="14"/>
      <c r="GJ1840" s="14"/>
      <c r="GK1840" s="14"/>
      <c r="GL1840" s="14"/>
      <c r="GM1840" s="14"/>
      <c r="GN1840" s="14"/>
      <c r="GO1840" s="14"/>
      <c r="GP1840" s="14"/>
      <c r="GQ1840" s="14"/>
      <c r="GR1840" s="14"/>
      <c r="GS1840" s="14"/>
      <c r="GT1840" s="14"/>
      <c r="GU1840" s="14"/>
      <c r="GV1840" s="14"/>
      <c r="GW1840" s="14"/>
      <c r="GX1840" s="14"/>
      <c r="GY1840" s="14"/>
      <c r="GZ1840" s="14"/>
      <c r="HA1840" s="14"/>
    </row>
    <row r="1841" ht="23.25" customHeight="1">
      <c r="A1841" s="14"/>
      <c r="B1841" s="14"/>
      <c r="C1841" s="36" t="s">
        <v>13</v>
      </c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57" t="s">
        <v>1696</v>
      </c>
      <c r="AY1841" s="57" t="s">
        <v>403</v>
      </c>
      <c r="AZ1841" s="57" t="s">
        <v>4845</v>
      </c>
      <c r="BA1841" s="57" t="s">
        <v>345</v>
      </c>
      <c r="BB1841" s="57" t="s">
        <v>4010</v>
      </c>
      <c r="BC1841" s="58">
        <v>43951.0</v>
      </c>
      <c r="BD1841" s="58">
        <v>43962.0</v>
      </c>
      <c r="BE1841" s="14"/>
      <c r="BF1841" s="60">
        <v>100.0</v>
      </c>
      <c r="BG1841" s="14"/>
      <c r="BH1841" s="59" t="s">
        <v>5171</v>
      </c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57"/>
      <c r="BX1841" s="57"/>
      <c r="BY1841" s="14"/>
      <c r="BZ1841" s="57"/>
      <c r="CA1841" s="57"/>
      <c r="CB1841" s="57"/>
      <c r="CC1841" s="57"/>
      <c r="CD1841" s="58"/>
      <c r="CE1841" s="58"/>
      <c r="CF1841" s="57"/>
      <c r="CG1841" s="57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14"/>
      <c r="DC1841" s="14"/>
      <c r="DD1841" s="14"/>
      <c r="DE1841" s="14"/>
      <c r="DF1841" s="14"/>
      <c r="DG1841" s="14"/>
      <c r="DH1841" s="14"/>
      <c r="DI1841" s="14"/>
      <c r="DJ1841" s="14"/>
      <c r="DK1841" s="14"/>
      <c r="DL1841" s="14"/>
      <c r="DM1841" s="14"/>
      <c r="DN1841" s="14"/>
      <c r="DO1841" s="14"/>
      <c r="DP1841" s="14"/>
      <c r="DQ1841" s="14"/>
      <c r="DR1841" s="14"/>
      <c r="DS1841" s="14"/>
      <c r="DT1841" s="14"/>
      <c r="DU1841" s="14"/>
      <c r="DV1841" s="14"/>
      <c r="DW1841" s="14"/>
      <c r="DX1841" s="14"/>
      <c r="DY1841" s="14"/>
      <c r="DZ1841" s="14"/>
      <c r="EA1841" s="14"/>
      <c r="EB1841" s="14"/>
      <c r="EC1841" s="14"/>
      <c r="ED1841" s="14"/>
      <c r="EE1841" s="14"/>
      <c r="EF1841" s="14"/>
      <c r="EG1841" s="14"/>
      <c r="EH1841" s="14"/>
      <c r="EI1841" s="14"/>
      <c r="EJ1841" s="14"/>
      <c r="EK1841" s="14"/>
      <c r="EL1841" s="14"/>
      <c r="EM1841" s="14"/>
      <c r="EN1841" s="14"/>
      <c r="EO1841" s="14"/>
      <c r="EP1841" s="14"/>
      <c r="EQ1841" s="14"/>
      <c r="ER1841" s="14"/>
      <c r="ES1841" s="14"/>
      <c r="ET1841" s="14"/>
      <c r="EU1841" s="14"/>
      <c r="EV1841" s="14"/>
      <c r="EW1841" s="14"/>
      <c r="EX1841" s="14"/>
      <c r="EY1841" s="14"/>
      <c r="EZ1841" s="14"/>
      <c r="FA1841" s="14"/>
      <c r="FB1841" s="14"/>
      <c r="FC1841" s="14"/>
      <c r="FD1841" s="14"/>
      <c r="FE1841" s="14"/>
      <c r="FF1841" s="14"/>
      <c r="FG1841" s="14"/>
      <c r="FH1841" s="14"/>
      <c r="FI1841" s="14"/>
      <c r="FJ1841" s="14"/>
      <c r="FK1841" s="14"/>
      <c r="FL1841" s="57" t="s">
        <v>405</v>
      </c>
      <c r="FM1841" s="57" t="s">
        <v>260</v>
      </c>
      <c r="FN1841" s="14"/>
      <c r="FO1841" s="14"/>
      <c r="FP1841" s="14"/>
      <c r="FQ1841" s="14"/>
      <c r="FR1841" s="14"/>
      <c r="FS1841" s="14"/>
      <c r="FT1841" s="14"/>
      <c r="FU1841" s="14"/>
      <c r="FV1841" s="14"/>
      <c r="FW1841" s="14"/>
      <c r="FX1841" s="14"/>
      <c r="FY1841" s="14"/>
      <c r="FZ1841" s="14"/>
      <c r="GA1841" s="14"/>
      <c r="GB1841" s="14"/>
      <c r="GC1841" s="14"/>
      <c r="GD1841" s="14"/>
      <c r="GE1841" s="14"/>
      <c r="GF1841" s="14"/>
      <c r="GG1841" s="14"/>
      <c r="GH1841" s="14"/>
      <c r="GI1841" s="14"/>
      <c r="GJ1841" s="14"/>
      <c r="GK1841" s="14"/>
      <c r="GL1841" s="14"/>
      <c r="GM1841" s="14"/>
      <c r="GN1841" s="14"/>
      <c r="GO1841" s="14"/>
      <c r="GP1841" s="14"/>
      <c r="GQ1841" s="14"/>
      <c r="GR1841" s="14"/>
      <c r="GS1841" s="14"/>
      <c r="GT1841" s="14"/>
      <c r="GU1841" s="14"/>
      <c r="GV1841" s="14"/>
      <c r="GW1841" s="14"/>
      <c r="GX1841" s="14"/>
      <c r="GY1841" s="14"/>
      <c r="GZ1841" s="14"/>
      <c r="HA1841" s="14"/>
    </row>
    <row r="1842" ht="23.25" customHeight="1">
      <c r="A1842" s="14"/>
      <c r="B1842" s="14"/>
      <c r="C1842" s="36" t="s">
        <v>13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57" t="s">
        <v>1696</v>
      </c>
      <c r="AY1842" s="57" t="s">
        <v>403</v>
      </c>
      <c r="AZ1842" s="57" t="s">
        <v>1351</v>
      </c>
      <c r="BA1842" s="57" t="s">
        <v>345</v>
      </c>
      <c r="BB1842" s="57" t="s">
        <v>4010</v>
      </c>
      <c r="BC1842" s="58">
        <v>43930.0</v>
      </c>
      <c r="BD1842" s="58">
        <v>43944.0</v>
      </c>
      <c r="BE1842" s="14"/>
      <c r="BF1842" s="60">
        <v>100.0</v>
      </c>
      <c r="BG1842" s="14"/>
      <c r="BH1842" s="59" t="s">
        <v>5172</v>
      </c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57"/>
      <c r="BX1842" s="57"/>
      <c r="BY1842" s="14"/>
      <c r="BZ1842" s="57"/>
      <c r="CA1842" s="57"/>
      <c r="CB1842" s="57"/>
      <c r="CC1842" s="57"/>
      <c r="CD1842" s="58"/>
      <c r="CE1842" s="58"/>
      <c r="CF1842" s="57"/>
      <c r="CG1842" s="57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14"/>
      <c r="DC1842" s="14"/>
      <c r="DD1842" s="14"/>
      <c r="DE1842" s="14"/>
      <c r="DF1842" s="14"/>
      <c r="DG1842" s="14"/>
      <c r="DH1842" s="14"/>
      <c r="DI1842" s="14"/>
      <c r="DJ1842" s="14"/>
      <c r="DK1842" s="14"/>
      <c r="DL1842" s="14"/>
      <c r="DM1842" s="14"/>
      <c r="DN1842" s="14"/>
      <c r="DO1842" s="14"/>
      <c r="DP1842" s="14"/>
      <c r="DQ1842" s="14"/>
      <c r="DR1842" s="14"/>
      <c r="DS1842" s="14"/>
      <c r="DT1842" s="14"/>
      <c r="DU1842" s="14"/>
      <c r="DV1842" s="14"/>
      <c r="DW1842" s="14"/>
      <c r="DX1842" s="14"/>
      <c r="DY1842" s="14"/>
      <c r="DZ1842" s="14"/>
      <c r="EA1842" s="14"/>
      <c r="EB1842" s="14"/>
      <c r="EC1842" s="14"/>
      <c r="ED1842" s="14"/>
      <c r="EE1842" s="14"/>
      <c r="EF1842" s="14"/>
      <c r="EG1842" s="14"/>
      <c r="EH1842" s="14"/>
      <c r="EI1842" s="14"/>
      <c r="EJ1842" s="14"/>
      <c r="EK1842" s="14"/>
      <c r="EL1842" s="14"/>
      <c r="EM1842" s="14"/>
      <c r="EN1842" s="14"/>
      <c r="EO1842" s="14"/>
      <c r="EP1842" s="14"/>
      <c r="EQ1842" s="14"/>
      <c r="ER1842" s="14"/>
      <c r="ES1842" s="14"/>
      <c r="ET1842" s="14"/>
      <c r="EU1842" s="14"/>
      <c r="EV1842" s="14"/>
      <c r="EW1842" s="14"/>
      <c r="EX1842" s="14"/>
      <c r="EY1842" s="14"/>
      <c r="EZ1842" s="14"/>
      <c r="FA1842" s="14"/>
      <c r="FB1842" s="14"/>
      <c r="FC1842" s="14"/>
      <c r="FD1842" s="14"/>
      <c r="FE1842" s="14"/>
      <c r="FF1842" s="14"/>
      <c r="FG1842" s="14"/>
      <c r="FH1842" s="14"/>
      <c r="FI1842" s="14"/>
      <c r="FJ1842" s="14"/>
      <c r="FK1842" s="14"/>
      <c r="FL1842" s="57" t="s">
        <v>405</v>
      </c>
      <c r="FM1842" s="57" t="s">
        <v>260</v>
      </c>
      <c r="FN1842" s="14"/>
      <c r="FO1842" s="14"/>
      <c r="FP1842" s="14"/>
      <c r="FQ1842" s="14"/>
      <c r="FR1842" s="14"/>
      <c r="FS1842" s="14"/>
      <c r="FT1842" s="14"/>
      <c r="FU1842" s="14"/>
      <c r="FV1842" s="14"/>
      <c r="FW1842" s="14"/>
      <c r="FX1842" s="14"/>
      <c r="FY1842" s="14"/>
      <c r="FZ1842" s="14"/>
      <c r="GA1842" s="14"/>
      <c r="GB1842" s="14"/>
      <c r="GC1842" s="14"/>
      <c r="GD1842" s="14"/>
      <c r="GE1842" s="14"/>
      <c r="GF1842" s="14"/>
      <c r="GG1842" s="14"/>
      <c r="GH1842" s="14"/>
      <c r="GI1842" s="14"/>
      <c r="GJ1842" s="14"/>
      <c r="GK1842" s="14"/>
      <c r="GL1842" s="14"/>
      <c r="GM1842" s="14"/>
      <c r="GN1842" s="14"/>
      <c r="GO1842" s="14"/>
      <c r="GP1842" s="14"/>
      <c r="GQ1842" s="14"/>
      <c r="GR1842" s="14"/>
      <c r="GS1842" s="14"/>
      <c r="GT1842" s="14"/>
      <c r="GU1842" s="14"/>
      <c r="GV1842" s="14"/>
      <c r="GW1842" s="14"/>
      <c r="GX1842" s="14"/>
      <c r="GY1842" s="14"/>
      <c r="GZ1842" s="14"/>
      <c r="HA1842" s="14"/>
    </row>
    <row r="1843" ht="23.25" customHeight="1">
      <c r="A1843" s="14"/>
      <c r="B1843" s="14"/>
      <c r="C1843" s="36" t="s">
        <v>13</v>
      </c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57" t="s">
        <v>1696</v>
      </c>
      <c r="AY1843" s="57" t="s">
        <v>403</v>
      </c>
      <c r="AZ1843" s="57" t="s">
        <v>5173</v>
      </c>
      <c r="BA1843" s="57" t="s">
        <v>345</v>
      </c>
      <c r="BB1843" s="57" t="s">
        <v>4010</v>
      </c>
      <c r="BC1843" s="58">
        <v>43965.0</v>
      </c>
      <c r="BD1843" s="58">
        <v>43979.0</v>
      </c>
      <c r="BE1843" s="14"/>
      <c r="BF1843" s="60">
        <v>100.0</v>
      </c>
      <c r="BG1843" s="14"/>
      <c r="BH1843" s="59" t="s">
        <v>5174</v>
      </c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57"/>
      <c r="BX1843" s="57"/>
      <c r="BY1843" s="14"/>
      <c r="BZ1843" s="57"/>
      <c r="CA1843" s="57"/>
      <c r="CB1843" s="57"/>
      <c r="CC1843" s="57"/>
      <c r="CD1843" s="58"/>
      <c r="CE1843" s="58"/>
      <c r="CF1843" s="57"/>
      <c r="CG1843" s="57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14"/>
      <c r="DC1843" s="14"/>
      <c r="DD1843" s="14"/>
      <c r="DE1843" s="14"/>
      <c r="DF1843" s="14"/>
      <c r="DG1843" s="14"/>
      <c r="DH1843" s="14"/>
      <c r="DI1843" s="14"/>
      <c r="DJ1843" s="14"/>
      <c r="DK1843" s="14"/>
      <c r="DL1843" s="14"/>
      <c r="DM1843" s="14"/>
      <c r="DN1843" s="14"/>
      <c r="DO1843" s="14"/>
      <c r="DP1843" s="14"/>
      <c r="DQ1843" s="14"/>
      <c r="DR1843" s="14"/>
      <c r="DS1843" s="14"/>
      <c r="DT1843" s="14"/>
      <c r="DU1843" s="14"/>
      <c r="DV1843" s="14"/>
      <c r="DW1843" s="14"/>
      <c r="DX1843" s="14"/>
      <c r="DY1843" s="14"/>
      <c r="DZ1843" s="14"/>
      <c r="EA1843" s="14"/>
      <c r="EB1843" s="14"/>
      <c r="EC1843" s="14"/>
      <c r="ED1843" s="14"/>
      <c r="EE1843" s="14"/>
      <c r="EF1843" s="14"/>
      <c r="EG1843" s="14"/>
      <c r="EH1843" s="14"/>
      <c r="EI1843" s="14"/>
      <c r="EJ1843" s="14"/>
      <c r="EK1843" s="14"/>
      <c r="EL1843" s="14"/>
      <c r="EM1843" s="14"/>
      <c r="EN1843" s="14"/>
      <c r="EO1843" s="14"/>
      <c r="EP1843" s="14"/>
      <c r="EQ1843" s="14"/>
      <c r="ER1843" s="14"/>
      <c r="ES1843" s="14"/>
      <c r="ET1843" s="14"/>
      <c r="EU1843" s="14"/>
      <c r="EV1843" s="14"/>
      <c r="EW1843" s="14"/>
      <c r="EX1843" s="14"/>
      <c r="EY1843" s="14"/>
      <c r="EZ1843" s="14"/>
      <c r="FA1843" s="14"/>
      <c r="FB1843" s="14"/>
      <c r="FC1843" s="14"/>
      <c r="FD1843" s="14"/>
      <c r="FE1843" s="14"/>
      <c r="FF1843" s="14"/>
      <c r="FG1843" s="14"/>
      <c r="FH1843" s="14"/>
      <c r="FI1843" s="14"/>
      <c r="FJ1843" s="14"/>
      <c r="FK1843" s="14"/>
      <c r="FL1843" s="57" t="s">
        <v>405</v>
      </c>
      <c r="FM1843" s="57" t="s">
        <v>260</v>
      </c>
      <c r="FN1843" s="14"/>
      <c r="FO1843" s="14"/>
      <c r="FP1843" s="14"/>
      <c r="FQ1843" s="14"/>
      <c r="FR1843" s="14"/>
      <c r="FS1843" s="14"/>
      <c r="FT1843" s="14"/>
      <c r="FU1843" s="14"/>
      <c r="FV1843" s="14"/>
      <c r="FW1843" s="14"/>
      <c r="FX1843" s="14"/>
      <c r="FY1843" s="14"/>
      <c r="FZ1843" s="14"/>
      <c r="GA1843" s="14"/>
      <c r="GB1843" s="14"/>
      <c r="GC1843" s="14"/>
      <c r="GD1843" s="14"/>
      <c r="GE1843" s="14"/>
      <c r="GF1843" s="14"/>
      <c r="GG1843" s="14"/>
      <c r="GH1843" s="14"/>
      <c r="GI1843" s="14"/>
      <c r="GJ1843" s="14"/>
      <c r="GK1843" s="14"/>
      <c r="GL1843" s="14"/>
      <c r="GM1843" s="14"/>
      <c r="GN1843" s="14"/>
      <c r="GO1843" s="14"/>
      <c r="GP1843" s="14"/>
      <c r="GQ1843" s="14"/>
      <c r="GR1843" s="14"/>
      <c r="GS1843" s="14"/>
      <c r="GT1843" s="14"/>
      <c r="GU1843" s="14"/>
      <c r="GV1843" s="14"/>
      <c r="GW1843" s="14"/>
      <c r="GX1843" s="14"/>
      <c r="GY1843" s="14"/>
      <c r="GZ1843" s="14"/>
      <c r="HA1843" s="14"/>
    </row>
    <row r="1844" ht="23.25" customHeight="1">
      <c r="A1844" s="14"/>
      <c r="B1844" s="14"/>
      <c r="C1844" s="36" t="s">
        <v>13</v>
      </c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57" t="s">
        <v>2123</v>
      </c>
      <c r="AY1844" s="57" t="s">
        <v>2124</v>
      </c>
      <c r="AZ1844" s="57" t="s">
        <v>5175</v>
      </c>
      <c r="BA1844" s="57" t="s">
        <v>1452</v>
      </c>
      <c r="BB1844" s="57" t="s">
        <v>5176</v>
      </c>
      <c r="BC1844" s="58">
        <v>44378.0</v>
      </c>
      <c r="BD1844" s="58">
        <v>44415.0</v>
      </c>
      <c r="BE1844" s="14"/>
      <c r="BF1844" s="60">
        <v>100.0</v>
      </c>
      <c r="BG1844" s="14"/>
      <c r="BH1844" s="59" t="s">
        <v>5177</v>
      </c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57"/>
      <c r="BX1844" s="57"/>
      <c r="BY1844" s="14"/>
      <c r="BZ1844" s="57"/>
      <c r="CA1844" s="57"/>
      <c r="CB1844" s="57"/>
      <c r="CC1844" s="57"/>
      <c r="CD1844" s="58"/>
      <c r="CE1844" s="58"/>
      <c r="CF1844" s="57"/>
      <c r="CG1844" s="57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14"/>
      <c r="DC1844" s="14"/>
      <c r="DD1844" s="14"/>
      <c r="DE1844" s="14"/>
      <c r="DF1844" s="14"/>
      <c r="DG1844" s="14"/>
      <c r="DH1844" s="14"/>
      <c r="DI1844" s="14"/>
      <c r="DJ1844" s="14"/>
      <c r="DK1844" s="14"/>
      <c r="DL1844" s="14"/>
      <c r="DM1844" s="14"/>
      <c r="DN1844" s="14"/>
      <c r="DO1844" s="14"/>
      <c r="DP1844" s="14"/>
      <c r="DQ1844" s="14"/>
      <c r="DR1844" s="14"/>
      <c r="DS1844" s="14"/>
      <c r="DT1844" s="14"/>
      <c r="DU1844" s="14"/>
      <c r="DV1844" s="14"/>
      <c r="DW1844" s="14"/>
      <c r="DX1844" s="14"/>
      <c r="DY1844" s="14"/>
      <c r="DZ1844" s="14"/>
      <c r="EA1844" s="14"/>
      <c r="EB1844" s="14"/>
      <c r="EC1844" s="14"/>
      <c r="ED1844" s="14"/>
      <c r="EE1844" s="14"/>
      <c r="EF1844" s="14"/>
      <c r="EG1844" s="14"/>
      <c r="EH1844" s="14"/>
      <c r="EI1844" s="14"/>
      <c r="EJ1844" s="14"/>
      <c r="EK1844" s="14"/>
      <c r="EL1844" s="14"/>
      <c r="EM1844" s="14"/>
      <c r="EN1844" s="14"/>
      <c r="EO1844" s="14"/>
      <c r="EP1844" s="14"/>
      <c r="EQ1844" s="14"/>
      <c r="ER1844" s="14"/>
      <c r="ES1844" s="14"/>
      <c r="ET1844" s="14"/>
      <c r="EU1844" s="14"/>
      <c r="EV1844" s="14"/>
      <c r="EW1844" s="14"/>
      <c r="EX1844" s="14"/>
      <c r="EY1844" s="14"/>
      <c r="EZ1844" s="14"/>
      <c r="FA1844" s="14"/>
      <c r="FB1844" s="14"/>
      <c r="FC1844" s="14"/>
      <c r="FD1844" s="14"/>
      <c r="FE1844" s="14"/>
      <c r="FF1844" s="14"/>
      <c r="FG1844" s="14"/>
      <c r="FH1844" s="14"/>
      <c r="FI1844" s="14"/>
      <c r="FJ1844" s="14"/>
      <c r="FK1844" s="14"/>
      <c r="FL1844" s="57" t="s">
        <v>2129</v>
      </c>
      <c r="FM1844" s="57" t="s">
        <v>260</v>
      </c>
      <c r="FN1844" s="14"/>
      <c r="FO1844" s="14"/>
      <c r="FP1844" s="14"/>
      <c r="FQ1844" s="14"/>
      <c r="FR1844" s="14"/>
      <c r="FS1844" s="14"/>
      <c r="FT1844" s="14"/>
      <c r="FU1844" s="14"/>
      <c r="FV1844" s="14"/>
      <c r="FW1844" s="14"/>
      <c r="FX1844" s="14"/>
      <c r="FY1844" s="14"/>
      <c r="FZ1844" s="14"/>
      <c r="GA1844" s="14"/>
      <c r="GB1844" s="14"/>
      <c r="GC1844" s="14"/>
      <c r="GD1844" s="14"/>
      <c r="GE1844" s="14"/>
      <c r="GF1844" s="14"/>
      <c r="GG1844" s="14"/>
      <c r="GH1844" s="14"/>
      <c r="GI1844" s="14"/>
      <c r="GJ1844" s="14"/>
      <c r="GK1844" s="14"/>
      <c r="GL1844" s="14"/>
      <c r="GM1844" s="14"/>
      <c r="GN1844" s="14"/>
      <c r="GO1844" s="14"/>
      <c r="GP1844" s="14"/>
      <c r="GQ1844" s="14"/>
      <c r="GR1844" s="14"/>
      <c r="GS1844" s="14"/>
      <c r="GT1844" s="14"/>
      <c r="GU1844" s="14"/>
      <c r="GV1844" s="14"/>
      <c r="GW1844" s="14"/>
      <c r="GX1844" s="14"/>
      <c r="GY1844" s="14"/>
      <c r="GZ1844" s="14"/>
      <c r="HA1844" s="14"/>
    </row>
    <row r="1845" ht="23.25" customHeight="1">
      <c r="A1845" s="14"/>
      <c r="B1845" s="14"/>
      <c r="C1845" s="36" t="s">
        <v>13</v>
      </c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57" t="s">
        <v>2123</v>
      </c>
      <c r="AY1845" s="57" t="s">
        <v>2124</v>
      </c>
      <c r="AZ1845" s="57" t="s">
        <v>5178</v>
      </c>
      <c r="BA1845" s="57" t="s">
        <v>1452</v>
      </c>
      <c r="BB1845" s="57" t="s">
        <v>5179</v>
      </c>
      <c r="BC1845" s="58">
        <v>44409.0</v>
      </c>
      <c r="BD1845" s="58">
        <v>44415.0</v>
      </c>
      <c r="BE1845" s="14"/>
      <c r="BF1845" s="60">
        <v>100.0</v>
      </c>
      <c r="BG1845" s="14"/>
      <c r="BH1845" s="59" t="s">
        <v>5180</v>
      </c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57"/>
      <c r="BX1845" s="57"/>
      <c r="BY1845" s="14"/>
      <c r="BZ1845" s="57"/>
      <c r="CA1845" s="57"/>
      <c r="CB1845" s="57"/>
      <c r="CC1845" s="57"/>
      <c r="CD1845" s="58"/>
      <c r="CE1845" s="58"/>
      <c r="CF1845" s="57"/>
      <c r="CG1845" s="57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14"/>
      <c r="DC1845" s="14"/>
      <c r="DD1845" s="14"/>
      <c r="DE1845" s="14"/>
      <c r="DF1845" s="14"/>
      <c r="DG1845" s="14"/>
      <c r="DH1845" s="14"/>
      <c r="DI1845" s="14"/>
      <c r="DJ1845" s="14"/>
      <c r="DK1845" s="14"/>
      <c r="DL1845" s="14"/>
      <c r="DM1845" s="14"/>
      <c r="DN1845" s="14"/>
      <c r="DO1845" s="14"/>
      <c r="DP1845" s="14"/>
      <c r="DQ1845" s="14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ED1845" s="14"/>
      <c r="EE1845" s="14"/>
      <c r="EF1845" s="14"/>
      <c r="EG1845" s="14"/>
      <c r="EH1845" s="14"/>
      <c r="EI1845" s="14"/>
      <c r="EJ1845" s="14"/>
      <c r="EK1845" s="14"/>
      <c r="EL1845" s="14"/>
      <c r="EM1845" s="14"/>
      <c r="EN1845" s="14"/>
      <c r="EO1845" s="14"/>
      <c r="EP1845" s="14"/>
      <c r="EQ1845" s="14"/>
      <c r="ER1845" s="14"/>
      <c r="ES1845" s="14"/>
      <c r="ET1845" s="14"/>
      <c r="EU1845" s="14"/>
      <c r="EV1845" s="14"/>
      <c r="EW1845" s="14"/>
      <c r="EX1845" s="14"/>
      <c r="EY1845" s="14"/>
      <c r="EZ1845" s="14"/>
      <c r="FA1845" s="14"/>
      <c r="FB1845" s="14"/>
      <c r="FC1845" s="14"/>
      <c r="FD1845" s="14"/>
      <c r="FE1845" s="14"/>
      <c r="FF1845" s="14"/>
      <c r="FG1845" s="14"/>
      <c r="FH1845" s="14"/>
      <c r="FI1845" s="14"/>
      <c r="FJ1845" s="14"/>
      <c r="FK1845" s="14"/>
      <c r="FL1845" s="57" t="s">
        <v>2129</v>
      </c>
      <c r="FM1845" s="57" t="s">
        <v>260</v>
      </c>
      <c r="FN1845" s="14"/>
      <c r="FO1845" s="14"/>
      <c r="FP1845" s="14"/>
      <c r="FQ1845" s="14"/>
      <c r="FR1845" s="14"/>
      <c r="FS1845" s="14"/>
      <c r="FT1845" s="14"/>
      <c r="FU1845" s="14"/>
      <c r="FV1845" s="14"/>
      <c r="FW1845" s="14"/>
      <c r="FX1845" s="14"/>
      <c r="FY1845" s="14"/>
      <c r="FZ1845" s="14"/>
      <c r="GA1845" s="14"/>
      <c r="GB1845" s="14"/>
      <c r="GC1845" s="14"/>
      <c r="GD1845" s="14"/>
      <c r="GE1845" s="14"/>
      <c r="GF1845" s="14"/>
      <c r="GG1845" s="14"/>
      <c r="GH1845" s="14"/>
      <c r="GI1845" s="14"/>
      <c r="GJ1845" s="14"/>
      <c r="GK1845" s="14"/>
      <c r="GL1845" s="14"/>
      <c r="GM1845" s="14"/>
      <c r="GN1845" s="14"/>
      <c r="GO1845" s="14"/>
      <c r="GP1845" s="14"/>
      <c r="GQ1845" s="14"/>
      <c r="GR1845" s="14"/>
      <c r="GS1845" s="14"/>
      <c r="GT1845" s="14"/>
      <c r="GU1845" s="14"/>
      <c r="GV1845" s="14"/>
      <c r="GW1845" s="14"/>
      <c r="GX1845" s="14"/>
      <c r="GY1845" s="14"/>
      <c r="GZ1845" s="14"/>
      <c r="HA1845" s="14"/>
    </row>
    <row r="1846" ht="23.25" customHeight="1">
      <c r="A1846" s="14"/>
      <c r="B1846" s="14"/>
      <c r="C1846" s="36" t="s">
        <v>13</v>
      </c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57" t="s">
        <v>833</v>
      </c>
      <c r="AY1846" s="57" t="s">
        <v>834</v>
      </c>
      <c r="AZ1846" s="57" t="s">
        <v>5181</v>
      </c>
      <c r="BA1846" s="57" t="s">
        <v>345</v>
      </c>
      <c r="BB1846" s="57" t="s">
        <v>310</v>
      </c>
      <c r="BC1846" s="58">
        <v>44013.0</v>
      </c>
      <c r="BD1846" s="58">
        <v>44074.0</v>
      </c>
      <c r="BE1846" s="14"/>
      <c r="BF1846" s="60">
        <v>100.0</v>
      </c>
      <c r="BG1846" s="14"/>
      <c r="BH1846" s="59" t="s">
        <v>5182</v>
      </c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57"/>
      <c r="BX1846" s="57"/>
      <c r="BY1846" s="14"/>
      <c r="BZ1846" s="57"/>
      <c r="CA1846" s="57"/>
      <c r="CB1846" s="57"/>
      <c r="CC1846" s="57"/>
      <c r="CD1846" s="58"/>
      <c r="CE1846" s="58"/>
      <c r="CF1846" s="57"/>
      <c r="CG1846" s="57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14"/>
      <c r="DC1846" s="14"/>
      <c r="DD1846" s="14"/>
      <c r="DE1846" s="14"/>
      <c r="DF1846" s="14"/>
      <c r="DG1846" s="14"/>
      <c r="DH1846" s="14"/>
      <c r="DI1846" s="14"/>
      <c r="DJ1846" s="14"/>
      <c r="DK1846" s="14"/>
      <c r="DL1846" s="14"/>
      <c r="DM1846" s="14"/>
      <c r="DN1846" s="14"/>
      <c r="DO1846" s="14"/>
      <c r="DP1846" s="14"/>
      <c r="DQ1846" s="14"/>
      <c r="DR1846" s="14"/>
      <c r="DS1846" s="14"/>
      <c r="DT1846" s="14"/>
      <c r="DU1846" s="14"/>
      <c r="DV1846" s="14"/>
      <c r="DW1846" s="14"/>
      <c r="DX1846" s="14"/>
      <c r="DY1846" s="14"/>
      <c r="DZ1846" s="14"/>
      <c r="EA1846" s="14"/>
      <c r="EB1846" s="14"/>
      <c r="EC1846" s="14"/>
      <c r="ED1846" s="14"/>
      <c r="EE1846" s="14"/>
      <c r="EF1846" s="14"/>
      <c r="EG1846" s="14"/>
      <c r="EH1846" s="14"/>
      <c r="EI1846" s="14"/>
      <c r="EJ1846" s="14"/>
      <c r="EK1846" s="14"/>
      <c r="EL1846" s="14"/>
      <c r="EM1846" s="14"/>
      <c r="EN1846" s="14"/>
      <c r="EO1846" s="14"/>
      <c r="EP1846" s="14"/>
      <c r="EQ1846" s="14"/>
      <c r="ER1846" s="14"/>
      <c r="ES1846" s="14"/>
      <c r="ET1846" s="14"/>
      <c r="EU1846" s="14"/>
      <c r="EV1846" s="14"/>
      <c r="EW1846" s="14"/>
      <c r="EX1846" s="14"/>
      <c r="EY1846" s="14"/>
      <c r="EZ1846" s="14"/>
      <c r="FA1846" s="14"/>
      <c r="FB1846" s="14"/>
      <c r="FC1846" s="14"/>
      <c r="FD1846" s="14"/>
      <c r="FE1846" s="14"/>
      <c r="FF1846" s="14"/>
      <c r="FG1846" s="14"/>
      <c r="FH1846" s="14"/>
      <c r="FI1846" s="14"/>
      <c r="FJ1846" s="14"/>
      <c r="FK1846" s="14"/>
      <c r="FL1846" s="57" t="s">
        <v>837</v>
      </c>
      <c r="FM1846" s="57" t="s">
        <v>260</v>
      </c>
      <c r="FN1846" s="14"/>
      <c r="FO1846" s="14"/>
      <c r="FP1846" s="14"/>
      <c r="FQ1846" s="14"/>
      <c r="FR1846" s="14"/>
      <c r="FS1846" s="14"/>
      <c r="FT1846" s="14"/>
      <c r="FU1846" s="14"/>
      <c r="FV1846" s="14"/>
      <c r="FW1846" s="14"/>
      <c r="FX1846" s="14"/>
      <c r="FY1846" s="14"/>
      <c r="FZ1846" s="14"/>
      <c r="GA1846" s="14"/>
      <c r="GB1846" s="14"/>
      <c r="GC1846" s="14"/>
      <c r="GD1846" s="14"/>
      <c r="GE1846" s="14"/>
      <c r="GF1846" s="14"/>
      <c r="GG1846" s="14"/>
      <c r="GH1846" s="14"/>
      <c r="GI1846" s="14"/>
      <c r="GJ1846" s="14"/>
      <c r="GK1846" s="14"/>
      <c r="GL1846" s="14"/>
      <c r="GM1846" s="14"/>
      <c r="GN1846" s="14"/>
      <c r="GO1846" s="14"/>
      <c r="GP1846" s="14"/>
      <c r="GQ1846" s="14"/>
      <c r="GR1846" s="14"/>
      <c r="GS1846" s="14"/>
      <c r="GT1846" s="14"/>
      <c r="GU1846" s="14"/>
      <c r="GV1846" s="14"/>
      <c r="GW1846" s="14"/>
      <c r="GX1846" s="14"/>
      <c r="GY1846" s="14"/>
      <c r="GZ1846" s="14"/>
      <c r="HA1846" s="14"/>
    </row>
    <row r="1847" ht="23.25" customHeight="1">
      <c r="A1847" s="14"/>
      <c r="B1847" s="14"/>
      <c r="C1847" s="36" t="s">
        <v>13</v>
      </c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57" t="s">
        <v>833</v>
      </c>
      <c r="AY1847" s="57" t="s">
        <v>834</v>
      </c>
      <c r="AZ1847" s="57" t="s">
        <v>1351</v>
      </c>
      <c r="BA1847" s="57" t="s">
        <v>345</v>
      </c>
      <c r="BB1847" s="57" t="s">
        <v>495</v>
      </c>
      <c r="BC1847" s="58">
        <v>43922.0</v>
      </c>
      <c r="BD1847" s="58">
        <v>43951.0</v>
      </c>
      <c r="BE1847" s="14"/>
      <c r="BF1847" s="60">
        <v>100.0</v>
      </c>
      <c r="BG1847" s="14"/>
      <c r="BH1847" s="59" t="s">
        <v>5183</v>
      </c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57"/>
      <c r="BX1847" s="57"/>
      <c r="BY1847" s="14"/>
      <c r="BZ1847" s="57"/>
      <c r="CA1847" s="57"/>
      <c r="CB1847" s="57"/>
      <c r="CC1847" s="57"/>
      <c r="CD1847" s="58"/>
      <c r="CE1847" s="58"/>
      <c r="CF1847" s="57"/>
      <c r="CG1847" s="57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14"/>
      <c r="DC1847" s="14"/>
      <c r="DD1847" s="14"/>
      <c r="DE1847" s="14"/>
      <c r="DF1847" s="14"/>
      <c r="DG1847" s="14"/>
      <c r="DH1847" s="14"/>
      <c r="DI1847" s="14"/>
      <c r="DJ1847" s="14"/>
      <c r="DK1847" s="14"/>
      <c r="DL1847" s="14"/>
      <c r="DM1847" s="14"/>
      <c r="DN1847" s="14"/>
      <c r="DO1847" s="14"/>
      <c r="DP1847" s="14"/>
      <c r="DQ1847" s="14"/>
      <c r="DR1847" s="14"/>
      <c r="DS1847" s="14"/>
      <c r="DT1847" s="14"/>
      <c r="DU1847" s="14"/>
      <c r="DV1847" s="14"/>
      <c r="DW1847" s="14"/>
      <c r="DX1847" s="14"/>
      <c r="DY1847" s="14"/>
      <c r="DZ1847" s="14"/>
      <c r="EA1847" s="14"/>
      <c r="EB1847" s="14"/>
      <c r="EC1847" s="14"/>
      <c r="ED1847" s="14"/>
      <c r="EE1847" s="14"/>
      <c r="EF1847" s="14"/>
      <c r="EG1847" s="14"/>
      <c r="EH1847" s="14"/>
      <c r="EI1847" s="14"/>
      <c r="EJ1847" s="14"/>
      <c r="EK1847" s="14"/>
      <c r="EL1847" s="14"/>
      <c r="EM1847" s="14"/>
      <c r="EN1847" s="14"/>
      <c r="EO1847" s="14"/>
      <c r="EP1847" s="14"/>
      <c r="EQ1847" s="14"/>
      <c r="ER1847" s="14"/>
      <c r="ES1847" s="14"/>
      <c r="ET1847" s="14"/>
      <c r="EU1847" s="14"/>
      <c r="EV1847" s="14"/>
      <c r="EW1847" s="14"/>
      <c r="EX1847" s="14"/>
      <c r="EY1847" s="14"/>
      <c r="EZ1847" s="14"/>
      <c r="FA1847" s="14"/>
      <c r="FB1847" s="14"/>
      <c r="FC1847" s="14"/>
      <c r="FD1847" s="14"/>
      <c r="FE1847" s="14"/>
      <c r="FF1847" s="14"/>
      <c r="FG1847" s="14"/>
      <c r="FH1847" s="14"/>
      <c r="FI1847" s="14"/>
      <c r="FJ1847" s="14"/>
      <c r="FK1847" s="14"/>
      <c r="FL1847" s="57" t="s">
        <v>837</v>
      </c>
      <c r="FM1847" s="57" t="s">
        <v>260</v>
      </c>
      <c r="FN1847" s="14"/>
      <c r="FO1847" s="14"/>
      <c r="FP1847" s="14"/>
      <c r="FQ1847" s="14"/>
      <c r="FR1847" s="14"/>
      <c r="FS1847" s="14"/>
      <c r="FT1847" s="14"/>
      <c r="FU1847" s="14"/>
      <c r="FV1847" s="14"/>
      <c r="FW1847" s="14"/>
      <c r="FX1847" s="14"/>
      <c r="FY1847" s="14"/>
      <c r="FZ1847" s="14"/>
      <c r="GA1847" s="14"/>
      <c r="GB1847" s="14"/>
      <c r="GC1847" s="14"/>
      <c r="GD1847" s="14"/>
      <c r="GE1847" s="14"/>
      <c r="GF1847" s="14"/>
      <c r="GG1847" s="14"/>
      <c r="GH1847" s="14"/>
      <c r="GI1847" s="14"/>
      <c r="GJ1847" s="14"/>
      <c r="GK1847" s="14"/>
      <c r="GL1847" s="14"/>
      <c r="GM1847" s="14"/>
      <c r="GN1847" s="14"/>
      <c r="GO1847" s="14"/>
      <c r="GP1847" s="14"/>
      <c r="GQ1847" s="14"/>
      <c r="GR1847" s="14"/>
      <c r="GS1847" s="14"/>
      <c r="GT1847" s="14"/>
      <c r="GU1847" s="14"/>
      <c r="GV1847" s="14"/>
      <c r="GW1847" s="14"/>
      <c r="GX1847" s="14"/>
      <c r="GY1847" s="14"/>
      <c r="GZ1847" s="14"/>
      <c r="HA1847" s="14"/>
    </row>
    <row r="1848" ht="23.25" customHeight="1">
      <c r="A1848" s="14"/>
      <c r="B1848" s="14"/>
      <c r="C1848" s="36" t="s">
        <v>13</v>
      </c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57" t="s">
        <v>833</v>
      </c>
      <c r="AY1848" s="57" t="s">
        <v>834</v>
      </c>
      <c r="AZ1848" s="57" t="s">
        <v>5184</v>
      </c>
      <c r="BA1848" s="57" t="s">
        <v>345</v>
      </c>
      <c r="BB1848" s="57" t="s">
        <v>310</v>
      </c>
      <c r="BC1848" s="58">
        <v>43983.0</v>
      </c>
      <c r="BD1848" s="58">
        <v>44043.0</v>
      </c>
      <c r="BE1848" s="14"/>
      <c r="BF1848" s="60">
        <v>100.0</v>
      </c>
      <c r="BG1848" s="14"/>
      <c r="BH1848" s="59" t="s">
        <v>5185</v>
      </c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57"/>
      <c r="BX1848" s="57"/>
      <c r="BY1848" s="14"/>
      <c r="BZ1848" s="57"/>
      <c r="CA1848" s="57"/>
      <c r="CB1848" s="57"/>
      <c r="CC1848" s="57"/>
      <c r="CD1848" s="58"/>
      <c r="CE1848" s="58"/>
      <c r="CF1848" s="57"/>
      <c r="CG1848" s="57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14"/>
      <c r="DC1848" s="14"/>
      <c r="DD1848" s="14"/>
      <c r="DE1848" s="14"/>
      <c r="DF1848" s="14"/>
      <c r="DG1848" s="14"/>
      <c r="DH1848" s="14"/>
      <c r="DI1848" s="14"/>
      <c r="DJ1848" s="14"/>
      <c r="DK1848" s="14"/>
      <c r="DL1848" s="14"/>
      <c r="DM1848" s="14"/>
      <c r="DN1848" s="14"/>
      <c r="DO1848" s="14"/>
      <c r="DP1848" s="14"/>
      <c r="DQ1848" s="14"/>
      <c r="DR1848" s="14"/>
      <c r="DS1848" s="14"/>
      <c r="DT1848" s="14"/>
      <c r="DU1848" s="14"/>
      <c r="DV1848" s="14"/>
      <c r="DW1848" s="14"/>
      <c r="DX1848" s="14"/>
      <c r="DY1848" s="14"/>
      <c r="DZ1848" s="14"/>
      <c r="EA1848" s="14"/>
      <c r="EB1848" s="14"/>
      <c r="EC1848" s="14"/>
      <c r="ED1848" s="14"/>
      <c r="EE1848" s="14"/>
      <c r="EF1848" s="14"/>
      <c r="EG1848" s="14"/>
      <c r="EH1848" s="14"/>
      <c r="EI1848" s="14"/>
      <c r="EJ1848" s="14"/>
      <c r="EK1848" s="14"/>
      <c r="EL1848" s="14"/>
      <c r="EM1848" s="14"/>
      <c r="EN1848" s="14"/>
      <c r="EO1848" s="14"/>
      <c r="EP1848" s="14"/>
      <c r="EQ1848" s="14"/>
      <c r="ER1848" s="14"/>
      <c r="ES1848" s="14"/>
      <c r="ET1848" s="14"/>
      <c r="EU1848" s="14"/>
      <c r="EV1848" s="14"/>
      <c r="EW1848" s="14"/>
      <c r="EX1848" s="14"/>
      <c r="EY1848" s="14"/>
      <c r="EZ1848" s="14"/>
      <c r="FA1848" s="14"/>
      <c r="FB1848" s="14"/>
      <c r="FC1848" s="14"/>
      <c r="FD1848" s="14"/>
      <c r="FE1848" s="14"/>
      <c r="FF1848" s="14"/>
      <c r="FG1848" s="14"/>
      <c r="FH1848" s="14"/>
      <c r="FI1848" s="14"/>
      <c r="FJ1848" s="14"/>
      <c r="FK1848" s="14"/>
      <c r="FL1848" s="57" t="s">
        <v>837</v>
      </c>
      <c r="FM1848" s="57" t="s">
        <v>260</v>
      </c>
      <c r="FN1848" s="14"/>
      <c r="FO1848" s="14"/>
      <c r="FP1848" s="14"/>
      <c r="FQ1848" s="14"/>
      <c r="FR1848" s="14"/>
      <c r="FS1848" s="14"/>
      <c r="FT1848" s="14"/>
      <c r="FU1848" s="14"/>
      <c r="FV1848" s="14"/>
      <c r="FW1848" s="14"/>
      <c r="FX1848" s="14"/>
      <c r="FY1848" s="14"/>
      <c r="FZ1848" s="14"/>
      <c r="GA1848" s="14"/>
      <c r="GB1848" s="14"/>
      <c r="GC1848" s="14"/>
      <c r="GD1848" s="14"/>
      <c r="GE1848" s="14"/>
      <c r="GF1848" s="14"/>
      <c r="GG1848" s="14"/>
      <c r="GH1848" s="14"/>
      <c r="GI1848" s="14"/>
      <c r="GJ1848" s="14"/>
      <c r="GK1848" s="14"/>
      <c r="GL1848" s="14"/>
      <c r="GM1848" s="14"/>
      <c r="GN1848" s="14"/>
      <c r="GO1848" s="14"/>
      <c r="GP1848" s="14"/>
      <c r="GQ1848" s="14"/>
      <c r="GR1848" s="14"/>
      <c r="GS1848" s="14"/>
      <c r="GT1848" s="14"/>
      <c r="GU1848" s="14"/>
      <c r="GV1848" s="14"/>
      <c r="GW1848" s="14"/>
      <c r="GX1848" s="14"/>
      <c r="GY1848" s="14"/>
      <c r="GZ1848" s="14"/>
      <c r="HA1848" s="14"/>
    </row>
    <row r="1849" ht="23.25" customHeight="1">
      <c r="A1849" s="14"/>
      <c r="B1849" s="14"/>
      <c r="C1849" s="36" t="s">
        <v>13</v>
      </c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57" t="s">
        <v>5186</v>
      </c>
      <c r="AY1849" s="57" t="s">
        <v>834</v>
      </c>
      <c r="AZ1849" s="57" t="s">
        <v>5187</v>
      </c>
      <c r="BA1849" s="57" t="s">
        <v>345</v>
      </c>
      <c r="BB1849" s="57" t="s">
        <v>310</v>
      </c>
      <c r="BC1849" s="58">
        <v>43983.0</v>
      </c>
      <c r="BD1849" s="58">
        <v>44043.0</v>
      </c>
      <c r="BE1849" s="14"/>
      <c r="BF1849" s="60">
        <v>100.0</v>
      </c>
      <c r="BG1849" s="14"/>
      <c r="BH1849" s="59" t="s">
        <v>5188</v>
      </c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57"/>
      <c r="BX1849" s="57"/>
      <c r="BY1849" s="14"/>
      <c r="BZ1849" s="57"/>
      <c r="CA1849" s="57"/>
      <c r="CB1849" s="57"/>
      <c r="CC1849" s="57"/>
      <c r="CD1849" s="58"/>
      <c r="CE1849" s="58"/>
      <c r="CF1849" s="57"/>
      <c r="CG1849" s="57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14"/>
      <c r="DC1849" s="14"/>
      <c r="DD1849" s="14"/>
      <c r="DE1849" s="14"/>
      <c r="DF1849" s="14"/>
      <c r="DG1849" s="14"/>
      <c r="DH1849" s="14"/>
      <c r="DI1849" s="14"/>
      <c r="DJ1849" s="14"/>
      <c r="DK1849" s="14"/>
      <c r="DL1849" s="14"/>
      <c r="DM1849" s="14"/>
      <c r="DN1849" s="14"/>
      <c r="DO1849" s="14"/>
      <c r="DP1849" s="14"/>
      <c r="DQ1849" s="14"/>
      <c r="DR1849" s="14"/>
      <c r="DS1849" s="14"/>
      <c r="DT1849" s="14"/>
      <c r="DU1849" s="14"/>
      <c r="DV1849" s="14"/>
      <c r="DW1849" s="14"/>
      <c r="DX1849" s="14"/>
      <c r="DY1849" s="14"/>
      <c r="DZ1849" s="14"/>
      <c r="EA1849" s="14"/>
      <c r="EB1849" s="14"/>
      <c r="EC1849" s="14"/>
      <c r="ED1849" s="14"/>
      <c r="EE1849" s="14"/>
      <c r="EF1849" s="14"/>
      <c r="EG1849" s="14"/>
      <c r="EH1849" s="14"/>
      <c r="EI1849" s="14"/>
      <c r="EJ1849" s="14"/>
      <c r="EK1849" s="14"/>
      <c r="EL1849" s="14"/>
      <c r="EM1849" s="14"/>
      <c r="EN1849" s="14"/>
      <c r="EO1849" s="14"/>
      <c r="EP1849" s="14"/>
      <c r="EQ1849" s="14"/>
      <c r="ER1849" s="14"/>
      <c r="ES1849" s="14"/>
      <c r="ET1849" s="14"/>
      <c r="EU1849" s="14"/>
      <c r="EV1849" s="14"/>
      <c r="EW1849" s="14"/>
      <c r="EX1849" s="14"/>
      <c r="EY1849" s="14"/>
      <c r="EZ1849" s="14"/>
      <c r="FA1849" s="14"/>
      <c r="FB1849" s="14"/>
      <c r="FC1849" s="14"/>
      <c r="FD1849" s="14"/>
      <c r="FE1849" s="14"/>
      <c r="FF1849" s="14"/>
      <c r="FG1849" s="14"/>
      <c r="FH1849" s="14"/>
      <c r="FI1849" s="14"/>
      <c r="FJ1849" s="14"/>
      <c r="FK1849" s="14"/>
      <c r="FL1849" s="57" t="s">
        <v>837</v>
      </c>
      <c r="FM1849" s="57" t="s">
        <v>260</v>
      </c>
      <c r="FN1849" s="14"/>
      <c r="FO1849" s="14"/>
      <c r="FP1849" s="14"/>
      <c r="FQ1849" s="14"/>
      <c r="FR1849" s="14"/>
      <c r="FS1849" s="14"/>
      <c r="FT1849" s="14"/>
      <c r="FU1849" s="14"/>
      <c r="FV1849" s="14"/>
      <c r="FW1849" s="14"/>
      <c r="FX1849" s="14"/>
      <c r="FY1849" s="14"/>
      <c r="FZ1849" s="14"/>
      <c r="GA1849" s="14"/>
      <c r="GB1849" s="14"/>
      <c r="GC1849" s="14"/>
      <c r="GD1849" s="14"/>
      <c r="GE1849" s="14"/>
      <c r="GF1849" s="14"/>
      <c r="GG1849" s="14"/>
      <c r="GH1849" s="14"/>
      <c r="GI1849" s="14"/>
      <c r="GJ1849" s="14"/>
      <c r="GK1849" s="14"/>
      <c r="GL1849" s="14"/>
      <c r="GM1849" s="14"/>
      <c r="GN1849" s="14"/>
      <c r="GO1849" s="14"/>
      <c r="GP1849" s="14"/>
      <c r="GQ1849" s="14"/>
      <c r="GR1849" s="14"/>
      <c r="GS1849" s="14"/>
      <c r="GT1849" s="14"/>
      <c r="GU1849" s="14"/>
      <c r="GV1849" s="14"/>
      <c r="GW1849" s="14"/>
      <c r="GX1849" s="14"/>
      <c r="GY1849" s="14"/>
      <c r="GZ1849" s="14"/>
      <c r="HA1849" s="14"/>
    </row>
    <row r="1850" ht="23.25" customHeight="1">
      <c r="A1850" s="14"/>
      <c r="B1850" s="14"/>
      <c r="C1850" s="36" t="s">
        <v>13</v>
      </c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57" t="s">
        <v>833</v>
      </c>
      <c r="AY1850" s="57" t="s">
        <v>834</v>
      </c>
      <c r="AZ1850" s="57" t="s">
        <v>5189</v>
      </c>
      <c r="BA1850" s="57" t="s">
        <v>345</v>
      </c>
      <c r="BB1850" s="57" t="s">
        <v>310</v>
      </c>
      <c r="BC1850" s="58">
        <v>43952.0</v>
      </c>
      <c r="BD1850" s="58">
        <v>44012.0</v>
      </c>
      <c r="BE1850" s="14"/>
      <c r="BF1850" s="60">
        <v>100.0</v>
      </c>
      <c r="BG1850" s="14"/>
      <c r="BH1850" s="59" t="s">
        <v>5190</v>
      </c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57"/>
      <c r="BX1850" s="57"/>
      <c r="BY1850" s="14"/>
      <c r="BZ1850" s="57"/>
      <c r="CA1850" s="57"/>
      <c r="CB1850" s="57"/>
      <c r="CC1850" s="57"/>
      <c r="CD1850" s="58"/>
      <c r="CE1850" s="58"/>
      <c r="CF1850" s="57"/>
      <c r="CG1850" s="57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14"/>
      <c r="DC1850" s="14"/>
      <c r="DD1850" s="14"/>
      <c r="DE1850" s="14"/>
      <c r="DF1850" s="14"/>
      <c r="DG1850" s="14"/>
      <c r="DH1850" s="14"/>
      <c r="DI1850" s="14"/>
      <c r="DJ1850" s="14"/>
      <c r="DK1850" s="14"/>
      <c r="DL1850" s="14"/>
      <c r="DM1850" s="14"/>
      <c r="DN1850" s="14"/>
      <c r="DO1850" s="14"/>
      <c r="DP1850" s="14"/>
      <c r="DQ1850" s="14"/>
      <c r="DR1850" s="14"/>
      <c r="DS1850" s="14"/>
      <c r="DT1850" s="14"/>
      <c r="DU1850" s="14"/>
      <c r="DV1850" s="14"/>
      <c r="DW1850" s="14"/>
      <c r="DX1850" s="14"/>
      <c r="DY1850" s="14"/>
      <c r="DZ1850" s="14"/>
      <c r="EA1850" s="14"/>
      <c r="EB1850" s="14"/>
      <c r="EC1850" s="14"/>
      <c r="ED1850" s="14"/>
      <c r="EE1850" s="14"/>
      <c r="EF1850" s="14"/>
      <c r="EG1850" s="14"/>
      <c r="EH1850" s="14"/>
      <c r="EI1850" s="14"/>
      <c r="EJ1850" s="14"/>
      <c r="EK1850" s="14"/>
      <c r="EL1850" s="14"/>
      <c r="EM1850" s="14"/>
      <c r="EN1850" s="14"/>
      <c r="EO1850" s="14"/>
      <c r="EP1850" s="14"/>
      <c r="EQ1850" s="14"/>
      <c r="ER1850" s="14"/>
      <c r="ES1850" s="14"/>
      <c r="ET1850" s="14"/>
      <c r="EU1850" s="14"/>
      <c r="EV1850" s="14"/>
      <c r="EW1850" s="14"/>
      <c r="EX1850" s="14"/>
      <c r="EY1850" s="14"/>
      <c r="EZ1850" s="14"/>
      <c r="FA1850" s="14"/>
      <c r="FB1850" s="14"/>
      <c r="FC1850" s="14"/>
      <c r="FD1850" s="14"/>
      <c r="FE1850" s="14"/>
      <c r="FF1850" s="14"/>
      <c r="FG1850" s="14"/>
      <c r="FH1850" s="14"/>
      <c r="FI1850" s="14"/>
      <c r="FJ1850" s="14"/>
      <c r="FK1850" s="14"/>
      <c r="FL1850" s="57" t="s">
        <v>837</v>
      </c>
      <c r="FM1850" s="57" t="s">
        <v>260</v>
      </c>
      <c r="FN1850" s="14"/>
      <c r="FO1850" s="14"/>
      <c r="FP1850" s="14"/>
      <c r="FQ1850" s="14"/>
      <c r="FR1850" s="14"/>
      <c r="FS1850" s="14"/>
      <c r="FT1850" s="14"/>
      <c r="FU1850" s="14"/>
      <c r="FV1850" s="14"/>
      <c r="FW1850" s="14"/>
      <c r="FX1850" s="14"/>
      <c r="FY1850" s="14"/>
      <c r="FZ1850" s="14"/>
      <c r="GA1850" s="14"/>
      <c r="GB1850" s="14"/>
      <c r="GC1850" s="14"/>
      <c r="GD1850" s="14"/>
      <c r="GE1850" s="14"/>
      <c r="GF1850" s="14"/>
      <c r="GG1850" s="14"/>
      <c r="GH1850" s="14"/>
      <c r="GI1850" s="14"/>
      <c r="GJ1850" s="14"/>
      <c r="GK1850" s="14"/>
      <c r="GL1850" s="14"/>
      <c r="GM1850" s="14"/>
      <c r="GN1850" s="14"/>
      <c r="GO1850" s="14"/>
      <c r="GP1850" s="14"/>
      <c r="GQ1850" s="14"/>
      <c r="GR1850" s="14"/>
      <c r="GS1850" s="14"/>
      <c r="GT1850" s="14"/>
      <c r="GU1850" s="14"/>
      <c r="GV1850" s="14"/>
      <c r="GW1850" s="14"/>
      <c r="GX1850" s="14"/>
      <c r="GY1850" s="14"/>
      <c r="GZ1850" s="14"/>
      <c r="HA1850" s="14"/>
    </row>
    <row r="1851" ht="23.25" customHeight="1">
      <c r="A1851" s="14"/>
      <c r="B1851" s="14"/>
      <c r="C1851" s="36" t="s">
        <v>13</v>
      </c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57" t="s">
        <v>833</v>
      </c>
      <c r="AY1851" s="57" t="s">
        <v>834</v>
      </c>
      <c r="AZ1851" s="57" t="s">
        <v>5166</v>
      </c>
      <c r="BA1851" s="57" t="s">
        <v>345</v>
      </c>
      <c r="BB1851" s="57" t="s">
        <v>310</v>
      </c>
      <c r="BC1851" s="58">
        <v>43952.0</v>
      </c>
      <c r="BD1851" s="58">
        <v>44012.0</v>
      </c>
      <c r="BE1851" s="14"/>
      <c r="BF1851" s="60">
        <v>100.0</v>
      </c>
      <c r="BG1851" s="14"/>
      <c r="BH1851" s="59" t="s">
        <v>5191</v>
      </c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57"/>
      <c r="BX1851" s="57"/>
      <c r="BY1851" s="14"/>
      <c r="BZ1851" s="57"/>
      <c r="CA1851" s="57"/>
      <c r="CB1851" s="57"/>
      <c r="CC1851" s="57"/>
      <c r="CD1851" s="58"/>
      <c r="CE1851" s="58"/>
      <c r="CF1851" s="57"/>
      <c r="CG1851" s="57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14"/>
      <c r="DC1851" s="14"/>
      <c r="DD1851" s="14"/>
      <c r="DE1851" s="14"/>
      <c r="DF1851" s="14"/>
      <c r="DG1851" s="14"/>
      <c r="DH1851" s="14"/>
      <c r="DI1851" s="14"/>
      <c r="DJ1851" s="14"/>
      <c r="DK1851" s="14"/>
      <c r="DL1851" s="14"/>
      <c r="DM1851" s="14"/>
      <c r="DN1851" s="14"/>
      <c r="DO1851" s="14"/>
      <c r="DP1851" s="14"/>
      <c r="DQ1851" s="14"/>
      <c r="DR1851" s="14"/>
      <c r="DS1851" s="14"/>
      <c r="DT1851" s="14"/>
      <c r="DU1851" s="14"/>
      <c r="DV1851" s="14"/>
      <c r="DW1851" s="14"/>
      <c r="DX1851" s="14"/>
      <c r="DY1851" s="14"/>
      <c r="DZ1851" s="14"/>
      <c r="EA1851" s="14"/>
      <c r="EB1851" s="14"/>
      <c r="EC1851" s="14"/>
      <c r="ED1851" s="14"/>
      <c r="EE1851" s="14"/>
      <c r="EF1851" s="14"/>
      <c r="EG1851" s="14"/>
      <c r="EH1851" s="14"/>
      <c r="EI1851" s="14"/>
      <c r="EJ1851" s="14"/>
      <c r="EK1851" s="14"/>
      <c r="EL1851" s="14"/>
      <c r="EM1851" s="14"/>
      <c r="EN1851" s="14"/>
      <c r="EO1851" s="14"/>
      <c r="EP1851" s="14"/>
      <c r="EQ1851" s="14"/>
      <c r="ER1851" s="14"/>
      <c r="ES1851" s="14"/>
      <c r="ET1851" s="14"/>
      <c r="EU1851" s="14"/>
      <c r="EV1851" s="14"/>
      <c r="EW1851" s="14"/>
      <c r="EX1851" s="14"/>
      <c r="EY1851" s="14"/>
      <c r="EZ1851" s="14"/>
      <c r="FA1851" s="14"/>
      <c r="FB1851" s="14"/>
      <c r="FC1851" s="14"/>
      <c r="FD1851" s="14"/>
      <c r="FE1851" s="14"/>
      <c r="FF1851" s="14"/>
      <c r="FG1851" s="14"/>
      <c r="FH1851" s="14"/>
      <c r="FI1851" s="14"/>
      <c r="FJ1851" s="14"/>
      <c r="FK1851" s="14"/>
      <c r="FL1851" s="57" t="s">
        <v>837</v>
      </c>
      <c r="FM1851" s="57" t="s">
        <v>260</v>
      </c>
      <c r="FN1851" s="14"/>
      <c r="FO1851" s="14"/>
      <c r="FP1851" s="14"/>
      <c r="FQ1851" s="14"/>
      <c r="FR1851" s="14"/>
      <c r="FS1851" s="14"/>
      <c r="FT1851" s="14"/>
      <c r="FU1851" s="14"/>
      <c r="FV1851" s="14"/>
      <c r="FW1851" s="14"/>
      <c r="FX1851" s="14"/>
      <c r="FY1851" s="14"/>
      <c r="FZ1851" s="14"/>
      <c r="GA1851" s="14"/>
      <c r="GB1851" s="14"/>
      <c r="GC1851" s="14"/>
      <c r="GD1851" s="14"/>
      <c r="GE1851" s="14"/>
      <c r="GF1851" s="14"/>
      <c r="GG1851" s="14"/>
      <c r="GH1851" s="14"/>
      <c r="GI1851" s="14"/>
      <c r="GJ1851" s="14"/>
      <c r="GK1851" s="14"/>
      <c r="GL1851" s="14"/>
      <c r="GM1851" s="14"/>
      <c r="GN1851" s="14"/>
      <c r="GO1851" s="14"/>
      <c r="GP1851" s="14"/>
      <c r="GQ1851" s="14"/>
      <c r="GR1851" s="14"/>
      <c r="GS1851" s="14"/>
      <c r="GT1851" s="14"/>
      <c r="GU1851" s="14"/>
      <c r="GV1851" s="14"/>
      <c r="GW1851" s="14"/>
      <c r="GX1851" s="14"/>
      <c r="GY1851" s="14"/>
      <c r="GZ1851" s="14"/>
      <c r="HA1851" s="14"/>
    </row>
    <row r="1852" ht="23.25" customHeight="1">
      <c r="A1852" s="14"/>
      <c r="B1852" s="14"/>
      <c r="C1852" s="36" t="s">
        <v>13</v>
      </c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57" t="s">
        <v>833</v>
      </c>
      <c r="AY1852" s="57" t="s">
        <v>834</v>
      </c>
      <c r="AZ1852" s="57" t="s">
        <v>5192</v>
      </c>
      <c r="BA1852" s="57" t="s">
        <v>345</v>
      </c>
      <c r="BB1852" s="57" t="s">
        <v>4613</v>
      </c>
      <c r="BC1852" s="58">
        <v>43983.0</v>
      </c>
      <c r="BD1852" s="58">
        <v>44012.0</v>
      </c>
      <c r="BE1852" s="14"/>
      <c r="BF1852" s="60">
        <v>100.0</v>
      </c>
      <c r="BG1852" s="14"/>
      <c r="BH1852" s="59" t="s">
        <v>5193</v>
      </c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57"/>
      <c r="BX1852" s="57"/>
      <c r="BY1852" s="14"/>
      <c r="BZ1852" s="57"/>
      <c r="CA1852" s="57"/>
      <c r="CB1852" s="57"/>
      <c r="CC1852" s="57"/>
      <c r="CD1852" s="58"/>
      <c r="CE1852" s="58"/>
      <c r="CF1852" s="57"/>
      <c r="CG1852" s="57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14"/>
      <c r="DC1852" s="14"/>
      <c r="DD1852" s="14"/>
      <c r="DE1852" s="14"/>
      <c r="DF1852" s="14"/>
      <c r="DG1852" s="14"/>
      <c r="DH1852" s="14"/>
      <c r="DI1852" s="14"/>
      <c r="DJ1852" s="14"/>
      <c r="DK1852" s="14"/>
      <c r="DL1852" s="14"/>
      <c r="DM1852" s="14"/>
      <c r="DN1852" s="14"/>
      <c r="DO1852" s="14"/>
      <c r="DP1852" s="14"/>
      <c r="DQ1852" s="14"/>
      <c r="DR1852" s="14"/>
      <c r="DS1852" s="14"/>
      <c r="DT1852" s="14"/>
      <c r="DU1852" s="14"/>
      <c r="DV1852" s="14"/>
      <c r="DW1852" s="14"/>
      <c r="DX1852" s="14"/>
      <c r="DY1852" s="14"/>
      <c r="DZ1852" s="14"/>
      <c r="EA1852" s="14"/>
      <c r="EB1852" s="14"/>
      <c r="EC1852" s="14"/>
      <c r="ED1852" s="14"/>
      <c r="EE1852" s="14"/>
      <c r="EF1852" s="14"/>
      <c r="EG1852" s="14"/>
      <c r="EH1852" s="14"/>
      <c r="EI1852" s="14"/>
      <c r="EJ1852" s="14"/>
      <c r="EK1852" s="14"/>
      <c r="EL1852" s="14"/>
      <c r="EM1852" s="14"/>
      <c r="EN1852" s="14"/>
      <c r="EO1852" s="14"/>
      <c r="EP1852" s="14"/>
      <c r="EQ1852" s="14"/>
      <c r="ER1852" s="14"/>
      <c r="ES1852" s="14"/>
      <c r="ET1852" s="14"/>
      <c r="EU1852" s="14"/>
      <c r="EV1852" s="14"/>
      <c r="EW1852" s="14"/>
      <c r="EX1852" s="14"/>
      <c r="EY1852" s="14"/>
      <c r="EZ1852" s="14"/>
      <c r="FA1852" s="14"/>
      <c r="FB1852" s="14"/>
      <c r="FC1852" s="14"/>
      <c r="FD1852" s="14"/>
      <c r="FE1852" s="14"/>
      <c r="FF1852" s="14"/>
      <c r="FG1852" s="14"/>
      <c r="FH1852" s="14"/>
      <c r="FI1852" s="14"/>
      <c r="FJ1852" s="14"/>
      <c r="FK1852" s="14"/>
      <c r="FL1852" s="57" t="s">
        <v>837</v>
      </c>
      <c r="FM1852" s="57" t="s">
        <v>260</v>
      </c>
      <c r="FN1852" s="14"/>
      <c r="FO1852" s="14"/>
      <c r="FP1852" s="14"/>
      <c r="FQ1852" s="14"/>
      <c r="FR1852" s="14"/>
      <c r="FS1852" s="14"/>
      <c r="FT1852" s="14"/>
      <c r="FU1852" s="14"/>
      <c r="FV1852" s="14"/>
      <c r="FW1852" s="14"/>
      <c r="FX1852" s="14"/>
      <c r="FY1852" s="14"/>
      <c r="FZ1852" s="14"/>
      <c r="GA1852" s="14"/>
      <c r="GB1852" s="14"/>
      <c r="GC1852" s="14"/>
      <c r="GD1852" s="14"/>
      <c r="GE1852" s="14"/>
      <c r="GF1852" s="14"/>
      <c r="GG1852" s="14"/>
      <c r="GH1852" s="14"/>
      <c r="GI1852" s="14"/>
      <c r="GJ1852" s="14"/>
      <c r="GK1852" s="14"/>
      <c r="GL1852" s="14"/>
      <c r="GM1852" s="14"/>
      <c r="GN1852" s="14"/>
      <c r="GO1852" s="14"/>
      <c r="GP1852" s="14"/>
      <c r="GQ1852" s="14"/>
      <c r="GR1852" s="14"/>
      <c r="GS1852" s="14"/>
      <c r="GT1852" s="14"/>
      <c r="GU1852" s="14"/>
      <c r="GV1852" s="14"/>
      <c r="GW1852" s="14"/>
      <c r="GX1852" s="14"/>
      <c r="GY1852" s="14"/>
      <c r="GZ1852" s="14"/>
      <c r="HA1852" s="14"/>
    </row>
    <row r="1853" ht="23.25" customHeight="1">
      <c r="A1853" s="14"/>
      <c r="B1853" s="14"/>
      <c r="C1853" s="36" t="s">
        <v>13</v>
      </c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57" t="s">
        <v>833</v>
      </c>
      <c r="AY1853" s="57" t="s">
        <v>834</v>
      </c>
      <c r="AZ1853" s="57" t="s">
        <v>5194</v>
      </c>
      <c r="BA1853" s="57" t="s">
        <v>345</v>
      </c>
      <c r="BB1853" s="57" t="s">
        <v>310</v>
      </c>
      <c r="BC1853" s="58">
        <v>44075.0</v>
      </c>
      <c r="BD1853" s="58">
        <v>44135.0</v>
      </c>
      <c r="BE1853" s="14"/>
      <c r="BF1853" s="60">
        <v>100.0</v>
      </c>
      <c r="BG1853" s="14"/>
      <c r="BH1853" s="59" t="s">
        <v>5195</v>
      </c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57"/>
      <c r="BX1853" s="57"/>
      <c r="BY1853" s="14"/>
      <c r="BZ1853" s="57"/>
      <c r="CA1853" s="57"/>
      <c r="CB1853" s="57"/>
      <c r="CC1853" s="57"/>
      <c r="CD1853" s="58"/>
      <c r="CE1853" s="58"/>
      <c r="CF1853" s="57"/>
      <c r="CG1853" s="57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14"/>
      <c r="DC1853" s="14"/>
      <c r="DD1853" s="14"/>
      <c r="DE1853" s="14"/>
      <c r="DF1853" s="14"/>
      <c r="DG1853" s="14"/>
      <c r="DH1853" s="14"/>
      <c r="DI1853" s="14"/>
      <c r="DJ1853" s="14"/>
      <c r="DK1853" s="14"/>
      <c r="DL1853" s="14"/>
      <c r="DM1853" s="14"/>
      <c r="DN1853" s="14"/>
      <c r="DO1853" s="14"/>
      <c r="DP1853" s="14"/>
      <c r="DQ1853" s="14"/>
      <c r="DR1853" s="14"/>
      <c r="DS1853" s="14"/>
      <c r="DT1853" s="14"/>
      <c r="DU1853" s="14"/>
      <c r="DV1853" s="14"/>
      <c r="DW1853" s="14"/>
      <c r="DX1853" s="14"/>
      <c r="DY1853" s="14"/>
      <c r="DZ1853" s="14"/>
      <c r="EA1853" s="14"/>
      <c r="EB1853" s="14"/>
      <c r="EC1853" s="14"/>
      <c r="ED1853" s="14"/>
      <c r="EE1853" s="14"/>
      <c r="EF1853" s="14"/>
      <c r="EG1853" s="14"/>
      <c r="EH1853" s="14"/>
      <c r="EI1853" s="14"/>
      <c r="EJ1853" s="14"/>
      <c r="EK1853" s="14"/>
      <c r="EL1853" s="14"/>
      <c r="EM1853" s="14"/>
      <c r="EN1853" s="14"/>
      <c r="EO1853" s="14"/>
      <c r="EP1853" s="14"/>
      <c r="EQ1853" s="14"/>
      <c r="ER1853" s="14"/>
      <c r="ES1853" s="14"/>
      <c r="ET1853" s="14"/>
      <c r="EU1853" s="14"/>
      <c r="EV1853" s="14"/>
      <c r="EW1853" s="14"/>
      <c r="EX1853" s="14"/>
      <c r="EY1853" s="14"/>
      <c r="EZ1853" s="14"/>
      <c r="FA1853" s="14"/>
      <c r="FB1853" s="14"/>
      <c r="FC1853" s="14"/>
      <c r="FD1853" s="14"/>
      <c r="FE1853" s="14"/>
      <c r="FF1853" s="14"/>
      <c r="FG1853" s="14"/>
      <c r="FH1853" s="14"/>
      <c r="FI1853" s="14"/>
      <c r="FJ1853" s="14"/>
      <c r="FK1853" s="14"/>
      <c r="FL1853" s="57" t="s">
        <v>837</v>
      </c>
      <c r="FM1853" s="57" t="s">
        <v>260</v>
      </c>
      <c r="FN1853" s="14"/>
      <c r="FO1853" s="14"/>
      <c r="FP1853" s="14"/>
      <c r="FQ1853" s="14"/>
      <c r="FR1853" s="14"/>
      <c r="FS1853" s="14"/>
      <c r="FT1853" s="14"/>
      <c r="FU1853" s="14"/>
      <c r="FV1853" s="14"/>
      <c r="FW1853" s="14"/>
      <c r="FX1853" s="14"/>
      <c r="FY1853" s="14"/>
      <c r="FZ1853" s="14"/>
      <c r="GA1853" s="14"/>
      <c r="GB1853" s="14"/>
      <c r="GC1853" s="14"/>
      <c r="GD1853" s="14"/>
      <c r="GE1853" s="14"/>
      <c r="GF1853" s="14"/>
      <c r="GG1853" s="14"/>
      <c r="GH1853" s="14"/>
      <c r="GI1853" s="14"/>
      <c r="GJ1853" s="14"/>
      <c r="GK1853" s="14"/>
      <c r="GL1853" s="14"/>
      <c r="GM1853" s="14"/>
      <c r="GN1853" s="14"/>
      <c r="GO1853" s="14"/>
      <c r="GP1853" s="14"/>
      <c r="GQ1853" s="14"/>
      <c r="GR1853" s="14"/>
      <c r="GS1853" s="14"/>
      <c r="GT1853" s="14"/>
      <c r="GU1853" s="14"/>
      <c r="GV1853" s="14"/>
      <c r="GW1853" s="14"/>
      <c r="GX1853" s="14"/>
      <c r="GY1853" s="14"/>
      <c r="GZ1853" s="14"/>
      <c r="HA1853" s="14"/>
    </row>
    <row r="1854" ht="23.25" customHeight="1">
      <c r="A1854" s="14"/>
      <c r="B1854" s="14"/>
      <c r="C1854" s="36" t="s">
        <v>13</v>
      </c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57" t="s">
        <v>833</v>
      </c>
      <c r="AY1854" s="57" t="s">
        <v>834</v>
      </c>
      <c r="AZ1854" s="57" t="s">
        <v>5196</v>
      </c>
      <c r="BA1854" s="57" t="s">
        <v>345</v>
      </c>
      <c r="BB1854" s="57" t="s">
        <v>310</v>
      </c>
      <c r="BC1854" s="58">
        <v>43922.0</v>
      </c>
      <c r="BD1854" s="58">
        <v>43982.0</v>
      </c>
      <c r="BE1854" s="14"/>
      <c r="BF1854" s="60">
        <v>100.0</v>
      </c>
      <c r="BG1854" s="14"/>
      <c r="BH1854" s="59" t="s">
        <v>5197</v>
      </c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57"/>
      <c r="BX1854" s="57"/>
      <c r="BY1854" s="14"/>
      <c r="BZ1854" s="57"/>
      <c r="CA1854" s="57"/>
      <c r="CB1854" s="57"/>
      <c r="CC1854" s="57"/>
      <c r="CD1854" s="58"/>
      <c r="CE1854" s="58"/>
      <c r="CF1854" s="57"/>
      <c r="CG1854" s="57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14"/>
      <c r="DC1854" s="14"/>
      <c r="DD1854" s="14"/>
      <c r="DE1854" s="14"/>
      <c r="DF1854" s="14"/>
      <c r="DG1854" s="14"/>
      <c r="DH1854" s="14"/>
      <c r="DI1854" s="14"/>
      <c r="DJ1854" s="14"/>
      <c r="DK1854" s="14"/>
      <c r="DL1854" s="14"/>
      <c r="DM1854" s="14"/>
      <c r="DN1854" s="14"/>
      <c r="DO1854" s="14"/>
      <c r="DP1854" s="14"/>
      <c r="DQ1854" s="14"/>
      <c r="DR1854" s="14"/>
      <c r="DS1854" s="14"/>
      <c r="DT1854" s="14"/>
      <c r="DU1854" s="14"/>
      <c r="DV1854" s="14"/>
      <c r="DW1854" s="14"/>
      <c r="DX1854" s="14"/>
      <c r="DY1854" s="14"/>
      <c r="DZ1854" s="14"/>
      <c r="EA1854" s="14"/>
      <c r="EB1854" s="14"/>
      <c r="EC1854" s="14"/>
      <c r="ED1854" s="14"/>
      <c r="EE1854" s="14"/>
      <c r="EF1854" s="14"/>
      <c r="EG1854" s="14"/>
      <c r="EH1854" s="14"/>
      <c r="EI1854" s="14"/>
      <c r="EJ1854" s="14"/>
      <c r="EK1854" s="14"/>
      <c r="EL1854" s="14"/>
      <c r="EM1854" s="14"/>
      <c r="EN1854" s="14"/>
      <c r="EO1854" s="14"/>
      <c r="EP1854" s="14"/>
      <c r="EQ1854" s="14"/>
      <c r="ER1854" s="14"/>
      <c r="ES1854" s="14"/>
      <c r="ET1854" s="14"/>
      <c r="EU1854" s="14"/>
      <c r="EV1854" s="14"/>
      <c r="EW1854" s="14"/>
      <c r="EX1854" s="14"/>
      <c r="EY1854" s="14"/>
      <c r="EZ1854" s="14"/>
      <c r="FA1854" s="14"/>
      <c r="FB1854" s="14"/>
      <c r="FC1854" s="14"/>
      <c r="FD1854" s="14"/>
      <c r="FE1854" s="14"/>
      <c r="FF1854" s="14"/>
      <c r="FG1854" s="14"/>
      <c r="FH1854" s="14"/>
      <c r="FI1854" s="14"/>
      <c r="FJ1854" s="14"/>
      <c r="FK1854" s="14"/>
      <c r="FL1854" s="57" t="s">
        <v>837</v>
      </c>
      <c r="FM1854" s="57" t="s">
        <v>260</v>
      </c>
      <c r="FN1854" s="14"/>
      <c r="FO1854" s="14"/>
      <c r="FP1854" s="14"/>
      <c r="FQ1854" s="14"/>
      <c r="FR1854" s="14"/>
      <c r="FS1854" s="14"/>
      <c r="FT1854" s="14"/>
      <c r="FU1854" s="14"/>
      <c r="FV1854" s="14"/>
      <c r="FW1854" s="14"/>
      <c r="FX1854" s="14"/>
      <c r="FY1854" s="14"/>
      <c r="FZ1854" s="14"/>
      <c r="GA1854" s="14"/>
      <c r="GB1854" s="14"/>
      <c r="GC1854" s="14"/>
      <c r="GD1854" s="14"/>
      <c r="GE1854" s="14"/>
      <c r="GF1854" s="14"/>
      <c r="GG1854" s="14"/>
      <c r="GH1854" s="14"/>
      <c r="GI1854" s="14"/>
      <c r="GJ1854" s="14"/>
      <c r="GK1854" s="14"/>
      <c r="GL1854" s="14"/>
      <c r="GM1854" s="14"/>
      <c r="GN1854" s="14"/>
      <c r="GO1854" s="14"/>
      <c r="GP1854" s="14"/>
      <c r="GQ1854" s="14"/>
      <c r="GR1854" s="14"/>
      <c r="GS1854" s="14"/>
      <c r="GT1854" s="14"/>
      <c r="GU1854" s="14"/>
      <c r="GV1854" s="14"/>
      <c r="GW1854" s="14"/>
      <c r="GX1854" s="14"/>
      <c r="GY1854" s="14"/>
      <c r="GZ1854" s="14"/>
      <c r="HA1854" s="14"/>
    </row>
    <row r="1855" ht="23.25" customHeight="1">
      <c r="A1855" s="14"/>
      <c r="B1855" s="14"/>
      <c r="C1855" s="36" t="s">
        <v>13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57" t="s">
        <v>2151</v>
      </c>
      <c r="AY1855" s="57" t="s">
        <v>2152</v>
      </c>
      <c r="AZ1855" s="57" t="s">
        <v>543</v>
      </c>
      <c r="BA1855" s="57" t="s">
        <v>1088</v>
      </c>
      <c r="BB1855" s="57" t="s">
        <v>2171</v>
      </c>
      <c r="BC1855" s="58">
        <v>43946.0</v>
      </c>
      <c r="BD1855" s="58">
        <v>43952.0</v>
      </c>
      <c r="BE1855" s="14"/>
      <c r="BF1855" s="60">
        <v>100.0</v>
      </c>
      <c r="BG1855" s="14"/>
      <c r="BH1855" s="59" t="s">
        <v>5198</v>
      </c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57"/>
      <c r="BX1855" s="57"/>
      <c r="BY1855" s="14"/>
      <c r="BZ1855" s="57"/>
      <c r="CA1855" s="57"/>
      <c r="CB1855" s="57"/>
      <c r="CC1855" s="57"/>
      <c r="CD1855" s="58"/>
      <c r="CE1855" s="58"/>
      <c r="CF1855" s="57"/>
      <c r="CG1855" s="57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14"/>
      <c r="DC1855" s="14"/>
      <c r="DD1855" s="14"/>
      <c r="DE1855" s="14"/>
      <c r="DF1855" s="14"/>
      <c r="DG1855" s="14"/>
      <c r="DH1855" s="14"/>
      <c r="DI1855" s="14"/>
      <c r="DJ1855" s="14"/>
      <c r="DK1855" s="14"/>
      <c r="DL1855" s="14"/>
      <c r="DM1855" s="14"/>
      <c r="DN1855" s="14"/>
      <c r="DO1855" s="14"/>
      <c r="DP1855" s="14"/>
      <c r="DQ1855" s="14"/>
      <c r="DR1855" s="14"/>
      <c r="DS1855" s="14"/>
      <c r="DT1855" s="14"/>
      <c r="DU1855" s="14"/>
      <c r="DV1855" s="14"/>
      <c r="DW1855" s="14"/>
      <c r="DX1855" s="14"/>
      <c r="DY1855" s="14"/>
      <c r="DZ1855" s="14"/>
      <c r="EA1855" s="14"/>
      <c r="EB1855" s="14"/>
      <c r="EC1855" s="14"/>
      <c r="ED1855" s="14"/>
      <c r="EE1855" s="14"/>
      <c r="EF1855" s="14"/>
      <c r="EG1855" s="14"/>
      <c r="EH1855" s="14"/>
      <c r="EI1855" s="14"/>
      <c r="EJ1855" s="14"/>
      <c r="EK1855" s="14"/>
      <c r="EL1855" s="14"/>
      <c r="EM1855" s="14"/>
      <c r="EN1855" s="14"/>
      <c r="EO1855" s="14"/>
      <c r="EP1855" s="14"/>
      <c r="EQ1855" s="14"/>
      <c r="ER1855" s="14"/>
      <c r="ES1855" s="14"/>
      <c r="ET1855" s="14"/>
      <c r="EU1855" s="14"/>
      <c r="EV1855" s="14"/>
      <c r="EW1855" s="14"/>
      <c r="EX1855" s="14"/>
      <c r="EY1855" s="14"/>
      <c r="EZ1855" s="14"/>
      <c r="FA1855" s="14"/>
      <c r="FB1855" s="14"/>
      <c r="FC1855" s="14"/>
      <c r="FD1855" s="14"/>
      <c r="FE1855" s="14"/>
      <c r="FF1855" s="14"/>
      <c r="FG1855" s="14"/>
      <c r="FH1855" s="14"/>
      <c r="FI1855" s="14"/>
      <c r="FJ1855" s="14"/>
      <c r="FK1855" s="14"/>
      <c r="FL1855" s="57" t="s">
        <v>2154</v>
      </c>
      <c r="FM1855" s="57" t="s">
        <v>283</v>
      </c>
      <c r="FN1855" s="14"/>
      <c r="FO1855" s="14"/>
      <c r="FP1855" s="14"/>
      <c r="FQ1855" s="14"/>
      <c r="FR1855" s="14"/>
      <c r="FS1855" s="14"/>
      <c r="FT1855" s="14"/>
      <c r="FU1855" s="14"/>
      <c r="FV1855" s="14"/>
      <c r="FW1855" s="14"/>
      <c r="FX1855" s="14"/>
      <c r="FY1855" s="14"/>
      <c r="FZ1855" s="14"/>
      <c r="GA1855" s="14"/>
      <c r="GB1855" s="14"/>
      <c r="GC1855" s="14"/>
      <c r="GD1855" s="14"/>
      <c r="GE1855" s="14"/>
      <c r="GF1855" s="14"/>
      <c r="GG1855" s="14"/>
      <c r="GH1855" s="14"/>
      <c r="GI1855" s="14"/>
      <c r="GJ1855" s="14"/>
      <c r="GK1855" s="14"/>
      <c r="GL1855" s="14"/>
      <c r="GM1855" s="14"/>
      <c r="GN1855" s="14"/>
      <c r="GO1855" s="14"/>
      <c r="GP1855" s="14"/>
      <c r="GQ1855" s="14"/>
      <c r="GR1855" s="14"/>
      <c r="GS1855" s="14"/>
      <c r="GT1855" s="14"/>
      <c r="GU1855" s="14"/>
      <c r="GV1855" s="14"/>
      <c r="GW1855" s="14"/>
      <c r="GX1855" s="14"/>
      <c r="GY1855" s="14"/>
      <c r="GZ1855" s="14"/>
      <c r="HA1855" s="14"/>
    </row>
    <row r="1856" ht="23.25" customHeight="1">
      <c r="A1856" s="14"/>
      <c r="B1856" s="14"/>
      <c r="C1856" s="36" t="s">
        <v>13</v>
      </c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57" t="s">
        <v>2151</v>
      </c>
      <c r="AY1856" s="57" t="s">
        <v>2152</v>
      </c>
      <c r="AZ1856" s="57" t="s">
        <v>1753</v>
      </c>
      <c r="BA1856" s="57" t="s">
        <v>1088</v>
      </c>
      <c r="BB1856" s="57" t="s">
        <v>2171</v>
      </c>
      <c r="BC1856" s="58">
        <v>43895.0</v>
      </c>
      <c r="BD1856" s="58">
        <v>43946.0</v>
      </c>
      <c r="BE1856" s="14"/>
      <c r="BF1856" s="60">
        <v>99.08</v>
      </c>
      <c r="BG1856" s="14"/>
      <c r="BH1856" s="59" t="s">
        <v>5199</v>
      </c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57"/>
      <c r="BX1856" s="57"/>
      <c r="BY1856" s="14"/>
      <c r="BZ1856" s="57"/>
      <c r="CA1856" s="57"/>
      <c r="CB1856" s="57"/>
      <c r="CC1856" s="57"/>
      <c r="CD1856" s="58"/>
      <c r="CE1856" s="58"/>
      <c r="CF1856" s="57"/>
      <c r="CG1856" s="57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14"/>
      <c r="DC1856" s="14"/>
      <c r="DD1856" s="14"/>
      <c r="DE1856" s="14"/>
      <c r="DF1856" s="14"/>
      <c r="DG1856" s="14"/>
      <c r="DH1856" s="14"/>
      <c r="DI1856" s="14"/>
      <c r="DJ1856" s="14"/>
      <c r="DK1856" s="14"/>
      <c r="DL1856" s="14"/>
      <c r="DM1856" s="14"/>
      <c r="DN1856" s="14"/>
      <c r="DO1856" s="14"/>
      <c r="DP1856" s="14"/>
      <c r="DQ1856" s="14"/>
      <c r="DR1856" s="14"/>
      <c r="DS1856" s="14"/>
      <c r="DT1856" s="14"/>
      <c r="DU1856" s="14"/>
      <c r="DV1856" s="14"/>
      <c r="DW1856" s="14"/>
      <c r="DX1856" s="14"/>
      <c r="DY1856" s="14"/>
      <c r="DZ1856" s="14"/>
      <c r="EA1856" s="14"/>
      <c r="EB1856" s="14"/>
      <c r="EC1856" s="14"/>
      <c r="ED1856" s="14"/>
      <c r="EE1856" s="14"/>
      <c r="EF1856" s="14"/>
      <c r="EG1856" s="14"/>
      <c r="EH1856" s="14"/>
      <c r="EI1856" s="14"/>
      <c r="EJ1856" s="14"/>
      <c r="EK1856" s="14"/>
      <c r="EL1856" s="14"/>
      <c r="EM1856" s="14"/>
      <c r="EN1856" s="14"/>
      <c r="EO1856" s="14"/>
      <c r="EP1856" s="14"/>
      <c r="EQ1856" s="14"/>
      <c r="ER1856" s="14"/>
      <c r="ES1856" s="14"/>
      <c r="ET1856" s="14"/>
      <c r="EU1856" s="14"/>
      <c r="EV1856" s="14"/>
      <c r="EW1856" s="14"/>
      <c r="EX1856" s="14"/>
      <c r="EY1856" s="14"/>
      <c r="EZ1856" s="14"/>
      <c r="FA1856" s="14"/>
      <c r="FB1856" s="14"/>
      <c r="FC1856" s="14"/>
      <c r="FD1856" s="14"/>
      <c r="FE1856" s="14"/>
      <c r="FF1856" s="14"/>
      <c r="FG1856" s="14"/>
      <c r="FH1856" s="14"/>
      <c r="FI1856" s="14"/>
      <c r="FJ1856" s="14"/>
      <c r="FK1856" s="14"/>
      <c r="FL1856" s="57" t="s">
        <v>2154</v>
      </c>
      <c r="FM1856" s="57" t="s">
        <v>283</v>
      </c>
      <c r="FN1856" s="14"/>
      <c r="FO1856" s="14"/>
      <c r="FP1856" s="14"/>
      <c r="FQ1856" s="14"/>
      <c r="FR1856" s="14"/>
      <c r="FS1856" s="14"/>
      <c r="FT1856" s="14"/>
      <c r="FU1856" s="14"/>
      <c r="FV1856" s="14"/>
      <c r="FW1856" s="14"/>
      <c r="FX1856" s="14"/>
      <c r="FY1856" s="14"/>
      <c r="FZ1856" s="14"/>
      <c r="GA1856" s="14"/>
      <c r="GB1856" s="14"/>
      <c r="GC1856" s="14"/>
      <c r="GD1856" s="14"/>
      <c r="GE1856" s="14"/>
      <c r="GF1856" s="14"/>
      <c r="GG1856" s="14"/>
      <c r="GH1856" s="14"/>
      <c r="GI1856" s="14"/>
      <c r="GJ1856" s="14"/>
      <c r="GK1856" s="14"/>
      <c r="GL1856" s="14"/>
      <c r="GM1856" s="14"/>
      <c r="GN1856" s="14"/>
      <c r="GO1856" s="14"/>
      <c r="GP1856" s="14"/>
      <c r="GQ1856" s="14"/>
      <c r="GR1856" s="14"/>
      <c r="GS1856" s="14"/>
      <c r="GT1856" s="14"/>
      <c r="GU1856" s="14"/>
      <c r="GV1856" s="14"/>
      <c r="GW1856" s="14"/>
      <c r="GX1856" s="14"/>
      <c r="GY1856" s="14"/>
      <c r="GZ1856" s="14"/>
      <c r="HA1856" s="14"/>
    </row>
    <row r="1857" ht="23.25" customHeight="1">
      <c r="A1857" s="14"/>
      <c r="B1857" s="14"/>
      <c r="C1857" s="36" t="s">
        <v>13</v>
      </c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57" t="s">
        <v>2151</v>
      </c>
      <c r="AY1857" s="57" t="s">
        <v>2152</v>
      </c>
      <c r="AZ1857" s="57" t="s">
        <v>5200</v>
      </c>
      <c r="BA1857" s="57" t="s">
        <v>1088</v>
      </c>
      <c r="BB1857" s="57" t="s">
        <v>4561</v>
      </c>
      <c r="BC1857" s="58">
        <v>43983.0</v>
      </c>
      <c r="BD1857" s="58">
        <v>44036.0</v>
      </c>
      <c r="BE1857" s="14"/>
      <c r="BF1857" s="60">
        <v>97.88</v>
      </c>
      <c r="BG1857" s="14"/>
      <c r="BH1857" s="59" t="s">
        <v>5201</v>
      </c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57"/>
      <c r="BX1857" s="57"/>
      <c r="BY1857" s="14"/>
      <c r="BZ1857" s="57"/>
      <c r="CA1857" s="57"/>
      <c r="CB1857" s="57"/>
      <c r="CC1857" s="57"/>
      <c r="CD1857" s="58"/>
      <c r="CE1857" s="58"/>
      <c r="CF1857" s="57"/>
      <c r="CG1857" s="57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14"/>
      <c r="DC1857" s="14"/>
      <c r="DD1857" s="14"/>
      <c r="DE1857" s="14"/>
      <c r="DF1857" s="14"/>
      <c r="DG1857" s="14"/>
      <c r="DH1857" s="14"/>
      <c r="DI1857" s="14"/>
      <c r="DJ1857" s="14"/>
      <c r="DK1857" s="14"/>
      <c r="DL1857" s="14"/>
      <c r="DM1857" s="14"/>
      <c r="DN1857" s="14"/>
      <c r="DO1857" s="14"/>
      <c r="DP1857" s="14"/>
      <c r="DQ1857" s="14"/>
      <c r="DR1857" s="14"/>
      <c r="DS1857" s="14"/>
      <c r="DT1857" s="14"/>
      <c r="DU1857" s="14"/>
      <c r="DV1857" s="14"/>
      <c r="DW1857" s="14"/>
      <c r="DX1857" s="14"/>
      <c r="DY1857" s="14"/>
      <c r="DZ1857" s="14"/>
      <c r="EA1857" s="14"/>
      <c r="EB1857" s="14"/>
      <c r="EC1857" s="14"/>
      <c r="ED1857" s="14"/>
      <c r="EE1857" s="14"/>
      <c r="EF1857" s="14"/>
      <c r="EG1857" s="14"/>
      <c r="EH1857" s="14"/>
      <c r="EI1857" s="14"/>
      <c r="EJ1857" s="14"/>
      <c r="EK1857" s="14"/>
      <c r="EL1857" s="14"/>
      <c r="EM1857" s="14"/>
      <c r="EN1857" s="14"/>
      <c r="EO1857" s="14"/>
      <c r="EP1857" s="14"/>
      <c r="EQ1857" s="14"/>
      <c r="ER1857" s="14"/>
      <c r="ES1857" s="14"/>
      <c r="ET1857" s="14"/>
      <c r="EU1857" s="14"/>
      <c r="EV1857" s="14"/>
      <c r="EW1857" s="14"/>
      <c r="EX1857" s="14"/>
      <c r="EY1857" s="14"/>
      <c r="EZ1857" s="14"/>
      <c r="FA1857" s="14"/>
      <c r="FB1857" s="14"/>
      <c r="FC1857" s="14"/>
      <c r="FD1857" s="14"/>
      <c r="FE1857" s="14"/>
      <c r="FF1857" s="14"/>
      <c r="FG1857" s="14"/>
      <c r="FH1857" s="14"/>
      <c r="FI1857" s="14"/>
      <c r="FJ1857" s="14"/>
      <c r="FK1857" s="14"/>
      <c r="FL1857" s="57" t="s">
        <v>2154</v>
      </c>
      <c r="FM1857" s="57" t="s">
        <v>283</v>
      </c>
      <c r="FN1857" s="14"/>
      <c r="FO1857" s="14"/>
      <c r="FP1857" s="14"/>
      <c r="FQ1857" s="14"/>
      <c r="FR1857" s="14"/>
      <c r="FS1857" s="14"/>
      <c r="FT1857" s="14"/>
      <c r="FU1857" s="14"/>
      <c r="FV1857" s="14"/>
      <c r="FW1857" s="14"/>
      <c r="FX1857" s="14"/>
      <c r="FY1857" s="14"/>
      <c r="FZ1857" s="14"/>
      <c r="GA1857" s="14"/>
      <c r="GB1857" s="14"/>
      <c r="GC1857" s="14"/>
      <c r="GD1857" s="14"/>
      <c r="GE1857" s="14"/>
      <c r="GF1857" s="14"/>
      <c r="GG1857" s="14"/>
      <c r="GH1857" s="14"/>
      <c r="GI1857" s="14"/>
      <c r="GJ1857" s="14"/>
      <c r="GK1857" s="14"/>
      <c r="GL1857" s="14"/>
      <c r="GM1857" s="14"/>
      <c r="GN1857" s="14"/>
      <c r="GO1857" s="14"/>
      <c r="GP1857" s="14"/>
      <c r="GQ1857" s="14"/>
      <c r="GR1857" s="14"/>
      <c r="GS1857" s="14"/>
      <c r="GT1857" s="14"/>
      <c r="GU1857" s="14"/>
      <c r="GV1857" s="14"/>
      <c r="GW1857" s="14"/>
      <c r="GX1857" s="14"/>
      <c r="GY1857" s="14"/>
      <c r="GZ1857" s="14"/>
      <c r="HA1857" s="14"/>
    </row>
    <row r="1858" ht="23.25" customHeight="1">
      <c r="A1858" s="14"/>
      <c r="B1858" s="14"/>
      <c r="C1858" s="36" t="s">
        <v>13</v>
      </c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57" t="s">
        <v>5202</v>
      </c>
      <c r="AY1858" s="57" t="s">
        <v>2152</v>
      </c>
      <c r="AZ1858" s="57" t="s">
        <v>2460</v>
      </c>
      <c r="BA1858" s="57" t="s">
        <v>5203</v>
      </c>
      <c r="BB1858" s="57" t="s">
        <v>973</v>
      </c>
      <c r="BC1858" s="58">
        <v>43992.0</v>
      </c>
      <c r="BD1858" s="58">
        <v>44032.0</v>
      </c>
      <c r="BE1858" s="14"/>
      <c r="BF1858" s="60">
        <v>96.15</v>
      </c>
      <c r="BG1858" s="14"/>
      <c r="BH1858" s="59" t="s">
        <v>5204</v>
      </c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57"/>
      <c r="BX1858" s="57"/>
      <c r="BY1858" s="14"/>
      <c r="BZ1858" s="57"/>
      <c r="CA1858" s="57"/>
      <c r="CB1858" s="57"/>
      <c r="CC1858" s="57"/>
      <c r="CD1858" s="58"/>
      <c r="CE1858" s="58"/>
      <c r="CF1858" s="57"/>
      <c r="CG1858" s="57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14"/>
      <c r="DC1858" s="14"/>
      <c r="DD1858" s="14"/>
      <c r="DE1858" s="14"/>
      <c r="DF1858" s="14"/>
      <c r="DG1858" s="14"/>
      <c r="DH1858" s="14"/>
      <c r="DI1858" s="14"/>
      <c r="DJ1858" s="14"/>
      <c r="DK1858" s="14"/>
      <c r="DL1858" s="14"/>
      <c r="DM1858" s="14"/>
      <c r="DN1858" s="14"/>
      <c r="DO1858" s="14"/>
      <c r="DP1858" s="14"/>
      <c r="DQ1858" s="14"/>
      <c r="DR1858" s="14"/>
      <c r="DS1858" s="14"/>
      <c r="DT1858" s="14"/>
      <c r="DU1858" s="14"/>
      <c r="DV1858" s="14"/>
      <c r="DW1858" s="14"/>
      <c r="DX1858" s="14"/>
      <c r="DY1858" s="14"/>
      <c r="DZ1858" s="14"/>
      <c r="EA1858" s="14"/>
      <c r="EB1858" s="14"/>
      <c r="EC1858" s="14"/>
      <c r="ED1858" s="14"/>
      <c r="EE1858" s="14"/>
      <c r="EF1858" s="14"/>
      <c r="EG1858" s="14"/>
      <c r="EH1858" s="14"/>
      <c r="EI1858" s="14"/>
      <c r="EJ1858" s="14"/>
      <c r="EK1858" s="14"/>
      <c r="EL1858" s="14"/>
      <c r="EM1858" s="14"/>
      <c r="EN1858" s="14"/>
      <c r="EO1858" s="14"/>
      <c r="EP1858" s="14"/>
      <c r="EQ1858" s="14"/>
      <c r="ER1858" s="14"/>
      <c r="ES1858" s="14"/>
      <c r="ET1858" s="14"/>
      <c r="EU1858" s="14"/>
      <c r="EV1858" s="14"/>
      <c r="EW1858" s="14"/>
      <c r="EX1858" s="14"/>
      <c r="EY1858" s="14"/>
      <c r="EZ1858" s="14"/>
      <c r="FA1858" s="14"/>
      <c r="FB1858" s="14"/>
      <c r="FC1858" s="14"/>
      <c r="FD1858" s="14"/>
      <c r="FE1858" s="14"/>
      <c r="FF1858" s="14"/>
      <c r="FG1858" s="14"/>
      <c r="FH1858" s="14"/>
      <c r="FI1858" s="14"/>
      <c r="FJ1858" s="14"/>
      <c r="FK1858" s="14"/>
      <c r="FL1858" s="57" t="s">
        <v>2154</v>
      </c>
      <c r="FM1858" s="57" t="s">
        <v>283</v>
      </c>
      <c r="FN1858" s="14"/>
      <c r="FO1858" s="14"/>
      <c r="FP1858" s="14"/>
      <c r="FQ1858" s="14"/>
      <c r="FR1858" s="14"/>
      <c r="FS1858" s="14"/>
      <c r="FT1858" s="14"/>
      <c r="FU1858" s="14"/>
      <c r="FV1858" s="14"/>
      <c r="FW1858" s="14"/>
      <c r="FX1858" s="14"/>
      <c r="FY1858" s="14"/>
      <c r="FZ1858" s="14"/>
      <c r="GA1858" s="14"/>
      <c r="GB1858" s="14"/>
      <c r="GC1858" s="14"/>
      <c r="GD1858" s="14"/>
      <c r="GE1858" s="14"/>
      <c r="GF1858" s="14"/>
      <c r="GG1858" s="14"/>
      <c r="GH1858" s="14"/>
      <c r="GI1858" s="14"/>
      <c r="GJ1858" s="14"/>
      <c r="GK1858" s="14"/>
      <c r="GL1858" s="14"/>
      <c r="GM1858" s="14"/>
      <c r="GN1858" s="14"/>
      <c r="GO1858" s="14"/>
      <c r="GP1858" s="14"/>
      <c r="GQ1858" s="14"/>
      <c r="GR1858" s="14"/>
      <c r="GS1858" s="14"/>
      <c r="GT1858" s="14"/>
      <c r="GU1858" s="14"/>
      <c r="GV1858" s="14"/>
      <c r="GW1858" s="14"/>
      <c r="GX1858" s="14"/>
      <c r="GY1858" s="14"/>
      <c r="GZ1858" s="14"/>
      <c r="HA1858" s="14"/>
    </row>
    <row r="1859" ht="23.25" customHeight="1">
      <c r="A1859" s="14"/>
      <c r="B1859" s="14"/>
      <c r="C1859" s="36" t="s">
        <v>13</v>
      </c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57" t="s">
        <v>2151</v>
      </c>
      <c r="AY1859" s="57" t="s">
        <v>2152</v>
      </c>
      <c r="AZ1859" s="57" t="s">
        <v>5205</v>
      </c>
      <c r="BA1859" s="57" t="s">
        <v>1088</v>
      </c>
      <c r="BB1859" s="57" t="s">
        <v>5206</v>
      </c>
      <c r="BC1859" s="58">
        <v>43961.0</v>
      </c>
      <c r="BD1859" s="58">
        <v>44004.0</v>
      </c>
      <c r="BE1859" s="14"/>
      <c r="BF1859" s="60">
        <v>96.12</v>
      </c>
      <c r="BG1859" s="14"/>
      <c r="BH1859" s="59" t="s">
        <v>5207</v>
      </c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57"/>
      <c r="BX1859" s="57"/>
      <c r="BY1859" s="14"/>
      <c r="BZ1859" s="57"/>
      <c r="CA1859" s="57"/>
      <c r="CB1859" s="57"/>
      <c r="CC1859" s="57"/>
      <c r="CD1859" s="58"/>
      <c r="CE1859" s="58"/>
      <c r="CF1859" s="57"/>
      <c r="CG1859" s="57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14"/>
      <c r="DC1859" s="14"/>
      <c r="DD1859" s="14"/>
      <c r="DE1859" s="14"/>
      <c r="DF1859" s="14"/>
      <c r="DG1859" s="14"/>
      <c r="DH1859" s="14"/>
      <c r="DI1859" s="14"/>
      <c r="DJ1859" s="14"/>
      <c r="DK1859" s="14"/>
      <c r="DL1859" s="14"/>
      <c r="DM1859" s="14"/>
      <c r="DN1859" s="14"/>
      <c r="DO1859" s="14"/>
      <c r="DP1859" s="14"/>
      <c r="DQ1859" s="14"/>
      <c r="DR1859" s="14"/>
      <c r="DS1859" s="14"/>
      <c r="DT1859" s="14"/>
      <c r="DU1859" s="14"/>
      <c r="DV1859" s="14"/>
      <c r="DW1859" s="14"/>
      <c r="DX1859" s="14"/>
      <c r="DY1859" s="14"/>
      <c r="DZ1859" s="14"/>
      <c r="EA1859" s="14"/>
      <c r="EB1859" s="14"/>
      <c r="EC1859" s="14"/>
      <c r="ED1859" s="14"/>
      <c r="EE1859" s="14"/>
      <c r="EF1859" s="14"/>
      <c r="EG1859" s="14"/>
      <c r="EH1859" s="14"/>
      <c r="EI1859" s="14"/>
      <c r="EJ1859" s="14"/>
      <c r="EK1859" s="14"/>
      <c r="EL1859" s="14"/>
      <c r="EM1859" s="14"/>
      <c r="EN1859" s="14"/>
      <c r="EO1859" s="14"/>
      <c r="EP1859" s="14"/>
      <c r="EQ1859" s="14"/>
      <c r="ER1859" s="14"/>
      <c r="ES1859" s="14"/>
      <c r="ET1859" s="14"/>
      <c r="EU1859" s="14"/>
      <c r="EV1859" s="14"/>
      <c r="EW1859" s="14"/>
      <c r="EX1859" s="14"/>
      <c r="EY1859" s="14"/>
      <c r="EZ1859" s="14"/>
      <c r="FA1859" s="14"/>
      <c r="FB1859" s="14"/>
      <c r="FC1859" s="14"/>
      <c r="FD1859" s="14"/>
      <c r="FE1859" s="14"/>
      <c r="FF1859" s="14"/>
      <c r="FG1859" s="14"/>
      <c r="FH1859" s="14"/>
      <c r="FI1859" s="14"/>
      <c r="FJ1859" s="14"/>
      <c r="FK1859" s="14"/>
      <c r="FL1859" s="57" t="s">
        <v>2154</v>
      </c>
      <c r="FM1859" s="57" t="s">
        <v>283</v>
      </c>
      <c r="FN1859" s="14"/>
      <c r="FO1859" s="14"/>
      <c r="FP1859" s="14"/>
      <c r="FQ1859" s="14"/>
      <c r="FR1859" s="14"/>
      <c r="FS1859" s="14"/>
      <c r="FT1859" s="14"/>
      <c r="FU1859" s="14"/>
      <c r="FV1859" s="14"/>
      <c r="FW1859" s="14"/>
      <c r="FX1859" s="14"/>
      <c r="FY1859" s="14"/>
      <c r="FZ1859" s="14"/>
      <c r="GA1859" s="14"/>
      <c r="GB1859" s="14"/>
      <c r="GC1859" s="14"/>
      <c r="GD1859" s="14"/>
      <c r="GE1859" s="14"/>
      <c r="GF1859" s="14"/>
      <c r="GG1859" s="14"/>
      <c r="GH1859" s="14"/>
      <c r="GI1859" s="14"/>
      <c r="GJ1859" s="14"/>
      <c r="GK1859" s="14"/>
      <c r="GL1859" s="14"/>
      <c r="GM1859" s="14"/>
      <c r="GN1859" s="14"/>
      <c r="GO1859" s="14"/>
      <c r="GP1859" s="14"/>
      <c r="GQ1859" s="14"/>
      <c r="GR1859" s="14"/>
      <c r="GS1859" s="14"/>
      <c r="GT1859" s="14"/>
      <c r="GU1859" s="14"/>
      <c r="GV1859" s="14"/>
      <c r="GW1859" s="14"/>
      <c r="GX1859" s="14"/>
      <c r="GY1859" s="14"/>
      <c r="GZ1859" s="14"/>
      <c r="HA1859" s="14"/>
    </row>
    <row r="1860" ht="23.25" customHeight="1">
      <c r="A1860" s="14"/>
      <c r="B1860" s="14"/>
      <c r="C1860" s="36" t="s">
        <v>13</v>
      </c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57" t="s">
        <v>2151</v>
      </c>
      <c r="AY1860" s="57" t="s">
        <v>2152</v>
      </c>
      <c r="AZ1860" s="57" t="s">
        <v>3904</v>
      </c>
      <c r="BA1860" s="59" t="s">
        <v>5208</v>
      </c>
      <c r="BB1860" s="57" t="s">
        <v>882</v>
      </c>
      <c r="BC1860" s="58">
        <v>43952.0</v>
      </c>
      <c r="BD1860" s="58">
        <v>43982.0</v>
      </c>
      <c r="BE1860" s="14"/>
      <c r="BF1860" s="60">
        <v>98.25</v>
      </c>
      <c r="BG1860" s="14"/>
      <c r="BH1860" s="59" t="s">
        <v>5209</v>
      </c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57"/>
      <c r="BX1860" s="57"/>
      <c r="BY1860" s="14"/>
      <c r="BZ1860" s="57"/>
      <c r="CA1860" s="57"/>
      <c r="CB1860" s="57"/>
      <c r="CC1860" s="57"/>
      <c r="CD1860" s="58"/>
      <c r="CE1860" s="58"/>
      <c r="CF1860" s="57"/>
      <c r="CG1860" s="57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14"/>
      <c r="DC1860" s="14"/>
      <c r="DD1860" s="14"/>
      <c r="DE1860" s="14"/>
      <c r="DF1860" s="14"/>
      <c r="DG1860" s="14"/>
      <c r="DH1860" s="14"/>
      <c r="DI1860" s="14"/>
      <c r="DJ1860" s="14"/>
      <c r="DK1860" s="14"/>
      <c r="DL1860" s="14"/>
      <c r="DM1860" s="14"/>
      <c r="DN1860" s="14"/>
      <c r="DO1860" s="14"/>
      <c r="DP1860" s="14"/>
      <c r="DQ1860" s="14"/>
      <c r="DR1860" s="14"/>
      <c r="DS1860" s="14"/>
      <c r="DT1860" s="14"/>
      <c r="DU1860" s="14"/>
      <c r="DV1860" s="14"/>
      <c r="DW1860" s="14"/>
      <c r="DX1860" s="14"/>
      <c r="DY1860" s="14"/>
      <c r="DZ1860" s="14"/>
      <c r="EA1860" s="14"/>
      <c r="EB1860" s="14"/>
      <c r="EC1860" s="14"/>
      <c r="ED1860" s="14"/>
      <c r="EE1860" s="14"/>
      <c r="EF1860" s="14"/>
      <c r="EG1860" s="14"/>
      <c r="EH1860" s="14"/>
      <c r="EI1860" s="14"/>
      <c r="EJ1860" s="14"/>
      <c r="EK1860" s="14"/>
      <c r="EL1860" s="14"/>
      <c r="EM1860" s="14"/>
      <c r="EN1860" s="14"/>
      <c r="EO1860" s="14"/>
      <c r="EP1860" s="14"/>
      <c r="EQ1860" s="14"/>
      <c r="ER1860" s="14"/>
      <c r="ES1860" s="14"/>
      <c r="ET1860" s="14"/>
      <c r="EU1860" s="14"/>
      <c r="EV1860" s="14"/>
      <c r="EW1860" s="14"/>
      <c r="EX1860" s="14"/>
      <c r="EY1860" s="14"/>
      <c r="EZ1860" s="14"/>
      <c r="FA1860" s="14"/>
      <c r="FB1860" s="14"/>
      <c r="FC1860" s="14"/>
      <c r="FD1860" s="14"/>
      <c r="FE1860" s="14"/>
      <c r="FF1860" s="14"/>
      <c r="FG1860" s="14"/>
      <c r="FH1860" s="14"/>
      <c r="FI1860" s="14"/>
      <c r="FJ1860" s="14"/>
      <c r="FK1860" s="14"/>
      <c r="FL1860" s="57" t="s">
        <v>2154</v>
      </c>
      <c r="FM1860" s="57" t="s">
        <v>283</v>
      </c>
      <c r="FN1860" s="14"/>
      <c r="FO1860" s="14"/>
      <c r="FP1860" s="14"/>
      <c r="FQ1860" s="14"/>
      <c r="FR1860" s="14"/>
      <c r="FS1860" s="14"/>
      <c r="FT1860" s="14"/>
      <c r="FU1860" s="14"/>
      <c r="FV1860" s="14"/>
      <c r="FW1860" s="14"/>
      <c r="FX1860" s="14"/>
      <c r="FY1860" s="14"/>
      <c r="FZ1860" s="14"/>
      <c r="GA1860" s="14"/>
      <c r="GB1860" s="14"/>
      <c r="GC1860" s="14"/>
      <c r="GD1860" s="14"/>
      <c r="GE1860" s="14"/>
      <c r="GF1860" s="14"/>
      <c r="GG1860" s="14"/>
      <c r="GH1860" s="14"/>
      <c r="GI1860" s="14"/>
      <c r="GJ1860" s="14"/>
      <c r="GK1860" s="14"/>
      <c r="GL1860" s="14"/>
      <c r="GM1860" s="14"/>
      <c r="GN1860" s="14"/>
      <c r="GO1860" s="14"/>
      <c r="GP1860" s="14"/>
      <c r="GQ1860" s="14"/>
      <c r="GR1860" s="14"/>
      <c r="GS1860" s="14"/>
      <c r="GT1860" s="14"/>
      <c r="GU1860" s="14"/>
      <c r="GV1860" s="14"/>
      <c r="GW1860" s="14"/>
      <c r="GX1860" s="14"/>
      <c r="GY1860" s="14"/>
      <c r="GZ1860" s="14"/>
      <c r="HA1860" s="14"/>
    </row>
    <row r="1861" ht="23.25" customHeight="1">
      <c r="A1861" s="14"/>
      <c r="B1861" s="14"/>
      <c r="C1861" s="36" t="s">
        <v>13</v>
      </c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57" t="s">
        <v>2476</v>
      </c>
      <c r="AY1861" s="57" t="s">
        <v>2477</v>
      </c>
      <c r="AZ1861" s="57" t="s">
        <v>1723</v>
      </c>
      <c r="BA1861" s="57" t="s">
        <v>1378</v>
      </c>
      <c r="BB1861" s="57" t="s">
        <v>1892</v>
      </c>
      <c r="BC1861" s="58">
        <v>44479.0</v>
      </c>
      <c r="BD1861" s="58">
        <v>44513.0</v>
      </c>
      <c r="BE1861" s="14"/>
      <c r="BF1861" s="60">
        <v>100.0</v>
      </c>
      <c r="BG1861" s="14"/>
      <c r="BH1861" s="59" t="s">
        <v>5210</v>
      </c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57"/>
      <c r="BX1861" s="57"/>
      <c r="BY1861" s="14"/>
      <c r="BZ1861" s="57"/>
      <c r="CA1861" s="57"/>
      <c r="CB1861" s="57"/>
      <c r="CC1861" s="57"/>
      <c r="CD1861" s="58"/>
      <c r="CE1861" s="58"/>
      <c r="CF1861" s="57"/>
      <c r="CG1861" s="57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14"/>
      <c r="DC1861" s="14"/>
      <c r="DD1861" s="14"/>
      <c r="DE1861" s="14"/>
      <c r="DF1861" s="14"/>
      <c r="DG1861" s="14"/>
      <c r="DH1861" s="14"/>
      <c r="DI1861" s="14"/>
      <c r="DJ1861" s="14"/>
      <c r="DK1861" s="14"/>
      <c r="DL1861" s="14"/>
      <c r="DM1861" s="14"/>
      <c r="DN1861" s="14"/>
      <c r="DO1861" s="14"/>
      <c r="DP1861" s="14"/>
      <c r="DQ1861" s="14"/>
      <c r="DR1861" s="14"/>
      <c r="DS1861" s="14"/>
      <c r="DT1861" s="14"/>
      <c r="DU1861" s="14"/>
      <c r="DV1861" s="14"/>
      <c r="DW1861" s="14"/>
      <c r="DX1861" s="14"/>
      <c r="DY1861" s="14"/>
      <c r="DZ1861" s="14"/>
      <c r="EA1861" s="14"/>
      <c r="EB1861" s="14"/>
      <c r="EC1861" s="14"/>
      <c r="ED1861" s="14"/>
      <c r="EE1861" s="14"/>
      <c r="EF1861" s="14"/>
      <c r="EG1861" s="14"/>
      <c r="EH1861" s="14"/>
      <c r="EI1861" s="14"/>
      <c r="EJ1861" s="14"/>
      <c r="EK1861" s="14"/>
      <c r="EL1861" s="14"/>
      <c r="EM1861" s="14"/>
      <c r="EN1861" s="14"/>
      <c r="EO1861" s="14"/>
      <c r="EP1861" s="14"/>
      <c r="EQ1861" s="14"/>
      <c r="ER1861" s="14"/>
      <c r="ES1861" s="14"/>
      <c r="ET1861" s="14"/>
      <c r="EU1861" s="14"/>
      <c r="EV1861" s="14"/>
      <c r="EW1861" s="14"/>
      <c r="EX1861" s="14"/>
      <c r="EY1861" s="14"/>
      <c r="EZ1861" s="14"/>
      <c r="FA1861" s="14"/>
      <c r="FB1861" s="14"/>
      <c r="FC1861" s="14"/>
      <c r="FD1861" s="14"/>
      <c r="FE1861" s="14"/>
      <c r="FF1861" s="14"/>
      <c r="FG1861" s="14"/>
      <c r="FH1861" s="14"/>
      <c r="FI1861" s="14"/>
      <c r="FJ1861" s="14"/>
      <c r="FK1861" s="14"/>
      <c r="FL1861" s="57" t="s">
        <v>2480</v>
      </c>
      <c r="FM1861" s="57" t="s">
        <v>260</v>
      </c>
      <c r="FN1861" s="14"/>
      <c r="FO1861" s="14"/>
      <c r="FP1861" s="14"/>
      <c r="FQ1861" s="14"/>
      <c r="FR1861" s="14"/>
      <c r="FS1861" s="14"/>
      <c r="FT1861" s="14"/>
      <c r="FU1861" s="14"/>
      <c r="FV1861" s="14"/>
      <c r="FW1861" s="14"/>
      <c r="FX1861" s="14"/>
      <c r="FY1861" s="14"/>
      <c r="FZ1861" s="14"/>
      <c r="GA1861" s="14"/>
      <c r="GB1861" s="14"/>
      <c r="GC1861" s="14"/>
      <c r="GD1861" s="14"/>
      <c r="GE1861" s="14"/>
      <c r="GF1861" s="14"/>
      <c r="GG1861" s="14"/>
      <c r="GH1861" s="14"/>
      <c r="GI1861" s="14"/>
      <c r="GJ1861" s="14"/>
      <c r="GK1861" s="14"/>
      <c r="GL1861" s="14"/>
      <c r="GM1861" s="14"/>
      <c r="GN1861" s="14"/>
      <c r="GO1861" s="14"/>
      <c r="GP1861" s="14"/>
      <c r="GQ1861" s="14"/>
      <c r="GR1861" s="14"/>
      <c r="GS1861" s="14"/>
      <c r="GT1861" s="14"/>
      <c r="GU1861" s="14"/>
      <c r="GV1861" s="14"/>
      <c r="GW1861" s="14"/>
      <c r="GX1861" s="14"/>
      <c r="GY1861" s="14"/>
      <c r="GZ1861" s="14"/>
      <c r="HA1861" s="14"/>
    </row>
    <row r="1862" ht="23.25" customHeight="1">
      <c r="A1862" s="14"/>
      <c r="B1862" s="14"/>
      <c r="C1862" s="36" t="s">
        <v>13</v>
      </c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57" t="s">
        <v>5148</v>
      </c>
      <c r="AY1862" s="57" t="s">
        <v>1136</v>
      </c>
      <c r="AZ1862" s="57" t="s">
        <v>5211</v>
      </c>
      <c r="BA1862" s="57" t="s">
        <v>534</v>
      </c>
      <c r="BB1862" s="57" t="s">
        <v>495</v>
      </c>
      <c r="BC1862" s="58">
        <v>44217.0</v>
      </c>
      <c r="BD1862" s="58">
        <v>44248.0</v>
      </c>
      <c r="BE1862" s="14"/>
      <c r="BF1862" s="60">
        <v>100.0</v>
      </c>
      <c r="BG1862" s="14"/>
      <c r="BH1862" s="59" t="s">
        <v>5212</v>
      </c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57"/>
      <c r="BX1862" s="57"/>
      <c r="BY1862" s="14"/>
      <c r="BZ1862" s="57"/>
      <c r="CA1862" s="57"/>
      <c r="CB1862" s="57"/>
      <c r="CC1862" s="57"/>
      <c r="CD1862" s="58"/>
      <c r="CE1862" s="58"/>
      <c r="CF1862" s="57"/>
      <c r="CG1862" s="57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14"/>
      <c r="DC1862" s="14"/>
      <c r="DD1862" s="14"/>
      <c r="DE1862" s="14"/>
      <c r="DF1862" s="14"/>
      <c r="DG1862" s="14"/>
      <c r="DH1862" s="14"/>
      <c r="DI1862" s="14"/>
      <c r="DJ1862" s="14"/>
      <c r="DK1862" s="14"/>
      <c r="DL1862" s="14"/>
      <c r="DM1862" s="14"/>
      <c r="DN1862" s="14"/>
      <c r="DO1862" s="14"/>
      <c r="DP1862" s="14"/>
      <c r="DQ1862" s="14"/>
      <c r="DR1862" s="14"/>
      <c r="DS1862" s="14"/>
      <c r="DT1862" s="14"/>
      <c r="DU1862" s="14"/>
      <c r="DV1862" s="14"/>
      <c r="DW1862" s="14"/>
      <c r="DX1862" s="14"/>
      <c r="DY1862" s="14"/>
      <c r="DZ1862" s="14"/>
      <c r="EA1862" s="14"/>
      <c r="EB1862" s="14"/>
      <c r="EC1862" s="14"/>
      <c r="ED1862" s="14"/>
      <c r="EE1862" s="14"/>
      <c r="EF1862" s="14"/>
      <c r="EG1862" s="14"/>
      <c r="EH1862" s="14"/>
      <c r="EI1862" s="14"/>
      <c r="EJ1862" s="14"/>
      <c r="EK1862" s="14"/>
      <c r="EL1862" s="14"/>
      <c r="EM1862" s="14"/>
      <c r="EN1862" s="14"/>
      <c r="EO1862" s="14"/>
      <c r="EP1862" s="14"/>
      <c r="EQ1862" s="14"/>
      <c r="ER1862" s="14"/>
      <c r="ES1862" s="14"/>
      <c r="ET1862" s="14"/>
      <c r="EU1862" s="14"/>
      <c r="EV1862" s="14"/>
      <c r="EW1862" s="14"/>
      <c r="EX1862" s="14"/>
      <c r="EY1862" s="14"/>
      <c r="EZ1862" s="14"/>
      <c r="FA1862" s="14"/>
      <c r="FB1862" s="14"/>
      <c r="FC1862" s="14"/>
      <c r="FD1862" s="14"/>
      <c r="FE1862" s="14"/>
      <c r="FF1862" s="14"/>
      <c r="FG1862" s="14"/>
      <c r="FH1862" s="14"/>
      <c r="FI1862" s="14"/>
      <c r="FJ1862" s="14"/>
      <c r="FK1862" s="14"/>
      <c r="FL1862" s="57" t="s">
        <v>1138</v>
      </c>
      <c r="FM1862" s="57" t="s">
        <v>260</v>
      </c>
      <c r="FN1862" s="14"/>
      <c r="FO1862" s="14"/>
      <c r="FP1862" s="14"/>
      <c r="FQ1862" s="14"/>
      <c r="FR1862" s="14"/>
      <c r="FS1862" s="14"/>
      <c r="FT1862" s="14"/>
      <c r="FU1862" s="14"/>
      <c r="FV1862" s="14"/>
      <c r="FW1862" s="14"/>
      <c r="FX1862" s="14"/>
      <c r="FY1862" s="14"/>
      <c r="FZ1862" s="14"/>
      <c r="GA1862" s="14"/>
      <c r="GB1862" s="14"/>
      <c r="GC1862" s="14"/>
      <c r="GD1862" s="14"/>
      <c r="GE1862" s="14"/>
      <c r="GF1862" s="14"/>
      <c r="GG1862" s="14"/>
      <c r="GH1862" s="14"/>
      <c r="GI1862" s="14"/>
      <c r="GJ1862" s="14"/>
      <c r="GK1862" s="14"/>
      <c r="GL1862" s="14"/>
      <c r="GM1862" s="14"/>
      <c r="GN1862" s="14"/>
      <c r="GO1862" s="14"/>
      <c r="GP1862" s="14"/>
      <c r="GQ1862" s="14"/>
      <c r="GR1862" s="14"/>
      <c r="GS1862" s="14"/>
      <c r="GT1862" s="14"/>
      <c r="GU1862" s="14"/>
      <c r="GV1862" s="14"/>
      <c r="GW1862" s="14"/>
      <c r="GX1862" s="14"/>
      <c r="GY1862" s="14"/>
      <c r="GZ1862" s="14"/>
      <c r="HA1862" s="14"/>
    </row>
    <row r="1863" ht="23.25" customHeight="1">
      <c r="A1863" s="14"/>
      <c r="B1863" s="14"/>
      <c r="C1863" s="36" t="s">
        <v>13</v>
      </c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57" t="s">
        <v>5148</v>
      </c>
      <c r="AY1863" s="57" t="s">
        <v>1136</v>
      </c>
      <c r="AZ1863" s="57" t="s">
        <v>5213</v>
      </c>
      <c r="BA1863" s="57" t="s">
        <v>582</v>
      </c>
      <c r="BB1863" s="57" t="s">
        <v>495</v>
      </c>
      <c r="BC1863" s="58">
        <v>44512.0</v>
      </c>
      <c r="BD1863" s="58">
        <v>44542.0</v>
      </c>
      <c r="BE1863" s="14"/>
      <c r="BF1863" s="60">
        <v>94.0</v>
      </c>
      <c r="BG1863" s="14"/>
      <c r="BH1863" s="59" t="s">
        <v>5214</v>
      </c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57"/>
      <c r="BX1863" s="57"/>
      <c r="BY1863" s="14"/>
      <c r="BZ1863" s="57"/>
      <c r="CA1863" s="57"/>
      <c r="CB1863" s="57"/>
      <c r="CC1863" s="57"/>
      <c r="CD1863" s="58"/>
      <c r="CE1863" s="58"/>
      <c r="CF1863" s="57"/>
      <c r="CG1863" s="57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14"/>
      <c r="DC1863" s="14"/>
      <c r="DD1863" s="14"/>
      <c r="DE1863" s="14"/>
      <c r="DF1863" s="14"/>
      <c r="DG1863" s="14"/>
      <c r="DH1863" s="14"/>
      <c r="DI1863" s="14"/>
      <c r="DJ1863" s="14"/>
      <c r="DK1863" s="14"/>
      <c r="DL1863" s="14"/>
      <c r="DM1863" s="14"/>
      <c r="DN1863" s="14"/>
      <c r="DO1863" s="14"/>
      <c r="DP1863" s="14"/>
      <c r="DQ1863" s="14"/>
      <c r="DR1863" s="14"/>
      <c r="DS1863" s="14"/>
      <c r="DT1863" s="14"/>
      <c r="DU1863" s="14"/>
      <c r="DV1863" s="14"/>
      <c r="DW1863" s="14"/>
      <c r="DX1863" s="14"/>
      <c r="DY1863" s="14"/>
      <c r="DZ1863" s="14"/>
      <c r="EA1863" s="14"/>
      <c r="EB1863" s="14"/>
      <c r="EC1863" s="14"/>
      <c r="ED1863" s="14"/>
      <c r="EE1863" s="14"/>
      <c r="EF1863" s="14"/>
      <c r="EG1863" s="14"/>
      <c r="EH1863" s="14"/>
      <c r="EI1863" s="14"/>
      <c r="EJ1863" s="14"/>
      <c r="EK1863" s="14"/>
      <c r="EL1863" s="14"/>
      <c r="EM1863" s="14"/>
      <c r="EN1863" s="14"/>
      <c r="EO1863" s="14"/>
      <c r="EP1863" s="14"/>
      <c r="EQ1863" s="14"/>
      <c r="ER1863" s="14"/>
      <c r="ES1863" s="14"/>
      <c r="ET1863" s="14"/>
      <c r="EU1863" s="14"/>
      <c r="EV1863" s="14"/>
      <c r="EW1863" s="14"/>
      <c r="EX1863" s="14"/>
      <c r="EY1863" s="14"/>
      <c r="EZ1863" s="14"/>
      <c r="FA1863" s="14"/>
      <c r="FB1863" s="14"/>
      <c r="FC1863" s="14"/>
      <c r="FD1863" s="14"/>
      <c r="FE1863" s="14"/>
      <c r="FF1863" s="14"/>
      <c r="FG1863" s="14"/>
      <c r="FH1863" s="14"/>
      <c r="FI1863" s="14"/>
      <c r="FJ1863" s="14"/>
      <c r="FK1863" s="14"/>
      <c r="FL1863" s="57" t="s">
        <v>1138</v>
      </c>
      <c r="FM1863" s="57" t="s">
        <v>260</v>
      </c>
      <c r="FN1863" s="14"/>
      <c r="FO1863" s="14"/>
      <c r="FP1863" s="14"/>
      <c r="FQ1863" s="14"/>
      <c r="FR1863" s="14"/>
      <c r="FS1863" s="14"/>
      <c r="FT1863" s="14"/>
      <c r="FU1863" s="14"/>
      <c r="FV1863" s="14"/>
      <c r="FW1863" s="14"/>
      <c r="FX1863" s="14"/>
      <c r="FY1863" s="14"/>
      <c r="FZ1863" s="14"/>
      <c r="GA1863" s="14"/>
      <c r="GB1863" s="14"/>
      <c r="GC1863" s="14"/>
      <c r="GD1863" s="14"/>
      <c r="GE1863" s="14"/>
      <c r="GF1863" s="14"/>
      <c r="GG1863" s="14"/>
      <c r="GH1863" s="14"/>
      <c r="GI1863" s="14"/>
      <c r="GJ1863" s="14"/>
      <c r="GK1863" s="14"/>
      <c r="GL1863" s="14"/>
      <c r="GM1863" s="14"/>
      <c r="GN1863" s="14"/>
      <c r="GO1863" s="14"/>
      <c r="GP1863" s="14"/>
      <c r="GQ1863" s="14"/>
      <c r="GR1863" s="14"/>
      <c r="GS1863" s="14"/>
      <c r="GT1863" s="14"/>
      <c r="GU1863" s="14"/>
      <c r="GV1863" s="14"/>
      <c r="GW1863" s="14"/>
      <c r="GX1863" s="14"/>
      <c r="GY1863" s="14"/>
      <c r="GZ1863" s="14"/>
      <c r="HA1863" s="14"/>
    </row>
    <row r="1864" ht="23.25" customHeight="1">
      <c r="A1864" s="14"/>
      <c r="B1864" s="14"/>
      <c r="C1864" s="36" t="s">
        <v>13</v>
      </c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57" t="s">
        <v>5215</v>
      </c>
      <c r="AY1864" s="57" t="s">
        <v>5216</v>
      </c>
      <c r="AZ1864" s="57" t="s">
        <v>5213</v>
      </c>
      <c r="BA1864" s="57" t="s">
        <v>582</v>
      </c>
      <c r="BB1864" s="57" t="s">
        <v>410</v>
      </c>
      <c r="BC1864" s="58">
        <v>44518.0</v>
      </c>
      <c r="BD1864" s="58">
        <v>44548.0</v>
      </c>
      <c r="BE1864" s="14"/>
      <c r="BF1864" s="60">
        <v>93.0</v>
      </c>
      <c r="BG1864" s="14"/>
      <c r="BH1864" s="59" t="s">
        <v>5217</v>
      </c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57"/>
      <c r="BX1864" s="57"/>
      <c r="BY1864" s="14"/>
      <c r="BZ1864" s="57"/>
      <c r="CA1864" s="57"/>
      <c r="CB1864" s="57"/>
      <c r="CC1864" s="57"/>
      <c r="CD1864" s="58"/>
      <c r="CE1864" s="58"/>
      <c r="CF1864" s="57"/>
      <c r="CG1864" s="57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14"/>
      <c r="DC1864" s="14"/>
      <c r="DD1864" s="14"/>
      <c r="DE1864" s="14"/>
      <c r="DF1864" s="14"/>
      <c r="DG1864" s="14"/>
      <c r="DH1864" s="14"/>
      <c r="DI1864" s="14"/>
      <c r="DJ1864" s="14"/>
      <c r="DK1864" s="14"/>
      <c r="DL1864" s="14"/>
      <c r="DM1864" s="14"/>
      <c r="DN1864" s="14"/>
      <c r="DO1864" s="14"/>
      <c r="DP1864" s="14"/>
      <c r="DQ1864" s="14"/>
      <c r="DR1864" s="14"/>
      <c r="DS1864" s="14"/>
      <c r="DT1864" s="14"/>
      <c r="DU1864" s="14"/>
      <c r="DV1864" s="14"/>
      <c r="DW1864" s="14"/>
      <c r="DX1864" s="14"/>
      <c r="DY1864" s="14"/>
      <c r="DZ1864" s="14"/>
      <c r="EA1864" s="14"/>
      <c r="EB1864" s="14"/>
      <c r="EC1864" s="14"/>
      <c r="ED1864" s="14"/>
      <c r="EE1864" s="14"/>
      <c r="EF1864" s="14"/>
      <c r="EG1864" s="14"/>
      <c r="EH1864" s="14"/>
      <c r="EI1864" s="14"/>
      <c r="EJ1864" s="14"/>
      <c r="EK1864" s="14"/>
      <c r="EL1864" s="14"/>
      <c r="EM1864" s="14"/>
      <c r="EN1864" s="14"/>
      <c r="EO1864" s="14"/>
      <c r="EP1864" s="14"/>
      <c r="EQ1864" s="14"/>
      <c r="ER1864" s="14"/>
      <c r="ES1864" s="14"/>
      <c r="ET1864" s="14"/>
      <c r="EU1864" s="14"/>
      <c r="EV1864" s="14"/>
      <c r="EW1864" s="14"/>
      <c r="EX1864" s="14"/>
      <c r="EY1864" s="14"/>
      <c r="EZ1864" s="14"/>
      <c r="FA1864" s="14"/>
      <c r="FB1864" s="14"/>
      <c r="FC1864" s="14"/>
      <c r="FD1864" s="14"/>
      <c r="FE1864" s="14"/>
      <c r="FF1864" s="14"/>
      <c r="FG1864" s="14"/>
      <c r="FH1864" s="14"/>
      <c r="FI1864" s="14"/>
      <c r="FJ1864" s="14"/>
      <c r="FK1864" s="14"/>
      <c r="FL1864" s="57" t="s">
        <v>5259</v>
      </c>
      <c r="FM1864" s="57" t="s">
        <v>260</v>
      </c>
      <c r="FN1864" s="14"/>
      <c r="FO1864" s="14"/>
      <c r="FP1864" s="14"/>
      <c r="FQ1864" s="14"/>
      <c r="FR1864" s="14"/>
      <c r="FS1864" s="14"/>
      <c r="FT1864" s="14"/>
      <c r="FU1864" s="14"/>
      <c r="FV1864" s="14"/>
      <c r="FW1864" s="14"/>
      <c r="FX1864" s="14"/>
      <c r="FY1864" s="14"/>
      <c r="FZ1864" s="14"/>
      <c r="GA1864" s="14"/>
      <c r="GB1864" s="14"/>
      <c r="GC1864" s="14"/>
      <c r="GD1864" s="14"/>
      <c r="GE1864" s="14"/>
      <c r="GF1864" s="14"/>
      <c r="GG1864" s="14"/>
      <c r="GH1864" s="14"/>
      <c r="GI1864" s="14"/>
      <c r="GJ1864" s="14"/>
      <c r="GK1864" s="14"/>
      <c r="GL1864" s="14"/>
      <c r="GM1864" s="14"/>
      <c r="GN1864" s="14"/>
      <c r="GO1864" s="14"/>
      <c r="GP1864" s="14"/>
      <c r="GQ1864" s="14"/>
      <c r="GR1864" s="14"/>
      <c r="GS1864" s="14"/>
      <c r="GT1864" s="14"/>
      <c r="GU1864" s="14"/>
      <c r="GV1864" s="14"/>
      <c r="GW1864" s="14"/>
      <c r="GX1864" s="14"/>
      <c r="GY1864" s="14"/>
      <c r="GZ1864" s="14"/>
      <c r="HA1864" s="14"/>
    </row>
    <row r="1865" ht="23.25" customHeight="1">
      <c r="A1865" s="14"/>
      <c r="B1865" s="14"/>
      <c r="C1865" s="36" t="s">
        <v>13</v>
      </c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57" t="s">
        <v>5215</v>
      </c>
      <c r="AY1865" s="57" t="s">
        <v>5216</v>
      </c>
      <c r="AZ1865" s="57" t="s">
        <v>862</v>
      </c>
      <c r="BA1865" s="57" t="s">
        <v>5218</v>
      </c>
      <c r="BB1865" s="57" t="s">
        <v>410</v>
      </c>
      <c r="BC1865" s="58">
        <v>44208.0</v>
      </c>
      <c r="BD1865" s="58">
        <v>44239.0</v>
      </c>
      <c r="BE1865" s="14"/>
      <c r="BF1865" s="60">
        <v>100.0</v>
      </c>
      <c r="BG1865" s="14"/>
      <c r="BH1865" s="59" t="s">
        <v>5219</v>
      </c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57"/>
      <c r="BX1865" s="57"/>
      <c r="BY1865" s="14"/>
      <c r="BZ1865" s="57"/>
      <c r="CA1865" s="57"/>
      <c r="CB1865" s="57"/>
      <c r="CC1865" s="57"/>
      <c r="CD1865" s="58"/>
      <c r="CE1865" s="58"/>
      <c r="CF1865" s="57"/>
      <c r="CG1865" s="57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14"/>
      <c r="DC1865" s="14"/>
      <c r="DD1865" s="14"/>
      <c r="DE1865" s="14"/>
      <c r="DF1865" s="14"/>
      <c r="DG1865" s="14"/>
      <c r="DH1865" s="14"/>
      <c r="DI1865" s="14"/>
      <c r="DJ1865" s="14"/>
      <c r="DK1865" s="14"/>
      <c r="DL1865" s="14"/>
      <c r="DM1865" s="14"/>
      <c r="DN1865" s="14"/>
      <c r="DO1865" s="14"/>
      <c r="DP1865" s="14"/>
      <c r="DQ1865" s="14"/>
      <c r="DR1865" s="14"/>
      <c r="DS1865" s="14"/>
      <c r="DT1865" s="14"/>
      <c r="DU1865" s="14"/>
      <c r="DV1865" s="14"/>
      <c r="DW1865" s="14"/>
      <c r="DX1865" s="14"/>
      <c r="DY1865" s="14"/>
      <c r="DZ1865" s="14"/>
      <c r="EA1865" s="14"/>
      <c r="EB1865" s="14"/>
      <c r="EC1865" s="14"/>
      <c r="ED1865" s="14"/>
      <c r="EE1865" s="14"/>
      <c r="EF1865" s="14"/>
      <c r="EG1865" s="14"/>
      <c r="EH1865" s="14"/>
      <c r="EI1865" s="14"/>
      <c r="EJ1865" s="14"/>
      <c r="EK1865" s="14"/>
      <c r="EL1865" s="14"/>
      <c r="EM1865" s="14"/>
      <c r="EN1865" s="14"/>
      <c r="EO1865" s="14"/>
      <c r="EP1865" s="14"/>
      <c r="EQ1865" s="14"/>
      <c r="ER1865" s="14"/>
      <c r="ES1865" s="14"/>
      <c r="ET1865" s="14"/>
      <c r="EU1865" s="14"/>
      <c r="EV1865" s="14"/>
      <c r="EW1865" s="14"/>
      <c r="EX1865" s="14"/>
      <c r="EY1865" s="14"/>
      <c r="EZ1865" s="14"/>
      <c r="FA1865" s="14"/>
      <c r="FB1865" s="14"/>
      <c r="FC1865" s="14"/>
      <c r="FD1865" s="14"/>
      <c r="FE1865" s="14"/>
      <c r="FF1865" s="14"/>
      <c r="FG1865" s="14"/>
      <c r="FH1865" s="14"/>
      <c r="FI1865" s="14"/>
      <c r="FJ1865" s="14"/>
      <c r="FK1865" s="14"/>
      <c r="FL1865" s="57" t="s">
        <v>5259</v>
      </c>
      <c r="FM1865" s="57" t="s">
        <v>260</v>
      </c>
      <c r="FN1865" s="14"/>
      <c r="FO1865" s="14"/>
      <c r="FP1865" s="14"/>
      <c r="FQ1865" s="14"/>
      <c r="FR1865" s="14"/>
      <c r="FS1865" s="14"/>
      <c r="FT1865" s="14"/>
      <c r="FU1865" s="14"/>
      <c r="FV1865" s="14"/>
      <c r="FW1865" s="14"/>
      <c r="FX1865" s="14"/>
      <c r="FY1865" s="14"/>
      <c r="FZ1865" s="14"/>
      <c r="GA1865" s="14"/>
      <c r="GB1865" s="14"/>
      <c r="GC1865" s="14"/>
      <c r="GD1865" s="14"/>
      <c r="GE1865" s="14"/>
      <c r="GF1865" s="14"/>
      <c r="GG1865" s="14"/>
      <c r="GH1865" s="14"/>
      <c r="GI1865" s="14"/>
      <c r="GJ1865" s="14"/>
      <c r="GK1865" s="14"/>
      <c r="GL1865" s="14"/>
      <c r="GM1865" s="14"/>
      <c r="GN1865" s="14"/>
      <c r="GO1865" s="14"/>
      <c r="GP1865" s="14"/>
      <c r="GQ1865" s="14"/>
      <c r="GR1865" s="14"/>
      <c r="GS1865" s="14"/>
      <c r="GT1865" s="14"/>
      <c r="GU1865" s="14"/>
      <c r="GV1865" s="14"/>
      <c r="GW1865" s="14"/>
      <c r="GX1865" s="14"/>
      <c r="GY1865" s="14"/>
      <c r="GZ1865" s="14"/>
      <c r="HA1865" s="14"/>
    </row>
    <row r="1866" ht="23.25" customHeight="1">
      <c r="A1866" s="14"/>
      <c r="B1866" s="14"/>
      <c r="C1866" s="36" t="s">
        <v>13</v>
      </c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57" t="s">
        <v>2664</v>
      </c>
      <c r="AY1866" s="57" t="s">
        <v>2665</v>
      </c>
      <c r="AZ1866" s="57" t="s">
        <v>5220</v>
      </c>
      <c r="BA1866" s="57" t="s">
        <v>5221</v>
      </c>
      <c r="BB1866" s="57" t="s">
        <v>450</v>
      </c>
      <c r="BC1866" s="58">
        <v>44440.0</v>
      </c>
      <c r="BD1866" s="58">
        <v>44537.0</v>
      </c>
      <c r="BE1866" s="14"/>
      <c r="BF1866" s="60">
        <v>90.0</v>
      </c>
      <c r="BG1866" s="14"/>
      <c r="BH1866" s="59" t="s">
        <v>5222</v>
      </c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57"/>
      <c r="BX1866" s="57"/>
      <c r="BY1866" s="14"/>
      <c r="BZ1866" s="57"/>
      <c r="CA1866" s="57"/>
      <c r="CB1866" s="57"/>
      <c r="CC1866" s="57"/>
      <c r="CD1866" s="58"/>
      <c r="CE1866" s="58"/>
      <c r="CF1866" s="57"/>
      <c r="CG1866" s="57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14"/>
      <c r="DC1866" s="14"/>
      <c r="DD1866" s="14"/>
      <c r="DE1866" s="14"/>
      <c r="DF1866" s="14"/>
      <c r="DG1866" s="14"/>
      <c r="DH1866" s="14"/>
      <c r="DI1866" s="14"/>
      <c r="DJ1866" s="14"/>
      <c r="DK1866" s="14"/>
      <c r="DL1866" s="14"/>
      <c r="DM1866" s="14"/>
      <c r="DN1866" s="14"/>
      <c r="DO1866" s="14"/>
      <c r="DP1866" s="14"/>
      <c r="DQ1866" s="14"/>
      <c r="DR1866" s="14"/>
      <c r="DS1866" s="14"/>
      <c r="DT1866" s="14"/>
      <c r="DU1866" s="14"/>
      <c r="DV1866" s="14"/>
      <c r="DW1866" s="14"/>
      <c r="DX1866" s="14"/>
      <c r="DY1866" s="14"/>
      <c r="DZ1866" s="14"/>
      <c r="EA1866" s="14"/>
      <c r="EB1866" s="14"/>
      <c r="EC1866" s="14"/>
      <c r="ED1866" s="14"/>
      <c r="EE1866" s="14"/>
      <c r="EF1866" s="14"/>
      <c r="EG1866" s="14"/>
      <c r="EH1866" s="14"/>
      <c r="EI1866" s="14"/>
      <c r="EJ1866" s="14"/>
      <c r="EK1866" s="14"/>
      <c r="EL1866" s="14"/>
      <c r="EM1866" s="14"/>
      <c r="EN1866" s="14"/>
      <c r="EO1866" s="14"/>
      <c r="EP1866" s="14"/>
      <c r="EQ1866" s="14"/>
      <c r="ER1866" s="14"/>
      <c r="ES1866" s="14"/>
      <c r="ET1866" s="14"/>
      <c r="EU1866" s="14"/>
      <c r="EV1866" s="14"/>
      <c r="EW1866" s="14"/>
      <c r="EX1866" s="14"/>
      <c r="EY1866" s="14"/>
      <c r="EZ1866" s="14"/>
      <c r="FA1866" s="14"/>
      <c r="FB1866" s="14"/>
      <c r="FC1866" s="14"/>
      <c r="FD1866" s="14"/>
      <c r="FE1866" s="14"/>
      <c r="FF1866" s="14"/>
      <c r="FG1866" s="14"/>
      <c r="FH1866" s="14"/>
      <c r="FI1866" s="14"/>
      <c r="FJ1866" s="14"/>
      <c r="FK1866" s="14"/>
      <c r="FL1866" s="57" t="s">
        <v>2670</v>
      </c>
      <c r="FM1866" s="57" t="s">
        <v>323</v>
      </c>
      <c r="FN1866" s="14"/>
      <c r="FO1866" s="14"/>
      <c r="FP1866" s="14"/>
      <c r="FQ1866" s="14"/>
      <c r="FR1866" s="14"/>
      <c r="FS1866" s="14"/>
      <c r="FT1866" s="14"/>
      <c r="FU1866" s="14"/>
      <c r="FV1866" s="14"/>
      <c r="FW1866" s="14"/>
      <c r="FX1866" s="14"/>
      <c r="FY1866" s="14"/>
      <c r="FZ1866" s="14"/>
      <c r="GA1866" s="14"/>
      <c r="GB1866" s="14"/>
      <c r="GC1866" s="14"/>
      <c r="GD1866" s="14"/>
      <c r="GE1866" s="14"/>
      <c r="GF1866" s="14"/>
      <c r="GG1866" s="14"/>
      <c r="GH1866" s="14"/>
      <c r="GI1866" s="14"/>
      <c r="GJ1866" s="14"/>
      <c r="GK1866" s="14"/>
      <c r="GL1866" s="14"/>
      <c r="GM1866" s="14"/>
      <c r="GN1866" s="14"/>
      <c r="GO1866" s="14"/>
      <c r="GP1866" s="14"/>
      <c r="GQ1866" s="14"/>
      <c r="GR1866" s="14"/>
      <c r="GS1866" s="14"/>
      <c r="GT1866" s="14"/>
      <c r="GU1866" s="14"/>
      <c r="GV1866" s="14"/>
      <c r="GW1866" s="14"/>
      <c r="GX1866" s="14"/>
      <c r="GY1866" s="14"/>
      <c r="GZ1866" s="14"/>
      <c r="HA1866" s="14"/>
    </row>
    <row r="1867" ht="23.25" customHeight="1">
      <c r="A1867" s="14"/>
      <c r="B1867" s="14"/>
      <c r="C1867" s="36" t="s">
        <v>13</v>
      </c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57" t="s">
        <v>2759</v>
      </c>
      <c r="AY1867" s="57" t="s">
        <v>2760</v>
      </c>
      <c r="AZ1867" s="57" t="s">
        <v>784</v>
      </c>
      <c r="BA1867" s="57" t="s">
        <v>345</v>
      </c>
      <c r="BB1867" s="57" t="s">
        <v>2784</v>
      </c>
      <c r="BC1867" s="58">
        <v>43923.0</v>
      </c>
      <c r="BD1867" s="58">
        <v>43953.0</v>
      </c>
      <c r="BE1867" s="14"/>
      <c r="BF1867" s="60">
        <v>90.0</v>
      </c>
      <c r="BG1867" s="14"/>
      <c r="BH1867" s="59" t="s">
        <v>5223</v>
      </c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57"/>
      <c r="BX1867" s="57"/>
      <c r="BY1867" s="14"/>
      <c r="BZ1867" s="57"/>
      <c r="CA1867" s="57"/>
      <c r="CB1867" s="57"/>
      <c r="CC1867" s="57"/>
      <c r="CD1867" s="58"/>
      <c r="CE1867" s="58"/>
      <c r="CF1867" s="57"/>
      <c r="CG1867" s="57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14"/>
      <c r="DC1867" s="14"/>
      <c r="DD1867" s="14"/>
      <c r="DE1867" s="14"/>
      <c r="DF1867" s="14"/>
      <c r="DG1867" s="14"/>
      <c r="DH1867" s="14"/>
      <c r="DI1867" s="14"/>
      <c r="DJ1867" s="14"/>
      <c r="DK1867" s="14"/>
      <c r="DL1867" s="14"/>
      <c r="DM1867" s="14"/>
      <c r="DN1867" s="14"/>
      <c r="DO1867" s="14"/>
      <c r="DP1867" s="14"/>
      <c r="DQ1867" s="14"/>
      <c r="DR1867" s="14"/>
      <c r="DS1867" s="14"/>
      <c r="DT1867" s="14"/>
      <c r="DU1867" s="14"/>
      <c r="DV1867" s="14"/>
      <c r="DW1867" s="14"/>
      <c r="DX1867" s="14"/>
      <c r="DY1867" s="14"/>
      <c r="DZ1867" s="14"/>
      <c r="EA1867" s="14"/>
      <c r="EB1867" s="14"/>
      <c r="EC1867" s="14"/>
      <c r="ED1867" s="14"/>
      <c r="EE1867" s="14"/>
      <c r="EF1867" s="14"/>
      <c r="EG1867" s="14"/>
      <c r="EH1867" s="14"/>
      <c r="EI1867" s="14"/>
      <c r="EJ1867" s="14"/>
      <c r="EK1867" s="14"/>
      <c r="EL1867" s="14"/>
      <c r="EM1867" s="14"/>
      <c r="EN1867" s="14"/>
      <c r="EO1867" s="14"/>
      <c r="EP1867" s="14"/>
      <c r="EQ1867" s="14"/>
      <c r="ER1867" s="14"/>
      <c r="ES1867" s="14"/>
      <c r="ET1867" s="14"/>
      <c r="EU1867" s="14"/>
      <c r="EV1867" s="14"/>
      <c r="EW1867" s="14"/>
      <c r="EX1867" s="14"/>
      <c r="EY1867" s="14"/>
      <c r="EZ1867" s="14"/>
      <c r="FA1867" s="14"/>
      <c r="FB1867" s="14"/>
      <c r="FC1867" s="14"/>
      <c r="FD1867" s="14"/>
      <c r="FE1867" s="14"/>
      <c r="FF1867" s="14"/>
      <c r="FG1867" s="14"/>
      <c r="FH1867" s="14"/>
      <c r="FI1867" s="14"/>
      <c r="FJ1867" s="14"/>
      <c r="FK1867" s="14"/>
      <c r="FL1867" s="57" t="s">
        <v>2763</v>
      </c>
      <c r="FM1867" s="57" t="s">
        <v>323</v>
      </c>
      <c r="FN1867" s="14"/>
      <c r="FO1867" s="14"/>
      <c r="FP1867" s="14"/>
      <c r="FQ1867" s="14"/>
      <c r="FR1867" s="14"/>
      <c r="FS1867" s="14"/>
      <c r="FT1867" s="14"/>
      <c r="FU1867" s="14"/>
      <c r="FV1867" s="14"/>
      <c r="FW1867" s="14"/>
      <c r="FX1867" s="14"/>
      <c r="FY1867" s="14"/>
      <c r="FZ1867" s="14"/>
      <c r="GA1867" s="14"/>
      <c r="GB1867" s="14"/>
      <c r="GC1867" s="14"/>
      <c r="GD1867" s="14"/>
      <c r="GE1867" s="14"/>
      <c r="GF1867" s="14"/>
      <c r="GG1867" s="14"/>
      <c r="GH1867" s="14"/>
      <c r="GI1867" s="14"/>
      <c r="GJ1867" s="14"/>
      <c r="GK1867" s="14"/>
      <c r="GL1867" s="14"/>
      <c r="GM1867" s="14"/>
      <c r="GN1867" s="14"/>
      <c r="GO1867" s="14"/>
      <c r="GP1867" s="14"/>
      <c r="GQ1867" s="14"/>
      <c r="GR1867" s="14"/>
      <c r="GS1867" s="14"/>
      <c r="GT1867" s="14"/>
      <c r="GU1867" s="14"/>
      <c r="GV1867" s="14"/>
      <c r="GW1867" s="14"/>
      <c r="GX1867" s="14"/>
      <c r="GY1867" s="14"/>
      <c r="GZ1867" s="14"/>
      <c r="HA1867" s="14"/>
    </row>
    <row r="1868" ht="23.25" customHeight="1">
      <c r="A1868" s="14"/>
      <c r="B1868" s="14"/>
      <c r="C1868" s="36" t="s">
        <v>13</v>
      </c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57" t="s">
        <v>2759</v>
      </c>
      <c r="AY1868" s="57" t="s">
        <v>2760</v>
      </c>
      <c r="AZ1868" s="57" t="s">
        <v>3904</v>
      </c>
      <c r="BA1868" s="57" t="s">
        <v>345</v>
      </c>
      <c r="BB1868" s="57" t="s">
        <v>2784</v>
      </c>
      <c r="BC1868" s="58">
        <v>43950.0</v>
      </c>
      <c r="BD1868" s="58">
        <v>43980.0</v>
      </c>
      <c r="BE1868" s="14"/>
      <c r="BF1868" s="60">
        <v>90.0</v>
      </c>
      <c r="BG1868" s="14"/>
      <c r="BH1868" s="59" t="s">
        <v>5224</v>
      </c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57"/>
      <c r="BX1868" s="57"/>
      <c r="BY1868" s="14"/>
      <c r="BZ1868" s="57"/>
      <c r="CA1868" s="57"/>
      <c r="CB1868" s="57"/>
      <c r="CC1868" s="57"/>
      <c r="CD1868" s="58"/>
      <c r="CE1868" s="58"/>
      <c r="CF1868" s="57"/>
      <c r="CG1868" s="57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14"/>
      <c r="DC1868" s="14"/>
      <c r="DD1868" s="14"/>
      <c r="DE1868" s="14"/>
      <c r="DF1868" s="14"/>
      <c r="DG1868" s="14"/>
      <c r="DH1868" s="14"/>
      <c r="DI1868" s="14"/>
      <c r="DJ1868" s="14"/>
      <c r="DK1868" s="14"/>
      <c r="DL1868" s="14"/>
      <c r="DM1868" s="14"/>
      <c r="DN1868" s="14"/>
      <c r="DO1868" s="14"/>
      <c r="DP1868" s="14"/>
      <c r="DQ1868" s="14"/>
      <c r="DR1868" s="14"/>
      <c r="DS1868" s="14"/>
      <c r="DT1868" s="14"/>
      <c r="DU1868" s="14"/>
      <c r="DV1868" s="14"/>
      <c r="DW1868" s="14"/>
      <c r="DX1868" s="14"/>
      <c r="DY1868" s="14"/>
      <c r="DZ1868" s="14"/>
      <c r="EA1868" s="14"/>
      <c r="EB1868" s="14"/>
      <c r="EC1868" s="14"/>
      <c r="ED1868" s="14"/>
      <c r="EE1868" s="14"/>
      <c r="EF1868" s="14"/>
      <c r="EG1868" s="14"/>
      <c r="EH1868" s="14"/>
      <c r="EI1868" s="14"/>
      <c r="EJ1868" s="14"/>
      <c r="EK1868" s="14"/>
      <c r="EL1868" s="14"/>
      <c r="EM1868" s="14"/>
      <c r="EN1868" s="14"/>
      <c r="EO1868" s="14"/>
      <c r="EP1868" s="14"/>
      <c r="EQ1868" s="14"/>
      <c r="ER1868" s="14"/>
      <c r="ES1868" s="14"/>
      <c r="ET1868" s="14"/>
      <c r="EU1868" s="14"/>
      <c r="EV1868" s="14"/>
      <c r="EW1868" s="14"/>
      <c r="EX1868" s="14"/>
      <c r="EY1868" s="14"/>
      <c r="EZ1868" s="14"/>
      <c r="FA1868" s="14"/>
      <c r="FB1868" s="14"/>
      <c r="FC1868" s="14"/>
      <c r="FD1868" s="14"/>
      <c r="FE1868" s="14"/>
      <c r="FF1868" s="14"/>
      <c r="FG1868" s="14"/>
      <c r="FH1868" s="14"/>
      <c r="FI1868" s="14"/>
      <c r="FJ1868" s="14"/>
      <c r="FK1868" s="14"/>
      <c r="FL1868" s="57" t="s">
        <v>2763</v>
      </c>
      <c r="FM1868" s="57" t="s">
        <v>323</v>
      </c>
      <c r="FN1868" s="14"/>
      <c r="FO1868" s="14"/>
      <c r="FP1868" s="14"/>
      <c r="FQ1868" s="14"/>
      <c r="FR1868" s="14"/>
      <c r="FS1868" s="14"/>
      <c r="FT1868" s="14"/>
      <c r="FU1868" s="14"/>
      <c r="FV1868" s="14"/>
      <c r="FW1868" s="14"/>
      <c r="FX1868" s="14"/>
      <c r="FY1868" s="14"/>
      <c r="FZ1868" s="14"/>
      <c r="GA1868" s="14"/>
      <c r="GB1868" s="14"/>
      <c r="GC1868" s="14"/>
      <c r="GD1868" s="14"/>
      <c r="GE1868" s="14"/>
      <c r="GF1868" s="14"/>
      <c r="GG1868" s="14"/>
      <c r="GH1868" s="14"/>
      <c r="GI1868" s="14"/>
      <c r="GJ1868" s="14"/>
      <c r="GK1868" s="14"/>
      <c r="GL1868" s="14"/>
      <c r="GM1868" s="14"/>
      <c r="GN1868" s="14"/>
      <c r="GO1868" s="14"/>
      <c r="GP1868" s="14"/>
      <c r="GQ1868" s="14"/>
      <c r="GR1868" s="14"/>
      <c r="GS1868" s="14"/>
      <c r="GT1868" s="14"/>
      <c r="GU1868" s="14"/>
      <c r="GV1868" s="14"/>
      <c r="GW1868" s="14"/>
      <c r="GX1868" s="14"/>
      <c r="GY1868" s="14"/>
      <c r="GZ1868" s="14"/>
      <c r="HA1868" s="14"/>
    </row>
    <row r="1869" ht="23.25" customHeight="1">
      <c r="A1869" s="14"/>
      <c r="B1869" s="14"/>
      <c r="C1869" s="36" t="s">
        <v>13</v>
      </c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57" t="s">
        <v>3211</v>
      </c>
      <c r="AY1869" s="57" t="s">
        <v>3215</v>
      </c>
      <c r="AZ1869" s="57" t="s">
        <v>2367</v>
      </c>
      <c r="BA1869" s="57" t="s">
        <v>337</v>
      </c>
      <c r="BB1869" s="57" t="s">
        <v>1810</v>
      </c>
      <c r="BC1869" s="58">
        <v>44056.0</v>
      </c>
      <c r="BD1869" s="58">
        <v>44070.0</v>
      </c>
      <c r="BE1869" s="14"/>
      <c r="BF1869" s="60">
        <v>100.0</v>
      </c>
      <c r="BG1869" s="14"/>
      <c r="BH1869" s="59" t="s">
        <v>5225</v>
      </c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57"/>
      <c r="BX1869" s="57"/>
      <c r="BY1869" s="14"/>
      <c r="BZ1869" s="57"/>
      <c r="CA1869" s="57"/>
      <c r="CB1869" s="57"/>
      <c r="CC1869" s="57"/>
      <c r="CD1869" s="58"/>
      <c r="CE1869" s="58"/>
      <c r="CF1869" s="57"/>
      <c r="CG1869" s="57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14"/>
      <c r="DC1869" s="14"/>
      <c r="DD1869" s="14"/>
      <c r="DE1869" s="14"/>
      <c r="DF1869" s="14"/>
      <c r="DG1869" s="14"/>
      <c r="DH1869" s="14"/>
      <c r="DI1869" s="14"/>
      <c r="DJ1869" s="14"/>
      <c r="DK1869" s="14"/>
      <c r="DL1869" s="14"/>
      <c r="DM1869" s="14"/>
      <c r="DN1869" s="14"/>
      <c r="DO1869" s="14"/>
      <c r="DP1869" s="14"/>
      <c r="DQ1869" s="14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ED1869" s="14"/>
      <c r="EE1869" s="14"/>
      <c r="EF1869" s="14"/>
      <c r="EG1869" s="14"/>
      <c r="EH1869" s="14"/>
      <c r="EI1869" s="14"/>
      <c r="EJ1869" s="14"/>
      <c r="EK1869" s="14"/>
      <c r="EL1869" s="14"/>
      <c r="EM1869" s="14"/>
      <c r="EN1869" s="14"/>
      <c r="EO1869" s="14"/>
      <c r="EP1869" s="14"/>
      <c r="EQ1869" s="14"/>
      <c r="ER1869" s="14"/>
      <c r="ES1869" s="14"/>
      <c r="ET1869" s="14"/>
      <c r="EU1869" s="14"/>
      <c r="EV1869" s="14"/>
      <c r="EW1869" s="14"/>
      <c r="EX1869" s="14"/>
      <c r="EY1869" s="14"/>
      <c r="EZ1869" s="14"/>
      <c r="FA1869" s="14"/>
      <c r="FB1869" s="14"/>
      <c r="FC1869" s="14"/>
      <c r="FD1869" s="14"/>
      <c r="FE1869" s="14"/>
      <c r="FF1869" s="14"/>
      <c r="FG1869" s="14"/>
      <c r="FH1869" s="14"/>
      <c r="FI1869" s="14"/>
      <c r="FJ1869" s="14"/>
      <c r="FK1869" s="14"/>
      <c r="FL1869" s="57" t="s">
        <v>3214</v>
      </c>
      <c r="FM1869" s="57" t="s">
        <v>323</v>
      </c>
      <c r="FN1869" s="14"/>
      <c r="FO1869" s="14"/>
      <c r="FP1869" s="14"/>
      <c r="FQ1869" s="14"/>
      <c r="FR1869" s="14"/>
      <c r="FS1869" s="14"/>
      <c r="FT1869" s="14"/>
      <c r="FU1869" s="14"/>
      <c r="FV1869" s="14"/>
      <c r="FW1869" s="14"/>
      <c r="FX1869" s="14"/>
      <c r="FY1869" s="14"/>
      <c r="FZ1869" s="14"/>
      <c r="GA1869" s="14"/>
      <c r="GB1869" s="14"/>
      <c r="GC1869" s="14"/>
      <c r="GD1869" s="14"/>
      <c r="GE1869" s="14"/>
      <c r="GF1869" s="14"/>
      <c r="GG1869" s="14"/>
      <c r="GH1869" s="14"/>
      <c r="GI1869" s="14"/>
      <c r="GJ1869" s="14"/>
      <c r="GK1869" s="14"/>
      <c r="GL1869" s="14"/>
      <c r="GM1869" s="14"/>
      <c r="GN1869" s="14"/>
      <c r="GO1869" s="14"/>
      <c r="GP1869" s="14"/>
      <c r="GQ1869" s="14"/>
      <c r="GR1869" s="14"/>
      <c r="GS1869" s="14"/>
      <c r="GT1869" s="14"/>
      <c r="GU1869" s="14"/>
      <c r="GV1869" s="14"/>
      <c r="GW1869" s="14"/>
      <c r="GX1869" s="14"/>
      <c r="GY1869" s="14"/>
      <c r="GZ1869" s="14"/>
      <c r="HA1869" s="14"/>
    </row>
    <row r="1870" ht="23.25" customHeight="1">
      <c r="A1870" s="14"/>
      <c r="B1870" s="14"/>
      <c r="C1870" s="36" t="s">
        <v>13</v>
      </c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57" t="s">
        <v>3298</v>
      </c>
      <c r="AY1870" s="57" t="s">
        <v>3299</v>
      </c>
      <c r="AZ1870" s="57" t="s">
        <v>5226</v>
      </c>
      <c r="BA1870" s="57" t="s">
        <v>1378</v>
      </c>
      <c r="BB1870" s="57" t="s">
        <v>701</v>
      </c>
      <c r="BC1870" s="58">
        <v>43983.0</v>
      </c>
      <c r="BD1870" s="58">
        <v>44013.0</v>
      </c>
      <c r="BE1870" s="14"/>
      <c r="BF1870" s="60">
        <v>100.0</v>
      </c>
      <c r="BG1870" s="14"/>
      <c r="BH1870" s="59" t="s">
        <v>5227</v>
      </c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57"/>
      <c r="BX1870" s="57"/>
      <c r="BY1870" s="14"/>
      <c r="BZ1870" s="57"/>
      <c r="CA1870" s="57"/>
      <c r="CB1870" s="57"/>
      <c r="CC1870" s="57"/>
      <c r="CD1870" s="58"/>
      <c r="CE1870" s="58"/>
      <c r="CF1870" s="57"/>
      <c r="CG1870" s="57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14"/>
      <c r="DC1870" s="14"/>
      <c r="DD1870" s="14"/>
      <c r="DE1870" s="14"/>
      <c r="DF1870" s="14"/>
      <c r="DG1870" s="14"/>
      <c r="DH1870" s="14"/>
      <c r="DI1870" s="14"/>
      <c r="DJ1870" s="14"/>
      <c r="DK1870" s="14"/>
      <c r="DL1870" s="14"/>
      <c r="DM1870" s="14"/>
      <c r="DN1870" s="14"/>
      <c r="DO1870" s="14"/>
      <c r="DP1870" s="14"/>
      <c r="DQ1870" s="14"/>
      <c r="DR1870" s="14"/>
      <c r="DS1870" s="14"/>
      <c r="DT1870" s="14"/>
      <c r="DU1870" s="14"/>
      <c r="DV1870" s="14"/>
      <c r="DW1870" s="14"/>
      <c r="DX1870" s="14"/>
      <c r="DY1870" s="14"/>
      <c r="DZ1870" s="14"/>
      <c r="EA1870" s="14"/>
      <c r="EB1870" s="14"/>
      <c r="EC1870" s="14"/>
      <c r="ED1870" s="14"/>
      <c r="EE1870" s="14"/>
      <c r="EF1870" s="14"/>
      <c r="EG1870" s="14"/>
      <c r="EH1870" s="14"/>
      <c r="EI1870" s="14"/>
      <c r="EJ1870" s="14"/>
      <c r="EK1870" s="14"/>
      <c r="EL1870" s="14"/>
      <c r="EM1870" s="14"/>
      <c r="EN1870" s="14"/>
      <c r="EO1870" s="14"/>
      <c r="EP1870" s="14"/>
      <c r="EQ1870" s="14"/>
      <c r="ER1870" s="14"/>
      <c r="ES1870" s="14"/>
      <c r="ET1870" s="14"/>
      <c r="EU1870" s="14"/>
      <c r="EV1870" s="14"/>
      <c r="EW1870" s="14"/>
      <c r="EX1870" s="14"/>
      <c r="EY1870" s="14"/>
      <c r="EZ1870" s="14"/>
      <c r="FA1870" s="14"/>
      <c r="FB1870" s="14"/>
      <c r="FC1870" s="14"/>
      <c r="FD1870" s="14"/>
      <c r="FE1870" s="14"/>
      <c r="FF1870" s="14"/>
      <c r="FG1870" s="14"/>
      <c r="FH1870" s="14"/>
      <c r="FI1870" s="14"/>
      <c r="FJ1870" s="14"/>
      <c r="FK1870" s="14"/>
      <c r="FL1870" s="57" t="s">
        <v>3302</v>
      </c>
      <c r="FM1870" s="57" t="s">
        <v>341</v>
      </c>
      <c r="FN1870" s="14"/>
      <c r="FO1870" s="14"/>
      <c r="FP1870" s="14"/>
      <c r="FQ1870" s="14"/>
      <c r="FR1870" s="14"/>
      <c r="FS1870" s="14"/>
      <c r="FT1870" s="14"/>
      <c r="FU1870" s="14"/>
      <c r="FV1870" s="14"/>
      <c r="FW1870" s="14"/>
      <c r="FX1870" s="14"/>
      <c r="FY1870" s="14"/>
      <c r="FZ1870" s="14"/>
      <c r="GA1870" s="14"/>
      <c r="GB1870" s="14"/>
      <c r="GC1870" s="14"/>
      <c r="GD1870" s="14"/>
      <c r="GE1870" s="14"/>
      <c r="GF1870" s="14"/>
      <c r="GG1870" s="14"/>
      <c r="GH1870" s="14"/>
      <c r="GI1870" s="14"/>
      <c r="GJ1870" s="14"/>
      <c r="GK1870" s="14"/>
      <c r="GL1870" s="14"/>
      <c r="GM1870" s="14"/>
      <c r="GN1870" s="14"/>
      <c r="GO1870" s="14"/>
      <c r="GP1870" s="14"/>
      <c r="GQ1870" s="14"/>
      <c r="GR1870" s="14"/>
      <c r="GS1870" s="14"/>
      <c r="GT1870" s="14"/>
      <c r="GU1870" s="14"/>
      <c r="GV1870" s="14"/>
      <c r="GW1870" s="14"/>
      <c r="GX1870" s="14"/>
      <c r="GY1870" s="14"/>
      <c r="GZ1870" s="14"/>
      <c r="HA1870" s="14"/>
    </row>
    <row r="1871" ht="23.25" customHeight="1">
      <c r="A1871" s="14"/>
      <c r="B1871" s="14"/>
      <c r="C1871" s="36" t="s">
        <v>13</v>
      </c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57" t="s">
        <v>3298</v>
      </c>
      <c r="AY1871" s="57" t="s">
        <v>3299</v>
      </c>
      <c r="AZ1871" s="57" t="s">
        <v>5228</v>
      </c>
      <c r="BA1871" s="57" t="s">
        <v>1378</v>
      </c>
      <c r="BB1871" s="57" t="s">
        <v>503</v>
      </c>
      <c r="BC1871" s="58">
        <v>43872.0</v>
      </c>
      <c r="BD1871" s="58">
        <v>43962.0</v>
      </c>
      <c r="BE1871" s="14"/>
      <c r="BF1871" s="60">
        <v>100.0</v>
      </c>
      <c r="BG1871" s="14"/>
      <c r="BH1871" s="59" t="s">
        <v>5229</v>
      </c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57"/>
      <c r="BX1871" s="57"/>
      <c r="BY1871" s="14"/>
      <c r="BZ1871" s="57"/>
      <c r="CA1871" s="57"/>
      <c r="CB1871" s="57"/>
      <c r="CC1871" s="57"/>
      <c r="CD1871" s="58"/>
      <c r="CE1871" s="58"/>
      <c r="CF1871" s="57"/>
      <c r="CG1871" s="57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14"/>
      <c r="DC1871" s="14"/>
      <c r="DD1871" s="14"/>
      <c r="DE1871" s="14"/>
      <c r="DF1871" s="14"/>
      <c r="DG1871" s="14"/>
      <c r="DH1871" s="14"/>
      <c r="DI1871" s="14"/>
      <c r="DJ1871" s="14"/>
      <c r="DK1871" s="14"/>
      <c r="DL1871" s="14"/>
      <c r="DM1871" s="14"/>
      <c r="DN1871" s="14"/>
      <c r="DO1871" s="14"/>
      <c r="DP1871" s="14"/>
      <c r="DQ1871" s="14"/>
      <c r="DR1871" s="14"/>
      <c r="DS1871" s="14"/>
      <c r="DT1871" s="14"/>
      <c r="DU1871" s="14"/>
      <c r="DV1871" s="14"/>
      <c r="DW1871" s="14"/>
      <c r="DX1871" s="14"/>
      <c r="DY1871" s="14"/>
      <c r="DZ1871" s="14"/>
      <c r="EA1871" s="14"/>
      <c r="EB1871" s="14"/>
      <c r="EC1871" s="14"/>
      <c r="ED1871" s="14"/>
      <c r="EE1871" s="14"/>
      <c r="EF1871" s="14"/>
      <c r="EG1871" s="14"/>
      <c r="EH1871" s="14"/>
      <c r="EI1871" s="14"/>
      <c r="EJ1871" s="14"/>
      <c r="EK1871" s="14"/>
      <c r="EL1871" s="14"/>
      <c r="EM1871" s="14"/>
      <c r="EN1871" s="14"/>
      <c r="EO1871" s="14"/>
      <c r="EP1871" s="14"/>
      <c r="EQ1871" s="14"/>
      <c r="ER1871" s="14"/>
      <c r="ES1871" s="14"/>
      <c r="ET1871" s="14"/>
      <c r="EU1871" s="14"/>
      <c r="EV1871" s="14"/>
      <c r="EW1871" s="14"/>
      <c r="EX1871" s="14"/>
      <c r="EY1871" s="14"/>
      <c r="EZ1871" s="14"/>
      <c r="FA1871" s="14"/>
      <c r="FB1871" s="14"/>
      <c r="FC1871" s="14"/>
      <c r="FD1871" s="14"/>
      <c r="FE1871" s="14"/>
      <c r="FF1871" s="14"/>
      <c r="FG1871" s="14"/>
      <c r="FH1871" s="14"/>
      <c r="FI1871" s="14"/>
      <c r="FJ1871" s="14"/>
      <c r="FK1871" s="14"/>
      <c r="FL1871" s="57" t="s">
        <v>3302</v>
      </c>
      <c r="FM1871" s="57" t="s">
        <v>323</v>
      </c>
      <c r="FN1871" s="14"/>
      <c r="FO1871" s="14"/>
      <c r="FP1871" s="14"/>
      <c r="FQ1871" s="14"/>
      <c r="FR1871" s="14"/>
      <c r="FS1871" s="14"/>
      <c r="FT1871" s="14"/>
      <c r="FU1871" s="14"/>
      <c r="FV1871" s="14"/>
      <c r="FW1871" s="14"/>
      <c r="FX1871" s="14"/>
      <c r="FY1871" s="14"/>
      <c r="FZ1871" s="14"/>
      <c r="GA1871" s="14"/>
      <c r="GB1871" s="14"/>
      <c r="GC1871" s="14"/>
      <c r="GD1871" s="14"/>
      <c r="GE1871" s="14"/>
      <c r="GF1871" s="14"/>
      <c r="GG1871" s="14"/>
      <c r="GH1871" s="14"/>
      <c r="GI1871" s="14"/>
      <c r="GJ1871" s="14"/>
      <c r="GK1871" s="14"/>
      <c r="GL1871" s="14"/>
      <c r="GM1871" s="14"/>
      <c r="GN1871" s="14"/>
      <c r="GO1871" s="14"/>
      <c r="GP1871" s="14"/>
      <c r="GQ1871" s="14"/>
      <c r="GR1871" s="14"/>
      <c r="GS1871" s="14"/>
      <c r="GT1871" s="14"/>
      <c r="GU1871" s="14"/>
      <c r="GV1871" s="14"/>
      <c r="GW1871" s="14"/>
      <c r="GX1871" s="14"/>
      <c r="GY1871" s="14"/>
      <c r="GZ1871" s="14"/>
      <c r="HA1871" s="14"/>
    </row>
    <row r="1872" ht="23.25" customHeight="1">
      <c r="A1872" s="14"/>
      <c r="B1872" s="14"/>
      <c r="C1872" s="36" t="s">
        <v>13</v>
      </c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57" t="s">
        <v>3298</v>
      </c>
      <c r="AY1872" s="57" t="s">
        <v>3299</v>
      </c>
      <c r="AZ1872" s="57" t="s">
        <v>5230</v>
      </c>
      <c r="BA1872" s="57" t="s">
        <v>1378</v>
      </c>
      <c r="BB1872" s="57" t="s">
        <v>701</v>
      </c>
      <c r="BC1872" s="58">
        <v>44334.0</v>
      </c>
      <c r="BD1872" s="58">
        <v>44365.0</v>
      </c>
      <c r="BE1872" s="14"/>
      <c r="BF1872" s="60">
        <v>100.0</v>
      </c>
      <c r="BG1872" s="14"/>
      <c r="BH1872" s="59" t="s">
        <v>5231</v>
      </c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57"/>
      <c r="BX1872" s="57"/>
      <c r="BY1872" s="14"/>
      <c r="BZ1872" s="57"/>
      <c r="CA1872" s="57"/>
      <c r="CB1872" s="57"/>
      <c r="CC1872" s="57"/>
      <c r="CD1872" s="58"/>
      <c r="CE1872" s="58"/>
      <c r="CF1872" s="57"/>
      <c r="CG1872" s="57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14"/>
      <c r="DC1872" s="14"/>
      <c r="DD1872" s="14"/>
      <c r="DE1872" s="14"/>
      <c r="DF1872" s="14"/>
      <c r="DG1872" s="14"/>
      <c r="DH1872" s="14"/>
      <c r="DI1872" s="14"/>
      <c r="DJ1872" s="14"/>
      <c r="DK1872" s="14"/>
      <c r="DL1872" s="14"/>
      <c r="DM1872" s="14"/>
      <c r="DN1872" s="14"/>
      <c r="DO1872" s="14"/>
      <c r="DP1872" s="14"/>
      <c r="DQ1872" s="14"/>
      <c r="DR1872" s="14"/>
      <c r="DS1872" s="14"/>
      <c r="DT1872" s="14"/>
      <c r="DU1872" s="14"/>
      <c r="DV1872" s="14"/>
      <c r="DW1872" s="14"/>
      <c r="DX1872" s="14"/>
      <c r="DY1872" s="14"/>
      <c r="DZ1872" s="14"/>
      <c r="EA1872" s="14"/>
      <c r="EB1872" s="14"/>
      <c r="EC1872" s="14"/>
      <c r="ED1872" s="14"/>
      <c r="EE1872" s="14"/>
      <c r="EF1872" s="14"/>
      <c r="EG1872" s="14"/>
      <c r="EH1872" s="14"/>
      <c r="EI1872" s="14"/>
      <c r="EJ1872" s="14"/>
      <c r="EK1872" s="14"/>
      <c r="EL1872" s="14"/>
      <c r="EM1872" s="14"/>
      <c r="EN1872" s="14"/>
      <c r="EO1872" s="14"/>
      <c r="EP1872" s="14"/>
      <c r="EQ1872" s="14"/>
      <c r="ER1872" s="14"/>
      <c r="ES1872" s="14"/>
      <c r="ET1872" s="14"/>
      <c r="EU1872" s="14"/>
      <c r="EV1872" s="14"/>
      <c r="EW1872" s="14"/>
      <c r="EX1872" s="14"/>
      <c r="EY1872" s="14"/>
      <c r="EZ1872" s="14"/>
      <c r="FA1872" s="14"/>
      <c r="FB1872" s="14"/>
      <c r="FC1872" s="14"/>
      <c r="FD1872" s="14"/>
      <c r="FE1872" s="14"/>
      <c r="FF1872" s="14"/>
      <c r="FG1872" s="14"/>
      <c r="FH1872" s="14"/>
      <c r="FI1872" s="14"/>
      <c r="FJ1872" s="14"/>
      <c r="FK1872" s="14"/>
      <c r="FL1872" s="57" t="s">
        <v>3302</v>
      </c>
      <c r="FM1872" s="57" t="s">
        <v>323</v>
      </c>
      <c r="FN1872" s="14"/>
      <c r="FO1872" s="14"/>
      <c r="FP1872" s="14"/>
      <c r="FQ1872" s="14"/>
      <c r="FR1872" s="14"/>
      <c r="FS1872" s="14"/>
      <c r="FT1872" s="14"/>
      <c r="FU1872" s="14"/>
      <c r="FV1872" s="14"/>
      <c r="FW1872" s="14"/>
      <c r="FX1872" s="14"/>
      <c r="FY1872" s="14"/>
      <c r="FZ1872" s="14"/>
      <c r="GA1872" s="14"/>
      <c r="GB1872" s="14"/>
      <c r="GC1872" s="14"/>
      <c r="GD1872" s="14"/>
      <c r="GE1872" s="14"/>
      <c r="GF1872" s="14"/>
      <c r="GG1872" s="14"/>
      <c r="GH1872" s="14"/>
      <c r="GI1872" s="14"/>
      <c r="GJ1872" s="14"/>
      <c r="GK1872" s="14"/>
      <c r="GL1872" s="14"/>
      <c r="GM1872" s="14"/>
      <c r="GN1872" s="14"/>
      <c r="GO1872" s="14"/>
      <c r="GP1872" s="14"/>
      <c r="GQ1872" s="14"/>
      <c r="GR1872" s="14"/>
      <c r="GS1872" s="14"/>
      <c r="GT1872" s="14"/>
      <c r="GU1872" s="14"/>
      <c r="GV1872" s="14"/>
      <c r="GW1872" s="14"/>
      <c r="GX1872" s="14"/>
      <c r="GY1872" s="14"/>
      <c r="GZ1872" s="14"/>
      <c r="HA1872" s="14"/>
    </row>
    <row r="1873" ht="23.25" customHeight="1">
      <c r="A1873" s="14"/>
      <c r="B1873" s="14"/>
      <c r="C1873" s="36" t="s">
        <v>13</v>
      </c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57" t="s">
        <v>3436</v>
      </c>
      <c r="AY1873" s="57" t="s">
        <v>3437</v>
      </c>
      <c r="AZ1873" s="57" t="s">
        <v>5232</v>
      </c>
      <c r="BA1873" s="57" t="s">
        <v>345</v>
      </c>
      <c r="BB1873" s="57" t="s">
        <v>5233</v>
      </c>
      <c r="BC1873" s="58">
        <v>44060.0</v>
      </c>
      <c r="BD1873" s="58">
        <v>44127.0</v>
      </c>
      <c r="BE1873" s="14"/>
      <c r="BF1873" s="60">
        <v>100.0</v>
      </c>
      <c r="BG1873" s="14"/>
      <c r="BH1873" s="59" t="s">
        <v>5234</v>
      </c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57"/>
      <c r="BX1873" s="57"/>
      <c r="BY1873" s="14"/>
      <c r="BZ1873" s="57"/>
      <c r="CA1873" s="57"/>
      <c r="CB1873" s="57"/>
      <c r="CC1873" s="57"/>
      <c r="CD1873" s="58"/>
      <c r="CE1873" s="58"/>
      <c r="CF1873" s="57"/>
      <c r="CG1873" s="57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14"/>
      <c r="DC1873" s="14"/>
      <c r="DD1873" s="14"/>
      <c r="DE1873" s="14"/>
      <c r="DF1873" s="14"/>
      <c r="DG1873" s="14"/>
      <c r="DH1873" s="14"/>
      <c r="DI1873" s="14"/>
      <c r="DJ1873" s="14"/>
      <c r="DK1873" s="14"/>
      <c r="DL1873" s="14"/>
      <c r="DM1873" s="14"/>
      <c r="DN1873" s="14"/>
      <c r="DO1873" s="14"/>
      <c r="DP1873" s="14"/>
      <c r="DQ1873" s="14"/>
      <c r="DR1873" s="14"/>
      <c r="DS1873" s="14"/>
      <c r="DT1873" s="14"/>
      <c r="DU1873" s="14"/>
      <c r="DV1873" s="14"/>
      <c r="DW1873" s="14"/>
      <c r="DX1873" s="14"/>
      <c r="DY1873" s="14"/>
      <c r="DZ1873" s="14"/>
      <c r="EA1873" s="14"/>
      <c r="EB1873" s="14"/>
      <c r="EC1873" s="14"/>
      <c r="ED1873" s="14"/>
      <c r="EE1873" s="14"/>
      <c r="EF1873" s="14"/>
      <c r="EG1873" s="14"/>
      <c r="EH1873" s="14"/>
      <c r="EI1873" s="14"/>
      <c r="EJ1873" s="14"/>
      <c r="EK1873" s="14"/>
      <c r="EL1873" s="14"/>
      <c r="EM1873" s="14"/>
      <c r="EN1873" s="14"/>
      <c r="EO1873" s="14"/>
      <c r="EP1873" s="14"/>
      <c r="EQ1873" s="14"/>
      <c r="ER1873" s="14"/>
      <c r="ES1873" s="14"/>
      <c r="ET1873" s="14"/>
      <c r="EU1873" s="14"/>
      <c r="EV1873" s="14"/>
      <c r="EW1873" s="14"/>
      <c r="EX1873" s="14"/>
      <c r="EY1873" s="14"/>
      <c r="EZ1873" s="14"/>
      <c r="FA1873" s="14"/>
      <c r="FB1873" s="14"/>
      <c r="FC1873" s="14"/>
      <c r="FD1873" s="14"/>
      <c r="FE1873" s="14"/>
      <c r="FF1873" s="14"/>
      <c r="FG1873" s="14"/>
      <c r="FH1873" s="14"/>
      <c r="FI1873" s="14"/>
      <c r="FJ1873" s="14"/>
      <c r="FK1873" s="14"/>
      <c r="FL1873" s="57" t="s">
        <v>3439</v>
      </c>
      <c r="FM1873" s="57" t="s">
        <v>323</v>
      </c>
      <c r="FN1873" s="14"/>
      <c r="FO1873" s="14"/>
      <c r="FP1873" s="14"/>
      <c r="FQ1873" s="14"/>
      <c r="FR1873" s="14"/>
      <c r="FS1873" s="14"/>
      <c r="FT1873" s="14"/>
      <c r="FU1873" s="14"/>
      <c r="FV1873" s="14"/>
      <c r="FW1873" s="14"/>
      <c r="FX1873" s="14"/>
      <c r="FY1873" s="14"/>
      <c r="FZ1873" s="14"/>
      <c r="GA1873" s="14"/>
      <c r="GB1873" s="14"/>
      <c r="GC1873" s="14"/>
      <c r="GD1873" s="14"/>
      <c r="GE1873" s="14"/>
      <c r="GF1873" s="14"/>
      <c r="GG1873" s="14"/>
      <c r="GH1873" s="14"/>
      <c r="GI1873" s="14"/>
      <c r="GJ1873" s="14"/>
      <c r="GK1873" s="14"/>
      <c r="GL1873" s="14"/>
      <c r="GM1873" s="14"/>
      <c r="GN1873" s="14"/>
      <c r="GO1873" s="14"/>
      <c r="GP1873" s="14"/>
      <c r="GQ1873" s="14"/>
      <c r="GR1873" s="14"/>
      <c r="GS1873" s="14"/>
      <c r="GT1873" s="14"/>
      <c r="GU1873" s="14"/>
      <c r="GV1873" s="14"/>
      <c r="GW1873" s="14"/>
      <c r="GX1873" s="14"/>
      <c r="GY1873" s="14"/>
      <c r="GZ1873" s="14"/>
      <c r="HA1873" s="14"/>
    </row>
    <row r="1874" ht="23.25" customHeight="1">
      <c r="A1874" s="14"/>
      <c r="B1874" s="14"/>
      <c r="C1874" s="36" t="s">
        <v>13</v>
      </c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57" t="s">
        <v>3436</v>
      </c>
      <c r="AY1874" s="57" t="s">
        <v>3437</v>
      </c>
      <c r="AZ1874" s="57" t="s">
        <v>1351</v>
      </c>
      <c r="BA1874" s="57" t="s">
        <v>5235</v>
      </c>
      <c r="BB1874" s="57" t="s">
        <v>882</v>
      </c>
      <c r="BC1874" s="58">
        <v>43866.0</v>
      </c>
      <c r="BD1874" s="58">
        <v>43895.0</v>
      </c>
      <c r="BE1874" s="14"/>
      <c r="BF1874" s="60">
        <v>100.0</v>
      </c>
      <c r="BG1874" s="14"/>
      <c r="BH1874" s="59" t="s">
        <v>5236</v>
      </c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57"/>
      <c r="BX1874" s="57"/>
      <c r="BY1874" s="14"/>
      <c r="BZ1874" s="57"/>
      <c r="CA1874" s="57"/>
      <c r="CB1874" s="57"/>
      <c r="CC1874" s="57"/>
      <c r="CD1874" s="58"/>
      <c r="CE1874" s="58"/>
      <c r="CF1874" s="57"/>
      <c r="CG1874" s="57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14"/>
      <c r="DC1874" s="14"/>
      <c r="DD1874" s="14"/>
      <c r="DE1874" s="14"/>
      <c r="DF1874" s="14"/>
      <c r="DG1874" s="14"/>
      <c r="DH1874" s="14"/>
      <c r="DI1874" s="14"/>
      <c r="DJ1874" s="14"/>
      <c r="DK1874" s="14"/>
      <c r="DL1874" s="14"/>
      <c r="DM1874" s="14"/>
      <c r="DN1874" s="14"/>
      <c r="DO1874" s="14"/>
      <c r="DP1874" s="14"/>
      <c r="DQ1874" s="14"/>
      <c r="DR1874" s="14"/>
      <c r="DS1874" s="14"/>
      <c r="DT1874" s="14"/>
      <c r="DU1874" s="14"/>
      <c r="DV1874" s="14"/>
      <c r="DW1874" s="14"/>
      <c r="DX1874" s="14"/>
      <c r="DY1874" s="14"/>
      <c r="DZ1874" s="14"/>
      <c r="EA1874" s="14"/>
      <c r="EB1874" s="14"/>
      <c r="EC1874" s="14"/>
      <c r="ED1874" s="14"/>
      <c r="EE1874" s="14"/>
      <c r="EF1874" s="14"/>
      <c r="EG1874" s="14"/>
      <c r="EH1874" s="14"/>
      <c r="EI1874" s="14"/>
      <c r="EJ1874" s="14"/>
      <c r="EK1874" s="14"/>
      <c r="EL1874" s="14"/>
      <c r="EM1874" s="14"/>
      <c r="EN1874" s="14"/>
      <c r="EO1874" s="14"/>
      <c r="EP1874" s="14"/>
      <c r="EQ1874" s="14"/>
      <c r="ER1874" s="14"/>
      <c r="ES1874" s="14"/>
      <c r="ET1874" s="14"/>
      <c r="EU1874" s="14"/>
      <c r="EV1874" s="14"/>
      <c r="EW1874" s="14"/>
      <c r="EX1874" s="14"/>
      <c r="EY1874" s="14"/>
      <c r="EZ1874" s="14"/>
      <c r="FA1874" s="14"/>
      <c r="FB1874" s="14"/>
      <c r="FC1874" s="14"/>
      <c r="FD1874" s="14"/>
      <c r="FE1874" s="14"/>
      <c r="FF1874" s="14"/>
      <c r="FG1874" s="14"/>
      <c r="FH1874" s="14"/>
      <c r="FI1874" s="14"/>
      <c r="FJ1874" s="14"/>
      <c r="FK1874" s="14"/>
      <c r="FL1874" s="57" t="s">
        <v>3439</v>
      </c>
      <c r="FM1874" s="57" t="s">
        <v>323</v>
      </c>
      <c r="FN1874" s="14"/>
      <c r="FO1874" s="14"/>
      <c r="FP1874" s="14"/>
      <c r="FQ1874" s="14"/>
      <c r="FR1874" s="14"/>
      <c r="FS1874" s="14"/>
      <c r="FT1874" s="14"/>
      <c r="FU1874" s="14"/>
      <c r="FV1874" s="14"/>
      <c r="FW1874" s="14"/>
      <c r="FX1874" s="14"/>
      <c r="FY1874" s="14"/>
      <c r="FZ1874" s="14"/>
      <c r="GA1874" s="14"/>
      <c r="GB1874" s="14"/>
      <c r="GC1874" s="14"/>
      <c r="GD1874" s="14"/>
      <c r="GE1874" s="14"/>
      <c r="GF1874" s="14"/>
      <c r="GG1874" s="14"/>
      <c r="GH1874" s="14"/>
      <c r="GI1874" s="14"/>
      <c r="GJ1874" s="14"/>
      <c r="GK1874" s="14"/>
      <c r="GL1874" s="14"/>
      <c r="GM1874" s="14"/>
      <c r="GN1874" s="14"/>
      <c r="GO1874" s="14"/>
      <c r="GP1874" s="14"/>
      <c r="GQ1874" s="14"/>
      <c r="GR1874" s="14"/>
      <c r="GS1874" s="14"/>
      <c r="GT1874" s="14"/>
      <c r="GU1874" s="14"/>
      <c r="GV1874" s="14"/>
      <c r="GW1874" s="14"/>
      <c r="GX1874" s="14"/>
      <c r="GY1874" s="14"/>
      <c r="GZ1874" s="14"/>
      <c r="HA1874" s="14"/>
    </row>
    <row r="1875" ht="23.25" customHeight="1">
      <c r="A1875" s="14"/>
      <c r="B1875" s="14"/>
      <c r="C1875" s="36" t="s">
        <v>13</v>
      </c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57" t="s">
        <v>3436</v>
      </c>
      <c r="AY1875" s="57" t="s">
        <v>3437</v>
      </c>
      <c r="AZ1875" s="57" t="s">
        <v>5237</v>
      </c>
      <c r="BA1875" s="57" t="s">
        <v>5238</v>
      </c>
      <c r="BB1875" s="57" t="s">
        <v>973</v>
      </c>
      <c r="BC1875" s="58">
        <v>43913.0</v>
      </c>
      <c r="BD1875" s="58">
        <v>43957.0</v>
      </c>
      <c r="BE1875" s="14"/>
      <c r="BF1875" s="60">
        <v>100.0</v>
      </c>
      <c r="BG1875" s="14"/>
      <c r="BH1875" s="59" t="s">
        <v>5239</v>
      </c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57"/>
      <c r="BX1875" s="57"/>
      <c r="BY1875" s="14"/>
      <c r="BZ1875" s="57"/>
      <c r="CA1875" s="57"/>
      <c r="CB1875" s="57"/>
      <c r="CC1875" s="57"/>
      <c r="CD1875" s="58"/>
      <c r="CE1875" s="58"/>
      <c r="CF1875" s="57"/>
      <c r="CG1875" s="57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14"/>
      <c r="DC1875" s="14"/>
      <c r="DD1875" s="14"/>
      <c r="DE1875" s="14"/>
      <c r="DF1875" s="14"/>
      <c r="DG1875" s="14"/>
      <c r="DH1875" s="14"/>
      <c r="DI1875" s="14"/>
      <c r="DJ1875" s="14"/>
      <c r="DK1875" s="14"/>
      <c r="DL1875" s="14"/>
      <c r="DM1875" s="14"/>
      <c r="DN1875" s="14"/>
      <c r="DO1875" s="14"/>
      <c r="DP1875" s="14"/>
      <c r="DQ1875" s="14"/>
      <c r="DR1875" s="14"/>
      <c r="DS1875" s="14"/>
      <c r="DT1875" s="14"/>
      <c r="DU1875" s="14"/>
      <c r="DV1875" s="14"/>
      <c r="DW1875" s="14"/>
      <c r="DX1875" s="14"/>
      <c r="DY1875" s="14"/>
      <c r="DZ1875" s="14"/>
      <c r="EA1875" s="14"/>
      <c r="EB1875" s="14"/>
      <c r="EC1875" s="14"/>
      <c r="ED1875" s="14"/>
      <c r="EE1875" s="14"/>
      <c r="EF1875" s="14"/>
      <c r="EG1875" s="14"/>
      <c r="EH1875" s="14"/>
      <c r="EI1875" s="14"/>
      <c r="EJ1875" s="14"/>
      <c r="EK1875" s="14"/>
      <c r="EL1875" s="14"/>
      <c r="EM1875" s="14"/>
      <c r="EN1875" s="14"/>
      <c r="EO1875" s="14"/>
      <c r="EP1875" s="14"/>
      <c r="EQ1875" s="14"/>
      <c r="ER1875" s="14"/>
      <c r="ES1875" s="14"/>
      <c r="ET1875" s="14"/>
      <c r="EU1875" s="14"/>
      <c r="EV1875" s="14"/>
      <c r="EW1875" s="14"/>
      <c r="EX1875" s="14"/>
      <c r="EY1875" s="14"/>
      <c r="EZ1875" s="14"/>
      <c r="FA1875" s="14"/>
      <c r="FB1875" s="14"/>
      <c r="FC1875" s="14"/>
      <c r="FD1875" s="14"/>
      <c r="FE1875" s="14"/>
      <c r="FF1875" s="14"/>
      <c r="FG1875" s="14"/>
      <c r="FH1875" s="14"/>
      <c r="FI1875" s="14"/>
      <c r="FJ1875" s="14"/>
      <c r="FK1875" s="14"/>
      <c r="FL1875" s="57" t="s">
        <v>3439</v>
      </c>
      <c r="FM1875" s="57" t="s">
        <v>323</v>
      </c>
      <c r="FN1875" s="14"/>
      <c r="FO1875" s="14"/>
      <c r="FP1875" s="14"/>
      <c r="FQ1875" s="14"/>
      <c r="FR1875" s="14"/>
      <c r="FS1875" s="14"/>
      <c r="FT1875" s="14"/>
      <c r="FU1875" s="14"/>
      <c r="FV1875" s="14"/>
      <c r="FW1875" s="14"/>
      <c r="FX1875" s="14"/>
      <c r="FY1875" s="14"/>
      <c r="FZ1875" s="14"/>
      <c r="GA1875" s="14"/>
      <c r="GB1875" s="14"/>
      <c r="GC1875" s="14"/>
      <c r="GD1875" s="14"/>
      <c r="GE1875" s="14"/>
      <c r="GF1875" s="14"/>
      <c r="GG1875" s="14"/>
      <c r="GH1875" s="14"/>
      <c r="GI1875" s="14"/>
      <c r="GJ1875" s="14"/>
      <c r="GK1875" s="14"/>
      <c r="GL1875" s="14"/>
      <c r="GM1875" s="14"/>
      <c r="GN1875" s="14"/>
      <c r="GO1875" s="14"/>
      <c r="GP1875" s="14"/>
      <c r="GQ1875" s="14"/>
      <c r="GR1875" s="14"/>
      <c r="GS1875" s="14"/>
      <c r="GT1875" s="14"/>
      <c r="GU1875" s="14"/>
      <c r="GV1875" s="14"/>
      <c r="GW1875" s="14"/>
      <c r="GX1875" s="14"/>
      <c r="GY1875" s="14"/>
      <c r="GZ1875" s="14"/>
      <c r="HA1875" s="14"/>
    </row>
    <row r="1876" ht="23.25" customHeight="1">
      <c r="A1876" s="14"/>
      <c r="B1876" s="14"/>
      <c r="C1876" s="36" t="s">
        <v>13</v>
      </c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57" t="s">
        <v>3436</v>
      </c>
      <c r="AY1876" s="57" t="s">
        <v>3437</v>
      </c>
      <c r="AZ1876" s="57" t="s">
        <v>1753</v>
      </c>
      <c r="BA1876" s="57" t="s">
        <v>5240</v>
      </c>
      <c r="BB1876" s="57" t="s">
        <v>2171</v>
      </c>
      <c r="BC1876" s="58">
        <v>43891.0</v>
      </c>
      <c r="BD1876" s="58">
        <v>43952.0</v>
      </c>
      <c r="BE1876" s="14"/>
      <c r="BF1876" s="60">
        <v>100.0</v>
      </c>
      <c r="BG1876" s="14"/>
      <c r="BH1876" s="59" t="s">
        <v>5241</v>
      </c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57"/>
      <c r="BX1876" s="57"/>
      <c r="BY1876" s="14"/>
      <c r="BZ1876" s="57"/>
      <c r="CA1876" s="57"/>
      <c r="CB1876" s="57"/>
      <c r="CC1876" s="57"/>
      <c r="CD1876" s="58"/>
      <c r="CE1876" s="58"/>
      <c r="CF1876" s="57"/>
      <c r="CG1876" s="57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14"/>
      <c r="DC1876" s="14"/>
      <c r="DD1876" s="14"/>
      <c r="DE1876" s="14"/>
      <c r="DF1876" s="14"/>
      <c r="DG1876" s="14"/>
      <c r="DH1876" s="14"/>
      <c r="DI1876" s="14"/>
      <c r="DJ1876" s="14"/>
      <c r="DK1876" s="14"/>
      <c r="DL1876" s="14"/>
      <c r="DM1876" s="14"/>
      <c r="DN1876" s="14"/>
      <c r="DO1876" s="14"/>
      <c r="DP1876" s="14"/>
      <c r="DQ1876" s="14"/>
      <c r="DR1876" s="14"/>
      <c r="DS1876" s="14"/>
      <c r="DT1876" s="14"/>
      <c r="DU1876" s="14"/>
      <c r="DV1876" s="14"/>
      <c r="DW1876" s="14"/>
      <c r="DX1876" s="14"/>
      <c r="DY1876" s="14"/>
      <c r="DZ1876" s="14"/>
      <c r="EA1876" s="14"/>
      <c r="EB1876" s="14"/>
      <c r="EC1876" s="14"/>
      <c r="ED1876" s="14"/>
      <c r="EE1876" s="14"/>
      <c r="EF1876" s="14"/>
      <c r="EG1876" s="14"/>
      <c r="EH1876" s="14"/>
      <c r="EI1876" s="14"/>
      <c r="EJ1876" s="14"/>
      <c r="EK1876" s="14"/>
      <c r="EL1876" s="14"/>
      <c r="EM1876" s="14"/>
      <c r="EN1876" s="14"/>
      <c r="EO1876" s="14"/>
      <c r="EP1876" s="14"/>
      <c r="EQ1876" s="14"/>
      <c r="ER1876" s="14"/>
      <c r="ES1876" s="14"/>
      <c r="ET1876" s="14"/>
      <c r="EU1876" s="14"/>
      <c r="EV1876" s="14"/>
      <c r="EW1876" s="14"/>
      <c r="EX1876" s="14"/>
      <c r="EY1876" s="14"/>
      <c r="EZ1876" s="14"/>
      <c r="FA1876" s="14"/>
      <c r="FB1876" s="14"/>
      <c r="FC1876" s="14"/>
      <c r="FD1876" s="14"/>
      <c r="FE1876" s="14"/>
      <c r="FF1876" s="14"/>
      <c r="FG1876" s="14"/>
      <c r="FH1876" s="14"/>
      <c r="FI1876" s="14"/>
      <c r="FJ1876" s="14"/>
      <c r="FK1876" s="14"/>
      <c r="FL1876" s="57" t="s">
        <v>3439</v>
      </c>
      <c r="FM1876" s="57" t="s">
        <v>323</v>
      </c>
      <c r="FN1876" s="14"/>
      <c r="FO1876" s="14"/>
      <c r="FP1876" s="14"/>
      <c r="FQ1876" s="14"/>
      <c r="FR1876" s="14"/>
      <c r="FS1876" s="14"/>
      <c r="FT1876" s="14"/>
      <c r="FU1876" s="14"/>
      <c r="FV1876" s="14"/>
      <c r="FW1876" s="14"/>
      <c r="FX1876" s="14"/>
      <c r="FY1876" s="14"/>
      <c r="FZ1876" s="14"/>
      <c r="GA1876" s="14"/>
      <c r="GB1876" s="14"/>
      <c r="GC1876" s="14"/>
      <c r="GD1876" s="14"/>
      <c r="GE1876" s="14"/>
      <c r="GF1876" s="14"/>
      <c r="GG1876" s="14"/>
      <c r="GH1876" s="14"/>
      <c r="GI1876" s="14"/>
      <c r="GJ1876" s="14"/>
      <c r="GK1876" s="14"/>
      <c r="GL1876" s="14"/>
      <c r="GM1876" s="14"/>
      <c r="GN1876" s="14"/>
      <c r="GO1876" s="14"/>
      <c r="GP1876" s="14"/>
      <c r="GQ1876" s="14"/>
      <c r="GR1876" s="14"/>
      <c r="GS1876" s="14"/>
      <c r="GT1876" s="14"/>
      <c r="GU1876" s="14"/>
      <c r="GV1876" s="14"/>
      <c r="GW1876" s="14"/>
      <c r="GX1876" s="14"/>
      <c r="GY1876" s="14"/>
      <c r="GZ1876" s="14"/>
      <c r="HA1876" s="14"/>
    </row>
    <row r="1877" ht="23.25" customHeight="1">
      <c r="A1877" s="14"/>
      <c r="B1877" s="14"/>
      <c r="C1877" s="36" t="s">
        <v>13</v>
      </c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57" t="s">
        <v>3436</v>
      </c>
      <c r="AY1877" s="57" t="s">
        <v>3437</v>
      </c>
      <c r="AZ1877" s="57" t="s">
        <v>543</v>
      </c>
      <c r="BA1877" s="57" t="s">
        <v>5240</v>
      </c>
      <c r="BB1877" s="57" t="s">
        <v>553</v>
      </c>
      <c r="BC1877" s="58">
        <v>43891.0</v>
      </c>
      <c r="BD1877" s="58">
        <v>43952.0</v>
      </c>
      <c r="BE1877" s="14"/>
      <c r="BF1877" s="60">
        <v>100.0</v>
      </c>
      <c r="BG1877" s="14"/>
      <c r="BH1877" s="59" t="s">
        <v>5242</v>
      </c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57"/>
      <c r="BX1877" s="57"/>
      <c r="BY1877" s="14"/>
      <c r="BZ1877" s="57"/>
      <c r="CA1877" s="57"/>
      <c r="CB1877" s="57"/>
      <c r="CC1877" s="57"/>
      <c r="CD1877" s="58"/>
      <c r="CE1877" s="58"/>
      <c r="CF1877" s="57"/>
      <c r="CG1877" s="57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14"/>
      <c r="DC1877" s="14"/>
      <c r="DD1877" s="14"/>
      <c r="DE1877" s="14"/>
      <c r="DF1877" s="14"/>
      <c r="DG1877" s="14"/>
      <c r="DH1877" s="14"/>
      <c r="DI1877" s="14"/>
      <c r="DJ1877" s="14"/>
      <c r="DK1877" s="14"/>
      <c r="DL1877" s="14"/>
      <c r="DM1877" s="14"/>
      <c r="DN1877" s="14"/>
      <c r="DO1877" s="14"/>
      <c r="DP1877" s="14"/>
      <c r="DQ1877" s="14"/>
      <c r="DR1877" s="14"/>
      <c r="DS1877" s="14"/>
      <c r="DT1877" s="14"/>
      <c r="DU1877" s="14"/>
      <c r="DV1877" s="14"/>
      <c r="DW1877" s="14"/>
      <c r="DX1877" s="14"/>
      <c r="DY1877" s="14"/>
      <c r="DZ1877" s="14"/>
      <c r="EA1877" s="14"/>
      <c r="EB1877" s="14"/>
      <c r="EC1877" s="14"/>
      <c r="ED1877" s="14"/>
      <c r="EE1877" s="14"/>
      <c r="EF1877" s="14"/>
      <c r="EG1877" s="14"/>
      <c r="EH1877" s="14"/>
      <c r="EI1877" s="14"/>
      <c r="EJ1877" s="14"/>
      <c r="EK1877" s="14"/>
      <c r="EL1877" s="14"/>
      <c r="EM1877" s="14"/>
      <c r="EN1877" s="14"/>
      <c r="EO1877" s="14"/>
      <c r="EP1877" s="14"/>
      <c r="EQ1877" s="14"/>
      <c r="ER1877" s="14"/>
      <c r="ES1877" s="14"/>
      <c r="ET1877" s="14"/>
      <c r="EU1877" s="14"/>
      <c r="EV1877" s="14"/>
      <c r="EW1877" s="14"/>
      <c r="EX1877" s="14"/>
      <c r="EY1877" s="14"/>
      <c r="EZ1877" s="14"/>
      <c r="FA1877" s="14"/>
      <c r="FB1877" s="14"/>
      <c r="FC1877" s="14"/>
      <c r="FD1877" s="14"/>
      <c r="FE1877" s="14"/>
      <c r="FF1877" s="14"/>
      <c r="FG1877" s="14"/>
      <c r="FH1877" s="14"/>
      <c r="FI1877" s="14"/>
      <c r="FJ1877" s="14"/>
      <c r="FK1877" s="14"/>
      <c r="FL1877" s="57" t="s">
        <v>3439</v>
      </c>
      <c r="FM1877" s="57" t="s">
        <v>323</v>
      </c>
      <c r="FN1877" s="14"/>
      <c r="FO1877" s="14"/>
      <c r="FP1877" s="14"/>
      <c r="FQ1877" s="14"/>
      <c r="FR1877" s="14"/>
      <c r="FS1877" s="14"/>
      <c r="FT1877" s="14"/>
      <c r="FU1877" s="14"/>
      <c r="FV1877" s="14"/>
      <c r="FW1877" s="14"/>
      <c r="FX1877" s="14"/>
      <c r="FY1877" s="14"/>
      <c r="FZ1877" s="14"/>
      <c r="GA1877" s="14"/>
      <c r="GB1877" s="14"/>
      <c r="GC1877" s="14"/>
      <c r="GD1877" s="14"/>
      <c r="GE1877" s="14"/>
      <c r="GF1877" s="14"/>
      <c r="GG1877" s="14"/>
      <c r="GH1877" s="14"/>
      <c r="GI1877" s="14"/>
      <c r="GJ1877" s="14"/>
      <c r="GK1877" s="14"/>
      <c r="GL1877" s="14"/>
      <c r="GM1877" s="14"/>
      <c r="GN1877" s="14"/>
      <c r="GO1877" s="14"/>
      <c r="GP1877" s="14"/>
      <c r="GQ1877" s="14"/>
      <c r="GR1877" s="14"/>
      <c r="GS1877" s="14"/>
      <c r="GT1877" s="14"/>
      <c r="GU1877" s="14"/>
      <c r="GV1877" s="14"/>
      <c r="GW1877" s="14"/>
      <c r="GX1877" s="14"/>
      <c r="GY1877" s="14"/>
      <c r="GZ1877" s="14"/>
      <c r="HA1877" s="14"/>
    </row>
    <row r="1878" ht="23.25" customHeight="1">
      <c r="A1878" s="14"/>
      <c r="B1878" s="14"/>
      <c r="C1878" s="36" t="s">
        <v>13</v>
      </c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57" t="s">
        <v>3436</v>
      </c>
      <c r="AY1878" s="57" t="s">
        <v>3437</v>
      </c>
      <c r="AZ1878" s="57" t="s">
        <v>5205</v>
      </c>
      <c r="BA1878" s="57" t="s">
        <v>5240</v>
      </c>
      <c r="BB1878" s="57" t="s">
        <v>553</v>
      </c>
      <c r="BC1878" s="58">
        <v>43891.0</v>
      </c>
      <c r="BD1878" s="58">
        <v>43952.0</v>
      </c>
      <c r="BE1878" s="14"/>
      <c r="BF1878" s="60">
        <v>100.0</v>
      </c>
      <c r="BG1878" s="14"/>
      <c r="BH1878" s="59" t="s">
        <v>5243</v>
      </c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57"/>
      <c r="BX1878" s="57"/>
      <c r="BY1878" s="14"/>
      <c r="BZ1878" s="57"/>
      <c r="CA1878" s="57"/>
      <c r="CB1878" s="57"/>
      <c r="CC1878" s="57"/>
      <c r="CD1878" s="58"/>
      <c r="CE1878" s="58"/>
      <c r="CF1878" s="57"/>
      <c r="CG1878" s="57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14"/>
      <c r="DC1878" s="14"/>
      <c r="DD1878" s="14"/>
      <c r="DE1878" s="14"/>
      <c r="DF1878" s="14"/>
      <c r="DG1878" s="14"/>
      <c r="DH1878" s="14"/>
      <c r="DI1878" s="14"/>
      <c r="DJ1878" s="14"/>
      <c r="DK1878" s="14"/>
      <c r="DL1878" s="14"/>
      <c r="DM1878" s="14"/>
      <c r="DN1878" s="14"/>
      <c r="DO1878" s="14"/>
      <c r="DP1878" s="14"/>
      <c r="DQ1878" s="14"/>
      <c r="DR1878" s="14"/>
      <c r="DS1878" s="14"/>
      <c r="DT1878" s="14"/>
      <c r="DU1878" s="14"/>
      <c r="DV1878" s="14"/>
      <c r="DW1878" s="14"/>
      <c r="DX1878" s="14"/>
      <c r="DY1878" s="14"/>
      <c r="DZ1878" s="14"/>
      <c r="EA1878" s="14"/>
      <c r="EB1878" s="14"/>
      <c r="EC1878" s="14"/>
      <c r="ED1878" s="14"/>
      <c r="EE1878" s="14"/>
      <c r="EF1878" s="14"/>
      <c r="EG1878" s="14"/>
      <c r="EH1878" s="14"/>
      <c r="EI1878" s="14"/>
      <c r="EJ1878" s="14"/>
      <c r="EK1878" s="14"/>
      <c r="EL1878" s="14"/>
      <c r="EM1878" s="14"/>
      <c r="EN1878" s="14"/>
      <c r="EO1878" s="14"/>
      <c r="EP1878" s="14"/>
      <c r="EQ1878" s="14"/>
      <c r="ER1878" s="14"/>
      <c r="ES1878" s="14"/>
      <c r="ET1878" s="14"/>
      <c r="EU1878" s="14"/>
      <c r="EV1878" s="14"/>
      <c r="EW1878" s="14"/>
      <c r="EX1878" s="14"/>
      <c r="EY1878" s="14"/>
      <c r="EZ1878" s="14"/>
      <c r="FA1878" s="14"/>
      <c r="FB1878" s="14"/>
      <c r="FC1878" s="14"/>
      <c r="FD1878" s="14"/>
      <c r="FE1878" s="14"/>
      <c r="FF1878" s="14"/>
      <c r="FG1878" s="14"/>
      <c r="FH1878" s="14"/>
      <c r="FI1878" s="14"/>
      <c r="FJ1878" s="14"/>
      <c r="FK1878" s="14"/>
      <c r="FL1878" s="57" t="s">
        <v>3439</v>
      </c>
      <c r="FM1878" s="57" t="s">
        <v>323</v>
      </c>
      <c r="FN1878" s="14"/>
      <c r="FO1878" s="14"/>
      <c r="FP1878" s="14"/>
      <c r="FQ1878" s="14"/>
      <c r="FR1878" s="14"/>
      <c r="FS1878" s="14"/>
      <c r="FT1878" s="14"/>
      <c r="FU1878" s="14"/>
      <c r="FV1878" s="14"/>
      <c r="FW1878" s="14"/>
      <c r="FX1878" s="14"/>
      <c r="FY1878" s="14"/>
      <c r="FZ1878" s="14"/>
      <c r="GA1878" s="14"/>
      <c r="GB1878" s="14"/>
      <c r="GC1878" s="14"/>
      <c r="GD1878" s="14"/>
      <c r="GE1878" s="14"/>
      <c r="GF1878" s="14"/>
      <c r="GG1878" s="14"/>
      <c r="GH1878" s="14"/>
      <c r="GI1878" s="14"/>
      <c r="GJ1878" s="14"/>
      <c r="GK1878" s="14"/>
      <c r="GL1878" s="14"/>
      <c r="GM1878" s="14"/>
      <c r="GN1878" s="14"/>
      <c r="GO1878" s="14"/>
      <c r="GP1878" s="14"/>
      <c r="GQ1878" s="14"/>
      <c r="GR1878" s="14"/>
      <c r="GS1878" s="14"/>
      <c r="GT1878" s="14"/>
      <c r="GU1878" s="14"/>
      <c r="GV1878" s="14"/>
      <c r="GW1878" s="14"/>
      <c r="GX1878" s="14"/>
      <c r="GY1878" s="14"/>
      <c r="GZ1878" s="14"/>
      <c r="HA1878" s="14"/>
    </row>
    <row r="1879" ht="23.25" customHeight="1">
      <c r="A1879" s="14"/>
      <c r="B1879" s="14"/>
      <c r="C1879" s="36" t="s">
        <v>13</v>
      </c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57" t="s">
        <v>3436</v>
      </c>
      <c r="AY1879" s="57" t="s">
        <v>3437</v>
      </c>
      <c r="AZ1879" s="57" t="s">
        <v>5200</v>
      </c>
      <c r="BA1879" s="57" t="s">
        <v>5240</v>
      </c>
      <c r="BB1879" s="57" t="s">
        <v>553</v>
      </c>
      <c r="BC1879" s="58">
        <v>43891.0</v>
      </c>
      <c r="BD1879" s="58">
        <v>43952.0</v>
      </c>
      <c r="BE1879" s="14"/>
      <c r="BF1879" s="60">
        <v>100.0</v>
      </c>
      <c r="BG1879" s="14"/>
      <c r="BH1879" s="59" t="s">
        <v>5244</v>
      </c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57"/>
      <c r="BX1879" s="57"/>
      <c r="BY1879" s="14"/>
      <c r="BZ1879" s="57"/>
      <c r="CA1879" s="57"/>
      <c r="CB1879" s="57"/>
      <c r="CC1879" s="57"/>
      <c r="CD1879" s="58"/>
      <c r="CE1879" s="58"/>
      <c r="CF1879" s="57"/>
      <c r="CG1879" s="57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14"/>
      <c r="DC1879" s="14"/>
      <c r="DD1879" s="14"/>
      <c r="DE1879" s="14"/>
      <c r="DF1879" s="14"/>
      <c r="DG1879" s="14"/>
      <c r="DH1879" s="14"/>
      <c r="DI1879" s="14"/>
      <c r="DJ1879" s="14"/>
      <c r="DK1879" s="14"/>
      <c r="DL1879" s="14"/>
      <c r="DM1879" s="14"/>
      <c r="DN1879" s="14"/>
      <c r="DO1879" s="14"/>
      <c r="DP1879" s="14"/>
      <c r="DQ1879" s="14"/>
      <c r="DR1879" s="14"/>
      <c r="DS1879" s="14"/>
      <c r="DT1879" s="14"/>
      <c r="DU1879" s="14"/>
      <c r="DV1879" s="14"/>
      <c r="DW1879" s="14"/>
      <c r="DX1879" s="14"/>
      <c r="DY1879" s="14"/>
      <c r="DZ1879" s="14"/>
      <c r="EA1879" s="14"/>
      <c r="EB1879" s="14"/>
      <c r="EC1879" s="14"/>
      <c r="ED1879" s="14"/>
      <c r="EE1879" s="14"/>
      <c r="EF1879" s="14"/>
      <c r="EG1879" s="14"/>
      <c r="EH1879" s="14"/>
      <c r="EI1879" s="14"/>
      <c r="EJ1879" s="14"/>
      <c r="EK1879" s="14"/>
      <c r="EL1879" s="14"/>
      <c r="EM1879" s="14"/>
      <c r="EN1879" s="14"/>
      <c r="EO1879" s="14"/>
      <c r="EP1879" s="14"/>
      <c r="EQ1879" s="14"/>
      <c r="ER1879" s="14"/>
      <c r="ES1879" s="14"/>
      <c r="ET1879" s="14"/>
      <c r="EU1879" s="14"/>
      <c r="EV1879" s="14"/>
      <c r="EW1879" s="14"/>
      <c r="EX1879" s="14"/>
      <c r="EY1879" s="14"/>
      <c r="EZ1879" s="14"/>
      <c r="FA1879" s="14"/>
      <c r="FB1879" s="14"/>
      <c r="FC1879" s="14"/>
      <c r="FD1879" s="14"/>
      <c r="FE1879" s="14"/>
      <c r="FF1879" s="14"/>
      <c r="FG1879" s="14"/>
      <c r="FH1879" s="14"/>
      <c r="FI1879" s="14"/>
      <c r="FJ1879" s="14"/>
      <c r="FK1879" s="14"/>
      <c r="FL1879" s="57" t="s">
        <v>3439</v>
      </c>
      <c r="FM1879" s="57" t="s">
        <v>323</v>
      </c>
      <c r="FN1879" s="14"/>
      <c r="FO1879" s="14"/>
      <c r="FP1879" s="14"/>
      <c r="FQ1879" s="14"/>
      <c r="FR1879" s="14"/>
      <c r="FS1879" s="14"/>
      <c r="FT1879" s="14"/>
      <c r="FU1879" s="14"/>
      <c r="FV1879" s="14"/>
      <c r="FW1879" s="14"/>
      <c r="FX1879" s="14"/>
      <c r="FY1879" s="14"/>
      <c r="FZ1879" s="14"/>
      <c r="GA1879" s="14"/>
      <c r="GB1879" s="14"/>
      <c r="GC1879" s="14"/>
      <c r="GD1879" s="14"/>
      <c r="GE1879" s="14"/>
      <c r="GF1879" s="14"/>
      <c r="GG1879" s="14"/>
      <c r="GH1879" s="14"/>
      <c r="GI1879" s="14"/>
      <c r="GJ1879" s="14"/>
      <c r="GK1879" s="14"/>
      <c r="GL1879" s="14"/>
      <c r="GM1879" s="14"/>
      <c r="GN1879" s="14"/>
      <c r="GO1879" s="14"/>
      <c r="GP1879" s="14"/>
      <c r="GQ1879" s="14"/>
      <c r="GR1879" s="14"/>
      <c r="GS1879" s="14"/>
      <c r="GT1879" s="14"/>
      <c r="GU1879" s="14"/>
      <c r="GV1879" s="14"/>
      <c r="GW1879" s="14"/>
      <c r="GX1879" s="14"/>
      <c r="GY1879" s="14"/>
      <c r="GZ1879" s="14"/>
      <c r="HA1879" s="14"/>
    </row>
    <row r="1880" ht="23.25" customHeight="1">
      <c r="A1880" s="14"/>
      <c r="B1880" s="14"/>
      <c r="C1880" s="36" t="s">
        <v>13</v>
      </c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57" t="s">
        <v>3436</v>
      </c>
      <c r="AY1880" s="57" t="s">
        <v>3437</v>
      </c>
      <c r="AZ1880" s="57" t="s">
        <v>2460</v>
      </c>
      <c r="BA1880" s="57" t="s">
        <v>5240</v>
      </c>
      <c r="BB1880" s="57" t="s">
        <v>553</v>
      </c>
      <c r="BC1880" s="58">
        <v>43891.0</v>
      </c>
      <c r="BD1880" s="58">
        <v>43952.0</v>
      </c>
      <c r="BE1880" s="14"/>
      <c r="BF1880" s="60">
        <v>100.0</v>
      </c>
      <c r="BG1880" s="14"/>
      <c r="BH1880" s="59" t="s">
        <v>5245</v>
      </c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57"/>
      <c r="BX1880" s="57"/>
      <c r="BY1880" s="14"/>
      <c r="BZ1880" s="57"/>
      <c r="CA1880" s="57"/>
      <c r="CB1880" s="57"/>
      <c r="CC1880" s="57"/>
      <c r="CD1880" s="58"/>
      <c r="CE1880" s="58"/>
      <c r="CF1880" s="57"/>
      <c r="CG1880" s="57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14"/>
      <c r="DC1880" s="14"/>
      <c r="DD1880" s="14"/>
      <c r="DE1880" s="14"/>
      <c r="DF1880" s="14"/>
      <c r="DG1880" s="14"/>
      <c r="DH1880" s="14"/>
      <c r="DI1880" s="14"/>
      <c r="DJ1880" s="14"/>
      <c r="DK1880" s="14"/>
      <c r="DL1880" s="14"/>
      <c r="DM1880" s="14"/>
      <c r="DN1880" s="14"/>
      <c r="DO1880" s="14"/>
      <c r="DP1880" s="14"/>
      <c r="DQ1880" s="14"/>
      <c r="DR1880" s="14"/>
      <c r="DS1880" s="14"/>
      <c r="DT1880" s="14"/>
      <c r="DU1880" s="14"/>
      <c r="DV1880" s="14"/>
      <c r="DW1880" s="14"/>
      <c r="DX1880" s="14"/>
      <c r="DY1880" s="14"/>
      <c r="DZ1880" s="14"/>
      <c r="EA1880" s="14"/>
      <c r="EB1880" s="14"/>
      <c r="EC1880" s="14"/>
      <c r="ED1880" s="14"/>
      <c r="EE1880" s="14"/>
      <c r="EF1880" s="14"/>
      <c r="EG1880" s="14"/>
      <c r="EH1880" s="14"/>
      <c r="EI1880" s="14"/>
      <c r="EJ1880" s="14"/>
      <c r="EK1880" s="14"/>
      <c r="EL1880" s="14"/>
      <c r="EM1880" s="14"/>
      <c r="EN1880" s="14"/>
      <c r="EO1880" s="14"/>
      <c r="EP1880" s="14"/>
      <c r="EQ1880" s="14"/>
      <c r="ER1880" s="14"/>
      <c r="ES1880" s="14"/>
      <c r="ET1880" s="14"/>
      <c r="EU1880" s="14"/>
      <c r="EV1880" s="14"/>
      <c r="EW1880" s="14"/>
      <c r="EX1880" s="14"/>
      <c r="EY1880" s="14"/>
      <c r="EZ1880" s="14"/>
      <c r="FA1880" s="14"/>
      <c r="FB1880" s="14"/>
      <c r="FC1880" s="14"/>
      <c r="FD1880" s="14"/>
      <c r="FE1880" s="14"/>
      <c r="FF1880" s="14"/>
      <c r="FG1880" s="14"/>
      <c r="FH1880" s="14"/>
      <c r="FI1880" s="14"/>
      <c r="FJ1880" s="14"/>
      <c r="FK1880" s="14"/>
      <c r="FL1880" s="57" t="s">
        <v>3439</v>
      </c>
      <c r="FM1880" s="57" t="s">
        <v>323</v>
      </c>
      <c r="FN1880" s="14"/>
      <c r="FO1880" s="14"/>
      <c r="FP1880" s="14"/>
      <c r="FQ1880" s="14"/>
      <c r="FR1880" s="14"/>
      <c r="FS1880" s="14"/>
      <c r="FT1880" s="14"/>
      <c r="FU1880" s="14"/>
      <c r="FV1880" s="14"/>
      <c r="FW1880" s="14"/>
      <c r="FX1880" s="14"/>
      <c r="FY1880" s="14"/>
      <c r="FZ1880" s="14"/>
      <c r="GA1880" s="14"/>
      <c r="GB1880" s="14"/>
      <c r="GC1880" s="14"/>
      <c r="GD1880" s="14"/>
      <c r="GE1880" s="14"/>
      <c r="GF1880" s="14"/>
      <c r="GG1880" s="14"/>
      <c r="GH1880" s="14"/>
      <c r="GI1880" s="14"/>
      <c r="GJ1880" s="14"/>
      <c r="GK1880" s="14"/>
      <c r="GL1880" s="14"/>
      <c r="GM1880" s="14"/>
      <c r="GN1880" s="14"/>
      <c r="GO1880" s="14"/>
      <c r="GP1880" s="14"/>
      <c r="GQ1880" s="14"/>
      <c r="GR1880" s="14"/>
      <c r="GS1880" s="14"/>
      <c r="GT1880" s="14"/>
      <c r="GU1880" s="14"/>
      <c r="GV1880" s="14"/>
      <c r="GW1880" s="14"/>
      <c r="GX1880" s="14"/>
      <c r="GY1880" s="14"/>
      <c r="GZ1880" s="14"/>
      <c r="HA1880" s="14"/>
    </row>
    <row r="1881" ht="23.25" customHeight="1">
      <c r="A1881" s="14"/>
      <c r="B1881" s="14"/>
      <c r="C1881" s="36" t="s">
        <v>13</v>
      </c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57" t="s">
        <v>3436</v>
      </c>
      <c r="AY1881" s="57" t="s">
        <v>3437</v>
      </c>
      <c r="AZ1881" s="57" t="s">
        <v>5007</v>
      </c>
      <c r="BA1881" s="57" t="s">
        <v>5246</v>
      </c>
      <c r="BB1881" s="57" t="s">
        <v>553</v>
      </c>
      <c r="BC1881" s="58">
        <v>43922.0</v>
      </c>
      <c r="BD1881" s="58">
        <v>43971.0</v>
      </c>
      <c r="BE1881" s="14"/>
      <c r="BF1881" s="60">
        <v>100.0</v>
      </c>
      <c r="BG1881" s="14"/>
      <c r="BH1881" s="59" t="s">
        <v>5247</v>
      </c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57"/>
      <c r="BX1881" s="57"/>
      <c r="BY1881" s="14"/>
      <c r="BZ1881" s="57"/>
      <c r="CA1881" s="57"/>
      <c r="CB1881" s="57"/>
      <c r="CC1881" s="57"/>
      <c r="CD1881" s="58"/>
      <c r="CE1881" s="58"/>
      <c r="CF1881" s="57"/>
      <c r="CG1881" s="57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14"/>
      <c r="DC1881" s="14"/>
      <c r="DD1881" s="14"/>
      <c r="DE1881" s="14"/>
      <c r="DF1881" s="14"/>
      <c r="DG1881" s="14"/>
      <c r="DH1881" s="14"/>
      <c r="DI1881" s="14"/>
      <c r="DJ1881" s="14"/>
      <c r="DK1881" s="14"/>
      <c r="DL1881" s="14"/>
      <c r="DM1881" s="14"/>
      <c r="DN1881" s="14"/>
      <c r="DO1881" s="14"/>
      <c r="DP1881" s="14"/>
      <c r="DQ1881" s="14"/>
      <c r="DR1881" s="14"/>
      <c r="DS1881" s="14"/>
      <c r="DT1881" s="14"/>
      <c r="DU1881" s="14"/>
      <c r="DV1881" s="14"/>
      <c r="DW1881" s="14"/>
      <c r="DX1881" s="14"/>
      <c r="DY1881" s="14"/>
      <c r="DZ1881" s="14"/>
      <c r="EA1881" s="14"/>
      <c r="EB1881" s="14"/>
      <c r="EC1881" s="14"/>
      <c r="ED1881" s="14"/>
      <c r="EE1881" s="14"/>
      <c r="EF1881" s="14"/>
      <c r="EG1881" s="14"/>
      <c r="EH1881" s="14"/>
      <c r="EI1881" s="14"/>
      <c r="EJ1881" s="14"/>
      <c r="EK1881" s="14"/>
      <c r="EL1881" s="14"/>
      <c r="EM1881" s="14"/>
      <c r="EN1881" s="14"/>
      <c r="EO1881" s="14"/>
      <c r="EP1881" s="14"/>
      <c r="EQ1881" s="14"/>
      <c r="ER1881" s="14"/>
      <c r="ES1881" s="14"/>
      <c r="ET1881" s="14"/>
      <c r="EU1881" s="14"/>
      <c r="EV1881" s="14"/>
      <c r="EW1881" s="14"/>
      <c r="EX1881" s="14"/>
      <c r="EY1881" s="14"/>
      <c r="EZ1881" s="14"/>
      <c r="FA1881" s="14"/>
      <c r="FB1881" s="14"/>
      <c r="FC1881" s="14"/>
      <c r="FD1881" s="14"/>
      <c r="FE1881" s="14"/>
      <c r="FF1881" s="14"/>
      <c r="FG1881" s="14"/>
      <c r="FH1881" s="14"/>
      <c r="FI1881" s="14"/>
      <c r="FJ1881" s="14"/>
      <c r="FK1881" s="14"/>
      <c r="FL1881" s="57" t="s">
        <v>3439</v>
      </c>
      <c r="FM1881" s="57" t="s">
        <v>323</v>
      </c>
      <c r="FN1881" s="14"/>
      <c r="FO1881" s="14"/>
      <c r="FP1881" s="14"/>
      <c r="FQ1881" s="14"/>
      <c r="FR1881" s="14"/>
      <c r="FS1881" s="14"/>
      <c r="FT1881" s="14"/>
      <c r="FU1881" s="14"/>
      <c r="FV1881" s="14"/>
      <c r="FW1881" s="14"/>
      <c r="FX1881" s="14"/>
      <c r="FY1881" s="14"/>
      <c r="FZ1881" s="14"/>
      <c r="GA1881" s="14"/>
      <c r="GB1881" s="14"/>
      <c r="GC1881" s="14"/>
      <c r="GD1881" s="14"/>
      <c r="GE1881" s="14"/>
      <c r="GF1881" s="14"/>
      <c r="GG1881" s="14"/>
      <c r="GH1881" s="14"/>
      <c r="GI1881" s="14"/>
      <c r="GJ1881" s="14"/>
      <c r="GK1881" s="14"/>
      <c r="GL1881" s="14"/>
      <c r="GM1881" s="14"/>
      <c r="GN1881" s="14"/>
      <c r="GO1881" s="14"/>
      <c r="GP1881" s="14"/>
      <c r="GQ1881" s="14"/>
      <c r="GR1881" s="14"/>
      <c r="GS1881" s="14"/>
      <c r="GT1881" s="14"/>
      <c r="GU1881" s="14"/>
      <c r="GV1881" s="14"/>
      <c r="GW1881" s="14"/>
      <c r="GX1881" s="14"/>
      <c r="GY1881" s="14"/>
      <c r="GZ1881" s="14"/>
      <c r="HA1881" s="14"/>
    </row>
    <row r="1882" ht="23.25" customHeight="1">
      <c r="A1882" s="14"/>
      <c r="B1882" s="14"/>
      <c r="C1882" s="36" t="s">
        <v>13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57" t="s">
        <v>3436</v>
      </c>
      <c r="AY1882" s="57" t="s">
        <v>3437</v>
      </c>
      <c r="AZ1882" s="57" t="s">
        <v>5248</v>
      </c>
      <c r="BA1882" s="57" t="s">
        <v>5246</v>
      </c>
      <c r="BB1882" s="57" t="s">
        <v>553</v>
      </c>
      <c r="BC1882" s="58">
        <v>43891.0</v>
      </c>
      <c r="BD1882" s="58">
        <v>43952.0</v>
      </c>
      <c r="BE1882" s="14"/>
      <c r="BF1882" s="60">
        <v>100.0</v>
      </c>
      <c r="BG1882" s="14"/>
      <c r="BH1882" s="59" t="s">
        <v>5249</v>
      </c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57"/>
      <c r="BX1882" s="57"/>
      <c r="BY1882" s="14"/>
      <c r="BZ1882" s="57"/>
      <c r="CA1882" s="57"/>
      <c r="CB1882" s="57"/>
      <c r="CC1882" s="57"/>
      <c r="CD1882" s="58"/>
      <c r="CE1882" s="58"/>
      <c r="CF1882" s="57"/>
      <c r="CG1882" s="57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14"/>
      <c r="DC1882" s="14"/>
      <c r="DD1882" s="14"/>
      <c r="DE1882" s="14"/>
      <c r="DF1882" s="14"/>
      <c r="DG1882" s="14"/>
      <c r="DH1882" s="14"/>
      <c r="DI1882" s="14"/>
      <c r="DJ1882" s="14"/>
      <c r="DK1882" s="14"/>
      <c r="DL1882" s="14"/>
      <c r="DM1882" s="14"/>
      <c r="DN1882" s="14"/>
      <c r="DO1882" s="14"/>
      <c r="DP1882" s="14"/>
      <c r="DQ1882" s="14"/>
      <c r="DR1882" s="14"/>
      <c r="DS1882" s="14"/>
      <c r="DT1882" s="14"/>
      <c r="DU1882" s="14"/>
      <c r="DV1882" s="14"/>
      <c r="DW1882" s="14"/>
      <c r="DX1882" s="14"/>
      <c r="DY1882" s="14"/>
      <c r="DZ1882" s="14"/>
      <c r="EA1882" s="14"/>
      <c r="EB1882" s="14"/>
      <c r="EC1882" s="14"/>
      <c r="ED1882" s="14"/>
      <c r="EE1882" s="14"/>
      <c r="EF1882" s="14"/>
      <c r="EG1882" s="14"/>
      <c r="EH1882" s="14"/>
      <c r="EI1882" s="14"/>
      <c r="EJ1882" s="14"/>
      <c r="EK1882" s="14"/>
      <c r="EL1882" s="14"/>
      <c r="EM1882" s="14"/>
      <c r="EN1882" s="14"/>
      <c r="EO1882" s="14"/>
      <c r="EP1882" s="14"/>
      <c r="EQ1882" s="14"/>
      <c r="ER1882" s="14"/>
      <c r="ES1882" s="14"/>
      <c r="ET1882" s="14"/>
      <c r="EU1882" s="14"/>
      <c r="EV1882" s="14"/>
      <c r="EW1882" s="14"/>
      <c r="EX1882" s="14"/>
      <c r="EY1882" s="14"/>
      <c r="EZ1882" s="14"/>
      <c r="FA1882" s="14"/>
      <c r="FB1882" s="14"/>
      <c r="FC1882" s="14"/>
      <c r="FD1882" s="14"/>
      <c r="FE1882" s="14"/>
      <c r="FF1882" s="14"/>
      <c r="FG1882" s="14"/>
      <c r="FH1882" s="14"/>
      <c r="FI1882" s="14"/>
      <c r="FJ1882" s="14"/>
      <c r="FK1882" s="14"/>
      <c r="FL1882" s="57" t="s">
        <v>3439</v>
      </c>
      <c r="FM1882" s="57" t="s">
        <v>323</v>
      </c>
      <c r="FN1882" s="14"/>
      <c r="FO1882" s="14"/>
      <c r="FP1882" s="14"/>
      <c r="FQ1882" s="14"/>
      <c r="FR1882" s="14"/>
      <c r="FS1882" s="14"/>
      <c r="FT1882" s="14"/>
      <c r="FU1882" s="14"/>
      <c r="FV1882" s="14"/>
      <c r="FW1882" s="14"/>
      <c r="FX1882" s="14"/>
      <c r="FY1882" s="14"/>
      <c r="FZ1882" s="14"/>
      <c r="GA1882" s="14"/>
      <c r="GB1882" s="14"/>
      <c r="GC1882" s="14"/>
      <c r="GD1882" s="14"/>
      <c r="GE1882" s="14"/>
      <c r="GF1882" s="14"/>
      <c r="GG1882" s="14"/>
      <c r="GH1882" s="14"/>
      <c r="GI1882" s="14"/>
      <c r="GJ1882" s="14"/>
      <c r="GK1882" s="14"/>
      <c r="GL1882" s="14"/>
      <c r="GM1882" s="14"/>
      <c r="GN1882" s="14"/>
      <c r="GO1882" s="14"/>
      <c r="GP1882" s="14"/>
      <c r="GQ1882" s="14"/>
      <c r="GR1882" s="14"/>
      <c r="GS1882" s="14"/>
      <c r="GT1882" s="14"/>
      <c r="GU1882" s="14"/>
      <c r="GV1882" s="14"/>
      <c r="GW1882" s="14"/>
      <c r="GX1882" s="14"/>
      <c r="GY1882" s="14"/>
      <c r="GZ1882" s="14"/>
      <c r="HA1882" s="14"/>
    </row>
    <row r="1883" ht="23.25" customHeight="1">
      <c r="A1883" s="14"/>
      <c r="B1883" s="14"/>
      <c r="C1883" s="36" t="s">
        <v>13</v>
      </c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57" t="s">
        <v>3436</v>
      </c>
      <c r="AY1883" s="57" t="s">
        <v>3437</v>
      </c>
      <c r="AZ1883" s="57" t="s">
        <v>4845</v>
      </c>
      <c r="BA1883" s="57" t="s">
        <v>5250</v>
      </c>
      <c r="BB1883" s="57" t="s">
        <v>882</v>
      </c>
      <c r="BC1883" s="58">
        <v>43952.0</v>
      </c>
      <c r="BD1883" s="58">
        <v>44013.0</v>
      </c>
      <c r="BE1883" s="14"/>
      <c r="BF1883" s="60">
        <v>100.0</v>
      </c>
      <c r="BG1883" s="14"/>
      <c r="BH1883" s="59" t="s">
        <v>5251</v>
      </c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57"/>
      <c r="BX1883" s="57"/>
      <c r="BY1883" s="14"/>
      <c r="BZ1883" s="57"/>
      <c r="CA1883" s="57"/>
      <c r="CB1883" s="57"/>
      <c r="CC1883" s="57"/>
      <c r="CD1883" s="58"/>
      <c r="CE1883" s="58"/>
      <c r="CF1883" s="57"/>
      <c r="CG1883" s="57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14"/>
      <c r="DC1883" s="14"/>
      <c r="DD1883" s="14"/>
      <c r="DE1883" s="14"/>
      <c r="DF1883" s="14"/>
      <c r="DG1883" s="14"/>
      <c r="DH1883" s="14"/>
      <c r="DI1883" s="14"/>
      <c r="DJ1883" s="14"/>
      <c r="DK1883" s="14"/>
      <c r="DL1883" s="14"/>
      <c r="DM1883" s="14"/>
      <c r="DN1883" s="14"/>
      <c r="DO1883" s="14"/>
      <c r="DP1883" s="14"/>
      <c r="DQ1883" s="14"/>
      <c r="DR1883" s="14"/>
      <c r="DS1883" s="14"/>
      <c r="DT1883" s="14"/>
      <c r="DU1883" s="14"/>
      <c r="DV1883" s="14"/>
      <c r="DW1883" s="14"/>
      <c r="DX1883" s="14"/>
      <c r="DY1883" s="14"/>
      <c r="DZ1883" s="14"/>
      <c r="EA1883" s="14"/>
      <c r="EB1883" s="14"/>
      <c r="EC1883" s="14"/>
      <c r="ED1883" s="14"/>
      <c r="EE1883" s="14"/>
      <c r="EF1883" s="14"/>
      <c r="EG1883" s="14"/>
      <c r="EH1883" s="14"/>
      <c r="EI1883" s="14"/>
      <c r="EJ1883" s="14"/>
      <c r="EK1883" s="14"/>
      <c r="EL1883" s="14"/>
      <c r="EM1883" s="14"/>
      <c r="EN1883" s="14"/>
      <c r="EO1883" s="14"/>
      <c r="EP1883" s="14"/>
      <c r="EQ1883" s="14"/>
      <c r="ER1883" s="14"/>
      <c r="ES1883" s="14"/>
      <c r="ET1883" s="14"/>
      <c r="EU1883" s="14"/>
      <c r="EV1883" s="14"/>
      <c r="EW1883" s="14"/>
      <c r="EX1883" s="14"/>
      <c r="EY1883" s="14"/>
      <c r="EZ1883" s="14"/>
      <c r="FA1883" s="14"/>
      <c r="FB1883" s="14"/>
      <c r="FC1883" s="14"/>
      <c r="FD1883" s="14"/>
      <c r="FE1883" s="14"/>
      <c r="FF1883" s="14"/>
      <c r="FG1883" s="14"/>
      <c r="FH1883" s="14"/>
      <c r="FI1883" s="14"/>
      <c r="FJ1883" s="14"/>
      <c r="FK1883" s="14"/>
      <c r="FL1883" s="57" t="s">
        <v>3439</v>
      </c>
      <c r="FM1883" s="57" t="s">
        <v>323</v>
      </c>
      <c r="FN1883" s="14"/>
      <c r="FO1883" s="14"/>
      <c r="FP1883" s="14"/>
      <c r="FQ1883" s="14"/>
      <c r="FR1883" s="14"/>
      <c r="FS1883" s="14"/>
      <c r="FT1883" s="14"/>
      <c r="FU1883" s="14"/>
      <c r="FV1883" s="14"/>
      <c r="FW1883" s="14"/>
      <c r="FX1883" s="14"/>
      <c r="FY1883" s="14"/>
      <c r="FZ1883" s="14"/>
      <c r="GA1883" s="14"/>
      <c r="GB1883" s="14"/>
      <c r="GC1883" s="14"/>
      <c r="GD1883" s="14"/>
      <c r="GE1883" s="14"/>
      <c r="GF1883" s="14"/>
      <c r="GG1883" s="14"/>
      <c r="GH1883" s="14"/>
      <c r="GI1883" s="14"/>
      <c r="GJ1883" s="14"/>
      <c r="GK1883" s="14"/>
      <c r="GL1883" s="14"/>
      <c r="GM1883" s="14"/>
      <c r="GN1883" s="14"/>
      <c r="GO1883" s="14"/>
      <c r="GP1883" s="14"/>
      <c r="GQ1883" s="14"/>
      <c r="GR1883" s="14"/>
      <c r="GS1883" s="14"/>
      <c r="GT1883" s="14"/>
      <c r="GU1883" s="14"/>
      <c r="GV1883" s="14"/>
      <c r="GW1883" s="14"/>
      <c r="GX1883" s="14"/>
      <c r="GY1883" s="14"/>
      <c r="GZ1883" s="14"/>
      <c r="HA1883" s="14"/>
    </row>
    <row r="1884" ht="23.25" customHeight="1">
      <c r="A1884" s="14"/>
      <c r="B1884" s="14"/>
      <c r="C1884" s="36" t="s">
        <v>13</v>
      </c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57" t="s">
        <v>3436</v>
      </c>
      <c r="AY1884" s="57" t="s">
        <v>3437</v>
      </c>
      <c r="AZ1884" s="57" t="s">
        <v>5252</v>
      </c>
      <c r="BA1884" s="57" t="s">
        <v>5250</v>
      </c>
      <c r="BB1884" s="57" t="s">
        <v>882</v>
      </c>
      <c r="BC1884" s="58">
        <v>43983.0</v>
      </c>
      <c r="BD1884" s="58">
        <v>44013.0</v>
      </c>
      <c r="BE1884" s="14"/>
      <c r="BF1884" s="60">
        <v>100.0</v>
      </c>
      <c r="BG1884" s="14"/>
      <c r="BH1884" s="59" t="s">
        <v>5253</v>
      </c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57"/>
      <c r="BX1884" s="57"/>
      <c r="BY1884" s="14"/>
      <c r="BZ1884" s="57"/>
      <c r="CA1884" s="57"/>
      <c r="CB1884" s="57"/>
      <c r="CC1884" s="57"/>
      <c r="CD1884" s="58"/>
      <c r="CE1884" s="58"/>
      <c r="CF1884" s="57"/>
      <c r="CG1884" s="57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14"/>
      <c r="DC1884" s="14"/>
      <c r="DD1884" s="14"/>
      <c r="DE1884" s="14"/>
      <c r="DF1884" s="14"/>
      <c r="DG1884" s="14"/>
      <c r="DH1884" s="14"/>
      <c r="DI1884" s="14"/>
      <c r="DJ1884" s="14"/>
      <c r="DK1884" s="14"/>
      <c r="DL1884" s="14"/>
      <c r="DM1884" s="14"/>
      <c r="DN1884" s="14"/>
      <c r="DO1884" s="14"/>
      <c r="DP1884" s="14"/>
      <c r="DQ1884" s="14"/>
      <c r="DR1884" s="14"/>
      <c r="DS1884" s="14"/>
      <c r="DT1884" s="14"/>
      <c r="DU1884" s="14"/>
      <c r="DV1884" s="14"/>
      <c r="DW1884" s="14"/>
      <c r="DX1884" s="14"/>
      <c r="DY1884" s="14"/>
      <c r="DZ1884" s="14"/>
      <c r="EA1884" s="14"/>
      <c r="EB1884" s="14"/>
      <c r="EC1884" s="14"/>
      <c r="ED1884" s="14"/>
      <c r="EE1884" s="14"/>
      <c r="EF1884" s="14"/>
      <c r="EG1884" s="14"/>
      <c r="EH1884" s="14"/>
      <c r="EI1884" s="14"/>
      <c r="EJ1884" s="14"/>
      <c r="EK1884" s="14"/>
      <c r="EL1884" s="14"/>
      <c r="EM1884" s="14"/>
      <c r="EN1884" s="14"/>
      <c r="EO1884" s="14"/>
      <c r="EP1884" s="14"/>
      <c r="EQ1884" s="14"/>
      <c r="ER1884" s="14"/>
      <c r="ES1884" s="14"/>
      <c r="ET1884" s="14"/>
      <c r="EU1884" s="14"/>
      <c r="EV1884" s="14"/>
      <c r="EW1884" s="14"/>
      <c r="EX1884" s="14"/>
      <c r="EY1884" s="14"/>
      <c r="EZ1884" s="14"/>
      <c r="FA1884" s="14"/>
      <c r="FB1884" s="14"/>
      <c r="FC1884" s="14"/>
      <c r="FD1884" s="14"/>
      <c r="FE1884" s="14"/>
      <c r="FF1884" s="14"/>
      <c r="FG1884" s="14"/>
      <c r="FH1884" s="14"/>
      <c r="FI1884" s="14"/>
      <c r="FJ1884" s="14"/>
      <c r="FK1884" s="14"/>
      <c r="FL1884" s="57" t="s">
        <v>3439</v>
      </c>
      <c r="FM1884" s="57" t="s">
        <v>323</v>
      </c>
      <c r="FN1884" s="14"/>
      <c r="FO1884" s="14"/>
      <c r="FP1884" s="14"/>
      <c r="FQ1884" s="14"/>
      <c r="FR1884" s="14"/>
      <c r="FS1884" s="14"/>
      <c r="FT1884" s="14"/>
      <c r="FU1884" s="14"/>
      <c r="FV1884" s="14"/>
      <c r="FW1884" s="14"/>
      <c r="FX1884" s="14"/>
      <c r="FY1884" s="14"/>
      <c r="FZ1884" s="14"/>
      <c r="GA1884" s="14"/>
      <c r="GB1884" s="14"/>
      <c r="GC1884" s="14"/>
      <c r="GD1884" s="14"/>
      <c r="GE1884" s="14"/>
      <c r="GF1884" s="14"/>
      <c r="GG1884" s="14"/>
      <c r="GH1884" s="14"/>
      <c r="GI1884" s="14"/>
      <c r="GJ1884" s="14"/>
      <c r="GK1884" s="14"/>
      <c r="GL1884" s="14"/>
      <c r="GM1884" s="14"/>
      <c r="GN1884" s="14"/>
      <c r="GO1884" s="14"/>
      <c r="GP1884" s="14"/>
      <c r="GQ1884" s="14"/>
      <c r="GR1884" s="14"/>
      <c r="GS1884" s="14"/>
      <c r="GT1884" s="14"/>
      <c r="GU1884" s="14"/>
      <c r="GV1884" s="14"/>
      <c r="GW1884" s="14"/>
      <c r="GX1884" s="14"/>
      <c r="GY1884" s="14"/>
      <c r="GZ1884" s="14"/>
      <c r="HA1884" s="14"/>
    </row>
    <row r="1885" ht="23.25" customHeight="1">
      <c r="A1885" s="14"/>
      <c r="B1885" s="14"/>
      <c r="C1885" s="36" t="s">
        <v>13</v>
      </c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57" t="s">
        <v>3458</v>
      </c>
      <c r="AY1885" s="57" t="s">
        <v>3459</v>
      </c>
      <c r="AZ1885" s="57" t="s">
        <v>5254</v>
      </c>
      <c r="BA1885" s="57" t="s">
        <v>1452</v>
      </c>
      <c r="BB1885" s="57" t="s">
        <v>3607</v>
      </c>
      <c r="BC1885" s="58">
        <v>43551.0</v>
      </c>
      <c r="BD1885" s="58">
        <v>43551.0</v>
      </c>
      <c r="BE1885" s="14"/>
      <c r="BF1885" s="60">
        <v>100.0</v>
      </c>
      <c r="BG1885" s="14"/>
      <c r="BH1885" s="59" t="s">
        <v>5255</v>
      </c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57"/>
      <c r="BX1885" s="57"/>
      <c r="BY1885" s="14"/>
      <c r="BZ1885" s="57"/>
      <c r="CA1885" s="57"/>
      <c r="CB1885" s="57"/>
      <c r="CC1885" s="57"/>
      <c r="CD1885" s="58"/>
      <c r="CE1885" s="58"/>
      <c r="CF1885" s="57"/>
      <c r="CG1885" s="57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14"/>
      <c r="DC1885" s="14"/>
      <c r="DD1885" s="14"/>
      <c r="DE1885" s="14"/>
      <c r="DF1885" s="14"/>
      <c r="DG1885" s="14"/>
      <c r="DH1885" s="14"/>
      <c r="DI1885" s="14"/>
      <c r="DJ1885" s="14"/>
      <c r="DK1885" s="14"/>
      <c r="DL1885" s="14"/>
      <c r="DM1885" s="14"/>
      <c r="DN1885" s="14"/>
      <c r="DO1885" s="14"/>
      <c r="DP1885" s="14"/>
      <c r="DQ1885" s="14"/>
      <c r="DR1885" s="14"/>
      <c r="DS1885" s="14"/>
      <c r="DT1885" s="14"/>
      <c r="DU1885" s="14"/>
      <c r="DV1885" s="14"/>
      <c r="DW1885" s="14"/>
      <c r="DX1885" s="14"/>
      <c r="DY1885" s="14"/>
      <c r="DZ1885" s="14"/>
      <c r="EA1885" s="14"/>
      <c r="EB1885" s="14"/>
      <c r="EC1885" s="14"/>
      <c r="ED1885" s="14"/>
      <c r="EE1885" s="14"/>
      <c r="EF1885" s="14"/>
      <c r="EG1885" s="14"/>
      <c r="EH1885" s="14"/>
      <c r="EI1885" s="14"/>
      <c r="EJ1885" s="14"/>
      <c r="EK1885" s="14"/>
      <c r="EL1885" s="14"/>
      <c r="EM1885" s="14"/>
      <c r="EN1885" s="14"/>
      <c r="EO1885" s="14"/>
      <c r="EP1885" s="14"/>
      <c r="EQ1885" s="14"/>
      <c r="ER1885" s="14"/>
      <c r="ES1885" s="14"/>
      <c r="ET1885" s="14"/>
      <c r="EU1885" s="14"/>
      <c r="EV1885" s="14"/>
      <c r="EW1885" s="14"/>
      <c r="EX1885" s="14"/>
      <c r="EY1885" s="14"/>
      <c r="EZ1885" s="14"/>
      <c r="FA1885" s="14"/>
      <c r="FB1885" s="14"/>
      <c r="FC1885" s="14"/>
      <c r="FD1885" s="14"/>
      <c r="FE1885" s="14"/>
      <c r="FF1885" s="14"/>
      <c r="FG1885" s="14"/>
      <c r="FH1885" s="14"/>
      <c r="FI1885" s="14"/>
      <c r="FJ1885" s="14"/>
      <c r="FK1885" s="14"/>
      <c r="FL1885" s="57" t="s">
        <v>3461</v>
      </c>
      <c r="FM1885" s="57" t="s">
        <v>260</v>
      </c>
      <c r="FN1885" s="14"/>
      <c r="FO1885" s="14"/>
      <c r="FP1885" s="14"/>
      <c r="FQ1885" s="14"/>
      <c r="FR1885" s="14"/>
      <c r="FS1885" s="14"/>
      <c r="FT1885" s="14"/>
      <c r="FU1885" s="14"/>
      <c r="FV1885" s="14"/>
      <c r="FW1885" s="14"/>
      <c r="FX1885" s="14"/>
      <c r="FY1885" s="14"/>
      <c r="FZ1885" s="14"/>
      <c r="GA1885" s="14"/>
      <c r="GB1885" s="14"/>
      <c r="GC1885" s="14"/>
      <c r="GD1885" s="14"/>
      <c r="GE1885" s="14"/>
      <c r="GF1885" s="14"/>
      <c r="GG1885" s="14"/>
      <c r="GH1885" s="14"/>
      <c r="GI1885" s="14"/>
      <c r="GJ1885" s="14"/>
      <c r="GK1885" s="14"/>
      <c r="GL1885" s="14"/>
      <c r="GM1885" s="14"/>
      <c r="GN1885" s="14"/>
      <c r="GO1885" s="14"/>
      <c r="GP1885" s="14"/>
      <c r="GQ1885" s="14"/>
      <c r="GR1885" s="14"/>
      <c r="GS1885" s="14"/>
      <c r="GT1885" s="14"/>
      <c r="GU1885" s="14"/>
      <c r="GV1885" s="14"/>
      <c r="GW1885" s="14"/>
      <c r="GX1885" s="14"/>
      <c r="GY1885" s="14"/>
      <c r="GZ1885" s="14"/>
      <c r="HA1885" s="14"/>
    </row>
    <row r="1886" ht="23.25" customHeight="1">
      <c r="A1886" s="14"/>
      <c r="B1886" s="14"/>
      <c r="C1886" s="36" t="s">
        <v>13</v>
      </c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57" t="s">
        <v>3458</v>
      </c>
      <c r="AY1886" s="57" t="s">
        <v>3459</v>
      </c>
      <c r="AZ1886" s="57" t="s">
        <v>1753</v>
      </c>
      <c r="BA1886" s="57" t="s">
        <v>345</v>
      </c>
      <c r="BB1886" s="57" t="s">
        <v>2116</v>
      </c>
      <c r="BC1886" s="58">
        <v>43995.0</v>
      </c>
      <c r="BD1886" s="58">
        <v>44025.0</v>
      </c>
      <c r="BE1886" s="14"/>
      <c r="BF1886" s="60">
        <v>100.0</v>
      </c>
      <c r="BG1886" s="14"/>
      <c r="BH1886" s="59" t="s">
        <v>5256</v>
      </c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57"/>
      <c r="BX1886" s="57"/>
      <c r="BY1886" s="14"/>
      <c r="BZ1886" s="57"/>
      <c r="CA1886" s="57"/>
      <c r="CB1886" s="57"/>
      <c r="CC1886" s="57"/>
      <c r="CD1886" s="58"/>
      <c r="CE1886" s="58"/>
      <c r="CF1886" s="57"/>
      <c r="CG1886" s="57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14"/>
      <c r="DC1886" s="14"/>
      <c r="DD1886" s="14"/>
      <c r="DE1886" s="14"/>
      <c r="DF1886" s="14"/>
      <c r="DG1886" s="14"/>
      <c r="DH1886" s="14"/>
      <c r="DI1886" s="14"/>
      <c r="DJ1886" s="14"/>
      <c r="DK1886" s="14"/>
      <c r="DL1886" s="14"/>
      <c r="DM1886" s="14"/>
      <c r="DN1886" s="14"/>
      <c r="DO1886" s="14"/>
      <c r="DP1886" s="14"/>
      <c r="DQ1886" s="14"/>
      <c r="DR1886" s="14"/>
      <c r="DS1886" s="14"/>
      <c r="DT1886" s="14"/>
      <c r="DU1886" s="14"/>
      <c r="DV1886" s="14"/>
      <c r="DW1886" s="14"/>
      <c r="DX1886" s="14"/>
      <c r="DY1886" s="14"/>
      <c r="DZ1886" s="14"/>
      <c r="EA1886" s="14"/>
      <c r="EB1886" s="14"/>
      <c r="EC1886" s="14"/>
      <c r="ED1886" s="14"/>
      <c r="EE1886" s="14"/>
      <c r="EF1886" s="14"/>
      <c r="EG1886" s="14"/>
      <c r="EH1886" s="14"/>
      <c r="EI1886" s="14"/>
      <c r="EJ1886" s="14"/>
      <c r="EK1886" s="14"/>
      <c r="EL1886" s="14"/>
      <c r="EM1886" s="14"/>
      <c r="EN1886" s="14"/>
      <c r="EO1886" s="14"/>
      <c r="EP1886" s="14"/>
      <c r="EQ1886" s="14"/>
      <c r="ER1886" s="14"/>
      <c r="ES1886" s="14"/>
      <c r="ET1886" s="14"/>
      <c r="EU1886" s="14"/>
      <c r="EV1886" s="14"/>
      <c r="EW1886" s="14"/>
      <c r="EX1886" s="14"/>
      <c r="EY1886" s="14"/>
      <c r="EZ1886" s="14"/>
      <c r="FA1886" s="14"/>
      <c r="FB1886" s="14"/>
      <c r="FC1886" s="14"/>
      <c r="FD1886" s="14"/>
      <c r="FE1886" s="14"/>
      <c r="FF1886" s="14"/>
      <c r="FG1886" s="14"/>
      <c r="FH1886" s="14"/>
      <c r="FI1886" s="14"/>
      <c r="FJ1886" s="14"/>
      <c r="FK1886" s="14"/>
      <c r="FL1886" s="57" t="s">
        <v>3461</v>
      </c>
      <c r="FM1886" s="57" t="s">
        <v>260</v>
      </c>
      <c r="FN1886" s="14"/>
      <c r="FO1886" s="14"/>
      <c r="FP1886" s="14"/>
      <c r="FQ1886" s="14"/>
      <c r="FR1886" s="14"/>
      <c r="FS1886" s="14"/>
      <c r="FT1886" s="14"/>
      <c r="FU1886" s="14"/>
      <c r="FV1886" s="14"/>
      <c r="FW1886" s="14"/>
      <c r="FX1886" s="14"/>
      <c r="FY1886" s="14"/>
      <c r="FZ1886" s="14"/>
      <c r="GA1886" s="14"/>
      <c r="GB1886" s="14"/>
      <c r="GC1886" s="14"/>
      <c r="GD1886" s="14"/>
      <c r="GE1886" s="14"/>
      <c r="GF1886" s="14"/>
      <c r="GG1886" s="14"/>
      <c r="GH1886" s="14"/>
      <c r="GI1886" s="14"/>
      <c r="GJ1886" s="14"/>
      <c r="GK1886" s="14"/>
      <c r="GL1886" s="14"/>
      <c r="GM1886" s="14"/>
      <c r="GN1886" s="14"/>
      <c r="GO1886" s="14"/>
      <c r="GP1886" s="14"/>
      <c r="GQ1886" s="14"/>
      <c r="GR1886" s="14"/>
      <c r="GS1886" s="14"/>
      <c r="GT1886" s="14"/>
      <c r="GU1886" s="14"/>
      <c r="GV1886" s="14"/>
      <c r="GW1886" s="14"/>
      <c r="GX1886" s="14"/>
      <c r="GY1886" s="14"/>
      <c r="GZ1886" s="14"/>
      <c r="HA1886" s="14"/>
    </row>
    <row r="1887" ht="23.25" customHeight="1">
      <c r="A1887" s="14"/>
      <c r="B1887" s="14"/>
      <c r="C1887" s="36" t="s">
        <v>13</v>
      </c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57" t="s">
        <v>3458</v>
      </c>
      <c r="AY1887" s="57" t="s">
        <v>3459</v>
      </c>
      <c r="AZ1887" s="57" t="s">
        <v>1351</v>
      </c>
      <c r="BA1887" s="57" t="s">
        <v>345</v>
      </c>
      <c r="BB1887" s="57" t="s">
        <v>2116</v>
      </c>
      <c r="BC1887" s="58">
        <v>44022.0</v>
      </c>
      <c r="BD1887" s="58">
        <v>44053.0</v>
      </c>
      <c r="BE1887" s="14"/>
      <c r="BF1887" s="60">
        <v>100.0</v>
      </c>
      <c r="BG1887" s="14"/>
      <c r="BH1887" s="59" t="s">
        <v>5257</v>
      </c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57"/>
      <c r="BX1887" s="57"/>
      <c r="BY1887" s="14"/>
      <c r="BZ1887" s="57"/>
      <c r="CA1887" s="57"/>
      <c r="CB1887" s="57"/>
      <c r="CC1887" s="57"/>
      <c r="CD1887" s="58"/>
      <c r="CE1887" s="58"/>
      <c r="CF1887" s="57"/>
      <c r="CG1887" s="57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14"/>
      <c r="DC1887" s="14"/>
      <c r="DD1887" s="14"/>
      <c r="DE1887" s="14"/>
      <c r="DF1887" s="14"/>
      <c r="DG1887" s="14"/>
      <c r="DH1887" s="14"/>
      <c r="DI1887" s="14"/>
      <c r="DJ1887" s="14"/>
      <c r="DK1887" s="14"/>
      <c r="DL1887" s="14"/>
      <c r="DM1887" s="14"/>
      <c r="DN1887" s="14"/>
      <c r="DO1887" s="14"/>
      <c r="DP1887" s="14"/>
      <c r="DQ1887" s="14"/>
      <c r="DR1887" s="14"/>
      <c r="DS1887" s="14"/>
      <c r="DT1887" s="14"/>
      <c r="DU1887" s="14"/>
      <c r="DV1887" s="14"/>
      <c r="DW1887" s="14"/>
      <c r="DX1887" s="14"/>
      <c r="DY1887" s="14"/>
      <c r="DZ1887" s="14"/>
      <c r="EA1887" s="14"/>
      <c r="EB1887" s="14"/>
      <c r="EC1887" s="14"/>
      <c r="ED1887" s="14"/>
      <c r="EE1887" s="14"/>
      <c r="EF1887" s="14"/>
      <c r="EG1887" s="14"/>
      <c r="EH1887" s="14"/>
      <c r="EI1887" s="14"/>
      <c r="EJ1887" s="14"/>
      <c r="EK1887" s="14"/>
      <c r="EL1887" s="14"/>
      <c r="EM1887" s="14"/>
      <c r="EN1887" s="14"/>
      <c r="EO1887" s="14"/>
      <c r="EP1887" s="14"/>
      <c r="EQ1887" s="14"/>
      <c r="ER1887" s="14"/>
      <c r="ES1887" s="14"/>
      <c r="ET1887" s="14"/>
      <c r="EU1887" s="14"/>
      <c r="EV1887" s="14"/>
      <c r="EW1887" s="14"/>
      <c r="EX1887" s="14"/>
      <c r="EY1887" s="14"/>
      <c r="EZ1887" s="14"/>
      <c r="FA1887" s="14"/>
      <c r="FB1887" s="14"/>
      <c r="FC1887" s="14"/>
      <c r="FD1887" s="14"/>
      <c r="FE1887" s="14"/>
      <c r="FF1887" s="14"/>
      <c r="FG1887" s="14"/>
      <c r="FH1887" s="14"/>
      <c r="FI1887" s="14"/>
      <c r="FJ1887" s="14"/>
      <c r="FK1887" s="14"/>
      <c r="FL1887" s="57" t="s">
        <v>3461</v>
      </c>
      <c r="FM1887" s="57" t="s">
        <v>260</v>
      </c>
      <c r="FN1887" s="14"/>
      <c r="FO1887" s="14"/>
      <c r="FP1887" s="14"/>
      <c r="FQ1887" s="14"/>
      <c r="FR1887" s="14"/>
      <c r="FS1887" s="14"/>
      <c r="FT1887" s="14"/>
      <c r="FU1887" s="14"/>
      <c r="FV1887" s="14"/>
      <c r="FW1887" s="14"/>
      <c r="FX1887" s="14"/>
      <c r="FY1887" s="14"/>
      <c r="FZ1887" s="14"/>
      <c r="GA1887" s="14"/>
      <c r="GB1887" s="14"/>
      <c r="GC1887" s="14"/>
      <c r="GD1887" s="14"/>
      <c r="GE1887" s="14"/>
      <c r="GF1887" s="14"/>
      <c r="GG1887" s="14"/>
      <c r="GH1887" s="14"/>
      <c r="GI1887" s="14"/>
      <c r="GJ1887" s="14"/>
      <c r="GK1887" s="14"/>
      <c r="GL1887" s="14"/>
      <c r="GM1887" s="14"/>
      <c r="GN1887" s="14"/>
      <c r="GO1887" s="14"/>
      <c r="GP1887" s="14"/>
      <c r="GQ1887" s="14"/>
      <c r="GR1887" s="14"/>
      <c r="GS1887" s="14"/>
      <c r="GT1887" s="14"/>
      <c r="GU1887" s="14"/>
      <c r="GV1887" s="14"/>
      <c r="GW1887" s="14"/>
      <c r="GX1887" s="14"/>
      <c r="GY1887" s="14"/>
      <c r="GZ1887" s="14"/>
      <c r="HA1887" s="14"/>
    </row>
  </sheetData>
  <customSheetViews>
    <customSheetView guid="{5A3FE551-BE9F-4F73-9636-37149EBA48E4}" filter="1" showAutoFilter="1">
      <autoFilter ref="$A$1:$HA$1887"/>
    </customSheetView>
  </customSheetViews>
  <hyperlinks>
    <hyperlink r:id="rId1" ref="DC2"/>
    <hyperlink r:id="rId2" ref="DC3"/>
    <hyperlink r:id="rId3" ref="BV4"/>
    <hyperlink r:id="rId4" ref="ED5"/>
    <hyperlink r:id="rId5" ref="DM6"/>
    <hyperlink r:id="rId6" ref="BV7"/>
    <hyperlink r:id="rId7" ref="BV8"/>
    <hyperlink r:id="rId8" ref="BV9"/>
    <hyperlink r:id="rId9" ref="BV10"/>
    <hyperlink r:id="rId10" ref="BV11"/>
    <hyperlink r:id="rId11" ref="DC12"/>
    <hyperlink r:id="rId12" ref="BV13"/>
    <hyperlink r:id="rId13" ref="BV14"/>
    <hyperlink r:id="rId14" ref="BV15"/>
    <hyperlink r:id="rId15" ref="BV16"/>
    <hyperlink r:id="rId16" ref="BV17"/>
    <hyperlink r:id="rId17" ref="DC18"/>
    <hyperlink r:id="rId18" ref="DC19"/>
    <hyperlink r:id="rId19" ref="DC20"/>
    <hyperlink r:id="rId20" ref="FF21"/>
    <hyperlink r:id="rId21" ref="FF22"/>
    <hyperlink r:id="rId22" ref="FF23"/>
    <hyperlink r:id="rId23" ref="FF24"/>
    <hyperlink r:id="rId24" ref="AW25"/>
    <hyperlink r:id="rId25" ref="AW26"/>
    <hyperlink r:id="rId26" ref="AW27"/>
    <hyperlink r:id="rId27" ref="BV28"/>
    <hyperlink r:id="rId28" ref="DW29"/>
    <hyperlink r:id="rId29" ref="DW30"/>
    <hyperlink r:id="rId30" ref="DC31"/>
    <hyperlink r:id="rId31" ref="DW32"/>
    <hyperlink r:id="rId32" ref="DC33"/>
    <hyperlink r:id="rId33" ref="FK34"/>
    <hyperlink r:id="rId34" ref="AW35"/>
    <hyperlink r:id="rId35" ref="AW36"/>
    <hyperlink r:id="rId36" ref="BV37"/>
    <hyperlink r:id="rId37" ref="AW38"/>
    <hyperlink r:id="rId38" ref="BV39"/>
    <hyperlink r:id="rId39" ref="BH40"/>
    <hyperlink r:id="rId40" ref="BH41"/>
    <hyperlink r:id="rId41" ref="BH42"/>
    <hyperlink r:id="rId42" ref="BH43"/>
    <hyperlink r:id="rId43" ref="BH44"/>
    <hyperlink r:id="rId44" ref="BH45"/>
    <hyperlink r:id="rId45" ref="BH46"/>
    <hyperlink r:id="rId46" ref="BH47"/>
    <hyperlink r:id="rId47" ref="BH48"/>
    <hyperlink r:id="rId48" ref="BH49"/>
    <hyperlink r:id="rId49" ref="BH50"/>
    <hyperlink r:id="rId50" ref="BH51"/>
    <hyperlink r:id="rId51" ref="BH52"/>
    <hyperlink r:id="rId52" ref="ED53"/>
    <hyperlink r:id="rId53" ref="BH54"/>
    <hyperlink r:id="rId54" ref="BH55"/>
    <hyperlink r:id="rId55" ref="BH56"/>
    <hyperlink r:id="rId56" ref="BH57"/>
    <hyperlink r:id="rId57" ref="BH58"/>
    <hyperlink r:id="rId58" ref="ED59"/>
    <hyperlink r:id="rId59" ref="AW60"/>
    <hyperlink r:id="rId60" ref="BH61"/>
    <hyperlink r:id="rId61" ref="BH62"/>
    <hyperlink r:id="rId62" ref="BH63"/>
    <hyperlink r:id="rId63" ref="BV64"/>
    <hyperlink r:id="rId64" ref="AW65"/>
    <hyperlink r:id="rId65" ref="BH66"/>
    <hyperlink r:id="rId66" ref="AW67"/>
    <hyperlink r:id="rId67" ref="ED68"/>
    <hyperlink r:id="rId68" ref="BH69"/>
    <hyperlink r:id="rId69" ref="BH70"/>
    <hyperlink r:id="rId70" ref="BV71"/>
    <hyperlink r:id="rId71" ref="BV72"/>
    <hyperlink r:id="rId72" ref="BH73"/>
    <hyperlink r:id="rId73" ref="BH74"/>
    <hyperlink r:id="rId74" ref="CG75"/>
    <hyperlink r:id="rId75" ref="AW76"/>
    <hyperlink r:id="rId76" ref="BV77"/>
    <hyperlink r:id="rId77" ref="ED78"/>
    <hyperlink r:id="rId78" ref="BH79"/>
    <hyperlink r:id="rId79" ref="CG80"/>
    <hyperlink r:id="rId80" ref="FK81"/>
    <hyperlink r:id="rId81" ref="BH82"/>
    <hyperlink r:id="rId82" ref="BV83"/>
    <hyperlink r:id="rId83" ref="BH84"/>
    <hyperlink r:id="rId84" ref="AW85"/>
    <hyperlink r:id="rId85" ref="BH86"/>
    <hyperlink r:id="rId86" ref="BH87"/>
    <hyperlink r:id="rId87" ref="BH88"/>
    <hyperlink r:id="rId88" ref="BH89"/>
    <hyperlink r:id="rId89" ref="BH90"/>
    <hyperlink r:id="rId90" ref="BH91"/>
    <hyperlink r:id="rId91" ref="BH92"/>
    <hyperlink r:id="rId92" ref="BH93"/>
    <hyperlink r:id="rId93" ref="AW94"/>
    <hyperlink r:id="rId94" ref="BH95"/>
    <hyperlink r:id="rId95" ref="BH96"/>
    <hyperlink r:id="rId96" ref="AW97"/>
    <hyperlink r:id="rId97" ref="BH98"/>
    <hyperlink r:id="rId98" ref="BH99"/>
    <hyperlink r:id="rId99" ref="BH100"/>
    <hyperlink r:id="rId100" ref="BH101"/>
    <hyperlink r:id="rId101" ref="BH102"/>
    <hyperlink r:id="rId102" ref="BH103"/>
    <hyperlink r:id="rId103" ref="BH104"/>
    <hyperlink r:id="rId104" ref="BH105"/>
    <hyperlink r:id="rId105" ref="BH106"/>
    <hyperlink r:id="rId106" ref="AW107"/>
    <hyperlink r:id="rId107" ref="CG108"/>
    <hyperlink r:id="rId108" ref="CG109"/>
    <hyperlink r:id="rId109" ref="AW110"/>
    <hyperlink r:id="rId110" ref="BH111"/>
    <hyperlink r:id="rId111" ref="BH112"/>
    <hyperlink r:id="rId112" ref="ED113"/>
    <hyperlink r:id="rId113" ref="BH114"/>
    <hyperlink r:id="rId114" ref="AW115"/>
    <hyperlink r:id="rId115" ref="BH116"/>
    <hyperlink r:id="rId116" ref="AW117"/>
    <hyperlink r:id="rId117" ref="BH118"/>
    <hyperlink r:id="rId118" ref="AW119"/>
    <hyperlink r:id="rId119" ref="AW120"/>
    <hyperlink r:id="rId120" ref="BH121"/>
    <hyperlink r:id="rId121" ref="BH122"/>
    <hyperlink r:id="rId122" ref="BH123"/>
    <hyperlink r:id="rId123" ref="BH124"/>
    <hyperlink r:id="rId124" ref="BH125"/>
    <hyperlink r:id="rId125" ref="BH126"/>
    <hyperlink r:id="rId126" ref="BH127"/>
    <hyperlink r:id="rId127" ref="BH128"/>
    <hyperlink r:id="rId128" ref="AW129"/>
    <hyperlink r:id="rId129" ref="BV130"/>
    <hyperlink r:id="rId130" ref="BH131"/>
    <hyperlink r:id="rId131" ref="BV132"/>
    <hyperlink r:id="rId132" ref="BV133"/>
    <hyperlink r:id="rId133" ref="BH134"/>
    <hyperlink r:id="rId134" ref="BV135"/>
    <hyperlink r:id="rId135" ref="BH136"/>
    <hyperlink r:id="rId136" ref="AW137"/>
    <hyperlink r:id="rId137" ref="AW138"/>
    <hyperlink r:id="rId138" ref="BH139"/>
    <hyperlink r:id="rId139" ref="BV140"/>
    <hyperlink r:id="rId140" ref="BH141"/>
    <hyperlink r:id="rId141" ref="BH142"/>
    <hyperlink r:id="rId142" ref="AW143"/>
    <hyperlink r:id="rId143" ref="BH144"/>
    <hyperlink r:id="rId144" ref="BH145"/>
    <hyperlink r:id="rId145" ref="GJ146"/>
    <hyperlink r:id="rId146" ref="BH147"/>
    <hyperlink r:id="rId147" ref="AW148"/>
    <hyperlink r:id="rId148" ref="BH149"/>
    <hyperlink r:id="rId149" ref="BH150"/>
    <hyperlink r:id="rId150" ref="BH151"/>
    <hyperlink r:id="rId151" ref="BH152"/>
    <hyperlink r:id="rId152" ref="BH153"/>
    <hyperlink r:id="rId153" ref="BH154"/>
    <hyperlink r:id="rId154" ref="BH155"/>
    <hyperlink r:id="rId155" ref="BH156"/>
    <hyperlink r:id="rId156" ref="AW157"/>
    <hyperlink r:id="rId157" ref="BH158"/>
    <hyperlink r:id="rId158" ref="BH159"/>
    <hyperlink r:id="rId159" ref="BH160"/>
    <hyperlink r:id="rId160" ref="BH161"/>
    <hyperlink r:id="rId161" ref="AW162"/>
    <hyperlink r:id="rId162" ref="BV163"/>
    <hyperlink r:id="rId163" ref="BH164"/>
    <hyperlink r:id="rId164" ref="BH165"/>
    <hyperlink r:id="rId165" ref="BH166"/>
    <hyperlink r:id="rId166" ref="BH167"/>
    <hyperlink r:id="rId167" ref="BH168"/>
    <hyperlink r:id="rId168" ref="BH169"/>
    <hyperlink r:id="rId169" ref="BV170"/>
    <hyperlink r:id="rId170" ref="BH171"/>
    <hyperlink r:id="rId171" ref="BH172"/>
    <hyperlink r:id="rId172" ref="BH173"/>
    <hyperlink r:id="rId173" ref="BH174"/>
    <hyperlink r:id="rId174" ref="BH175"/>
    <hyperlink r:id="rId175" ref="BH176"/>
    <hyperlink r:id="rId176" ref="BH177"/>
    <hyperlink r:id="rId177" ref="BH178"/>
    <hyperlink r:id="rId178" ref="AW179"/>
    <hyperlink r:id="rId179" ref="BV180"/>
    <hyperlink r:id="rId180" ref="AW181"/>
    <hyperlink r:id="rId181" ref="FK182"/>
    <hyperlink r:id="rId182" ref="AW183"/>
    <hyperlink r:id="rId183" ref="AW184"/>
    <hyperlink r:id="rId184" ref="BV185"/>
    <hyperlink r:id="rId185" ref="BV186"/>
    <hyperlink r:id="rId186" ref="BH187"/>
    <hyperlink r:id="rId187" ref="ED188"/>
    <hyperlink r:id="rId188" ref="BH189"/>
    <hyperlink r:id="rId189" ref="AW190"/>
    <hyperlink r:id="rId190" ref="BH191"/>
    <hyperlink r:id="rId191" ref="AW192"/>
    <hyperlink r:id="rId192" ref="BH193"/>
    <hyperlink r:id="rId193" ref="BH194"/>
    <hyperlink r:id="rId194" ref="BH195"/>
    <hyperlink r:id="rId195" ref="BH196"/>
    <hyperlink r:id="rId196" ref="BH197"/>
    <hyperlink r:id="rId197" ref="ED198"/>
    <hyperlink r:id="rId198" ref="AW199"/>
    <hyperlink r:id="rId199" ref="BH200"/>
    <hyperlink r:id="rId200" ref="BH201"/>
    <hyperlink r:id="rId201" ref="GD202"/>
    <hyperlink r:id="rId202" ref="AW203"/>
    <hyperlink r:id="rId203" ref="BV204"/>
    <hyperlink r:id="rId204" ref="BV205"/>
    <hyperlink r:id="rId205" ref="BV206"/>
    <hyperlink r:id="rId206" ref="BV207"/>
    <hyperlink r:id="rId207" ref="BH208"/>
    <hyperlink r:id="rId208" ref="AW209"/>
    <hyperlink r:id="rId209" ref="BH210"/>
    <hyperlink r:id="rId210" ref="BH211"/>
    <hyperlink r:id="rId211" ref="BH212"/>
    <hyperlink r:id="rId212" ref="AW213"/>
    <hyperlink r:id="rId213" ref="BH214"/>
    <hyperlink r:id="rId214" ref="BH215"/>
    <hyperlink r:id="rId215" ref="BH216"/>
    <hyperlink r:id="rId216" ref="CG217"/>
    <hyperlink r:id="rId217" ref="BH218"/>
    <hyperlink r:id="rId218" ref="BH219"/>
    <hyperlink r:id="rId219" ref="BH220"/>
    <hyperlink r:id="rId220" ref="BH221"/>
    <hyperlink r:id="rId221" ref="AW222"/>
    <hyperlink r:id="rId222" ref="BH223"/>
    <hyperlink r:id="rId223" ref="BH224"/>
    <hyperlink r:id="rId224" ref="BH225"/>
    <hyperlink r:id="rId225" ref="BH226"/>
    <hyperlink r:id="rId226" ref="BH227"/>
    <hyperlink r:id="rId227" ref="CG228"/>
    <hyperlink r:id="rId228" ref="AW229"/>
    <hyperlink r:id="rId229" ref="CG230"/>
    <hyperlink r:id="rId230" ref="AW231"/>
    <hyperlink r:id="rId231" ref="AW232"/>
    <hyperlink r:id="rId232" ref="AW233"/>
    <hyperlink r:id="rId233" ref="BH234"/>
    <hyperlink r:id="rId234" ref="AW235"/>
    <hyperlink r:id="rId235" ref="AW236"/>
    <hyperlink r:id="rId236" ref="BH237"/>
    <hyperlink r:id="rId237" ref="BV238"/>
    <hyperlink r:id="rId238" ref="BV239"/>
    <hyperlink r:id="rId239" ref="BH240"/>
    <hyperlink r:id="rId240" ref="BV241"/>
    <hyperlink r:id="rId241" ref="BH242"/>
    <hyperlink r:id="rId242" ref="BV243"/>
    <hyperlink r:id="rId243" ref="BH244"/>
    <hyperlink r:id="rId244" ref="BV245"/>
    <hyperlink r:id="rId245" ref="ED246"/>
    <hyperlink r:id="rId246" ref="BV247"/>
    <hyperlink r:id="rId247" ref="BV248"/>
    <hyperlink r:id="rId248" ref="BH249"/>
    <hyperlink r:id="rId249" ref="BH250"/>
    <hyperlink r:id="rId250" ref="BH251"/>
    <hyperlink r:id="rId251" ref="BH252"/>
    <hyperlink r:id="rId252" ref="BH253"/>
    <hyperlink r:id="rId253" ref="ED254"/>
    <hyperlink r:id="rId254" ref="BV255"/>
    <hyperlink r:id="rId255" ref="BV256"/>
    <hyperlink r:id="rId256" ref="ED257"/>
    <hyperlink r:id="rId257" ref="BH258"/>
    <hyperlink r:id="rId258" ref="BH259"/>
    <hyperlink r:id="rId259" ref="BH260"/>
    <hyperlink r:id="rId260" ref="BV261"/>
    <hyperlink r:id="rId261" ref="BH262"/>
    <hyperlink r:id="rId262" ref="BH263"/>
    <hyperlink r:id="rId263" ref="BH264"/>
    <hyperlink r:id="rId264" ref="BH265"/>
    <hyperlink r:id="rId265" ref="BH266"/>
    <hyperlink r:id="rId266" ref="BH267"/>
    <hyperlink r:id="rId267" ref="AW268"/>
    <hyperlink r:id="rId268" ref="GJ269"/>
    <hyperlink r:id="rId269" ref="BH270"/>
    <hyperlink r:id="rId270" ref="BV271"/>
    <hyperlink r:id="rId271" ref="AW272"/>
    <hyperlink r:id="rId272" ref="BH273"/>
    <hyperlink r:id="rId273" ref="AW274"/>
    <hyperlink r:id="rId274" ref="AW275"/>
    <hyperlink r:id="rId275" ref="AW276"/>
    <hyperlink r:id="rId276" ref="BH277"/>
    <hyperlink r:id="rId277" ref="BH278"/>
    <hyperlink r:id="rId278" ref="BH279"/>
    <hyperlink r:id="rId279" ref="BH280"/>
    <hyperlink r:id="rId280" ref="BH281"/>
    <hyperlink r:id="rId281" ref="BH282"/>
    <hyperlink r:id="rId282" ref="BH283"/>
    <hyperlink r:id="rId283" ref="BH284"/>
    <hyperlink r:id="rId284" ref="BH285"/>
    <hyperlink r:id="rId285" ref="BH286"/>
    <hyperlink r:id="rId286" ref="BH287"/>
    <hyperlink r:id="rId287" ref="BH288"/>
    <hyperlink r:id="rId288" ref="AW289"/>
    <hyperlink r:id="rId289" ref="BH290"/>
    <hyperlink r:id="rId290" ref="BH291"/>
    <hyperlink r:id="rId291" ref="ED292"/>
    <hyperlink r:id="rId292" ref="BH293"/>
    <hyperlink r:id="rId293" ref="BH294"/>
    <hyperlink r:id="rId294" ref="BH295"/>
    <hyperlink r:id="rId295" ref="BH296"/>
    <hyperlink r:id="rId296" ref="BH297"/>
    <hyperlink r:id="rId297" ref="AW298"/>
    <hyperlink r:id="rId298" ref="BH299"/>
    <hyperlink r:id="rId299" ref="BH300"/>
    <hyperlink r:id="rId300" ref="BH301"/>
    <hyperlink r:id="rId301" ref="BH302"/>
    <hyperlink r:id="rId302" ref="BH303"/>
    <hyperlink r:id="rId303" ref="BH304"/>
    <hyperlink r:id="rId304" ref="BH305"/>
    <hyperlink r:id="rId305" ref="BH306"/>
    <hyperlink r:id="rId306" ref="BH307"/>
    <hyperlink r:id="rId307" ref="ED308"/>
    <hyperlink r:id="rId308" ref="ED309"/>
    <hyperlink r:id="rId309" ref="BH310"/>
    <hyperlink r:id="rId310" ref="GJ311"/>
    <hyperlink r:id="rId311" ref="GJ312"/>
    <hyperlink r:id="rId312" ref="FY313"/>
    <hyperlink r:id="rId313" ref="ED314"/>
    <hyperlink r:id="rId314" ref="BV315"/>
    <hyperlink r:id="rId315" ref="AW316"/>
    <hyperlink r:id="rId316" ref="CG317"/>
    <hyperlink r:id="rId317" ref="BH318"/>
    <hyperlink r:id="rId318" ref="CG319"/>
    <hyperlink r:id="rId319" ref="AW320"/>
    <hyperlink r:id="rId320" ref="BH321"/>
    <hyperlink r:id="rId321" ref="BH322"/>
    <hyperlink r:id="rId322" ref="BV323"/>
    <hyperlink r:id="rId323" ref="BH324"/>
    <hyperlink r:id="rId324" ref="BH325"/>
    <hyperlink r:id="rId325" ref="AW326"/>
    <hyperlink r:id="rId326" ref="BH327"/>
    <hyperlink r:id="rId327" ref="AW328"/>
    <hyperlink r:id="rId328" ref="BH329"/>
    <hyperlink r:id="rId329" ref="BH330"/>
    <hyperlink r:id="rId330" ref="ED331"/>
    <hyperlink r:id="rId331" ref="BH332"/>
    <hyperlink r:id="rId332" ref="BH333"/>
    <hyperlink r:id="rId333" ref="AW334"/>
    <hyperlink r:id="rId334" ref="BH335"/>
    <hyperlink r:id="rId335" ref="CG336"/>
    <hyperlink r:id="rId336" ref="BH337"/>
    <hyperlink r:id="rId337" ref="BH338"/>
    <hyperlink r:id="rId338" ref="BH339"/>
    <hyperlink r:id="rId339" ref="BH340"/>
    <hyperlink r:id="rId340" ref="BH341"/>
    <hyperlink r:id="rId341" ref="BH342"/>
    <hyperlink r:id="rId342" ref="FK343"/>
    <hyperlink r:id="rId343" ref="BH344"/>
    <hyperlink r:id="rId344" ref="BH345"/>
    <hyperlink r:id="rId345" ref="BH346"/>
    <hyperlink r:id="rId346" ref="AW347"/>
    <hyperlink r:id="rId347" ref="BH348"/>
    <hyperlink r:id="rId348" ref="GJ349"/>
    <hyperlink r:id="rId349" ref="BH350"/>
    <hyperlink r:id="rId350" ref="BH351"/>
    <hyperlink r:id="rId351" ref="BH352"/>
    <hyperlink r:id="rId352" ref="BH353"/>
    <hyperlink r:id="rId353" ref="BH354"/>
    <hyperlink r:id="rId354" ref="BH355"/>
    <hyperlink r:id="rId355" ref="BH356"/>
    <hyperlink r:id="rId356" ref="DC357"/>
    <hyperlink r:id="rId357" ref="BV358"/>
    <hyperlink r:id="rId358" ref="AW359"/>
    <hyperlink r:id="rId359" ref="BV360"/>
    <hyperlink r:id="rId360" ref="BV361"/>
    <hyperlink r:id="rId361" ref="BH362"/>
    <hyperlink r:id="rId362" ref="BH363"/>
    <hyperlink r:id="rId363" ref="BH364"/>
    <hyperlink r:id="rId364" ref="BH365"/>
    <hyperlink r:id="rId365" ref="BH366"/>
    <hyperlink r:id="rId366" ref="BH367"/>
    <hyperlink r:id="rId367" ref="BH368"/>
    <hyperlink r:id="rId368" ref="CG369"/>
    <hyperlink r:id="rId369" ref="BH370"/>
    <hyperlink r:id="rId370" ref="CG371"/>
    <hyperlink r:id="rId371" ref="BH372"/>
    <hyperlink r:id="rId372" ref="BH373"/>
    <hyperlink r:id="rId373" ref="BH374"/>
    <hyperlink r:id="rId374" ref="CG375"/>
    <hyperlink r:id="rId375" ref="BH376"/>
    <hyperlink r:id="rId376" ref="CG377"/>
    <hyperlink r:id="rId377" ref="BH378"/>
    <hyperlink r:id="rId378" ref="ED379"/>
    <hyperlink r:id="rId379" ref="BH380"/>
    <hyperlink r:id="rId380" ref="ED381"/>
    <hyperlink r:id="rId381" ref="BH382"/>
    <hyperlink r:id="rId382" ref="BH383"/>
    <hyperlink r:id="rId383" ref="BH384"/>
    <hyperlink r:id="rId384" ref="ED385"/>
    <hyperlink r:id="rId385" ref="BH386"/>
    <hyperlink r:id="rId386" ref="BH387"/>
    <hyperlink r:id="rId387" ref="BH388"/>
    <hyperlink r:id="rId388" ref="BH389"/>
    <hyperlink r:id="rId389" ref="BH390"/>
    <hyperlink r:id="rId390" ref="BH391"/>
    <hyperlink r:id="rId391" ref="BH392"/>
    <hyperlink r:id="rId392" ref="BH393"/>
    <hyperlink r:id="rId393" ref="BH394"/>
    <hyperlink r:id="rId394" ref="BH395"/>
    <hyperlink r:id="rId395" ref="BH396"/>
    <hyperlink r:id="rId396" ref="AW397"/>
    <hyperlink r:id="rId397" ref="BH398"/>
    <hyperlink r:id="rId398" ref="BH399"/>
    <hyperlink r:id="rId399" ref="AW400"/>
    <hyperlink r:id="rId400" ref="BH401"/>
    <hyperlink r:id="rId401" ref="BH402"/>
    <hyperlink r:id="rId402" ref="BH403"/>
    <hyperlink r:id="rId403" ref="BH404"/>
    <hyperlink r:id="rId404" ref="BH405"/>
    <hyperlink r:id="rId405" ref="BH406"/>
    <hyperlink r:id="rId406" ref="BH407"/>
    <hyperlink r:id="rId407" ref="BH408"/>
    <hyperlink r:id="rId408" ref="BH409"/>
    <hyperlink r:id="rId409" ref="BH410"/>
    <hyperlink r:id="rId410" ref="BH411"/>
    <hyperlink r:id="rId411" ref="BH412"/>
    <hyperlink r:id="rId412" ref="BH413"/>
    <hyperlink r:id="rId413" ref="BH414"/>
    <hyperlink r:id="rId414" ref="BH415"/>
    <hyperlink r:id="rId415" ref="AW416"/>
    <hyperlink r:id="rId416" ref="BH417"/>
    <hyperlink r:id="rId417" ref="AW418"/>
    <hyperlink r:id="rId418" ref="BH419"/>
    <hyperlink r:id="rId419" ref="ED420"/>
    <hyperlink r:id="rId420" ref="BH421"/>
    <hyperlink r:id="rId421" ref="BH422"/>
    <hyperlink r:id="rId422" ref="BH423"/>
    <hyperlink r:id="rId423" ref="BH424"/>
    <hyperlink r:id="rId424" ref="ED425"/>
    <hyperlink r:id="rId425" ref="ED426"/>
    <hyperlink r:id="rId426" ref="BH427"/>
    <hyperlink r:id="rId427" ref="GJ428"/>
    <hyperlink r:id="rId428" ref="AW429"/>
    <hyperlink r:id="rId429" ref="BH430"/>
    <hyperlink r:id="rId430" ref="BH431"/>
    <hyperlink r:id="rId431" ref="BH432"/>
    <hyperlink r:id="rId432" ref="BH433"/>
    <hyperlink r:id="rId433" ref="BH434"/>
    <hyperlink r:id="rId434" ref="AW435"/>
    <hyperlink r:id="rId435" ref="AW436"/>
    <hyperlink r:id="rId436" ref="AW437"/>
    <hyperlink r:id="rId437" ref="BH438"/>
    <hyperlink r:id="rId438" ref="BH439"/>
    <hyperlink r:id="rId439" ref="BH440"/>
    <hyperlink r:id="rId440" ref="BH441"/>
    <hyperlink r:id="rId441" ref="BH442"/>
    <hyperlink r:id="rId442" ref="BH443"/>
    <hyperlink r:id="rId443" ref="BH444"/>
    <hyperlink r:id="rId444" ref="BH445"/>
    <hyperlink r:id="rId445" ref="BH446"/>
    <hyperlink r:id="rId446" ref="BV447"/>
    <hyperlink r:id="rId447" ref="BH448"/>
    <hyperlink r:id="rId448" ref="GJ449"/>
    <hyperlink r:id="rId449" ref="BH450"/>
    <hyperlink r:id="rId450" ref="BV451"/>
    <hyperlink r:id="rId451" ref="AW452"/>
    <hyperlink r:id="rId452" ref="BH453"/>
    <hyperlink r:id="rId453" ref="BH454"/>
    <hyperlink r:id="rId454" ref="BH455"/>
    <hyperlink r:id="rId455" ref="BH456"/>
    <hyperlink r:id="rId456" ref="BH457"/>
    <hyperlink r:id="rId457" ref="BH458"/>
    <hyperlink r:id="rId458" ref="GJ459"/>
    <hyperlink r:id="rId459" ref="FY460"/>
    <hyperlink r:id="rId460" ref="ED461"/>
    <hyperlink r:id="rId461" ref="CG462"/>
    <hyperlink r:id="rId462" ref="BH463"/>
    <hyperlink r:id="rId463" ref="BH464"/>
    <hyperlink r:id="rId464" ref="BH465"/>
    <hyperlink r:id="rId465" ref="FK466"/>
    <hyperlink r:id="rId466" ref="BH467"/>
    <hyperlink r:id="rId467" ref="BH468"/>
    <hyperlink r:id="rId468" ref="ED469"/>
    <hyperlink r:id="rId469" ref="CG470"/>
    <hyperlink r:id="rId470" ref="BV471"/>
    <hyperlink r:id="rId471" ref="BH472"/>
    <hyperlink r:id="rId472" ref="BH473"/>
    <hyperlink r:id="rId473" ref="BH474"/>
    <hyperlink r:id="rId474" ref="BH475"/>
    <hyperlink r:id="rId475" ref="AW476"/>
    <hyperlink r:id="rId476" ref="BH477"/>
    <hyperlink r:id="rId477" ref="BH478"/>
    <hyperlink r:id="rId478" ref="BH479"/>
    <hyperlink r:id="rId479" ref="BH480"/>
    <hyperlink r:id="rId480" ref="AW481"/>
    <hyperlink r:id="rId481" ref="FK482"/>
    <hyperlink r:id="rId482" ref="BH483"/>
    <hyperlink r:id="rId483" ref="AW484"/>
    <hyperlink r:id="rId484" ref="GJ485"/>
    <hyperlink r:id="rId485" ref="GJ486"/>
    <hyperlink r:id="rId486" ref="GJ487"/>
    <hyperlink r:id="rId487" ref="AW488"/>
    <hyperlink r:id="rId488" ref="BH489"/>
    <hyperlink r:id="rId489" ref="AW490"/>
    <hyperlink r:id="rId490" ref="BH491"/>
    <hyperlink r:id="rId491" ref="GJ492"/>
    <hyperlink r:id="rId492" ref="BH493"/>
    <hyperlink r:id="rId493" ref="GJ494"/>
    <hyperlink r:id="rId494" ref="AW495"/>
    <hyperlink r:id="rId495" ref="GJ496"/>
    <hyperlink r:id="rId496" ref="BH497"/>
    <hyperlink r:id="rId497" ref="BH498"/>
    <hyperlink r:id="rId498" ref="BV499"/>
    <hyperlink r:id="rId499" ref="BH500"/>
    <hyperlink r:id="rId500" ref="GJ501"/>
    <hyperlink r:id="rId501" ref="BH502"/>
    <hyperlink r:id="rId502" ref="BH503"/>
    <hyperlink r:id="rId503" ref="BH504"/>
    <hyperlink r:id="rId504" ref="BH505"/>
    <hyperlink r:id="rId505" ref="BH506"/>
    <hyperlink r:id="rId506" ref="BV507"/>
    <hyperlink r:id="rId507" ref="BV508"/>
    <hyperlink r:id="rId508" ref="BH509"/>
    <hyperlink r:id="rId509" ref="BH510"/>
    <hyperlink r:id="rId510" ref="BV511"/>
    <hyperlink r:id="rId511" ref="CG512"/>
    <hyperlink r:id="rId512" ref="BV513"/>
    <hyperlink r:id="rId513" ref="BH514"/>
    <hyperlink r:id="rId514" ref="BH515"/>
    <hyperlink r:id="rId515" ref="BH516"/>
    <hyperlink r:id="rId516" ref="BH517"/>
    <hyperlink r:id="rId517" ref="BH518"/>
    <hyperlink r:id="rId518" ref="BH519"/>
    <hyperlink r:id="rId519" ref="BH520"/>
    <hyperlink r:id="rId520" ref="BH521"/>
    <hyperlink r:id="rId521" ref="BH522"/>
    <hyperlink r:id="rId522" ref="AW523"/>
    <hyperlink r:id="rId523" ref="BH524"/>
    <hyperlink r:id="rId524" ref="BV525"/>
    <hyperlink r:id="rId525" ref="BV526"/>
    <hyperlink r:id="rId526" ref="BH527"/>
    <hyperlink r:id="rId527" ref="BH528"/>
    <hyperlink r:id="rId528" ref="BH529"/>
    <hyperlink r:id="rId529" ref="BH530"/>
    <hyperlink r:id="rId530" ref="BH531"/>
    <hyperlink r:id="rId531" ref="BH532"/>
    <hyperlink r:id="rId532" ref="BH533"/>
    <hyperlink r:id="rId533" ref="BH534"/>
    <hyperlink r:id="rId534" ref="BH535"/>
    <hyperlink r:id="rId535" ref="BH536"/>
    <hyperlink r:id="rId536" ref="GJ537"/>
    <hyperlink r:id="rId537" ref="BH538"/>
    <hyperlink r:id="rId538" ref="BH539"/>
    <hyperlink r:id="rId539" ref="BH540"/>
    <hyperlink r:id="rId540" ref="BH541"/>
    <hyperlink r:id="rId541" ref="BH542"/>
    <hyperlink r:id="rId542" ref="BH543"/>
    <hyperlink r:id="rId543" ref="BH544"/>
    <hyperlink r:id="rId544" ref="BH545"/>
    <hyperlink r:id="rId545" ref="BH546"/>
    <hyperlink r:id="rId546" ref="BH547"/>
    <hyperlink r:id="rId547" ref="BH548"/>
    <hyperlink r:id="rId548" ref="BH549"/>
    <hyperlink r:id="rId549" ref="BH550"/>
    <hyperlink r:id="rId550" ref="BH551"/>
    <hyperlink r:id="rId551" ref="BH552"/>
    <hyperlink r:id="rId552" ref="BH553"/>
    <hyperlink r:id="rId553" ref="BH554"/>
    <hyperlink r:id="rId554" ref="BH555"/>
    <hyperlink r:id="rId555" ref="BV556"/>
    <hyperlink r:id="rId556" ref="BH557"/>
    <hyperlink r:id="rId557" ref="BH558"/>
    <hyperlink r:id="rId558" ref="GJ559"/>
    <hyperlink r:id="rId559" ref="AW560"/>
    <hyperlink r:id="rId560" ref="BH561"/>
    <hyperlink r:id="rId561" ref="BH562"/>
    <hyperlink r:id="rId562" ref="BH563"/>
    <hyperlink r:id="rId563" ref="BH564"/>
    <hyperlink r:id="rId564" ref="BH565"/>
    <hyperlink r:id="rId565" ref="BH566"/>
    <hyperlink r:id="rId566" ref="BH567"/>
    <hyperlink r:id="rId567" ref="BV568"/>
    <hyperlink r:id="rId568" ref="GJ569"/>
    <hyperlink r:id="rId569" ref="BH570"/>
    <hyperlink r:id="rId570" ref="BH571"/>
    <hyperlink r:id="rId571" ref="BH572"/>
    <hyperlink r:id="rId572" ref="BH573"/>
    <hyperlink r:id="rId573" ref="BH574"/>
    <hyperlink r:id="rId574" ref="BH575"/>
    <hyperlink r:id="rId575" ref="BH576"/>
    <hyperlink r:id="rId576" ref="BH577"/>
    <hyperlink r:id="rId577" ref="BH578"/>
    <hyperlink r:id="rId578" ref="BH579"/>
    <hyperlink r:id="rId579" ref="BH580"/>
    <hyperlink r:id="rId580" ref="AW581"/>
    <hyperlink r:id="rId581" ref="AW582"/>
    <hyperlink r:id="rId582" ref="DC583"/>
    <hyperlink r:id="rId583" ref="BH584"/>
    <hyperlink r:id="rId584" ref="BH585"/>
    <hyperlink r:id="rId585" ref="BH586"/>
    <hyperlink r:id="rId586" ref="BH587"/>
    <hyperlink r:id="rId587" ref="BH588"/>
    <hyperlink r:id="rId588" ref="BH589"/>
    <hyperlink r:id="rId589" ref="BH590"/>
    <hyperlink r:id="rId590" ref="BH591"/>
    <hyperlink r:id="rId591" ref="BH592"/>
    <hyperlink r:id="rId592" ref="AW593"/>
    <hyperlink r:id="rId593" ref="BH594"/>
    <hyperlink r:id="rId594" ref="BH595"/>
    <hyperlink r:id="rId595" ref="GJ596"/>
    <hyperlink r:id="rId596" ref="BH597"/>
    <hyperlink r:id="rId597" ref="GJ598"/>
    <hyperlink r:id="rId598" ref="BH599"/>
    <hyperlink r:id="rId599" ref="AW600"/>
    <hyperlink r:id="rId600" ref="BH601"/>
    <hyperlink r:id="rId601" ref="AW602"/>
    <hyperlink r:id="rId602" ref="BV603"/>
    <hyperlink r:id="rId603" ref="BH604"/>
    <hyperlink r:id="rId604" ref="BH605"/>
    <hyperlink r:id="rId605" ref="BH606"/>
    <hyperlink r:id="rId606" ref="BH607"/>
    <hyperlink r:id="rId607" ref="BV608"/>
    <hyperlink r:id="rId608" ref="BH609"/>
    <hyperlink r:id="rId609" ref="GJ610"/>
    <hyperlink r:id="rId610" ref="BH611"/>
    <hyperlink r:id="rId611" ref="BH612"/>
    <hyperlink r:id="rId612" ref="BH613"/>
    <hyperlink r:id="rId613" ref="BH614"/>
    <hyperlink r:id="rId614" ref="BH615"/>
    <hyperlink r:id="rId615" ref="BV616"/>
    <hyperlink r:id="rId616" ref="BH617"/>
    <hyperlink r:id="rId617" ref="BH618"/>
    <hyperlink r:id="rId618" ref="BH619"/>
    <hyperlink r:id="rId619" ref="BH620"/>
    <hyperlink r:id="rId620" ref="BH621"/>
    <hyperlink r:id="rId621" ref="BH622"/>
    <hyperlink r:id="rId622" ref="BH623"/>
    <hyperlink r:id="rId623" ref="BH624"/>
    <hyperlink r:id="rId624" ref="BH625"/>
    <hyperlink r:id="rId625" ref="BH626"/>
    <hyperlink r:id="rId626" ref="BH627"/>
    <hyperlink r:id="rId627" ref="BH628"/>
    <hyperlink r:id="rId628" ref="BH629"/>
    <hyperlink r:id="rId629" ref="ED630"/>
    <hyperlink r:id="rId630" ref="BV631"/>
    <hyperlink r:id="rId631" ref="BV632"/>
    <hyperlink r:id="rId632" ref="BH633"/>
    <hyperlink r:id="rId633" ref="BH634"/>
    <hyperlink r:id="rId634" ref="AW635"/>
    <hyperlink r:id="rId635" ref="AW636"/>
    <hyperlink r:id="rId636" ref="BH637"/>
    <hyperlink r:id="rId637" ref="BH638"/>
    <hyperlink r:id="rId638" ref="BH639"/>
    <hyperlink r:id="rId639" ref="ED640"/>
    <hyperlink r:id="rId640" ref="GJ641"/>
    <hyperlink r:id="rId641" ref="AW642"/>
    <hyperlink r:id="rId642" ref="BH643"/>
    <hyperlink r:id="rId643" ref="GJ644"/>
    <hyperlink r:id="rId644" ref="BH645"/>
    <hyperlink r:id="rId645" ref="BH646"/>
    <hyperlink r:id="rId646" ref="BH647"/>
    <hyperlink r:id="rId647" ref="BV648"/>
    <hyperlink r:id="rId648" ref="BH649"/>
    <hyperlink r:id="rId649" ref="AW650"/>
    <hyperlink r:id="rId650" ref="GJ651"/>
    <hyperlink r:id="rId651" ref="BH652"/>
    <hyperlink r:id="rId652" ref="BH653"/>
    <hyperlink r:id="rId653" ref="BH654"/>
    <hyperlink r:id="rId654" ref="BH655"/>
    <hyperlink r:id="rId655" ref="BH656"/>
    <hyperlink r:id="rId656" ref="AW657"/>
    <hyperlink r:id="rId657" ref="BH658"/>
    <hyperlink r:id="rId658" ref="BH659"/>
    <hyperlink r:id="rId659" ref="BH660"/>
    <hyperlink r:id="rId660" ref="BH661"/>
    <hyperlink r:id="rId661" ref="BH662"/>
    <hyperlink r:id="rId662" ref="BH663"/>
    <hyperlink r:id="rId663" ref="BH664"/>
    <hyperlink r:id="rId664" ref="BH665"/>
    <hyperlink r:id="rId665" ref="BH666"/>
    <hyperlink r:id="rId666" ref="BV667"/>
    <hyperlink r:id="rId667" ref="AW668"/>
    <hyperlink r:id="rId668" ref="GJ669"/>
    <hyperlink r:id="rId669" ref="FK670"/>
    <hyperlink r:id="rId670" ref="BH671"/>
    <hyperlink r:id="rId671" ref="BH672"/>
    <hyperlink r:id="rId672" ref="CG673"/>
    <hyperlink r:id="rId673" ref="ED674"/>
    <hyperlink r:id="rId674" ref="ED675"/>
    <hyperlink r:id="rId675" ref="BV676"/>
    <hyperlink r:id="rId676" ref="AW677"/>
    <hyperlink r:id="rId677" ref="BH678"/>
    <hyperlink r:id="rId678" ref="ED679"/>
    <hyperlink r:id="rId679" ref="BH680"/>
    <hyperlink r:id="rId680" ref="AW681"/>
    <hyperlink r:id="rId681" ref="BV682"/>
    <hyperlink r:id="rId682" ref="BH683"/>
    <hyperlink r:id="rId683" ref="BH684"/>
    <hyperlink r:id="rId684" ref="BH685"/>
    <hyperlink r:id="rId685" ref="AW686"/>
    <hyperlink r:id="rId686" ref="ED687"/>
    <hyperlink r:id="rId687" ref="BH688"/>
    <hyperlink r:id="rId688" ref="BV689"/>
    <hyperlink r:id="rId689" ref="AW690"/>
    <hyperlink r:id="rId690" ref="BV691"/>
    <hyperlink r:id="rId691" ref="BH692"/>
    <hyperlink r:id="rId692" ref="BH693"/>
    <hyperlink r:id="rId693" ref="BV694"/>
    <hyperlink r:id="rId694" ref="BH695"/>
    <hyperlink r:id="rId695" ref="BH696"/>
    <hyperlink r:id="rId696" ref="BH697"/>
    <hyperlink r:id="rId697" ref="BV698"/>
    <hyperlink r:id="rId698" ref="BH699"/>
    <hyperlink r:id="rId699" ref="ED700"/>
    <hyperlink r:id="rId700" ref="AW701"/>
    <hyperlink r:id="rId701" ref="ED702"/>
    <hyperlink r:id="rId702" ref="BH703"/>
    <hyperlink r:id="rId703" ref="ED704"/>
    <hyperlink r:id="rId704" ref="BH705"/>
    <hyperlink r:id="rId705" ref="ED706"/>
    <hyperlink r:id="rId706" ref="BV707"/>
    <hyperlink r:id="rId707" ref="ED708"/>
    <hyperlink r:id="rId708" ref="ED709"/>
    <hyperlink r:id="rId709" ref="BH710"/>
    <hyperlink r:id="rId710" ref="BV711"/>
    <hyperlink r:id="rId711" ref="ED712"/>
    <hyperlink r:id="rId712" ref="BH713"/>
    <hyperlink r:id="rId713" ref="BH714"/>
    <hyperlink r:id="rId714" ref="BH715"/>
    <hyperlink r:id="rId715" ref="BH716"/>
    <hyperlink r:id="rId716" ref="BH717"/>
    <hyperlink r:id="rId717" ref="BH718"/>
    <hyperlink r:id="rId718" ref="AW719"/>
    <hyperlink r:id="rId719" ref="BH720"/>
    <hyperlink r:id="rId720" ref="BH721"/>
    <hyperlink r:id="rId721" ref="BH722"/>
    <hyperlink r:id="rId722" ref="BH723"/>
    <hyperlink r:id="rId723" ref="AW724"/>
    <hyperlink r:id="rId724" ref="BH725"/>
    <hyperlink r:id="rId725" ref="BH726"/>
    <hyperlink r:id="rId726" ref="BH727"/>
    <hyperlink r:id="rId727" ref="BV728"/>
    <hyperlink r:id="rId728" ref="BH729"/>
    <hyperlink r:id="rId729" ref="BV730"/>
    <hyperlink r:id="rId730" ref="AW731"/>
    <hyperlink r:id="rId731" ref="AW732"/>
    <hyperlink r:id="rId732" ref="AW733"/>
    <hyperlink r:id="rId733" ref="AW734"/>
    <hyperlink r:id="rId734" ref="BH735"/>
    <hyperlink r:id="rId735" ref="BH736"/>
    <hyperlink r:id="rId736" ref="CG737"/>
    <hyperlink r:id="rId737" ref="ED738"/>
    <hyperlink r:id="rId738" ref="BV739"/>
    <hyperlink r:id="rId739" ref="ED740"/>
    <hyperlink r:id="rId740" ref="ED741"/>
    <hyperlink r:id="rId741" ref="ED742"/>
    <hyperlink r:id="rId742" ref="ED743"/>
    <hyperlink r:id="rId743" ref="GJ744"/>
    <hyperlink r:id="rId744" ref="ED745"/>
    <hyperlink r:id="rId745" ref="ED746"/>
    <hyperlink r:id="rId746" ref="AW747"/>
    <hyperlink r:id="rId747" ref="ED748"/>
    <hyperlink r:id="rId748" ref="BH749"/>
    <hyperlink r:id="rId749" ref="BH750"/>
    <hyperlink r:id="rId750" ref="ED751"/>
    <hyperlink r:id="rId751" ref="BV752"/>
    <hyperlink r:id="rId752" ref="AW753"/>
    <hyperlink r:id="rId753" ref="BH754"/>
    <hyperlink r:id="rId754" ref="BH755"/>
    <hyperlink r:id="rId755" ref="BH756"/>
    <hyperlink r:id="rId756" ref="ED757"/>
    <hyperlink r:id="rId757" ref="GJ758"/>
    <hyperlink r:id="rId758" ref="BV759"/>
    <hyperlink r:id="rId759" ref="BH760"/>
    <hyperlink r:id="rId760" ref="BH761"/>
    <hyperlink r:id="rId761" ref="BV762"/>
    <hyperlink r:id="rId762" ref="BV763"/>
    <hyperlink r:id="rId763" ref="BV764"/>
    <hyperlink r:id="rId764" ref="BV765"/>
    <hyperlink r:id="rId765" ref="BH766"/>
    <hyperlink r:id="rId766" ref="BH767"/>
    <hyperlink r:id="rId767" ref="BH768"/>
    <hyperlink r:id="rId768" ref="AW769"/>
    <hyperlink r:id="rId769" ref="GJ770"/>
    <hyperlink r:id="rId770" ref="BH771"/>
    <hyperlink r:id="rId771" ref="BH772"/>
    <hyperlink r:id="rId772" ref="BH773"/>
    <hyperlink r:id="rId773" ref="BH774"/>
    <hyperlink r:id="rId774" ref="BH775"/>
    <hyperlink r:id="rId775" ref="BH776"/>
    <hyperlink r:id="rId776" ref="BH777"/>
    <hyperlink r:id="rId777" ref="BH778"/>
    <hyperlink r:id="rId778" ref="BH779"/>
    <hyperlink r:id="rId779" ref="BH780"/>
    <hyperlink r:id="rId780" ref="AW781"/>
    <hyperlink r:id="rId781" ref="AW782"/>
    <hyperlink r:id="rId782" ref="BV783"/>
    <hyperlink r:id="rId783" ref="ED784"/>
    <hyperlink r:id="rId784" ref="BQ785"/>
    <hyperlink r:id="rId785" ref="BV785"/>
    <hyperlink r:id="rId786" ref="BH786"/>
    <hyperlink r:id="rId787" ref="BQ787"/>
    <hyperlink r:id="rId788" ref="BV787"/>
    <hyperlink r:id="rId789" ref="GJ788"/>
    <hyperlink r:id="rId790" ref="BH789"/>
    <hyperlink r:id="rId791" ref="GJ790"/>
    <hyperlink r:id="rId792" ref="BH791"/>
    <hyperlink r:id="rId793" ref="ED792"/>
    <hyperlink r:id="rId794" ref="AW793"/>
    <hyperlink r:id="rId795" ref="BH794"/>
    <hyperlink r:id="rId796" ref="BV795"/>
    <hyperlink r:id="rId797" ref="BH796"/>
    <hyperlink r:id="rId798" ref="BH797"/>
    <hyperlink r:id="rId799" ref="AW798"/>
    <hyperlink r:id="rId800" ref="BH799"/>
    <hyperlink r:id="rId801" ref="BH800"/>
    <hyperlink r:id="rId802" ref="BH801"/>
    <hyperlink r:id="rId803" ref="BH802"/>
    <hyperlink r:id="rId804" ref="BH803"/>
    <hyperlink r:id="rId805" ref="BH804"/>
    <hyperlink r:id="rId806" ref="BV805"/>
    <hyperlink r:id="rId807" ref="FY806"/>
    <hyperlink r:id="rId808" ref="GJ807"/>
    <hyperlink r:id="rId809" ref="BH808"/>
    <hyperlink r:id="rId810" ref="BH809"/>
    <hyperlink r:id="rId811" ref="BH810"/>
    <hyperlink r:id="rId812" ref="AW811"/>
    <hyperlink r:id="rId813" ref="ED812"/>
    <hyperlink r:id="rId814" ref="BH813"/>
    <hyperlink r:id="rId815" ref="BH814"/>
    <hyperlink r:id="rId816" ref="BH815"/>
    <hyperlink r:id="rId817" ref="AW816"/>
    <hyperlink r:id="rId818" ref="BH817"/>
    <hyperlink r:id="rId819" ref="BH818"/>
    <hyperlink r:id="rId820" ref="ED819"/>
    <hyperlink r:id="rId821" ref="BH820"/>
    <hyperlink r:id="rId822" ref="BH821"/>
    <hyperlink r:id="rId823" ref="BH822"/>
    <hyperlink r:id="rId824" ref="BH823"/>
    <hyperlink r:id="rId825" ref="BH824"/>
    <hyperlink r:id="rId826" ref="BH825"/>
    <hyperlink r:id="rId827" ref="BH826"/>
    <hyperlink r:id="rId828" ref="AW827"/>
    <hyperlink r:id="rId829" ref="BH828"/>
    <hyperlink r:id="rId830" ref="BH829"/>
    <hyperlink r:id="rId831" ref="BH830"/>
    <hyperlink r:id="rId832" ref="BH831"/>
    <hyperlink r:id="rId833" ref="AW832"/>
    <hyperlink r:id="rId834" ref="AW833"/>
    <hyperlink r:id="rId835" ref="BH834"/>
    <hyperlink r:id="rId836" ref="BH835"/>
    <hyperlink r:id="rId837" ref="GJ836"/>
    <hyperlink r:id="rId838" ref="BV837"/>
    <hyperlink r:id="rId839" ref="BH838"/>
    <hyperlink r:id="rId840" ref="ED839"/>
    <hyperlink r:id="rId841" ref="BH840"/>
    <hyperlink r:id="rId842" ref="BV841"/>
    <hyperlink r:id="rId843" ref="AW842"/>
    <hyperlink r:id="rId844" ref="GJ843"/>
    <hyperlink r:id="rId845" ref="BH844"/>
    <hyperlink r:id="rId846" ref="BH845"/>
    <hyperlink r:id="rId847" ref="BH846"/>
    <hyperlink r:id="rId848" ref="BH847"/>
    <hyperlink r:id="rId849" ref="BH848"/>
    <hyperlink r:id="rId850" ref="BH849"/>
    <hyperlink r:id="rId851" ref="BH850"/>
    <hyperlink r:id="rId852" ref="AW851"/>
    <hyperlink r:id="rId853" ref="BV852"/>
    <hyperlink r:id="rId854" ref="BH853"/>
    <hyperlink r:id="rId855" ref="BH854"/>
    <hyperlink r:id="rId856" ref="BH855"/>
    <hyperlink r:id="rId857" ref="BV856"/>
    <hyperlink r:id="rId858" ref="AW857"/>
    <hyperlink r:id="rId859" ref="BH858"/>
    <hyperlink r:id="rId860" ref="BV859"/>
    <hyperlink r:id="rId861" ref="BH860"/>
    <hyperlink r:id="rId862" ref="BH861"/>
    <hyperlink r:id="rId863" ref="BH862"/>
    <hyperlink r:id="rId864" ref="AW863"/>
    <hyperlink r:id="rId865" ref="AW864"/>
    <hyperlink r:id="rId866" ref="AW865"/>
    <hyperlink r:id="rId867" ref="AW866"/>
    <hyperlink r:id="rId868" ref="BH867"/>
    <hyperlink r:id="rId869" ref="AW868"/>
    <hyperlink r:id="rId870" ref="CG869"/>
    <hyperlink r:id="rId871" ref="AW870"/>
    <hyperlink r:id="rId872" ref="BV871"/>
    <hyperlink r:id="rId873" ref="AW872"/>
    <hyperlink r:id="rId874" ref="ED873"/>
    <hyperlink r:id="rId875" ref="BH874"/>
    <hyperlink r:id="rId876" ref="BH875"/>
    <hyperlink r:id="rId877" ref="BH876"/>
    <hyperlink r:id="rId878" ref="BH877"/>
    <hyperlink r:id="rId879" ref="BH878"/>
    <hyperlink r:id="rId880" ref="ED879"/>
    <hyperlink r:id="rId881" ref="BH880"/>
    <hyperlink r:id="rId882" ref="BV881"/>
    <hyperlink r:id="rId883" ref="BV882"/>
    <hyperlink r:id="rId884" ref="BH883"/>
    <hyperlink r:id="rId885" ref="BH884"/>
    <hyperlink r:id="rId886" ref="BH885"/>
    <hyperlink r:id="rId887" ref="ED886"/>
    <hyperlink r:id="rId888" ref="AW887"/>
    <hyperlink r:id="rId889" ref="AW888"/>
    <hyperlink r:id="rId890" ref="BH889"/>
    <hyperlink r:id="rId891" ref="AW890"/>
    <hyperlink r:id="rId892" ref="BH891"/>
    <hyperlink r:id="rId893" ref="BH892"/>
    <hyperlink r:id="rId894" ref="BH893"/>
    <hyperlink r:id="rId895" ref="AW894"/>
    <hyperlink r:id="rId896" ref="BH895"/>
    <hyperlink r:id="rId897" ref="AW896"/>
    <hyperlink r:id="rId898" ref="AW897"/>
    <hyperlink r:id="rId899" ref="AW898"/>
    <hyperlink r:id="rId900" ref="AW899"/>
    <hyperlink r:id="rId901" ref="AW900"/>
    <hyperlink r:id="rId902" ref="AW901"/>
    <hyperlink r:id="rId903" ref="AW902"/>
    <hyperlink r:id="rId904" ref="BH903"/>
    <hyperlink r:id="rId905" ref="BH904"/>
    <hyperlink r:id="rId906" ref="BH905"/>
    <hyperlink r:id="rId907" ref="BV906"/>
    <hyperlink r:id="rId908" ref="BH907"/>
    <hyperlink r:id="rId909" ref="BH908"/>
    <hyperlink r:id="rId910" ref="AW909"/>
    <hyperlink r:id="rId911" ref="BV910"/>
    <hyperlink r:id="rId912" ref="BH911"/>
    <hyperlink r:id="rId913" ref="BH912"/>
    <hyperlink r:id="rId914" ref="BH913"/>
    <hyperlink r:id="rId915" ref="ED914"/>
    <hyperlink r:id="rId916" ref="AW915"/>
    <hyperlink r:id="rId917" ref="BH916"/>
    <hyperlink r:id="rId918" ref="ED917"/>
    <hyperlink r:id="rId919" ref="BH918"/>
    <hyperlink r:id="rId920" ref="BH919"/>
    <hyperlink r:id="rId921" ref="AW920"/>
    <hyperlink r:id="rId922" ref="BH921"/>
    <hyperlink r:id="rId923" ref="BH922"/>
    <hyperlink r:id="rId924" ref="BH923"/>
    <hyperlink r:id="rId925" ref="BH924"/>
    <hyperlink r:id="rId926" ref="BH925"/>
    <hyperlink r:id="rId927" ref="AW926"/>
    <hyperlink r:id="rId928" ref="AW927"/>
    <hyperlink r:id="rId929" ref="BH928"/>
    <hyperlink r:id="rId930" ref="AW929"/>
    <hyperlink r:id="rId931" ref="BV930"/>
    <hyperlink r:id="rId932" ref="BH931"/>
    <hyperlink r:id="rId933" ref="BH932"/>
    <hyperlink r:id="rId934" ref="BH933"/>
    <hyperlink r:id="rId935" ref="BH934"/>
    <hyperlink r:id="rId936" ref="BH935"/>
    <hyperlink r:id="rId937" ref="BH936"/>
    <hyperlink r:id="rId938" ref="BH937"/>
    <hyperlink r:id="rId939" ref="BH938"/>
    <hyperlink r:id="rId940" ref="BH939"/>
    <hyperlink r:id="rId941" ref="BH940"/>
    <hyperlink r:id="rId942" ref="BH941"/>
    <hyperlink r:id="rId943" ref="BH942"/>
    <hyperlink r:id="rId944" ref="BH943"/>
    <hyperlink r:id="rId945" ref="BH944"/>
    <hyperlink r:id="rId946" ref="BH945"/>
    <hyperlink r:id="rId947" ref="BH946"/>
    <hyperlink r:id="rId948" ref="AW947"/>
    <hyperlink r:id="rId949" ref="BH948"/>
    <hyperlink r:id="rId950" ref="BH949"/>
    <hyperlink r:id="rId951" ref="AW950"/>
    <hyperlink r:id="rId952" ref="AW951"/>
    <hyperlink r:id="rId953" ref="GJ952"/>
    <hyperlink r:id="rId954" ref="BH953"/>
    <hyperlink r:id="rId955" ref="GJ954"/>
    <hyperlink r:id="rId956" ref="GJ955"/>
    <hyperlink r:id="rId957" ref="AW956"/>
    <hyperlink r:id="rId958" ref="AW957"/>
    <hyperlink r:id="rId959" ref="BH958"/>
    <hyperlink r:id="rId960" ref="BV959"/>
    <hyperlink r:id="rId961" ref="AW960"/>
    <hyperlink r:id="rId962" ref="AW961"/>
    <hyperlink r:id="rId963" ref="AW962"/>
    <hyperlink r:id="rId964" ref="BV963"/>
    <hyperlink r:id="rId965" ref="AW964"/>
    <hyperlink r:id="rId966" ref="GJ965"/>
    <hyperlink r:id="rId967" ref="AW966"/>
    <hyperlink r:id="rId968" ref="GJ967"/>
    <hyperlink r:id="rId969" ref="AW968"/>
    <hyperlink r:id="rId970" ref="AW969"/>
    <hyperlink r:id="rId971" ref="BH970"/>
    <hyperlink r:id="rId972" ref="BH971"/>
    <hyperlink r:id="rId973" ref="BH972"/>
    <hyperlink r:id="rId974" ref="AW973"/>
    <hyperlink r:id="rId975" ref="BH974"/>
    <hyperlink r:id="rId976" ref="BH975"/>
    <hyperlink r:id="rId977" ref="BH976"/>
    <hyperlink r:id="rId978" ref="GJ977"/>
    <hyperlink r:id="rId979" ref="GJ978"/>
    <hyperlink r:id="rId980" ref="GJ979"/>
    <hyperlink r:id="rId981" ref="GJ980"/>
    <hyperlink r:id="rId982" ref="AW981"/>
    <hyperlink r:id="rId983" ref="BH982"/>
    <hyperlink r:id="rId984" ref="BH983"/>
    <hyperlink r:id="rId985" ref="BH984"/>
    <hyperlink r:id="rId986" ref="BH985"/>
    <hyperlink r:id="rId987" ref="AW986"/>
    <hyperlink r:id="rId988" ref="GJ987"/>
    <hyperlink r:id="rId989" ref="BV988"/>
    <hyperlink r:id="rId990" ref="BH989"/>
    <hyperlink r:id="rId991" ref="BH990"/>
    <hyperlink r:id="rId992" ref="AW991"/>
    <hyperlink r:id="rId993" ref="AW992"/>
    <hyperlink r:id="rId994" ref="AW993"/>
    <hyperlink r:id="rId995" ref="BH994"/>
    <hyperlink r:id="rId996" ref="BH995"/>
    <hyperlink r:id="rId997" ref="BH996"/>
    <hyperlink r:id="rId998" ref="AW997"/>
    <hyperlink r:id="rId999" ref="BH998"/>
    <hyperlink r:id="rId1000" ref="BH999"/>
    <hyperlink r:id="rId1001" ref="BH1000"/>
    <hyperlink r:id="rId1002" ref="BH1001"/>
    <hyperlink r:id="rId1003" ref="BH1002"/>
    <hyperlink r:id="rId1004" ref="BH1003"/>
    <hyperlink r:id="rId1005" ref="BH1004"/>
    <hyperlink r:id="rId1006" ref="AW1005"/>
    <hyperlink r:id="rId1007" ref="BH1006"/>
    <hyperlink r:id="rId1008" ref="AW1007"/>
    <hyperlink r:id="rId1009" ref="BH1008"/>
    <hyperlink r:id="rId1010" ref="BH1009"/>
    <hyperlink r:id="rId1011" ref="AW1010"/>
    <hyperlink r:id="rId1012" ref="AW1011"/>
    <hyperlink r:id="rId1013" ref="BH1012"/>
    <hyperlink r:id="rId1014" ref="BH1013"/>
    <hyperlink r:id="rId1015" ref="BH1014"/>
    <hyperlink r:id="rId1016" ref="ED1015"/>
    <hyperlink r:id="rId1017" ref="AW1016"/>
    <hyperlink r:id="rId1018" ref="ED1017"/>
    <hyperlink r:id="rId1019" ref="ED1018"/>
    <hyperlink r:id="rId1020" ref="BH1019"/>
    <hyperlink r:id="rId1021" ref="AW1020"/>
    <hyperlink r:id="rId1022" ref="CG1021"/>
    <hyperlink r:id="rId1023" ref="BH1022"/>
    <hyperlink r:id="rId1024" ref="BH1023"/>
    <hyperlink r:id="rId1025" ref="BH1024"/>
    <hyperlink r:id="rId1026" ref="AW1025"/>
    <hyperlink r:id="rId1027" ref="AW1026"/>
    <hyperlink r:id="rId1028" ref="BH1027"/>
    <hyperlink r:id="rId1029" ref="AW1028"/>
    <hyperlink r:id="rId1030" ref="BH1029"/>
    <hyperlink r:id="rId1031" ref="AW1030"/>
    <hyperlink r:id="rId1032" ref="AW1032"/>
    <hyperlink r:id="rId1033" ref="BH1033"/>
    <hyperlink r:id="rId1034" ref="AW1034"/>
    <hyperlink r:id="rId1035" ref="BH1035"/>
    <hyperlink r:id="rId1036" ref="BH1036"/>
    <hyperlink r:id="rId1037" ref="AW1037"/>
    <hyperlink r:id="rId1038" ref="BH1038"/>
    <hyperlink r:id="rId1039" ref="BH1039"/>
    <hyperlink r:id="rId1040" ref="BH1040"/>
    <hyperlink r:id="rId1041" ref="AW1041"/>
    <hyperlink r:id="rId1042" ref="AW1042"/>
    <hyperlink r:id="rId1043" ref="AW1043"/>
    <hyperlink r:id="rId1044" ref="BH1044"/>
    <hyperlink r:id="rId1045" ref="AW1045"/>
    <hyperlink r:id="rId1046" ref="BH1046"/>
    <hyperlink r:id="rId1047" ref="BH1047"/>
    <hyperlink r:id="rId1048" ref="BH1048"/>
    <hyperlink r:id="rId1049" ref="BH1049"/>
    <hyperlink r:id="rId1050" ref="AW1050"/>
    <hyperlink r:id="rId1051" ref="BH1051"/>
    <hyperlink r:id="rId1052" ref="BH1052"/>
    <hyperlink r:id="rId1053" ref="AW1053"/>
    <hyperlink r:id="rId1054" ref="BH1054"/>
    <hyperlink r:id="rId1055" ref="BH1055"/>
    <hyperlink r:id="rId1056" ref="BH1056"/>
    <hyperlink r:id="rId1057" ref="BV1057"/>
    <hyperlink r:id="rId1058" ref="BH1058"/>
    <hyperlink r:id="rId1059" ref="BH1059"/>
    <hyperlink r:id="rId1060" ref="BH1060"/>
    <hyperlink r:id="rId1061" ref="BH1061"/>
    <hyperlink r:id="rId1062" ref="AW1062"/>
    <hyperlink r:id="rId1063" ref="DC1063"/>
    <hyperlink r:id="rId1064" ref="BH1064"/>
    <hyperlink r:id="rId1065" ref="AW1065"/>
    <hyperlink r:id="rId1066" ref="BH1066"/>
    <hyperlink r:id="rId1067" ref="BH1067"/>
    <hyperlink r:id="rId1068" ref="BV1068"/>
    <hyperlink r:id="rId1069" ref="BH1069"/>
    <hyperlink r:id="rId1070" ref="BH1070"/>
    <hyperlink r:id="rId1071" ref="BV1071"/>
    <hyperlink r:id="rId1072" ref="BV1072"/>
    <hyperlink r:id="rId1073" ref="BH1073"/>
    <hyperlink r:id="rId1074" ref="BH1074"/>
    <hyperlink r:id="rId1075" ref="BH1075"/>
    <hyperlink r:id="rId1076" ref="CG1076"/>
    <hyperlink r:id="rId1077" ref="BH1077"/>
    <hyperlink r:id="rId1078" ref="BH1078"/>
    <hyperlink r:id="rId1079" ref="BH1079"/>
    <hyperlink r:id="rId1080" ref="BH1080"/>
    <hyperlink r:id="rId1081" ref="BH1081"/>
    <hyperlink r:id="rId1082" ref="BH1082"/>
    <hyperlink r:id="rId1083" ref="BH1083"/>
    <hyperlink r:id="rId1084" ref="BH1084"/>
    <hyperlink r:id="rId1085" ref="GJ1085"/>
    <hyperlink r:id="rId1086" ref="BV1086"/>
    <hyperlink r:id="rId1087" ref="BH1087"/>
    <hyperlink r:id="rId1088" ref="GD1088"/>
    <hyperlink r:id="rId1089" ref="AW1089"/>
    <hyperlink r:id="rId1090" ref="AW1090"/>
    <hyperlink r:id="rId1091" ref="AW1091"/>
    <hyperlink r:id="rId1092" ref="AW1092"/>
    <hyperlink r:id="rId1093" ref="GJ1093"/>
    <hyperlink r:id="rId1094" ref="GJ1094"/>
    <hyperlink r:id="rId1095" ref="AW1095"/>
    <hyperlink r:id="rId1096" ref="GJ1096"/>
    <hyperlink r:id="rId1097" ref="BH1097"/>
    <hyperlink r:id="rId1098" ref="BH1098"/>
    <hyperlink r:id="rId1099" ref="AW1099"/>
    <hyperlink r:id="rId1100" ref="BH1100"/>
    <hyperlink r:id="rId1101" ref="BH1101"/>
    <hyperlink r:id="rId1102" ref="BH1102"/>
    <hyperlink r:id="rId1103" ref="AW1103"/>
    <hyperlink r:id="rId1104" ref="BH1104"/>
    <hyperlink r:id="rId1105" ref="BH1105"/>
    <hyperlink r:id="rId1106" ref="BH1106"/>
    <hyperlink r:id="rId1107" ref="AW1107"/>
    <hyperlink r:id="rId1108" ref="BH1108"/>
    <hyperlink r:id="rId1109" ref="AW1109"/>
    <hyperlink r:id="rId1110" ref="BV1110"/>
    <hyperlink r:id="rId1111" ref="BH1111"/>
    <hyperlink r:id="rId1112" ref="BV1112"/>
    <hyperlink r:id="rId1113" ref="BH1113"/>
    <hyperlink r:id="rId1114" ref="AW1114"/>
    <hyperlink r:id="rId1115" ref="AW1115"/>
    <hyperlink r:id="rId1116" ref="BH1116"/>
    <hyperlink r:id="rId1117" ref="BH1117"/>
    <hyperlink r:id="rId1118" ref="ED1118"/>
    <hyperlink r:id="rId1119" ref="BH1119"/>
    <hyperlink r:id="rId1120" ref="BH1120"/>
    <hyperlink r:id="rId1121" ref="BH1121"/>
    <hyperlink r:id="rId1122" ref="FY1122"/>
    <hyperlink r:id="rId1123" ref="AW1123"/>
    <hyperlink r:id="rId1124" ref="ED1124"/>
    <hyperlink r:id="rId1125" ref="AW1125"/>
    <hyperlink r:id="rId1126" ref="BH1126"/>
    <hyperlink r:id="rId1127" ref="BH1127"/>
    <hyperlink r:id="rId1128" ref="BH1128"/>
    <hyperlink r:id="rId1129" ref="BH1129"/>
    <hyperlink r:id="rId1130" ref="BH1130"/>
    <hyperlink r:id="rId1131" ref="BV1131"/>
    <hyperlink r:id="rId1132" ref="BV1133"/>
    <hyperlink r:id="rId1133" ref="BV1134"/>
    <hyperlink r:id="rId1134" ref="BV1135"/>
    <hyperlink r:id="rId1135" ref="BV1136"/>
    <hyperlink r:id="rId1136" ref="BH1137"/>
    <hyperlink r:id="rId1137" ref="BH1138"/>
    <hyperlink r:id="rId1138" ref="AW1139"/>
    <hyperlink r:id="rId1139" ref="FY1140"/>
    <hyperlink r:id="rId1140" ref="BH1141"/>
    <hyperlink r:id="rId1141" ref="BV1142"/>
    <hyperlink r:id="rId1142" ref="BV1143"/>
    <hyperlink r:id="rId1143" ref="AW1144"/>
    <hyperlink r:id="rId1144" ref="BH1145"/>
    <hyperlink r:id="rId1145" ref="BH1146"/>
    <hyperlink r:id="rId1146" ref="BH1147"/>
    <hyperlink r:id="rId1147" ref="BH1148"/>
    <hyperlink r:id="rId1148" ref="AW1149"/>
    <hyperlink r:id="rId1149" ref="AW1150"/>
    <hyperlink r:id="rId1150" ref="AW1151"/>
    <hyperlink r:id="rId1151" ref="AW1152"/>
    <hyperlink r:id="rId1152" ref="AW1153"/>
    <hyperlink r:id="rId1153" ref="AW1154"/>
    <hyperlink r:id="rId1154" ref="AW1155"/>
    <hyperlink r:id="rId1155" ref="BH1156"/>
    <hyperlink r:id="rId1156" ref="BH1157"/>
    <hyperlink r:id="rId1157" ref="BH1158"/>
    <hyperlink r:id="rId1158" ref="BH1159"/>
    <hyperlink r:id="rId1159" ref="BH1160"/>
    <hyperlink r:id="rId1160" ref="BH1161"/>
    <hyperlink r:id="rId1161" ref="AW1162"/>
    <hyperlink r:id="rId1162" ref="BH1163"/>
    <hyperlink r:id="rId1163" ref="AW1164"/>
    <hyperlink r:id="rId1164" ref="BH1165"/>
    <hyperlink r:id="rId1165" ref="BH1166"/>
    <hyperlink r:id="rId1166" ref="BH1167"/>
    <hyperlink r:id="rId1167" ref="BH1168"/>
    <hyperlink r:id="rId1168" ref="BH1169"/>
    <hyperlink r:id="rId1169" ref="AW1170"/>
    <hyperlink r:id="rId1170" ref="BH1171"/>
    <hyperlink r:id="rId1171" ref="BH1172"/>
    <hyperlink r:id="rId1172" ref="BH1173"/>
    <hyperlink r:id="rId1173" ref="CG1174"/>
    <hyperlink r:id="rId1174" ref="BH1175"/>
    <hyperlink r:id="rId1175" ref="BH1176"/>
    <hyperlink r:id="rId1176" ref="AW1177"/>
    <hyperlink r:id="rId1177" ref="AW1178"/>
    <hyperlink r:id="rId1178" ref="BH1179"/>
    <hyperlink r:id="rId1179" ref="BH1180"/>
    <hyperlink r:id="rId1180" ref="AW1181"/>
    <hyperlink r:id="rId1181" ref="BV1182"/>
    <hyperlink r:id="rId1182" ref="BH1183"/>
    <hyperlink r:id="rId1183" ref="BH1184"/>
    <hyperlink r:id="rId1184" ref="BH1185"/>
    <hyperlink r:id="rId1185" ref="BH1186"/>
    <hyperlink r:id="rId1186" ref="BH1187"/>
    <hyperlink r:id="rId1187" ref="BH1188"/>
    <hyperlink r:id="rId1188" ref="BH1189"/>
    <hyperlink r:id="rId1189" ref="BH1190"/>
    <hyperlink r:id="rId1190" ref="BH1191"/>
    <hyperlink r:id="rId1191" ref="BH1192"/>
    <hyperlink r:id="rId1192" ref="BH1193"/>
    <hyperlink r:id="rId1193" ref="BH1194"/>
    <hyperlink r:id="rId1194" ref="BH1195"/>
    <hyperlink r:id="rId1195" ref="BH1196"/>
    <hyperlink r:id="rId1196" ref="BH1197"/>
    <hyperlink r:id="rId1197" ref="CG1198"/>
    <hyperlink r:id="rId1198" ref="AW1199"/>
    <hyperlink r:id="rId1199" ref="BH1200"/>
    <hyperlink r:id="rId1200" ref="AW1201"/>
    <hyperlink r:id="rId1201" ref="BH1202"/>
    <hyperlink r:id="rId1202" ref="AW1203"/>
    <hyperlink r:id="rId1203" ref="BV1204"/>
    <hyperlink r:id="rId1204" ref="BH1205"/>
    <hyperlink r:id="rId1205" ref="BH1206"/>
    <hyperlink r:id="rId1206" ref="BH1207"/>
    <hyperlink r:id="rId1207" ref="BH1208"/>
    <hyperlink r:id="rId1208" ref="BH1209"/>
    <hyperlink r:id="rId1209" ref="CG1210"/>
    <hyperlink r:id="rId1210" ref="BH1211"/>
    <hyperlink r:id="rId1211" ref="AW1212"/>
    <hyperlink r:id="rId1212" ref="BV1213"/>
    <hyperlink r:id="rId1213" ref="BH1214"/>
    <hyperlink r:id="rId1214" ref="BH1215"/>
    <hyperlink r:id="rId1215" ref="AW1216"/>
    <hyperlink r:id="rId1216" ref="BH1217"/>
    <hyperlink r:id="rId1217" ref="AW1218"/>
    <hyperlink r:id="rId1218" ref="BH1219"/>
    <hyperlink r:id="rId1219" ref="ED1220"/>
    <hyperlink r:id="rId1220" ref="ED1221"/>
    <hyperlink r:id="rId1221" ref="BH1222"/>
    <hyperlink r:id="rId1222" ref="AW1223"/>
    <hyperlink r:id="rId1223" ref="BH1224"/>
    <hyperlink r:id="rId1224" ref="BH1225"/>
    <hyperlink r:id="rId1225" ref="BH1226"/>
    <hyperlink r:id="rId1226" ref="ED1227"/>
    <hyperlink r:id="rId1227" ref="BH1228"/>
    <hyperlink r:id="rId1228" ref="AW1229"/>
    <hyperlink r:id="rId1229" ref="BH1230"/>
    <hyperlink r:id="rId1230" ref="BH1231"/>
    <hyperlink r:id="rId1231" ref="BH1232"/>
    <hyperlink r:id="rId1232" ref="BH1233"/>
    <hyperlink r:id="rId1233" ref="BH1234"/>
    <hyperlink r:id="rId1234" ref="BH1235"/>
    <hyperlink r:id="rId1235" ref="AW1236"/>
    <hyperlink r:id="rId1236" ref="BH1237"/>
    <hyperlink r:id="rId1237" ref="BH1238"/>
    <hyperlink r:id="rId1238" ref="BH1239"/>
    <hyperlink r:id="rId1239" ref="BH1240"/>
    <hyperlink r:id="rId1240" ref="AW1241"/>
    <hyperlink r:id="rId1241" ref="BH1242"/>
    <hyperlink r:id="rId1242" ref="AW1243"/>
    <hyperlink r:id="rId1243" ref="BH1244"/>
    <hyperlink r:id="rId1244" ref="BH1245"/>
    <hyperlink r:id="rId1245" ref="BH1246"/>
    <hyperlink r:id="rId1246" ref="CG1247"/>
    <hyperlink r:id="rId1247" ref="AW1248"/>
    <hyperlink r:id="rId1248" ref="AW1249"/>
    <hyperlink r:id="rId1249" ref="BH1250"/>
    <hyperlink r:id="rId1250" ref="BH1251"/>
    <hyperlink r:id="rId1251" ref="BH1252"/>
    <hyperlink r:id="rId1252" ref="BH1253"/>
    <hyperlink r:id="rId1253" ref="BH1254"/>
    <hyperlink r:id="rId1254" ref="BH1255"/>
    <hyperlink r:id="rId1255" ref="BH1256"/>
    <hyperlink r:id="rId1256" ref="BH1257"/>
    <hyperlink r:id="rId1257" ref="BH1258"/>
    <hyperlink r:id="rId1258" ref="BH1259"/>
    <hyperlink r:id="rId1259" ref="BH1260"/>
    <hyperlink r:id="rId1260" ref="BH1261"/>
    <hyperlink r:id="rId1261" ref="BH1262"/>
    <hyperlink r:id="rId1262" ref="BH1263"/>
    <hyperlink r:id="rId1263" ref="BH1264"/>
    <hyperlink r:id="rId1264" ref="AW1265"/>
    <hyperlink r:id="rId1265" ref="BH1266"/>
    <hyperlink r:id="rId1266" ref="AW1267"/>
    <hyperlink r:id="rId1267" ref="BH1268"/>
    <hyperlink r:id="rId1268" ref="BH1269"/>
    <hyperlink r:id="rId1269" ref="BH1270"/>
    <hyperlink r:id="rId1270" ref="BH1271"/>
    <hyperlink r:id="rId1271" ref="BH1272"/>
    <hyperlink r:id="rId1272" ref="BH1273"/>
    <hyperlink r:id="rId1273" ref="BH1274"/>
    <hyperlink r:id="rId1274" ref="BH1275"/>
    <hyperlink r:id="rId1275" ref="BH1276"/>
    <hyperlink r:id="rId1276" ref="BV1277"/>
    <hyperlink r:id="rId1277" ref="BH1278"/>
    <hyperlink r:id="rId1278" ref="ED1279"/>
    <hyperlink r:id="rId1279" ref="FK1280"/>
    <hyperlink r:id="rId1280" ref="AW1281"/>
    <hyperlink r:id="rId1281" ref="BH1282"/>
    <hyperlink r:id="rId1282" ref="BH1283"/>
    <hyperlink r:id="rId1283" ref="AW1284"/>
    <hyperlink r:id="rId1284" ref="AW1285"/>
    <hyperlink r:id="rId1285" ref="AW1286"/>
    <hyperlink r:id="rId1286" ref="BH1287"/>
    <hyperlink r:id="rId1287" ref="DM1288"/>
    <hyperlink r:id="rId1288" ref="AW1289"/>
    <hyperlink r:id="rId1289" ref="BH1290"/>
    <hyperlink r:id="rId1290" ref="BH1291"/>
    <hyperlink r:id="rId1291" ref="BV1292"/>
    <hyperlink r:id="rId1292" ref="BH1293"/>
    <hyperlink r:id="rId1293" ref="AW1294"/>
    <hyperlink r:id="rId1294" ref="AW1295"/>
    <hyperlink r:id="rId1295" ref="BV1296"/>
    <hyperlink r:id="rId1296" ref="BV1297"/>
    <hyperlink r:id="rId1297" ref="BH1298"/>
    <hyperlink r:id="rId1298" ref="BH1299"/>
    <hyperlink r:id="rId1299" ref="BH1300"/>
    <hyperlink r:id="rId1300" ref="BH1301"/>
    <hyperlink r:id="rId1301" ref="BH1302"/>
    <hyperlink r:id="rId1302" ref="BH1303"/>
    <hyperlink r:id="rId1303" ref="BH1304"/>
    <hyperlink r:id="rId1304" ref="BH1305"/>
    <hyperlink r:id="rId1305" ref="BH1306"/>
    <hyperlink r:id="rId1306" ref="BH1307"/>
    <hyperlink r:id="rId1307" ref="AW1308"/>
    <hyperlink r:id="rId1308" ref="BH1309"/>
    <hyperlink r:id="rId1309" ref="BV1310"/>
    <hyperlink r:id="rId1310" ref="BH1311"/>
    <hyperlink r:id="rId1311" ref="BH1312"/>
    <hyperlink r:id="rId1312" ref="BH1313"/>
    <hyperlink r:id="rId1313" ref="BH1314"/>
    <hyperlink r:id="rId1314" ref="ED1315"/>
    <hyperlink r:id="rId1315" ref="BH1316"/>
    <hyperlink r:id="rId1316" ref="AW1317"/>
    <hyperlink r:id="rId1317" ref="AW1318"/>
    <hyperlink r:id="rId1318" ref="BH1319"/>
    <hyperlink r:id="rId1319" ref="BH1320"/>
    <hyperlink r:id="rId1320" ref="BH1321"/>
    <hyperlink r:id="rId1321" ref="BV1322"/>
    <hyperlink r:id="rId1322" ref="BH1323"/>
    <hyperlink r:id="rId1323" ref="BH1324"/>
    <hyperlink r:id="rId1324" ref="BH1325"/>
    <hyperlink r:id="rId1325" ref="BH1326"/>
    <hyperlink r:id="rId1326" ref="BH1327"/>
    <hyperlink r:id="rId1327" ref="BH1328"/>
    <hyperlink r:id="rId1328" ref="BH1329"/>
    <hyperlink r:id="rId1329" ref="BH1330"/>
    <hyperlink r:id="rId1330" ref="BH1331"/>
    <hyperlink r:id="rId1331" ref="BH1332"/>
    <hyperlink r:id="rId1332" ref="BH1333"/>
    <hyperlink r:id="rId1333" ref="AW1334"/>
    <hyperlink r:id="rId1334" ref="BH1335"/>
    <hyperlink r:id="rId1335" ref="BH1336"/>
    <hyperlink r:id="rId1336" ref="BH1337"/>
    <hyperlink r:id="rId1337" ref="BH1338"/>
    <hyperlink r:id="rId1338" ref="BH1339"/>
    <hyperlink r:id="rId1339" ref="BH1340"/>
    <hyperlink r:id="rId1340" ref="BH1341"/>
    <hyperlink r:id="rId1341" ref="BV1342"/>
    <hyperlink r:id="rId1342" ref="BH1343"/>
    <hyperlink r:id="rId1343" ref="BH1344"/>
    <hyperlink r:id="rId1344" ref="BH1345"/>
    <hyperlink r:id="rId1345" ref="BH1346"/>
    <hyperlink r:id="rId1346" ref="BH1347"/>
    <hyperlink r:id="rId1347" ref="BH1348"/>
    <hyperlink r:id="rId1348" ref="BH1349"/>
    <hyperlink r:id="rId1349" ref="BH1350"/>
    <hyperlink r:id="rId1350" ref="BH1351"/>
    <hyperlink r:id="rId1351" ref="BH1352"/>
    <hyperlink r:id="rId1352" ref="BH1353"/>
    <hyperlink r:id="rId1353" ref="BH1354"/>
    <hyperlink r:id="rId1354" ref="BH1355"/>
    <hyperlink r:id="rId1355" ref="BH1356"/>
    <hyperlink r:id="rId1356" ref="BH1357"/>
    <hyperlink r:id="rId1357" ref="BH1358"/>
    <hyperlink r:id="rId1358" ref="BH1359"/>
    <hyperlink r:id="rId1359" ref="ED1360"/>
    <hyperlink r:id="rId1360" ref="BH1361"/>
    <hyperlink r:id="rId1361" ref="BH1362"/>
    <hyperlink r:id="rId1362" ref="BH1363"/>
    <hyperlink r:id="rId1363" ref="AW1364"/>
    <hyperlink r:id="rId1364" ref="AW1365"/>
    <hyperlink r:id="rId1365" ref="BH1366"/>
    <hyperlink r:id="rId1366" ref="BH1367"/>
    <hyperlink r:id="rId1367" ref="BH1368"/>
    <hyperlink r:id="rId1368" ref="BH1369"/>
    <hyperlink r:id="rId1369" ref="BH1370"/>
    <hyperlink r:id="rId1370" ref="BV1371"/>
    <hyperlink r:id="rId1371" ref="ED1372"/>
    <hyperlink r:id="rId1372" ref="BH1373"/>
    <hyperlink r:id="rId1373" ref="ED1374"/>
    <hyperlink r:id="rId1374" ref="BV1375"/>
    <hyperlink r:id="rId1375" ref="ED1376"/>
    <hyperlink r:id="rId1376" ref="BV1377"/>
    <hyperlink r:id="rId1377" ref="BH1378"/>
    <hyperlink r:id="rId1378" ref="AW1379"/>
    <hyperlink r:id="rId1379" ref="BH1380"/>
    <hyperlink r:id="rId1380" ref="BV1381"/>
    <hyperlink r:id="rId1381" ref="ED1382"/>
    <hyperlink r:id="rId1382" ref="BH1383"/>
    <hyperlink r:id="rId1383" ref="BH1384"/>
    <hyperlink r:id="rId1384" ref="BH1385"/>
    <hyperlink r:id="rId1385" ref="ED1386"/>
    <hyperlink r:id="rId1386" ref="ED1387"/>
    <hyperlink r:id="rId1387" ref="BH1388"/>
    <hyperlink r:id="rId1388" ref="ED1389"/>
    <hyperlink r:id="rId1389" ref="BH1390"/>
    <hyperlink r:id="rId1390" ref="BH1391"/>
    <hyperlink r:id="rId1391" ref="BH1392"/>
    <hyperlink r:id="rId1392" ref="BH1393"/>
    <hyperlink r:id="rId1393" ref="BH1394"/>
    <hyperlink r:id="rId1394" ref="BH1395"/>
    <hyperlink r:id="rId1395" ref="BH1396"/>
    <hyperlink r:id="rId1396" ref="BH1397"/>
    <hyperlink r:id="rId1397" ref="BH1398"/>
    <hyperlink r:id="rId1398" ref="AW1399"/>
    <hyperlink r:id="rId1399" ref="BH1400"/>
    <hyperlink r:id="rId1400" ref="BH1401"/>
    <hyperlink r:id="rId1401" ref="BH1402"/>
    <hyperlink r:id="rId1402" ref="BH1403"/>
    <hyperlink r:id="rId1403" ref="BH1404"/>
    <hyperlink r:id="rId1404" ref="BH1405"/>
    <hyperlink r:id="rId1405" ref="BH1406"/>
    <hyperlink r:id="rId1406" ref="BH1407"/>
    <hyperlink r:id="rId1407" ref="BV1408"/>
    <hyperlink r:id="rId1408" ref="AW1409"/>
    <hyperlink r:id="rId1409" ref="AW1410"/>
    <hyperlink r:id="rId1410" ref="AW1411"/>
    <hyperlink r:id="rId1411" ref="BH1412"/>
    <hyperlink r:id="rId1412" ref="BH1413"/>
    <hyperlink r:id="rId1413" ref="AW1414"/>
    <hyperlink r:id="rId1414" ref="BH1415"/>
    <hyperlink r:id="rId1415" ref="BH1416"/>
    <hyperlink r:id="rId1416" ref="BH1417"/>
    <hyperlink r:id="rId1417" ref="BH1418"/>
    <hyperlink r:id="rId1418" ref="BH1419"/>
    <hyperlink r:id="rId1419" ref="BH1420"/>
    <hyperlink r:id="rId1420" ref="BH1421"/>
    <hyperlink r:id="rId1421" ref="BV1422"/>
    <hyperlink r:id="rId1422" ref="BV1423"/>
    <hyperlink r:id="rId1423" ref="BH1424"/>
    <hyperlink r:id="rId1424" ref="BH1425"/>
    <hyperlink r:id="rId1425" ref="BH1426"/>
    <hyperlink r:id="rId1426" ref="AW1427"/>
    <hyperlink r:id="rId1427" ref="BH1428"/>
    <hyperlink r:id="rId1428" ref="BH1429"/>
    <hyperlink r:id="rId1429" ref="BH1430"/>
    <hyperlink r:id="rId1430" ref="BH1431"/>
    <hyperlink r:id="rId1431" ref="BH1432"/>
    <hyperlink r:id="rId1432" ref="BH1433"/>
    <hyperlink r:id="rId1433" ref="BH1434"/>
    <hyperlink r:id="rId1434" ref="BH1435"/>
    <hyperlink r:id="rId1435" ref="BH1436"/>
    <hyperlink r:id="rId1436" ref="BH1437"/>
    <hyperlink r:id="rId1437" ref="BH1438"/>
    <hyperlink r:id="rId1438" ref="BH1439"/>
    <hyperlink r:id="rId1439" ref="BH1440"/>
    <hyperlink r:id="rId1440" ref="BH1441"/>
    <hyperlink r:id="rId1441" ref="BH1442"/>
    <hyperlink r:id="rId1442" ref="AW1443"/>
    <hyperlink r:id="rId1443" ref="BH1444"/>
    <hyperlink r:id="rId1444" ref="BH1445"/>
    <hyperlink r:id="rId1445" ref="BH1446"/>
    <hyperlink r:id="rId1446" ref="ED1447"/>
    <hyperlink r:id="rId1447" ref="BH1448"/>
    <hyperlink r:id="rId1448" ref="FK1449"/>
    <hyperlink r:id="rId1449" ref="BH1450"/>
    <hyperlink r:id="rId1450" ref="BH1451"/>
    <hyperlink r:id="rId1451" ref="BH1452"/>
    <hyperlink r:id="rId1452" ref="BH1453"/>
    <hyperlink r:id="rId1453" ref="BH1454"/>
    <hyperlink r:id="rId1454" ref="AW1455"/>
    <hyperlink r:id="rId1455" ref="BH1456"/>
    <hyperlink r:id="rId1456" ref="BH1457"/>
    <hyperlink r:id="rId1457" ref="BH1458"/>
    <hyperlink r:id="rId1458" ref="BH1459"/>
    <hyperlink r:id="rId1459" ref="BH1460"/>
    <hyperlink r:id="rId1460" ref="AW1461"/>
    <hyperlink r:id="rId1461" ref="BH1462"/>
    <hyperlink r:id="rId1462" ref="BH1463"/>
    <hyperlink r:id="rId1463" ref="BH1464"/>
    <hyperlink r:id="rId1464" ref="BH1465"/>
    <hyperlink r:id="rId1465" ref="BH1466"/>
    <hyperlink r:id="rId1466" ref="BH1467"/>
    <hyperlink r:id="rId1467" ref="BH1468"/>
    <hyperlink r:id="rId1468" ref="BH1469"/>
    <hyperlink r:id="rId1469" ref="BH1470"/>
    <hyperlink r:id="rId1470" ref="BH1471"/>
    <hyperlink r:id="rId1471" ref="BH1472"/>
    <hyperlink r:id="rId1472" ref="BH1473"/>
    <hyperlink r:id="rId1473" ref="BH1474"/>
    <hyperlink r:id="rId1474" ref="BH1475"/>
    <hyperlink r:id="rId1475" ref="BH1476"/>
    <hyperlink r:id="rId1476" ref="BH1477"/>
    <hyperlink r:id="rId1477" ref="BH1478"/>
    <hyperlink r:id="rId1478" ref="BH1479"/>
    <hyperlink r:id="rId1479" ref="BH1480"/>
    <hyperlink r:id="rId1480" ref="BH1481"/>
    <hyperlink r:id="rId1481" ref="BH1482"/>
    <hyperlink r:id="rId1482" ref="BH1483"/>
    <hyperlink r:id="rId1483" ref="BH1484"/>
    <hyperlink r:id="rId1484" ref="BH1485"/>
    <hyperlink r:id="rId1485" ref="BH1486"/>
    <hyperlink r:id="rId1486" ref="BH1487"/>
    <hyperlink r:id="rId1487" ref="BH1488"/>
    <hyperlink r:id="rId1488" ref="BV1489"/>
    <hyperlink r:id="rId1489" ref="BH1490"/>
    <hyperlink r:id="rId1490" ref="BH1491"/>
    <hyperlink r:id="rId1491" ref="BH1492"/>
    <hyperlink r:id="rId1492" ref="AW1493"/>
    <hyperlink r:id="rId1493" ref="BH1494"/>
    <hyperlink r:id="rId1494" ref="AW1495"/>
    <hyperlink r:id="rId1495" ref="AW1497"/>
    <hyperlink r:id="rId1496" ref="AW1498"/>
    <hyperlink r:id="rId1497" ref="BH1499"/>
    <hyperlink r:id="rId1498" ref="BH1500"/>
    <hyperlink r:id="rId1499" ref="BH1501"/>
    <hyperlink r:id="rId1500" ref="BH1502"/>
    <hyperlink r:id="rId1501" ref="BH1503"/>
    <hyperlink r:id="rId1502" ref="BH1504"/>
    <hyperlink r:id="rId1503" ref="BH1505"/>
    <hyperlink r:id="rId1504" ref="BH1506"/>
    <hyperlink r:id="rId1505" ref="BH1507"/>
    <hyperlink r:id="rId1506" ref="BH1508"/>
    <hyperlink r:id="rId1507" ref="BH1509"/>
    <hyperlink r:id="rId1508" ref="BH1510"/>
    <hyperlink r:id="rId1509" ref="BH1511"/>
    <hyperlink r:id="rId1510" ref="BH1512"/>
    <hyperlink r:id="rId1511" ref="BH1513"/>
    <hyperlink r:id="rId1512" ref="CG1514"/>
    <hyperlink r:id="rId1513" ref="BH1515"/>
    <hyperlink r:id="rId1514" ref="BH1516"/>
    <hyperlink r:id="rId1515" ref="BH1517"/>
    <hyperlink r:id="rId1516" ref="BV1518"/>
    <hyperlink r:id="rId1517" ref="BH1519"/>
    <hyperlink r:id="rId1518" ref="AW1520"/>
    <hyperlink r:id="rId1519" ref="AW1521"/>
    <hyperlink r:id="rId1520" ref="BH1522"/>
    <hyperlink r:id="rId1521" ref="AW1523"/>
    <hyperlink r:id="rId1522" ref="BH1524"/>
    <hyperlink r:id="rId1523" ref="BH1525"/>
    <hyperlink r:id="rId1524" ref="ED1526"/>
    <hyperlink r:id="rId1525" ref="BH1527"/>
    <hyperlink r:id="rId1526" ref="GJ1529"/>
    <hyperlink r:id="rId1527" ref="GJ1530"/>
    <hyperlink r:id="rId1528" ref="GJ1531"/>
    <hyperlink r:id="rId1529" ref="GJ1532"/>
    <hyperlink r:id="rId1530" ref="GJ1533"/>
    <hyperlink r:id="rId1531" ref="GJ1534"/>
    <hyperlink r:id="rId1532" ref="BH1535"/>
    <hyperlink r:id="rId1533" ref="BV1536"/>
    <hyperlink r:id="rId1534" ref="BH1537"/>
    <hyperlink r:id="rId1535" ref="BV1538"/>
    <hyperlink r:id="rId1536" ref="BH1539"/>
    <hyperlink r:id="rId1537" ref="BH1540"/>
    <hyperlink r:id="rId1538" ref="BH1541"/>
    <hyperlink r:id="rId1539" ref="BV1542"/>
    <hyperlink r:id="rId1540" ref="BH1543"/>
    <hyperlink r:id="rId1541" ref="BH1544"/>
    <hyperlink r:id="rId1542" ref="BH1545"/>
    <hyperlink r:id="rId1543" ref="BH1546"/>
    <hyperlink r:id="rId1544" ref="BH1547"/>
    <hyperlink r:id="rId1545" ref="BH1548"/>
    <hyperlink r:id="rId1546" ref="BH1549"/>
    <hyperlink r:id="rId1547" ref="BH1550"/>
    <hyperlink r:id="rId1548" ref="BH1551"/>
    <hyperlink r:id="rId1549" ref="BH1552"/>
    <hyperlink r:id="rId1550" ref="AW1553"/>
    <hyperlink r:id="rId1551" ref="AW1554"/>
    <hyperlink r:id="rId1552" ref="BH1555"/>
    <hyperlink r:id="rId1553" ref="AW1556"/>
    <hyperlink r:id="rId1554" ref="BH1557"/>
    <hyperlink r:id="rId1555" ref="BH1558"/>
    <hyperlink r:id="rId1556" ref="BH1559"/>
    <hyperlink r:id="rId1557" ref="BH1560"/>
    <hyperlink r:id="rId1558" ref="AW1561"/>
    <hyperlink r:id="rId1559" ref="BH1562"/>
    <hyperlink r:id="rId1560" ref="BH1563"/>
    <hyperlink r:id="rId1561" ref="BH1564"/>
    <hyperlink r:id="rId1562" ref="BH1565"/>
    <hyperlink r:id="rId1563" ref="BH1566"/>
    <hyperlink r:id="rId1564" ref="BH1567"/>
    <hyperlink r:id="rId1565" ref="BH1568"/>
    <hyperlink r:id="rId1566" ref="BH1569"/>
    <hyperlink r:id="rId1567" ref="BH1570"/>
    <hyperlink r:id="rId1568" ref="BH1571"/>
    <hyperlink r:id="rId1569" ref="AW1572"/>
    <hyperlink r:id="rId1570" ref="AW1573"/>
    <hyperlink r:id="rId1571" ref="AW1574"/>
    <hyperlink r:id="rId1572" ref="AW1575"/>
    <hyperlink r:id="rId1573" ref="BH1576"/>
    <hyperlink r:id="rId1574" ref="BH1577"/>
    <hyperlink r:id="rId1575" ref="BH1578"/>
    <hyperlink r:id="rId1576" ref="BH1579"/>
    <hyperlink r:id="rId1577" ref="BH1580"/>
    <hyperlink r:id="rId1578" ref="BH1581"/>
    <hyperlink r:id="rId1579" ref="FK1582"/>
    <hyperlink r:id="rId1580" ref="BV1583"/>
    <hyperlink r:id="rId1581" ref="FY1584"/>
    <hyperlink r:id="rId1582" ref="BH1585"/>
    <hyperlink r:id="rId1583" ref="BH1586"/>
    <hyperlink r:id="rId1584" ref="BH1587"/>
    <hyperlink r:id="rId1585" ref="BH1588"/>
    <hyperlink r:id="rId1586" ref="BH1589"/>
    <hyperlink r:id="rId1587" ref="BH1590"/>
    <hyperlink r:id="rId1588" ref="BH1591"/>
    <hyperlink r:id="rId1589" ref="BH1592"/>
    <hyperlink r:id="rId1590" ref="BH1593"/>
    <hyperlink r:id="rId1591" ref="BH1594"/>
    <hyperlink r:id="rId1592" ref="BH1595"/>
    <hyperlink r:id="rId1593" ref="AW1596"/>
    <hyperlink r:id="rId1594" ref="BH1597"/>
    <hyperlink r:id="rId1595" ref="BH1598"/>
    <hyperlink r:id="rId1596" ref="BH1599"/>
    <hyperlink r:id="rId1597" ref="BH1600"/>
    <hyperlink r:id="rId1598" ref="BH1601"/>
    <hyperlink r:id="rId1599" ref="BH1602"/>
    <hyperlink r:id="rId1600" ref="BH1603"/>
    <hyperlink r:id="rId1601" ref="BH1604"/>
    <hyperlink r:id="rId1602" ref="BH1605"/>
    <hyperlink r:id="rId1603" ref="BH1606"/>
    <hyperlink r:id="rId1604" ref="BH1607"/>
    <hyperlink r:id="rId1605" ref="AW1608"/>
    <hyperlink r:id="rId1606" ref="BH1609"/>
    <hyperlink r:id="rId1607" ref="BH1610"/>
    <hyperlink r:id="rId1608" ref="AW1611"/>
    <hyperlink r:id="rId1609" ref="BH1612"/>
    <hyperlink r:id="rId1610" ref="BH1613"/>
    <hyperlink r:id="rId1611" ref="BH1614"/>
    <hyperlink r:id="rId1612" ref="BH1615"/>
    <hyperlink r:id="rId1613" ref="BH1616"/>
    <hyperlink r:id="rId1614" ref="BH1617"/>
    <hyperlink r:id="rId1615" ref="BH1618"/>
    <hyperlink r:id="rId1616" ref="BH1619"/>
    <hyperlink r:id="rId1617" ref="BH1620"/>
    <hyperlink r:id="rId1618" ref="BH1621"/>
    <hyperlink r:id="rId1619" ref="BV1622"/>
    <hyperlink r:id="rId1620" ref="BH1623"/>
    <hyperlink r:id="rId1621" ref="BV1624"/>
    <hyperlink r:id="rId1622" ref="BH1625"/>
    <hyperlink r:id="rId1623" ref="BH1626"/>
    <hyperlink r:id="rId1624" ref="BH1627"/>
    <hyperlink r:id="rId1625" ref="ED1628"/>
    <hyperlink r:id="rId1626" ref="BH1629"/>
    <hyperlink r:id="rId1627" ref="BH1630"/>
    <hyperlink r:id="rId1628" ref="BH1631"/>
    <hyperlink r:id="rId1629" ref="BH1632"/>
    <hyperlink r:id="rId1630" ref="AW1633"/>
    <hyperlink r:id="rId1631" ref="BH1634"/>
    <hyperlink r:id="rId1632" ref="BH1635"/>
    <hyperlink r:id="rId1633" ref="AW1636"/>
    <hyperlink r:id="rId1634" ref="BH1637"/>
    <hyperlink r:id="rId1635" ref="BH1638"/>
    <hyperlink r:id="rId1636" ref="BH1639"/>
    <hyperlink r:id="rId1637" ref="AW1640"/>
    <hyperlink r:id="rId1638" ref="AW1641"/>
    <hyperlink r:id="rId1639" ref="BH1642"/>
    <hyperlink r:id="rId1640" ref="BH1643"/>
    <hyperlink r:id="rId1641" ref="BH1644"/>
    <hyperlink r:id="rId1642" ref="BH1645"/>
    <hyperlink r:id="rId1643" ref="BH1646"/>
    <hyperlink r:id="rId1644" ref="BH1647"/>
    <hyperlink r:id="rId1645" ref="BH1648"/>
    <hyperlink r:id="rId1646" ref="BH1649"/>
    <hyperlink r:id="rId1647" ref="BH1650"/>
    <hyperlink r:id="rId1648" ref="BH1651"/>
    <hyperlink r:id="rId1649" ref="BH1652"/>
    <hyperlink r:id="rId1650" ref="BV1653"/>
    <hyperlink r:id="rId1651" ref="BV1654"/>
    <hyperlink r:id="rId1652" ref="BH1655"/>
    <hyperlink r:id="rId1653" ref="AW1656"/>
    <hyperlink r:id="rId1654" ref="BH1657"/>
    <hyperlink r:id="rId1655" ref="BH1658"/>
    <hyperlink r:id="rId1656" ref="BH1659"/>
    <hyperlink r:id="rId1657" ref="BH1660"/>
    <hyperlink r:id="rId1658" ref="BH1661"/>
    <hyperlink r:id="rId1659" ref="AW1662"/>
    <hyperlink r:id="rId1660" ref="BH1663"/>
    <hyperlink r:id="rId1661" ref="BV1664"/>
    <hyperlink r:id="rId1662" ref="ED1665"/>
    <hyperlink r:id="rId1663" ref="AW1666"/>
    <hyperlink r:id="rId1664" ref="AW1667"/>
    <hyperlink r:id="rId1665" ref="AW1668"/>
    <hyperlink r:id="rId1666" ref="AW1669"/>
    <hyperlink r:id="rId1667" ref="BH1670"/>
    <hyperlink r:id="rId1668" ref="BH1671"/>
    <hyperlink r:id="rId1669" ref="BH1672"/>
    <hyperlink r:id="rId1670" ref="BH1673"/>
    <hyperlink r:id="rId1671" ref="BH1674"/>
    <hyperlink r:id="rId1672" ref="BH1675"/>
    <hyperlink r:id="rId1673" ref="BH1676"/>
    <hyperlink r:id="rId1674" ref="BH1677"/>
    <hyperlink r:id="rId1675" ref="BH1678"/>
    <hyperlink r:id="rId1676" ref="BH1679"/>
    <hyperlink r:id="rId1677" ref="BH1680"/>
    <hyperlink r:id="rId1678" ref="BH1681"/>
    <hyperlink r:id="rId1679" ref="BH1682"/>
    <hyperlink r:id="rId1680" ref="BH1683"/>
    <hyperlink r:id="rId1681" ref="BH1684"/>
    <hyperlink r:id="rId1682" ref="BH1685"/>
    <hyperlink r:id="rId1683" ref="BH1686"/>
    <hyperlink r:id="rId1684" ref="BH1687"/>
    <hyperlink r:id="rId1685" ref="BH1688"/>
    <hyperlink r:id="rId1686" ref="BH1689"/>
    <hyperlink r:id="rId1687" ref="BH1690"/>
    <hyperlink r:id="rId1688" ref="BH1691"/>
    <hyperlink r:id="rId1689" ref="BH1692"/>
    <hyperlink r:id="rId1690" ref="BH1693"/>
    <hyperlink r:id="rId1691" ref="BH1694"/>
    <hyperlink r:id="rId1692" ref="BH1695"/>
    <hyperlink r:id="rId1693" ref="BH1696"/>
    <hyperlink r:id="rId1694" ref="BH1697"/>
    <hyperlink r:id="rId1695" ref="BH1698"/>
    <hyperlink r:id="rId1696" ref="BH1699"/>
    <hyperlink r:id="rId1697" ref="BH1700"/>
    <hyperlink r:id="rId1698" ref="BH1701"/>
    <hyperlink r:id="rId1699" ref="BH1702"/>
    <hyperlink r:id="rId1700" ref="BH1703"/>
    <hyperlink r:id="rId1701" ref="BH1704"/>
    <hyperlink r:id="rId1702" ref="BH1705"/>
    <hyperlink r:id="rId1703" ref="BH1706"/>
    <hyperlink r:id="rId1704" ref="BH1707"/>
    <hyperlink r:id="rId1705" ref="BH1708"/>
    <hyperlink r:id="rId1706" ref="AW1709"/>
    <hyperlink r:id="rId1707" ref="BH1710"/>
    <hyperlink r:id="rId1708" ref="CG1711"/>
    <hyperlink r:id="rId1709" ref="CG1712"/>
    <hyperlink r:id="rId1710" ref="CG1713"/>
    <hyperlink r:id="rId1711" ref="CG1714"/>
    <hyperlink r:id="rId1712" ref="CG1715"/>
    <hyperlink r:id="rId1713" ref="CG1716"/>
    <hyperlink r:id="rId1714" ref="CG1717"/>
    <hyperlink r:id="rId1715" ref="CG1718"/>
    <hyperlink r:id="rId1716" ref="CG1719"/>
    <hyperlink r:id="rId1717" ref="CG1720"/>
    <hyperlink r:id="rId1718" ref="CG1721"/>
    <hyperlink r:id="rId1719" ref="CG1722"/>
    <hyperlink r:id="rId1720" ref="CG1723"/>
    <hyperlink r:id="rId1721" ref="CG1724"/>
    <hyperlink r:id="rId1722" ref="CG1725"/>
    <hyperlink r:id="rId1723" ref="CG1726"/>
    <hyperlink r:id="rId1724" ref="CG1727"/>
    <hyperlink r:id="rId1725" ref="CG1728"/>
    <hyperlink r:id="rId1726" ref="CG1729"/>
    <hyperlink r:id="rId1727" ref="CG1730"/>
    <hyperlink r:id="rId1728" ref="CG1731"/>
    <hyperlink r:id="rId1729" ref="CG1732"/>
    <hyperlink r:id="rId1730" ref="CG1733"/>
    <hyperlink r:id="rId1731" ref="CG1734"/>
    <hyperlink r:id="rId1732" ref="CG1735"/>
    <hyperlink r:id="rId1733" ref="CG1736"/>
    <hyperlink r:id="rId1734" ref="CG1737"/>
    <hyperlink r:id="rId1735" ref="CG1738"/>
    <hyperlink r:id="rId1736" ref="CG1739"/>
    <hyperlink r:id="rId1737" ref="CG1740"/>
    <hyperlink r:id="rId1738" ref="CG1741"/>
    <hyperlink r:id="rId1739" ref="CG1742"/>
    <hyperlink r:id="rId1740" ref="CG1743"/>
    <hyperlink r:id="rId1741" ref="CG1744"/>
    <hyperlink r:id="rId1742" ref="CG1745"/>
    <hyperlink r:id="rId1743" ref="CG1746"/>
    <hyperlink r:id="rId1744" ref="CG1747"/>
    <hyperlink r:id="rId1745" ref="CG1748"/>
    <hyperlink r:id="rId1746" ref="CG1749"/>
    <hyperlink r:id="rId1747" ref="CG1750"/>
    <hyperlink r:id="rId1748" ref="CG1751"/>
    <hyperlink r:id="rId1749" ref="CG1752"/>
    <hyperlink r:id="rId1750" ref="CG1753"/>
    <hyperlink r:id="rId1751" ref="CG1754"/>
    <hyperlink r:id="rId1752" ref="CG1755"/>
    <hyperlink r:id="rId1753" ref="CG1756"/>
    <hyperlink r:id="rId1754" ref="CG1757"/>
    <hyperlink r:id="rId1755" ref="CG1758"/>
    <hyperlink r:id="rId1756" ref="CG1759"/>
    <hyperlink r:id="rId1757" ref="CG1760"/>
    <hyperlink r:id="rId1758" ref="CG1761"/>
    <hyperlink r:id="rId1759" ref="CG1762"/>
    <hyperlink r:id="rId1760" ref="CG1763"/>
    <hyperlink r:id="rId1761" ref="CG1764"/>
    <hyperlink r:id="rId1762" ref="CG1765"/>
    <hyperlink r:id="rId1763" ref="CG1766"/>
    <hyperlink r:id="rId1764" ref="CG1767"/>
    <hyperlink r:id="rId1765" ref="CG1768"/>
    <hyperlink r:id="rId1766" ref="CG1769"/>
    <hyperlink r:id="rId1767" ref="CG1770"/>
    <hyperlink r:id="rId1768" ref="CG1771"/>
    <hyperlink r:id="rId1769" ref="CB1772"/>
    <hyperlink r:id="rId1770" ref="CG1772"/>
    <hyperlink r:id="rId1771" ref="CG1773"/>
    <hyperlink r:id="rId1772" ref="CG1774"/>
    <hyperlink r:id="rId1773" ref="CG1775"/>
    <hyperlink r:id="rId1774" ref="CG1776"/>
    <hyperlink r:id="rId1775" ref="CG1777"/>
    <hyperlink r:id="rId1776" ref="CG1778"/>
    <hyperlink r:id="rId1777" ref="CG1779"/>
    <hyperlink r:id="rId1778" ref="CG1780"/>
    <hyperlink r:id="rId1779" ref="CG1781"/>
    <hyperlink r:id="rId1780" ref="CG1782"/>
    <hyperlink r:id="rId1781" ref="CG1783"/>
    <hyperlink r:id="rId1782" ref="CG1784"/>
    <hyperlink r:id="rId1783" ref="CG1785"/>
    <hyperlink r:id="rId1784" ref="CG1786"/>
    <hyperlink r:id="rId1785" ref="CG1787"/>
    <hyperlink r:id="rId1786" ref="CG1788"/>
    <hyperlink r:id="rId1787" ref="CG1789"/>
    <hyperlink r:id="rId1788" ref="CG1790"/>
    <hyperlink r:id="rId1789" ref="CG1791"/>
    <hyperlink r:id="rId1790" ref="CG1792"/>
    <hyperlink r:id="rId1791" ref="CG1793"/>
    <hyperlink r:id="rId1792" ref="CG1794"/>
    <hyperlink r:id="rId1793" ref="CG1795"/>
    <hyperlink r:id="rId1794" ref="CG1796"/>
    <hyperlink r:id="rId1795" ref="CG1797"/>
    <hyperlink r:id="rId1796" ref="CG1798"/>
    <hyperlink r:id="rId1797" ref="CG1799"/>
    <hyperlink r:id="rId1798" ref="BH1800"/>
    <hyperlink r:id="rId1799" ref="BH1801"/>
    <hyperlink r:id="rId1800" ref="BH1802"/>
    <hyperlink r:id="rId1801" ref="BH1803"/>
    <hyperlink r:id="rId1802" ref="BH1804"/>
    <hyperlink r:id="rId1803" ref="BH1805"/>
    <hyperlink r:id="rId1804" ref="BH1806"/>
    <hyperlink r:id="rId1805" ref="BH1807"/>
    <hyperlink r:id="rId1806" ref="BH1808"/>
    <hyperlink r:id="rId1807" ref="BH1809"/>
    <hyperlink r:id="rId1808" ref="BH1810"/>
    <hyperlink r:id="rId1809" ref="BH1811"/>
    <hyperlink r:id="rId1810" ref="BH1812"/>
    <hyperlink r:id="rId1811" ref="BH1813"/>
    <hyperlink r:id="rId1812" ref="BH1814"/>
    <hyperlink r:id="rId1813" ref="BH1815"/>
    <hyperlink r:id="rId1814" ref="BH1816"/>
    <hyperlink r:id="rId1815" ref="BH1817"/>
    <hyperlink r:id="rId1816" ref="BH1818"/>
    <hyperlink r:id="rId1817" ref="BH1819"/>
    <hyperlink r:id="rId1818" ref="BH1820"/>
    <hyperlink r:id="rId1819" ref="BH1821"/>
    <hyperlink r:id="rId1820" ref="BH1822"/>
    <hyperlink r:id="rId1821" ref="BH1823"/>
    <hyperlink r:id="rId1822" ref="BH1824"/>
    <hyperlink r:id="rId1823" ref="BH1825"/>
    <hyperlink r:id="rId1824" ref="BH1826"/>
    <hyperlink r:id="rId1825" ref="BH1827"/>
    <hyperlink r:id="rId1826" ref="BH1828"/>
    <hyperlink r:id="rId1827" ref="BH1829"/>
    <hyperlink r:id="rId1828" ref="BH1830"/>
    <hyperlink r:id="rId1829" ref="BH1831"/>
    <hyperlink r:id="rId1830" ref="BH1832"/>
    <hyperlink r:id="rId1831" ref="BH1833"/>
    <hyperlink r:id="rId1832" ref="BH1834"/>
    <hyperlink r:id="rId1833" ref="BH1835"/>
    <hyperlink r:id="rId1834" ref="BH1836"/>
    <hyperlink r:id="rId1835" ref="BH1837"/>
    <hyperlink r:id="rId1836" ref="BH1838"/>
    <hyperlink r:id="rId1837" ref="BH1839"/>
    <hyperlink r:id="rId1838" ref="BH1840"/>
    <hyperlink r:id="rId1839" ref="BH1841"/>
    <hyperlink r:id="rId1840" ref="BH1842"/>
    <hyperlink r:id="rId1841" ref="BH1843"/>
    <hyperlink r:id="rId1842" ref="BH1844"/>
    <hyperlink r:id="rId1843" ref="BH1845"/>
    <hyperlink r:id="rId1844" ref="BH1846"/>
    <hyperlink r:id="rId1845" ref="BH1847"/>
    <hyperlink r:id="rId1846" ref="BH1848"/>
    <hyperlink r:id="rId1847" ref="BH1849"/>
    <hyperlink r:id="rId1848" ref="BH1850"/>
    <hyperlink r:id="rId1849" ref="BH1851"/>
    <hyperlink r:id="rId1850" ref="BH1852"/>
    <hyperlink r:id="rId1851" ref="BH1853"/>
    <hyperlink r:id="rId1852" ref="BH1854"/>
    <hyperlink r:id="rId1853" ref="BH1855"/>
    <hyperlink r:id="rId1854" ref="BH1856"/>
    <hyperlink r:id="rId1855" ref="BH1857"/>
    <hyperlink r:id="rId1856" ref="BH1858"/>
    <hyperlink r:id="rId1857" ref="BH1859"/>
    <hyperlink r:id="rId1858" ref="BA1860"/>
    <hyperlink r:id="rId1859" ref="BH1860"/>
    <hyperlink r:id="rId1860" ref="BH1861"/>
    <hyperlink r:id="rId1861" ref="BH1862"/>
    <hyperlink r:id="rId1862" ref="BH1863"/>
    <hyperlink r:id="rId1863" ref="BH1864"/>
    <hyperlink r:id="rId1864" ref="BH1865"/>
    <hyperlink r:id="rId1865" ref="BH1866"/>
    <hyperlink r:id="rId1866" ref="BH1867"/>
    <hyperlink r:id="rId1867" ref="BH1868"/>
    <hyperlink r:id="rId1868" ref="BH1869"/>
    <hyperlink r:id="rId1869" ref="BH1870"/>
    <hyperlink r:id="rId1870" ref="BH1871"/>
    <hyperlink r:id="rId1871" ref="BH1872"/>
    <hyperlink r:id="rId1872" ref="BH1873"/>
    <hyperlink r:id="rId1873" ref="BH1874"/>
    <hyperlink r:id="rId1874" ref="BH1875"/>
    <hyperlink r:id="rId1875" ref="BH1876"/>
    <hyperlink r:id="rId1876" ref="BH1877"/>
    <hyperlink r:id="rId1877" ref="BH1878"/>
    <hyperlink r:id="rId1878" ref="BH1879"/>
    <hyperlink r:id="rId1879" ref="BH1880"/>
    <hyperlink r:id="rId1880" ref="BH1881"/>
    <hyperlink r:id="rId1881" ref="BH1882"/>
    <hyperlink r:id="rId1882" ref="BH1883"/>
    <hyperlink r:id="rId1883" ref="BH1884"/>
    <hyperlink r:id="rId1884" ref="BH1885"/>
    <hyperlink r:id="rId1885" ref="BH1886"/>
    <hyperlink r:id="rId1886" ref="BH1887"/>
  </hyperlinks>
  <drawing r:id="rId188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  <col customWidth="1" min="2" max="2" width="10.88"/>
    <col customWidth="1" min="3" max="3" width="9.88"/>
    <col customWidth="1" min="4" max="4" width="12.5"/>
    <col customWidth="1" min="5" max="5" width="27.38"/>
    <col customWidth="1" min="6" max="6" width="21.13"/>
    <col customWidth="1" min="7" max="7" width="26.5"/>
    <col customWidth="1" min="8" max="8" width="76.63"/>
    <col customWidth="1" min="9" max="9" width="16.88"/>
    <col customWidth="1" min="10" max="10" width="4.13"/>
    <col customWidth="1" min="11" max="11" width="12.75"/>
    <col customWidth="1" min="12" max="12" width="4.75"/>
    <col customWidth="1" min="13" max="13" width="25.63"/>
    <col customWidth="1" min="14" max="14" width="41.5"/>
    <col customWidth="1" min="15" max="15" width="31.5"/>
    <col customWidth="1" min="16" max="16" width="14.88"/>
    <col customWidth="1" min="17" max="17" width="15.13"/>
    <col customWidth="1" min="18" max="18" width="13.25"/>
    <col customWidth="1" min="19" max="19" width="12.63"/>
    <col customWidth="1" min="20" max="20" width="10.13"/>
  </cols>
  <sheetData>
    <row r="1" ht="30.75" customHeight="1">
      <c r="A1" s="61" t="s">
        <v>30</v>
      </c>
      <c r="B1" s="61" t="s">
        <v>31</v>
      </c>
      <c r="C1" s="62" t="s">
        <v>32</v>
      </c>
      <c r="D1" s="62" t="s">
        <v>33</v>
      </c>
      <c r="E1" s="63" t="s">
        <v>5260</v>
      </c>
      <c r="F1" s="62" t="s">
        <v>5261</v>
      </c>
      <c r="G1" s="62" t="s">
        <v>5262</v>
      </c>
      <c r="H1" s="62" t="s">
        <v>5263</v>
      </c>
      <c r="I1" s="62" t="s">
        <v>38</v>
      </c>
      <c r="J1" s="62" t="s">
        <v>39</v>
      </c>
      <c r="K1" s="62" t="s">
        <v>40</v>
      </c>
      <c r="L1" s="62" t="s">
        <v>41</v>
      </c>
      <c r="M1" s="62" t="s">
        <v>5264</v>
      </c>
      <c r="N1" s="62" t="s">
        <v>101</v>
      </c>
      <c r="O1" s="62" t="s">
        <v>5265</v>
      </c>
      <c r="P1" s="62" t="s">
        <v>44</v>
      </c>
      <c r="Q1" s="18" t="s">
        <v>29</v>
      </c>
      <c r="R1" s="17" t="s">
        <v>1</v>
      </c>
      <c r="S1" s="18" t="s">
        <v>118</v>
      </c>
      <c r="T1" s="18" t="s">
        <v>119</v>
      </c>
      <c r="U1" s="64"/>
      <c r="V1" s="64"/>
      <c r="W1" s="64"/>
      <c r="X1" s="64"/>
      <c r="Y1" s="64"/>
    </row>
    <row r="2" ht="30.75" customHeight="1">
      <c r="A2" s="64" t="str">
        <f>IFERROR(__xludf.DUMMYFUNCTION("QUERY(MasterData!A1:NK11797,""select D,E,F,G,H,I,J,K,L,M,N,O,P,Q,R,B,C,FL,FM where C='S1: Student Journal Pub.'"",0)"),"#N/A")</f>
        <v>#N/A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</row>
    <row r="3" ht="30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</row>
    <row r="4" ht="30.7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</row>
    <row r="5" ht="30.75" customHeight="1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</row>
    <row r="6" ht="30.7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</row>
    <row r="7" ht="30.75" customHeight="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ht="30.7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9" ht="30.75" customHeight="1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</row>
    <row r="10" ht="30.75" customHeight="1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</row>
    <row r="11" ht="30.75" customHeight="1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</row>
    <row r="12" ht="30.75" customHeight="1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ht="30.75" customHeight="1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4" ht="30.75" customHeight="1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</row>
    <row r="15" ht="30.75" customHeight="1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</row>
    <row r="16" ht="30.75" customHeight="1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</row>
    <row r="17" ht="30.75" customHeight="1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</row>
    <row r="18" ht="30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</row>
    <row r="19" ht="30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</row>
    <row r="20" ht="30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</row>
    <row r="21" ht="30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</row>
    <row r="22" ht="30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</row>
    <row r="23" ht="30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</row>
    <row r="24" ht="30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</row>
    <row r="25" ht="30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</row>
    <row r="26" ht="30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</row>
    <row r="27" ht="30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</row>
    <row r="28" ht="30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</row>
    <row r="29" ht="30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</row>
    <row r="30" ht="30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</row>
    <row r="31" ht="30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</row>
    <row r="32" ht="30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</row>
    <row r="33" ht="30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</row>
    <row r="34" ht="30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</row>
    <row r="35" ht="30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</row>
    <row r="36" ht="30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</row>
    <row r="37" ht="30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</row>
    <row r="38" ht="30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</row>
    <row r="39" ht="30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</row>
    <row r="40" ht="30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</row>
    <row r="41" ht="30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</row>
    <row r="42" ht="30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</row>
    <row r="43" ht="30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</row>
    <row r="44" ht="30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</row>
    <row r="45" ht="30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</row>
    <row r="46" ht="30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</row>
    <row r="47" ht="30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</row>
    <row r="48" ht="30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</row>
    <row r="49" ht="30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</row>
    <row r="50" ht="30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</row>
    <row r="51" ht="30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</row>
    <row r="52" ht="30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</row>
    <row r="53" ht="30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</row>
    <row r="54" ht="30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</row>
    <row r="55" ht="30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</row>
    <row r="56" ht="30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</row>
    <row r="57" ht="30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</row>
    <row r="58" ht="30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</row>
    <row r="59" ht="30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</row>
    <row r="60" ht="30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</row>
    <row r="61" ht="30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</row>
    <row r="62" ht="30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</row>
    <row r="63" ht="30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</row>
    <row r="64" ht="30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</row>
    <row r="65" ht="30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</row>
    <row r="66" ht="30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</row>
    <row r="67" ht="30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</row>
    <row r="68" ht="30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</row>
    <row r="69" ht="30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</row>
    <row r="70" ht="30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</row>
    <row r="71" ht="30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</row>
    <row r="72" ht="30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</row>
    <row r="73" ht="30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</row>
    <row r="74" ht="30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</row>
    <row r="75" ht="30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</row>
    <row r="76" ht="30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</row>
    <row r="77" ht="30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</row>
    <row r="78" ht="30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</row>
    <row r="79" ht="30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</row>
    <row r="80" ht="30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</row>
    <row r="81" ht="30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</row>
    <row r="82" ht="30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</row>
    <row r="83" ht="30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</row>
    <row r="84" ht="30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</row>
    <row r="85" ht="30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</row>
    <row r="86" ht="30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</row>
    <row r="87" ht="30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</row>
    <row r="88" ht="30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</row>
    <row r="89" ht="30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</row>
    <row r="90" ht="30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</row>
    <row r="91" ht="30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</row>
    <row r="92" ht="30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</row>
    <row r="93" ht="30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</row>
    <row r="94" ht="30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</row>
    <row r="95" ht="30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</row>
    <row r="96" ht="30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</row>
    <row r="97" ht="30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</row>
    <row r="98" ht="30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</row>
    <row r="99" ht="30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</row>
    <row r="100" ht="30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</row>
    <row r="101" ht="30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</row>
    <row r="102" ht="30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</row>
    <row r="103" ht="30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</row>
    <row r="104" ht="30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</row>
    <row r="105" ht="30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</row>
    <row r="106" ht="30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</row>
    <row r="107" ht="30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</row>
    <row r="108" ht="30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</row>
    <row r="109" ht="30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</row>
    <row r="110" ht="30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</row>
    <row r="111" ht="30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</row>
    <row r="112" ht="30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</row>
    <row r="113" ht="30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</row>
    <row r="114" ht="30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</row>
    <row r="115" ht="30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</row>
    <row r="116" ht="30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</row>
    <row r="117" ht="30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</row>
    <row r="118" ht="30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</row>
    <row r="119" ht="30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</row>
    <row r="120" ht="30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</row>
    <row r="121" ht="30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</row>
    <row r="122" ht="30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</row>
    <row r="123" ht="30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</row>
    <row r="124" ht="30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</row>
    <row r="125" ht="30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</row>
    <row r="126" ht="30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</row>
    <row r="127" ht="30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</row>
    <row r="128" ht="30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</row>
    <row r="129" ht="30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</row>
    <row r="130" ht="30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</row>
    <row r="131" ht="30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</row>
    <row r="132" ht="30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</row>
    <row r="133" ht="30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</row>
    <row r="134" ht="30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</row>
    <row r="135" ht="30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</row>
    <row r="136" ht="30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</row>
    <row r="137" ht="30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</row>
    <row r="138" ht="30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</row>
    <row r="139" ht="30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</row>
    <row r="140" ht="30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</row>
    <row r="141" ht="30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</row>
    <row r="142" ht="30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</row>
    <row r="143" ht="30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</row>
    <row r="144" ht="30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</row>
    <row r="145" ht="30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</row>
    <row r="146" ht="30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</row>
    <row r="147" ht="30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</row>
    <row r="148" ht="30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</row>
    <row r="149" ht="30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</row>
    <row r="150" ht="30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</row>
    <row r="151" ht="30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</row>
    <row r="152" ht="30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</row>
    <row r="153" ht="30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</row>
    <row r="154" ht="30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</row>
    <row r="155" ht="30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</row>
    <row r="156" ht="30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</row>
    <row r="157" ht="30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</row>
    <row r="158" ht="30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</row>
    <row r="159" ht="30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</row>
    <row r="160" ht="30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</row>
    <row r="161" ht="30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</row>
    <row r="162" ht="30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</row>
    <row r="163" ht="30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</row>
    <row r="164" ht="30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</row>
    <row r="165" ht="30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</row>
    <row r="166" ht="30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</row>
    <row r="167" ht="30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</row>
    <row r="168" ht="30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</row>
    <row r="169" ht="30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</row>
    <row r="170" ht="30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</row>
    <row r="171" ht="30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</row>
    <row r="172" ht="30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</row>
    <row r="173" ht="30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</row>
    <row r="174" ht="30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</row>
    <row r="175" ht="30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</row>
    <row r="176" ht="30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</row>
    <row r="177" ht="30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</row>
    <row r="178" ht="30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</row>
    <row r="179" ht="30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</row>
    <row r="180" ht="30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</row>
    <row r="181" ht="30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</row>
    <row r="182" ht="30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</row>
    <row r="183" ht="30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</row>
    <row r="184" ht="30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</row>
    <row r="185" ht="30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</row>
    <row r="186" ht="30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</row>
    <row r="187" ht="30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</row>
    <row r="188" ht="30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</row>
    <row r="189" ht="30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</row>
    <row r="190" ht="30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</row>
    <row r="191" ht="30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</row>
    <row r="192" ht="30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</row>
    <row r="193" ht="30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</row>
    <row r="194" ht="30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</row>
    <row r="195" ht="30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</row>
    <row r="196" ht="30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</row>
    <row r="197" ht="30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</row>
    <row r="198" ht="30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</row>
    <row r="199" ht="30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</row>
    <row r="200" ht="30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</row>
    <row r="201" ht="30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</row>
    <row r="202" ht="30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</row>
    <row r="203" ht="30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</row>
    <row r="204" ht="30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</row>
    <row r="205" ht="30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</row>
    <row r="206" ht="30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</row>
    <row r="207" ht="30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</row>
    <row r="208" ht="30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</row>
    <row r="209" ht="30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</row>
    <row r="210" ht="30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</row>
    <row r="211" ht="30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</row>
    <row r="212" ht="30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</row>
    <row r="213" ht="30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</row>
    <row r="214" ht="30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</row>
    <row r="215" ht="30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</row>
    <row r="216" ht="30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</row>
    <row r="217" ht="30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</row>
    <row r="218" ht="30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</row>
    <row r="219" ht="30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</row>
    <row r="220" ht="30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</row>
    <row r="221" ht="30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</row>
    <row r="222" ht="30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</row>
    <row r="223" ht="30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</row>
    <row r="224" ht="30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</row>
    <row r="225" ht="30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</row>
    <row r="226" ht="30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</row>
    <row r="227" ht="30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</row>
    <row r="228" ht="30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</row>
    <row r="229" ht="30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</row>
    <row r="230" ht="30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</row>
    <row r="231" ht="30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</row>
    <row r="232" ht="30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</row>
    <row r="233" ht="30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</row>
    <row r="234" ht="30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</row>
    <row r="235" ht="30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</row>
    <row r="236" ht="30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</row>
    <row r="237" ht="30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</row>
    <row r="238" ht="30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</row>
    <row r="239" ht="30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</row>
    <row r="240" ht="30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</row>
    <row r="241" ht="30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</row>
    <row r="242" ht="30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</row>
    <row r="243" ht="30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</row>
    <row r="244" ht="30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</row>
    <row r="245" ht="30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</row>
    <row r="246" ht="30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</row>
    <row r="247" ht="30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</row>
    <row r="248" ht="30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</row>
    <row r="249" ht="30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</row>
    <row r="250" ht="30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</row>
    <row r="251" ht="30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</row>
    <row r="252" ht="30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</row>
    <row r="253" ht="30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</row>
    <row r="254" ht="30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</row>
    <row r="255" ht="30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</row>
    <row r="256" ht="30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</row>
    <row r="257" ht="30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</row>
    <row r="258" ht="30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</row>
    <row r="259" ht="30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</row>
    <row r="260" ht="30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</row>
    <row r="261" ht="30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</row>
    <row r="262" ht="30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</row>
    <row r="263" ht="30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</row>
    <row r="264" ht="30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</row>
    <row r="265" ht="30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</row>
    <row r="266" ht="30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</row>
    <row r="267" ht="30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</row>
    <row r="268" ht="30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</row>
    <row r="269" ht="30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</row>
    <row r="270" ht="30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</row>
    <row r="271" ht="30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</row>
    <row r="272" ht="30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</row>
    <row r="273" ht="30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</row>
    <row r="274" ht="30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</row>
    <row r="275" ht="30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</row>
    <row r="276" ht="30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</row>
    <row r="277" ht="30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</row>
    <row r="278" ht="30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</row>
    <row r="279" ht="30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</row>
    <row r="280" ht="30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</row>
    <row r="281" ht="30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</row>
    <row r="282" ht="30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</row>
    <row r="283" ht="30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</row>
    <row r="284" ht="30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</row>
    <row r="285" ht="30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</row>
    <row r="286" ht="30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</row>
    <row r="287" ht="30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</row>
    <row r="288" ht="30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</row>
    <row r="289" ht="30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</row>
    <row r="290" ht="30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</row>
    <row r="291" ht="30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</row>
    <row r="292" ht="30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</row>
    <row r="293" ht="30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</row>
    <row r="294" ht="30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</row>
    <row r="295" ht="30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</row>
    <row r="296" ht="30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</row>
    <row r="297" ht="30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</row>
    <row r="298" ht="30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</row>
    <row r="299" ht="30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</row>
    <row r="300" ht="30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</row>
    <row r="301" ht="30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</row>
    <row r="302" ht="30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</row>
    <row r="303" ht="30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</row>
    <row r="304" ht="30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</row>
    <row r="305" ht="30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</row>
    <row r="306" ht="30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</row>
    <row r="307" ht="30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</row>
    <row r="308" ht="30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</row>
    <row r="309" ht="30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</row>
    <row r="310" ht="30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</row>
    <row r="311" ht="30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</row>
    <row r="312" ht="30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</row>
    <row r="313" ht="30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</row>
    <row r="314" ht="30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</row>
    <row r="315" ht="30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</row>
    <row r="316" ht="30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</row>
    <row r="317" ht="30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</row>
    <row r="318" ht="30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</row>
    <row r="319" ht="30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</row>
    <row r="320" ht="30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</row>
    <row r="321" ht="30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</row>
    <row r="322" ht="30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</row>
    <row r="323" ht="30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</row>
    <row r="324" ht="30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</row>
    <row r="325" ht="30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</row>
    <row r="326" ht="30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</row>
    <row r="327" ht="30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</row>
    <row r="328" ht="30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</row>
    <row r="329" ht="30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</row>
    <row r="330" ht="30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</row>
    <row r="331" ht="30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</row>
    <row r="332" ht="30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</row>
    <row r="333" ht="30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</row>
    <row r="334" ht="30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</row>
    <row r="335" ht="30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</row>
    <row r="336" ht="30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</row>
    <row r="337" ht="30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</row>
    <row r="338" ht="30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</row>
    <row r="339" ht="30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</row>
    <row r="340" ht="30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</row>
    <row r="341" ht="30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</row>
    <row r="342" ht="30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</row>
    <row r="343" ht="30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</row>
    <row r="344" ht="30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</row>
    <row r="345" ht="30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</row>
    <row r="346" ht="30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</row>
    <row r="347" ht="30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</row>
    <row r="348" ht="30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</row>
    <row r="349" ht="30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</row>
    <row r="350" ht="30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</row>
    <row r="351" ht="30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</row>
    <row r="352" ht="30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</row>
    <row r="353" ht="30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</row>
    <row r="354" ht="30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</row>
    <row r="355" ht="30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</row>
    <row r="356" ht="30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</row>
    <row r="357" ht="30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</row>
    <row r="358" ht="30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</row>
    <row r="359" ht="30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</row>
    <row r="360" ht="30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</row>
    <row r="361" ht="30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</row>
    <row r="362" ht="30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</row>
    <row r="363" ht="30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</row>
    <row r="364" ht="30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</row>
    <row r="365" ht="30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</row>
    <row r="366" ht="30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</row>
    <row r="367" ht="30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</row>
    <row r="368" ht="30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</row>
    <row r="369" ht="30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</row>
    <row r="370" ht="30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</row>
    <row r="371" ht="30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</row>
    <row r="372" ht="30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</row>
    <row r="373" ht="30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</row>
    <row r="374" ht="30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</row>
    <row r="375" ht="30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</row>
    <row r="376" ht="30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</row>
    <row r="377" ht="30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</row>
    <row r="378" ht="30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</row>
    <row r="379" ht="30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</row>
    <row r="380" ht="30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</row>
    <row r="381" ht="30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</row>
    <row r="382" ht="30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</row>
    <row r="383" ht="30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</row>
    <row r="384" ht="30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</row>
    <row r="385" ht="30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</row>
    <row r="386" ht="30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</row>
    <row r="387" ht="30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</row>
    <row r="388" ht="30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</row>
    <row r="389" ht="30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</row>
    <row r="390" ht="30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</row>
    <row r="391" ht="30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</row>
    <row r="392" ht="30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</row>
    <row r="393" ht="30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</row>
    <row r="394" ht="30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</row>
    <row r="395" ht="30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</row>
    <row r="396" ht="30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</row>
    <row r="397" ht="30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</row>
    <row r="398" ht="30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</row>
    <row r="399" ht="30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</row>
    <row r="400" ht="30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</row>
    <row r="401" ht="30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</row>
    <row r="402" ht="30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</row>
    <row r="403" ht="30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</row>
    <row r="404" ht="30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</row>
    <row r="405" ht="30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</row>
    <row r="406" ht="30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</row>
    <row r="407" ht="30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</row>
    <row r="408" ht="30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</row>
    <row r="409" ht="30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</row>
    <row r="410" ht="30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</row>
    <row r="411" ht="30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</row>
    <row r="412" ht="30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</row>
    <row r="413" ht="30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</row>
    <row r="414" ht="30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</row>
    <row r="415" ht="30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</row>
    <row r="416" ht="30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</row>
    <row r="417" ht="30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</row>
    <row r="418" ht="30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</row>
    <row r="419" ht="30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</row>
    <row r="420" ht="30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</row>
    <row r="421" ht="30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</row>
    <row r="422" ht="30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</row>
    <row r="423" ht="30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</row>
    <row r="424" ht="30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</row>
    <row r="425" ht="30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</row>
    <row r="426" ht="30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</row>
    <row r="427" ht="30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</row>
    <row r="428" ht="30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</row>
    <row r="429" ht="30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</row>
    <row r="430" ht="30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</row>
    <row r="431" ht="30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</row>
    <row r="432" ht="30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</row>
    <row r="433" ht="30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</row>
    <row r="434" ht="30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</row>
    <row r="435" ht="30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</row>
    <row r="436" ht="30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</row>
    <row r="437" ht="30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</row>
    <row r="438" ht="30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</row>
    <row r="439" ht="30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</row>
    <row r="440" ht="30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</row>
    <row r="441" ht="30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</row>
    <row r="442" ht="30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</row>
    <row r="443" ht="30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</row>
    <row r="444" ht="30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</row>
    <row r="445" ht="30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</row>
    <row r="446" ht="30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</row>
    <row r="447" ht="30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</row>
    <row r="448" ht="30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</row>
    <row r="449" ht="30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</row>
    <row r="450" ht="30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</row>
    <row r="451" ht="30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</row>
    <row r="452" ht="30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</row>
    <row r="453" ht="30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</row>
    <row r="454" ht="30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</row>
    <row r="455" ht="30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</row>
    <row r="456" ht="30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</row>
    <row r="457" ht="30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</row>
    <row r="458" ht="30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</row>
    <row r="459" ht="30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</row>
    <row r="460" ht="30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</row>
    <row r="461" ht="30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</row>
    <row r="462" ht="30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</row>
    <row r="463" ht="30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</row>
    <row r="464" ht="30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</row>
    <row r="465" ht="30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</row>
    <row r="466" ht="30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</row>
    <row r="467" ht="30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</row>
    <row r="468" ht="30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</row>
    <row r="469" ht="30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</row>
    <row r="470" ht="30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</row>
    <row r="471" ht="30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</row>
    <row r="472" ht="30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</row>
    <row r="473" ht="30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</row>
    <row r="474" ht="30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</row>
    <row r="475" ht="30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</row>
    <row r="476" ht="30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</row>
    <row r="477" ht="30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</row>
    <row r="478" ht="30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</row>
    <row r="479" ht="30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</row>
    <row r="480" ht="30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</row>
    <row r="481" ht="30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</row>
    <row r="482" ht="30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</row>
    <row r="483" ht="30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</row>
    <row r="484" ht="30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</row>
    <row r="485" ht="30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</row>
    <row r="486" ht="30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</row>
    <row r="487" ht="30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</row>
    <row r="488" ht="30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</row>
    <row r="489" ht="30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</row>
    <row r="490" ht="30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</row>
    <row r="491" ht="30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</row>
    <row r="492" ht="30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</row>
    <row r="493" ht="30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</row>
    <row r="494" ht="30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</row>
    <row r="495" ht="30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</row>
    <row r="496" ht="30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</row>
    <row r="497" ht="30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</row>
    <row r="498" ht="30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</row>
    <row r="499" ht="30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</row>
    <row r="500" ht="30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</row>
    <row r="501" ht="30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</row>
    <row r="502" ht="30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</row>
    <row r="503" ht="30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</row>
    <row r="504" ht="30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</row>
    <row r="505" ht="30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</row>
    <row r="506" ht="30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</row>
    <row r="507" ht="30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</row>
    <row r="508" ht="30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</row>
    <row r="509" ht="30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</row>
    <row r="510" ht="30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</row>
    <row r="511" ht="30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</row>
    <row r="512" ht="30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</row>
    <row r="513" ht="30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</row>
    <row r="514" ht="30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</row>
    <row r="515" ht="30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</row>
    <row r="516" ht="30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</row>
    <row r="517" ht="30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</row>
    <row r="518" ht="30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</row>
    <row r="519" ht="30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</row>
    <row r="520" ht="30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</row>
    <row r="521" ht="30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</row>
    <row r="522" ht="30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</row>
    <row r="523" ht="30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</row>
    <row r="524" ht="30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</row>
    <row r="525" ht="30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</row>
    <row r="526" ht="30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</row>
    <row r="527" ht="30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</row>
    <row r="528" ht="30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</row>
    <row r="529" ht="30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</row>
    <row r="530" ht="30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</row>
    <row r="531" ht="30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</row>
    <row r="532" ht="30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</row>
    <row r="533" ht="30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</row>
    <row r="534" ht="30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</row>
    <row r="535" ht="30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</row>
    <row r="536" ht="30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</row>
    <row r="537" ht="30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</row>
    <row r="538" ht="30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</row>
    <row r="539" ht="30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</row>
    <row r="540" ht="30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</row>
    <row r="541" ht="30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</row>
    <row r="542" ht="30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</row>
    <row r="543" ht="30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</row>
    <row r="544" ht="30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</row>
    <row r="545" ht="30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</row>
    <row r="546" ht="30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</row>
    <row r="547" ht="30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</row>
    <row r="548" ht="30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</row>
    <row r="549" ht="30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</row>
    <row r="550" ht="30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</row>
    <row r="551" ht="30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</row>
    <row r="552" ht="30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</row>
    <row r="553" ht="30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</row>
    <row r="554" ht="30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</row>
    <row r="555" ht="30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</row>
    <row r="556" ht="30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</row>
    <row r="557" ht="30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</row>
    <row r="558" ht="30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</row>
    <row r="559" ht="30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</row>
    <row r="560" ht="30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</row>
    <row r="561" ht="30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</row>
    <row r="562" ht="30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</row>
    <row r="563" ht="30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</row>
    <row r="564" ht="30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</row>
    <row r="565" ht="30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</row>
    <row r="566" ht="30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</row>
    <row r="567" ht="30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</row>
    <row r="568" ht="30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</row>
    <row r="569" ht="30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</row>
    <row r="570" ht="30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</row>
    <row r="571" ht="30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</row>
    <row r="572" ht="30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</row>
    <row r="573" ht="30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</row>
    <row r="574" ht="30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</row>
    <row r="575" ht="30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</row>
    <row r="576" ht="30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</row>
    <row r="577" ht="30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</row>
    <row r="578" ht="30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</row>
    <row r="579" ht="30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</row>
    <row r="580" ht="30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</row>
    <row r="581" ht="30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</row>
    <row r="582" ht="30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</row>
    <row r="583" ht="30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</row>
    <row r="584" ht="30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</row>
    <row r="585" ht="30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</row>
    <row r="586" ht="30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</row>
    <row r="587" ht="30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</row>
    <row r="588" ht="30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</row>
    <row r="589" ht="30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</row>
    <row r="590" ht="30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</row>
    <row r="591" ht="30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</row>
    <row r="592" ht="30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</row>
    <row r="593" ht="30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</row>
    <row r="594" ht="30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</row>
    <row r="595" ht="30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</row>
    <row r="596" ht="30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</row>
    <row r="597" ht="30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</row>
    <row r="598" ht="30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</row>
    <row r="599" ht="30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</row>
    <row r="600" ht="30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</row>
    <row r="601" ht="30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</row>
    <row r="602" ht="30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</row>
    <row r="603" ht="30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</row>
    <row r="604" ht="30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</row>
    <row r="605" ht="30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</row>
    <row r="606" ht="30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</row>
    <row r="607" ht="30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</row>
    <row r="608" ht="30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</row>
    <row r="609" ht="30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</row>
    <row r="610" ht="30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</row>
    <row r="611" ht="30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</row>
    <row r="612" ht="30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</row>
    <row r="613" ht="30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</row>
    <row r="614" ht="30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</row>
    <row r="615" ht="30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</row>
    <row r="616" ht="30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</row>
    <row r="617" ht="30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</row>
    <row r="618" ht="30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</row>
    <row r="619" ht="30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</row>
    <row r="620" ht="30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</row>
    <row r="621" ht="30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</row>
    <row r="622" ht="30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</row>
    <row r="623" ht="30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</row>
    <row r="624" ht="30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</row>
    <row r="625" ht="30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</row>
    <row r="626" ht="30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</row>
    <row r="627" ht="30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</row>
    <row r="628" ht="30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</row>
    <row r="629" ht="30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</row>
    <row r="630" ht="30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</row>
    <row r="631" ht="30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</row>
    <row r="632" ht="30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</row>
    <row r="633" ht="30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</row>
    <row r="634" ht="30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</row>
    <row r="635" ht="30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</row>
    <row r="636" ht="30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</row>
    <row r="637" ht="30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</row>
    <row r="638" ht="30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</row>
    <row r="639" ht="30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</row>
    <row r="640" ht="30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</row>
    <row r="641" ht="30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</row>
    <row r="642" ht="30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</row>
    <row r="643" ht="30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</row>
    <row r="644" ht="30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</row>
    <row r="645" ht="30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</row>
    <row r="646" ht="30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</row>
    <row r="647" ht="30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</row>
    <row r="648" ht="30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</row>
    <row r="649" ht="30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</row>
    <row r="650" ht="30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</row>
    <row r="651" ht="30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</row>
    <row r="652" ht="30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</row>
    <row r="653" ht="30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</row>
    <row r="654" ht="30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</row>
    <row r="655" ht="30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</row>
    <row r="656" ht="30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</row>
    <row r="657" ht="30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</row>
    <row r="658" ht="30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</row>
    <row r="659" ht="30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</row>
    <row r="660" ht="30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</row>
    <row r="661" ht="30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</row>
    <row r="662" ht="30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</row>
    <row r="663" ht="30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</row>
    <row r="664" ht="30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</row>
    <row r="665" ht="30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</row>
    <row r="666" ht="30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</row>
    <row r="667" ht="30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</row>
    <row r="668" ht="30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</row>
    <row r="669" ht="30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</row>
    <row r="670" ht="30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</row>
    <row r="671" ht="30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</row>
    <row r="672" ht="30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</row>
    <row r="673" ht="30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</row>
    <row r="674" ht="30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</row>
    <row r="675" ht="30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</row>
    <row r="676" ht="30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</row>
    <row r="677" ht="30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</row>
    <row r="678" ht="30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</row>
    <row r="679" ht="30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</row>
    <row r="680" ht="30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</row>
    <row r="681" ht="30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</row>
    <row r="682" ht="30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</row>
    <row r="683" ht="30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</row>
    <row r="684" ht="30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</row>
    <row r="685" ht="30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</row>
    <row r="686" ht="30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</row>
    <row r="687" ht="30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</row>
    <row r="688" ht="30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</row>
    <row r="689" ht="30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</row>
    <row r="690" ht="30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</row>
    <row r="691" ht="30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</row>
    <row r="692" ht="30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</row>
    <row r="693" ht="30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</row>
    <row r="694" ht="30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</row>
    <row r="695" ht="30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</row>
    <row r="696" ht="30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</row>
    <row r="697" ht="30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</row>
    <row r="698" ht="30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</row>
    <row r="699" ht="30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</row>
    <row r="700" ht="30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</row>
    <row r="701" ht="30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</row>
    <row r="702" ht="30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</row>
    <row r="703" ht="30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</row>
    <row r="704" ht="30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</row>
    <row r="705" ht="30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</row>
    <row r="706" ht="30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</row>
    <row r="707" ht="30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</row>
    <row r="708" ht="30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</row>
    <row r="709" ht="30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</row>
    <row r="710" ht="30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</row>
    <row r="711" ht="30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</row>
    <row r="712" ht="30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</row>
    <row r="713" ht="30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</row>
    <row r="714" ht="30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</row>
    <row r="715" ht="30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</row>
    <row r="716" ht="30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</row>
    <row r="717" ht="30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</row>
    <row r="718" ht="30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</row>
    <row r="719" ht="30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</row>
    <row r="720" ht="30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</row>
    <row r="721" ht="30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</row>
    <row r="722" ht="30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</row>
    <row r="723" ht="30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</row>
    <row r="724" ht="30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</row>
    <row r="725" ht="30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</row>
    <row r="726" ht="30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</row>
    <row r="727" ht="30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</row>
    <row r="728" ht="30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</row>
    <row r="729" ht="30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</row>
    <row r="730" ht="30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</row>
    <row r="731" ht="30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</row>
    <row r="732" ht="30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</row>
    <row r="733" ht="30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</row>
    <row r="734" ht="30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</row>
    <row r="735" ht="30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</row>
    <row r="736" ht="30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</row>
    <row r="737" ht="30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</row>
    <row r="738" ht="30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</row>
    <row r="739" ht="30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</row>
    <row r="740" ht="30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</row>
    <row r="741" ht="30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</row>
    <row r="742" ht="30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</row>
    <row r="743" ht="30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</row>
    <row r="744" ht="30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</row>
    <row r="745" ht="30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</row>
    <row r="746" ht="30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</row>
    <row r="747" ht="30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</row>
    <row r="748" ht="30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</row>
    <row r="749" ht="30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</row>
    <row r="750" ht="30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</row>
    <row r="751" ht="30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</row>
    <row r="752" ht="30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</row>
    <row r="753" ht="30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</row>
    <row r="754" ht="30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</row>
    <row r="755" ht="30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</row>
    <row r="756" ht="30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</row>
    <row r="757" ht="30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</row>
    <row r="758" ht="30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</row>
    <row r="759" ht="30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</row>
    <row r="760" ht="30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</row>
    <row r="761" ht="30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</row>
    <row r="762" ht="30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</row>
    <row r="763" ht="30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</row>
    <row r="764" ht="30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</row>
    <row r="765" ht="30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</row>
    <row r="766" ht="30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</row>
    <row r="767" ht="30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</row>
    <row r="768" ht="30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</row>
    <row r="769" ht="30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</row>
    <row r="770" ht="30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</row>
    <row r="771" ht="30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</row>
    <row r="772" ht="30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</row>
    <row r="773" ht="30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</row>
    <row r="774" ht="30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</row>
    <row r="775" ht="30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</row>
    <row r="776" ht="30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</row>
    <row r="777" ht="30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</row>
    <row r="778" ht="30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</row>
    <row r="779" ht="30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</row>
    <row r="780" ht="30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</row>
    <row r="781" ht="30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</row>
    <row r="782" ht="30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</row>
    <row r="783" ht="30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</row>
    <row r="784" ht="30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</row>
    <row r="785" ht="30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</row>
    <row r="786" ht="30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</row>
    <row r="787" ht="30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</row>
    <row r="788" ht="30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</row>
    <row r="789" ht="30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</row>
    <row r="790" ht="30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</row>
    <row r="791" ht="30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</row>
    <row r="792" ht="30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</row>
    <row r="793" ht="30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</row>
    <row r="794" ht="30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</row>
    <row r="795" ht="30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</row>
    <row r="796" ht="30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</row>
    <row r="797" ht="30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</row>
    <row r="798" ht="30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</row>
    <row r="799" ht="30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</row>
    <row r="800" ht="30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</row>
    <row r="801" ht="30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</row>
    <row r="802" ht="30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</row>
    <row r="803" ht="30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</row>
    <row r="804" ht="30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</row>
    <row r="805" ht="30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</row>
    <row r="806" ht="30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</row>
    <row r="807" ht="30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</row>
    <row r="808" ht="30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</row>
    <row r="809" ht="30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</row>
    <row r="810" ht="30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</row>
    <row r="811" ht="30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</row>
    <row r="812" ht="30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</row>
    <row r="813" ht="30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</row>
    <row r="814" ht="30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</row>
    <row r="815" ht="30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</row>
    <row r="816" ht="30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</row>
    <row r="817" ht="30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</row>
    <row r="818" ht="30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</row>
    <row r="819" ht="30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</row>
    <row r="820" ht="30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</row>
    <row r="821" ht="30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</row>
    <row r="822" ht="30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</row>
    <row r="823" ht="30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</row>
    <row r="824" ht="30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</row>
    <row r="825" ht="30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</row>
    <row r="826" ht="30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</row>
    <row r="827" ht="30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</row>
    <row r="828" ht="30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</row>
    <row r="829" ht="30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</row>
    <row r="830" ht="30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</row>
    <row r="831" ht="30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</row>
    <row r="832" ht="30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</row>
    <row r="833" ht="30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</row>
    <row r="834" ht="30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</row>
    <row r="835" ht="30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</row>
    <row r="836" ht="30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</row>
    <row r="837" ht="30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</row>
    <row r="838" ht="30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</row>
    <row r="839" ht="30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</row>
    <row r="840" ht="30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</row>
    <row r="841" ht="30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</row>
    <row r="842" ht="30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</row>
    <row r="843" ht="30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</row>
    <row r="844" ht="30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</row>
    <row r="845" ht="30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</row>
    <row r="846" ht="30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</row>
    <row r="847" ht="30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</row>
    <row r="848" ht="30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</row>
    <row r="849" ht="30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</row>
    <row r="850" ht="30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</row>
    <row r="851" ht="30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</row>
    <row r="852" ht="30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</row>
    <row r="853" ht="30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</row>
    <row r="854" ht="30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</row>
    <row r="855" ht="30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</row>
    <row r="856" ht="30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</row>
    <row r="857" ht="30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</row>
    <row r="858" ht="30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</row>
    <row r="859" ht="30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</row>
    <row r="860" ht="30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</row>
    <row r="861" ht="30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</row>
    <row r="862" ht="30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</row>
    <row r="863" ht="30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</row>
    <row r="864" ht="30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</row>
    <row r="865" ht="30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</row>
    <row r="866" ht="30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</row>
    <row r="867" ht="30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</row>
    <row r="868" ht="30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</row>
    <row r="869" ht="30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</row>
    <row r="870" ht="30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</row>
    <row r="871" ht="30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</row>
    <row r="872" ht="30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</row>
    <row r="873" ht="30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</row>
    <row r="874" ht="30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</row>
    <row r="875" ht="30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</row>
    <row r="876" ht="30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</row>
    <row r="877" ht="30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</row>
    <row r="878" ht="30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</row>
    <row r="879" ht="30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</row>
    <row r="880" ht="30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</row>
    <row r="881" ht="30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</row>
    <row r="882" ht="30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</row>
    <row r="883" ht="30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</row>
    <row r="884" ht="30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</row>
    <row r="885" ht="30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</row>
    <row r="886" ht="30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</row>
    <row r="887" ht="30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</row>
    <row r="888" ht="30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</row>
    <row r="889" ht="30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</row>
    <row r="890" ht="30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</row>
    <row r="891" ht="30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</row>
    <row r="892" ht="30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</row>
    <row r="893" ht="30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</row>
    <row r="894" ht="30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</row>
    <row r="895" ht="30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</row>
    <row r="896" ht="30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</row>
    <row r="897" ht="30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</row>
    <row r="898" ht="30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</row>
    <row r="899" ht="30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</row>
    <row r="900" ht="30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</row>
    <row r="901" ht="30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</row>
    <row r="902" ht="30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</row>
    <row r="903" ht="30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</row>
    <row r="904" ht="30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</row>
    <row r="905" ht="30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</row>
    <row r="906" ht="30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</row>
    <row r="907" ht="30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</row>
    <row r="908" ht="30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</row>
    <row r="909" ht="30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</row>
    <row r="910" ht="30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</row>
    <row r="911" ht="30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</row>
    <row r="912" ht="30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</row>
    <row r="913" ht="30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</row>
    <row r="914" ht="30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</row>
    <row r="915" ht="30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</row>
    <row r="916" ht="30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</row>
    <row r="917" ht="30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</row>
    <row r="918" ht="30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</row>
    <row r="919" ht="30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</row>
    <row r="920" ht="30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</row>
    <row r="921" ht="30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</row>
    <row r="922" ht="30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</row>
    <row r="923" ht="30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</row>
    <row r="924" ht="30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</row>
    <row r="925" ht="30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</row>
    <row r="926" ht="30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</row>
    <row r="927" ht="30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</row>
    <row r="928" ht="30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</row>
    <row r="929" ht="30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</row>
    <row r="930" ht="30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</row>
    <row r="931" ht="30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</row>
    <row r="932" ht="30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</row>
    <row r="933" ht="30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</row>
    <row r="934" ht="30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</row>
    <row r="935" ht="30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</row>
    <row r="936" ht="30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</row>
    <row r="937" ht="30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</row>
    <row r="938" ht="30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</row>
    <row r="939" ht="30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</row>
    <row r="940" ht="30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</row>
    <row r="941" ht="30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</row>
    <row r="942" ht="30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</row>
    <row r="943" ht="30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</row>
    <row r="944" ht="30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</row>
    <row r="945" ht="30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</row>
    <row r="946" ht="30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</row>
    <row r="947" ht="30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</row>
    <row r="948" ht="30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</row>
    <row r="949" ht="30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</row>
    <row r="950" ht="30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</row>
    <row r="951" ht="30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</row>
    <row r="952" ht="30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</row>
    <row r="953" ht="30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</row>
    <row r="954" ht="30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</row>
    <row r="955" ht="30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</row>
    <row r="956" ht="30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</row>
    <row r="957" ht="30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</row>
    <row r="958" ht="30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</row>
    <row r="959" ht="30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</row>
    <row r="960" ht="30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</row>
    <row r="961" ht="30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</row>
    <row r="962" ht="30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</row>
    <row r="963" ht="30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</row>
    <row r="964" ht="30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</row>
    <row r="965" ht="30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</row>
    <row r="966" ht="30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</row>
    <row r="967" ht="30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</row>
    <row r="968" ht="30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</row>
    <row r="969" ht="30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</row>
    <row r="970" ht="30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</row>
    <row r="971" ht="30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</row>
    <row r="972" ht="30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</row>
    <row r="973" ht="30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</row>
    <row r="974" ht="30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</row>
    <row r="975" ht="30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</row>
    <row r="976" ht="30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</row>
    <row r="977" ht="30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</row>
    <row r="978" ht="30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</row>
    <row r="979" ht="30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</row>
    <row r="980" ht="30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</row>
    <row r="981" ht="30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</row>
    <row r="982" ht="30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</row>
    <row r="983" ht="30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</row>
    <row r="984" ht="30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</row>
    <row r="985" ht="30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</row>
    <row r="986" ht="30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</row>
    <row r="987" ht="30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</row>
    <row r="988" ht="30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</row>
    <row r="989" ht="30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</row>
    <row r="990" ht="30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</row>
    <row r="991" ht="30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</row>
    <row r="992" ht="30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</row>
    <row r="993" ht="30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</row>
    <row r="994" ht="30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</row>
    <row r="995" ht="30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</row>
    <row r="996" ht="30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2" max="2" width="11.38"/>
    <col customWidth="1" min="3" max="3" width="9.88"/>
    <col customWidth="1" min="4" max="4" width="18.5"/>
    <col customWidth="1" min="5" max="5" width="9.38"/>
    <col customWidth="1" min="6" max="6" width="8.75"/>
    <col customWidth="1" min="7" max="7" width="16.75"/>
    <col customWidth="1" min="8" max="8" width="16.88"/>
    <col customWidth="1" min="9" max="9" width="4.75"/>
    <col customWidth="1" min="10" max="10" width="12.75"/>
    <col customWidth="1" min="11" max="11" width="19.63"/>
    <col customWidth="1" min="12" max="12" width="4.13"/>
    <col customWidth="1" min="13" max="13" width="16.75"/>
    <col customWidth="1" min="14" max="14" width="25.63"/>
    <col customWidth="1" min="15" max="15" width="39.5"/>
    <col customWidth="1" min="16" max="16" width="42.38"/>
    <col customWidth="1" min="17" max="17" width="20.25"/>
    <col customWidth="1" min="18" max="18" width="15.25"/>
    <col customWidth="1" min="19" max="19" width="33.63"/>
    <col customWidth="1" min="20" max="20" width="41.25"/>
    <col customWidth="1" min="21" max="21" width="11.63"/>
    <col customWidth="1" min="22" max="22" width="15.13"/>
    <col customWidth="1" min="23" max="23" width="13.25"/>
    <col customWidth="1" min="24" max="24" width="12.63"/>
    <col customWidth="1" min="25" max="25" width="10.13"/>
  </cols>
  <sheetData>
    <row r="1" ht="31.5" customHeight="1">
      <c r="A1" s="65" t="s">
        <v>30</v>
      </c>
      <c r="B1" s="66" t="s">
        <v>31</v>
      </c>
      <c r="C1" s="66" t="s">
        <v>32</v>
      </c>
      <c r="D1" s="65" t="s">
        <v>5266</v>
      </c>
      <c r="E1" s="67" t="s">
        <v>46</v>
      </c>
      <c r="F1" s="66" t="s">
        <v>47</v>
      </c>
      <c r="G1" s="66" t="s">
        <v>48</v>
      </c>
      <c r="H1" s="66" t="s">
        <v>38</v>
      </c>
      <c r="I1" s="66" t="s">
        <v>41</v>
      </c>
      <c r="J1" s="66" t="s">
        <v>40</v>
      </c>
      <c r="K1" s="66" t="s">
        <v>5267</v>
      </c>
      <c r="L1" s="66" t="s">
        <v>39</v>
      </c>
      <c r="M1" s="66" t="s">
        <v>5268</v>
      </c>
      <c r="N1" s="66" t="s">
        <v>5269</v>
      </c>
      <c r="O1" s="66" t="s">
        <v>51</v>
      </c>
      <c r="P1" s="66" t="s">
        <v>5270</v>
      </c>
      <c r="Q1" s="66" t="s">
        <v>53</v>
      </c>
      <c r="R1" s="66" t="s">
        <v>54</v>
      </c>
      <c r="S1" s="66" t="s">
        <v>5271</v>
      </c>
      <c r="T1" s="66" t="s">
        <v>56</v>
      </c>
      <c r="U1" s="66" t="s">
        <v>57</v>
      </c>
      <c r="V1" s="18" t="s">
        <v>29</v>
      </c>
      <c r="W1" s="17" t="s">
        <v>1</v>
      </c>
      <c r="X1" s="18" t="s">
        <v>118</v>
      </c>
      <c r="Y1" s="18" t="s">
        <v>119</v>
      </c>
      <c r="Z1" s="12"/>
    </row>
    <row r="2" ht="31.5" customHeight="1">
      <c r="A2" s="68" t="str">
        <f>IFERROR(__xludf.DUMMYFUNCTION("QUERY(MasterData!A1:NK11797,""select S,T,U,V,W,X,Y,Z,AA,AB,AC,AD,AE,AF,AG,AH,AI,AJ,AK,AL,AM,B,C,FL,FM where C='S2: Student Conference Publication'"",0)"),"#N/A")</f>
        <v>#N/A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31.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31.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31.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31.5" customHeigh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31.5" customHeight="1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31.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31.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31.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31.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31.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31.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31.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31.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31.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31.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31.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31.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31.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31.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31.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31.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31.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31.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31.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31.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31.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31.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31.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31.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31.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31.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31.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31.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31.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31.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31.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31.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31.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31.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31.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31.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31.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31.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31.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31.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31.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31.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31.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31.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31.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31.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31.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31.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31.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31.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31.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31.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31.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31.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31.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31.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31.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31.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31.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31.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31.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31.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31.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31.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31.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31.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31.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31.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31.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31.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31.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31.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31.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31.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31.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31.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31.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31.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31.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31.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31.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31.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31.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31.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31.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31.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31.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31.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31.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31.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31.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31.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31.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31.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31.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31.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31.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31.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31.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31.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31.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31.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31.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31.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31.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31.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31.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31.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31.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31.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31.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31.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31.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31.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31.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31.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31.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31.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31.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31.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31.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31.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31.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31.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31.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31.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31.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31.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31.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31.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31.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31.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31.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31.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31.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31.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31.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31.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31.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31.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31.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31.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31.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31.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31.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31.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31.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31.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31.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31.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31.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31.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31.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31.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31.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31.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31.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31.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31.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31.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31.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31.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31.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31.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31.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31.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31.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31.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31.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31.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31.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31.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31.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31.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31.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31.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31.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31.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31.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31.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31.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31.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31.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31.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31.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31.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31.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31.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31.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31.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31.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31.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31.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31.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31.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31.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31.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31.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31.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31.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31.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31.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31.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31.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31.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31.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31.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31.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31.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31.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31.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31.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31.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31.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31.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31.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31.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31.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31.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31.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31.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31.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31.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31.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31.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31.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31.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31.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31.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31.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31.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31.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31.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31.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31.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31.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31.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31.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31.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31.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31.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31.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31.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31.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31.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31.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31.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31.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31.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31.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31.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31.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31.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31.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31.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31.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31.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31.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31.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31.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31.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31.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31.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31.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31.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31.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31.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31.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31.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31.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31.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31.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31.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31.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31.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31.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31.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31.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31.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31.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31.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31.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31.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31.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31.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31.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31.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31.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31.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31.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31.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31.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31.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31.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31.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31.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31.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31.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31.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31.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31.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31.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31.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31.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31.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31.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31.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31.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31.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31.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31.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31.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31.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31.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31.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31.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31.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31.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31.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31.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31.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31.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31.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31.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31.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31.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31.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31.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31.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31.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31.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31.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31.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31.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31.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31.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31.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31.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31.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31.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31.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31.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31.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31.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31.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31.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31.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31.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31.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31.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31.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31.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31.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31.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31.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31.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31.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31.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31.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31.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31.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31.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31.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31.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31.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31.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31.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31.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31.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31.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31.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31.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31.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31.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31.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31.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31.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31.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31.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31.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31.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31.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31.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31.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31.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31.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31.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31.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31.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31.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31.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31.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31.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31.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31.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31.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31.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31.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31.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31.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31.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31.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31.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31.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31.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31.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31.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31.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31.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31.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31.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31.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31.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31.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31.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31.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31.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31.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31.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31.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31.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31.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31.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31.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31.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31.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31.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31.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31.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31.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31.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31.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31.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31.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31.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31.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31.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31.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31.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31.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31.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31.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31.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31.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31.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31.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31.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31.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31.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31.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31.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31.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31.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31.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31.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31.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31.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31.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31.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31.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31.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31.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31.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31.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31.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31.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31.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31.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31.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31.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31.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31.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31.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31.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31.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31.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31.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31.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31.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31.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31.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31.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31.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31.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31.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31.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31.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31.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31.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31.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31.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31.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31.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31.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31.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31.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31.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31.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31.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31.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31.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31.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31.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31.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31.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31.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31.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31.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31.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31.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31.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31.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31.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31.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31.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31.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31.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31.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31.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31.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31.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31.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31.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31.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31.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31.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31.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31.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31.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31.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31.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31.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31.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31.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31.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31.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31.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31.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31.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31.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31.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31.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31.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31.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31.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31.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31.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31.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31.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31.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31.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31.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31.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31.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31.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31.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31.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31.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31.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31.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31.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31.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31.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31.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31.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31.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31.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31.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31.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31.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31.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31.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31.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31.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31.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31.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31.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31.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31.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31.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31.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31.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31.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31.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31.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31.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31.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31.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31.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31.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31.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31.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31.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31.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31.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31.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31.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31.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31.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31.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31.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31.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31.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31.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31.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31.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31.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31.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31.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31.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31.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31.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31.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31.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31.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31.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31.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31.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31.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31.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31.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31.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31.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31.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31.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31.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31.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31.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31.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31.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31.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31.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31.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31.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31.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31.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31.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31.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31.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31.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31.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31.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31.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31.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31.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31.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31.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31.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31.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31.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31.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31.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31.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31.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31.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31.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31.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31.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31.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31.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31.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31.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31.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31.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31.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31.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31.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31.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31.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31.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31.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31.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31.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31.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31.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31.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31.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31.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31.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31.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31.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31.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31.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31.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31.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31.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31.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31.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31.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31.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31.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31.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31.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31.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31.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31.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31.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31.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31.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31.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31.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31.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31.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31.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31.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31.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31.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31.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31.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31.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31.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31.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31.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31.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31.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31.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31.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31.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31.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31.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31.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31.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31.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31.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31.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31.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31.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31.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31.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31.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31.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31.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31.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31.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31.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31.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31.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31.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31.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31.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31.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31.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31.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31.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31.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31.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31.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31.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31.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31.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31.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31.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31.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31.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31.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31.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31.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31.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31.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31.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31.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31.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31.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31.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31.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31.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31.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31.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31.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31.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31.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31.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31.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31.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31.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31.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31.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31.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31.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31.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31.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31.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31.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31.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31.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31.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31.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31.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31.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31.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31.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31.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31.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31.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31.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31.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31.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31.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31.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31.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31.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31.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31.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31.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31.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31.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31.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31.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31.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31.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31.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31.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31.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31.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31.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31.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31.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31.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31.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31.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31.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31.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31.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31.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31.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31.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31.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31.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31.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31.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31.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31.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31.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31.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31.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31.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31.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31.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31.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31.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31.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31.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31.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31.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31.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31.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31.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31.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31.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31.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31.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31.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31.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31.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31.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31.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31.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31.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31.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31.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31.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31.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31.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31.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31.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31.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31.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31.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31.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31.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31.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31.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31.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31.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31.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31.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31.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31.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31.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31.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31.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31.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31.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31.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31.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31.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31.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31.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31.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31.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31.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31.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31.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31.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31.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31.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31.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31.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31.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31.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31.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31.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31.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31.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31.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31.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31.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31.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31.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31.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31.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31.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31.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31.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31.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31.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31.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31.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31.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31.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31.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31.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31.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31.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31.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31.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31.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31.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31.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31.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31.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31.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31.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31.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31.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31.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31.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31.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31.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31.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31.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31.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31.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31.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31.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31.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31.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31.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31.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31.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31.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31.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31.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31.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31.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31.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31.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31.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31.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31.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31.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31.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31.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31.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31.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31.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31.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31.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31.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31.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31.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31.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31.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31.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31.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31.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31.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31.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31.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31.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31.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31.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31.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31.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31.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31.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31.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31.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31.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44.63"/>
    <col customWidth="1" min="2" max="2" width="11.38"/>
    <col customWidth="1" min="3" max="3" width="23.88"/>
    <col customWidth="1" min="4" max="4" width="19.38"/>
    <col customWidth="1" min="5" max="6" width="9.38"/>
    <col customWidth="1" min="7" max="7" width="35.5"/>
    <col customWidth="1" min="8" max="8" width="46.88"/>
    <col customWidth="1" min="9" max="9" width="15.88"/>
    <col customWidth="1" min="10" max="10" width="65.5"/>
    <col customWidth="1" min="11" max="11" width="15.13"/>
    <col customWidth="1" min="12" max="12" width="19.75"/>
    <col customWidth="1" min="13" max="13" width="31.75"/>
    <col customWidth="1" min="14" max="14" width="10.13"/>
  </cols>
  <sheetData>
    <row r="1" ht="33.0" customHeight="1">
      <c r="A1" s="69" t="s">
        <v>30</v>
      </c>
      <c r="B1" s="69" t="s">
        <v>31</v>
      </c>
      <c r="C1" s="69" t="s">
        <v>58</v>
      </c>
      <c r="D1" s="69" t="s">
        <v>59</v>
      </c>
      <c r="E1" s="69" t="s">
        <v>60</v>
      </c>
      <c r="F1" s="69" t="s">
        <v>61</v>
      </c>
      <c r="G1" s="69" t="s">
        <v>5272</v>
      </c>
      <c r="H1" s="69" t="s">
        <v>63</v>
      </c>
      <c r="I1" s="69" t="s">
        <v>64</v>
      </c>
      <c r="J1" s="69" t="s">
        <v>65</v>
      </c>
      <c r="K1" s="70" t="s">
        <v>29</v>
      </c>
      <c r="L1" s="61" t="s">
        <v>1</v>
      </c>
      <c r="M1" s="70" t="s">
        <v>118</v>
      </c>
      <c r="N1" s="70" t="s">
        <v>119</v>
      </c>
      <c r="O1" s="12"/>
      <c r="P1" s="12"/>
      <c r="Q1" s="12"/>
      <c r="R1" s="12"/>
      <c r="S1" s="12"/>
      <c r="T1" s="12"/>
      <c r="U1" s="12"/>
      <c r="V1" s="12"/>
      <c r="W1" s="12"/>
      <c r="X1" s="12"/>
    </row>
    <row r="2" ht="33.0" customHeight="1">
      <c r="A2" s="71" t="str">
        <f>IFERROR(__xludf.DUMMYFUNCTION("QUERY(MasterData!A1:NK11797,""select AN,AO,AP,AQ,AR,AS,AT,AU,AV,AW,B,C,FL,FM where C='S3: Student Internships'"",0)"),"LATCHUBUKTHA SUTESH")</f>
        <v>LATCHUBUKTHA SUTESH</v>
      </c>
      <c r="B2" s="71" t="str">
        <f>IFERROR(__xludf.DUMMYFUNCTION("""COMPUTED_VALUE"""),"18331A0588")</f>
        <v>18331A0588</v>
      </c>
      <c r="C2" s="71" t="str">
        <f>IFERROR(__xludf.DUMMYFUNCTION("""COMPUTED_VALUE"""),"Capgemini")</f>
        <v>Capgemini</v>
      </c>
      <c r="D2" s="71" t="str">
        <f>IFERROR(__xludf.DUMMYFUNCTION("""COMPUTED_VALUE"""),"82 days")</f>
        <v>82 days</v>
      </c>
      <c r="E2" s="72">
        <f>IFERROR(__xludf.DUMMYFUNCTION("""COMPUTED_VALUE"""),44621.0)</f>
        <v>44621</v>
      </c>
      <c r="F2" s="72">
        <f>IFERROR(__xludf.DUMMYFUNCTION("""COMPUTED_VALUE"""),44701.0)</f>
        <v>44701</v>
      </c>
      <c r="G2" s="71" t="str">
        <f>IFERROR(__xludf.DUMMYFUNCTION("""COMPUTED_VALUE"""),"Yes")</f>
        <v>Yes</v>
      </c>
      <c r="H2" s="71" t="str">
        <f>IFERROR(__xludf.DUMMYFUNCTION("""COMPUTED_VALUE"""),"No")</f>
        <v>No</v>
      </c>
      <c r="I2" s="71">
        <f>IFERROR(__xludf.DUMMYFUNCTION("""COMPUTED_VALUE"""),0.0)</f>
        <v>0</v>
      </c>
      <c r="J2" s="73" t="str">
        <f>IFERROR(__xludf.DUMMYFUNCTION("""COMPUTED_VALUE"""),"https://drive.google.com/open?id=18tBNcfZaqHL51fcmdpFuOp4AHku-Sq8d")</f>
        <v>https://drive.google.com/open?id=18tBNcfZaqHL51fcmdpFuOp4AHku-Sq8d</v>
      </c>
      <c r="K2" s="71" t="str">
        <f>IFERROR(__xludf.DUMMYFUNCTION("""COMPUTED_VALUE"""),"2018-2022")</f>
        <v>2018-2022</v>
      </c>
      <c r="L2" s="71" t="str">
        <f>IFERROR(__xludf.DUMMYFUNCTION("""COMPUTED_VALUE"""),"S3: Student Internships")</f>
        <v>S3: Student Internships</v>
      </c>
      <c r="M2" s="71" t="str">
        <f>IFERROR(__xludf.DUMMYFUNCTION("""COMPUTED_VALUE"""),"latchubukthasutesh9@gmail.com")</f>
        <v>latchubukthasutesh9@gmail.com</v>
      </c>
      <c r="N2" s="71" t="str">
        <f>IFERROR(__xludf.DUMMYFUNCTION("""COMPUTED_VALUE"""),"SEM-8")</f>
        <v>SEM-8</v>
      </c>
      <c r="O2" s="74"/>
      <c r="P2" s="74"/>
      <c r="Q2" s="74"/>
      <c r="R2" s="74"/>
      <c r="S2" s="74"/>
      <c r="T2" s="74"/>
      <c r="U2" s="74"/>
      <c r="V2" s="74"/>
      <c r="W2" s="74"/>
      <c r="X2" s="74"/>
    </row>
    <row r="3" ht="33.0" customHeight="1">
      <c r="A3" s="75" t="str">
        <f>IFERROR(__xludf.DUMMYFUNCTION("""COMPUTED_VALUE"""),"Pooja Madhurima Salapu")</f>
        <v>Pooja Madhurima Salapu</v>
      </c>
      <c r="B3" s="75" t="str">
        <f>IFERROR(__xludf.DUMMYFUNCTION("""COMPUTED_VALUE"""),"18331A05D5")</f>
        <v>18331A05D5</v>
      </c>
      <c r="C3" s="75" t="str">
        <f>IFERROR(__xludf.DUMMYFUNCTION("""COMPUTED_VALUE"""),"Nineleaps")</f>
        <v>Nineleaps</v>
      </c>
      <c r="D3" s="75" t="str">
        <f>IFERROR(__xludf.DUMMYFUNCTION("""COMPUTED_VALUE"""),"6 months")</f>
        <v>6 months</v>
      </c>
      <c r="E3" s="76">
        <f>IFERROR(__xludf.DUMMYFUNCTION("""COMPUTED_VALUE"""),44578.0)</f>
        <v>44578</v>
      </c>
      <c r="F3" s="76">
        <f>IFERROR(__xludf.DUMMYFUNCTION("""COMPUTED_VALUE"""),44759.0)</f>
        <v>44759</v>
      </c>
      <c r="G3" s="75" t="str">
        <f>IFERROR(__xludf.DUMMYFUNCTION("""COMPUTED_VALUE"""),"Yes")</f>
        <v>Yes</v>
      </c>
      <c r="H3" s="75" t="str">
        <f>IFERROR(__xludf.DUMMYFUNCTION("""COMPUTED_VALUE"""),"No")</f>
        <v>No</v>
      </c>
      <c r="I3" s="75">
        <f>IFERROR(__xludf.DUMMYFUNCTION("""COMPUTED_VALUE"""),0.0)</f>
        <v>0</v>
      </c>
      <c r="J3" s="77" t="str">
        <f>IFERROR(__xludf.DUMMYFUNCTION("""COMPUTED_VALUE"""),"https://drive.google.com/open?id=1KMcNy8oz1aK5J5G9aU2Se0gUADC6l5Ra")</f>
        <v>https://drive.google.com/open?id=1KMcNy8oz1aK5J5G9aU2Se0gUADC6l5Ra</v>
      </c>
      <c r="K3" s="75" t="str">
        <f>IFERROR(__xludf.DUMMYFUNCTION("""COMPUTED_VALUE"""),"2018-2022")</f>
        <v>2018-2022</v>
      </c>
      <c r="L3" s="75" t="str">
        <f>IFERROR(__xludf.DUMMYFUNCTION("""COMPUTED_VALUE"""),"S3: Student Internships")</f>
        <v>S3: Student Internships</v>
      </c>
      <c r="M3" s="75" t="str">
        <f>IFERROR(__xludf.DUMMYFUNCTION("""COMPUTED_VALUE"""),"poojasalapu@gmail.com")</f>
        <v>poojasalapu@gmail.com</v>
      </c>
      <c r="N3" s="75" t="str">
        <f>IFERROR(__xludf.DUMMYFUNCTION("""COMPUTED_VALUE"""),"SEM-8")</f>
        <v>SEM-8</v>
      </c>
      <c r="O3" s="78"/>
      <c r="P3" s="78"/>
      <c r="Q3" s="78"/>
      <c r="R3" s="78"/>
      <c r="S3" s="78"/>
      <c r="T3" s="78"/>
      <c r="U3" s="78"/>
      <c r="V3" s="78"/>
      <c r="W3" s="78"/>
      <c r="X3" s="78"/>
    </row>
    <row r="4" ht="33.0" customHeight="1">
      <c r="A4" s="71" t="str">
        <f>IFERROR(__xludf.DUMMYFUNCTION("""COMPUTED_VALUE"""),"Kondeti Chandrika ")</f>
        <v>Kondeti Chandrika </v>
      </c>
      <c r="B4" s="71" t="str">
        <f>IFERROR(__xludf.DUMMYFUNCTION("""COMPUTED_VALUE"""),"18331A0580")</f>
        <v>18331A0580</v>
      </c>
      <c r="C4" s="71" t="str">
        <f>IFERROR(__xludf.DUMMYFUNCTION("""COMPUTED_VALUE"""),"TCS")</f>
        <v>TCS</v>
      </c>
      <c r="D4" s="71" t="str">
        <f>IFERROR(__xludf.DUMMYFUNCTION("""COMPUTED_VALUE"""),"4")</f>
        <v>4</v>
      </c>
      <c r="E4" s="72">
        <f>IFERROR(__xludf.DUMMYFUNCTION("""COMPUTED_VALUE"""),44628.0)</f>
        <v>44628</v>
      </c>
      <c r="F4" s="72">
        <f>IFERROR(__xludf.DUMMYFUNCTION("""COMPUTED_VALUE"""),44740.0)</f>
        <v>44740</v>
      </c>
      <c r="G4" s="71" t="str">
        <f>IFERROR(__xludf.DUMMYFUNCTION("""COMPUTED_VALUE"""),"No")</f>
        <v>No</v>
      </c>
      <c r="H4" s="71" t="str">
        <f>IFERROR(__xludf.DUMMYFUNCTION("""COMPUTED_VALUE"""),"No")</f>
        <v>No</v>
      </c>
      <c r="I4" s="71">
        <f>IFERROR(__xludf.DUMMYFUNCTION("""COMPUTED_VALUE"""),0.0)</f>
        <v>0</v>
      </c>
      <c r="J4" s="73" t="str">
        <f>IFERROR(__xludf.DUMMYFUNCTION("""COMPUTED_VALUE"""),"https://drive.google.com/open?id=1QPnvEQXm9CbOANLie0JsDZIWVPyOyVKW")</f>
        <v>https://drive.google.com/open?id=1QPnvEQXm9CbOANLie0JsDZIWVPyOyVKW</v>
      </c>
      <c r="K4" s="71" t="str">
        <f>IFERROR(__xludf.DUMMYFUNCTION("""COMPUTED_VALUE"""),"2018-2022")</f>
        <v>2018-2022</v>
      </c>
      <c r="L4" s="71" t="str">
        <f>IFERROR(__xludf.DUMMYFUNCTION("""COMPUTED_VALUE"""),"S3: Student Internships")</f>
        <v>S3: Student Internships</v>
      </c>
      <c r="M4" s="71" t="str">
        <f>IFERROR(__xludf.DUMMYFUNCTION("""COMPUTED_VALUE"""),"chandrika9229@gmail.com")</f>
        <v>chandrika9229@gmail.com</v>
      </c>
      <c r="N4" s="71" t="str">
        <f>IFERROR(__xludf.DUMMYFUNCTION("""COMPUTED_VALUE"""),"SEM-8")</f>
        <v>SEM-8</v>
      </c>
      <c r="O4" s="74"/>
      <c r="P4" s="74"/>
      <c r="Q4" s="74"/>
      <c r="R4" s="74"/>
      <c r="S4" s="74"/>
      <c r="T4" s="74"/>
      <c r="U4" s="74"/>
      <c r="V4" s="74"/>
      <c r="W4" s="74"/>
      <c r="X4" s="74"/>
    </row>
    <row r="5" ht="33.0" customHeight="1">
      <c r="A5" s="75" t="str">
        <f>IFERROR(__xludf.DUMMYFUNCTION("""COMPUTED_VALUE"""),"Boddapati Rajesh")</f>
        <v>Boddapati Rajesh</v>
      </c>
      <c r="B5" s="75" t="str">
        <f>IFERROR(__xludf.DUMMYFUNCTION("""COMPUTED_VALUE"""),"18331A0515")</f>
        <v>18331A0515</v>
      </c>
      <c r="C5" s="75" t="str">
        <f>IFERROR(__xludf.DUMMYFUNCTION("""COMPUTED_VALUE"""),"Red hat")</f>
        <v>Red hat</v>
      </c>
      <c r="D5" s="75" t="str">
        <f>IFERROR(__xludf.DUMMYFUNCTION("""COMPUTED_VALUE"""),"Indefinite")</f>
        <v>Indefinite</v>
      </c>
      <c r="E5" s="76">
        <f>IFERROR(__xludf.DUMMYFUNCTION("""COMPUTED_VALUE"""),44677.0)</f>
        <v>44677</v>
      </c>
      <c r="F5" s="76">
        <f>IFERROR(__xludf.DUMMYFUNCTION("""COMPUTED_VALUE"""),44681.0)</f>
        <v>44681</v>
      </c>
      <c r="G5" s="75" t="str">
        <f>IFERROR(__xludf.DUMMYFUNCTION("""COMPUTED_VALUE"""),"No")</f>
        <v>No</v>
      </c>
      <c r="H5" s="75" t="str">
        <f>IFERROR(__xludf.DUMMYFUNCTION("""COMPUTED_VALUE"""),"No")</f>
        <v>No</v>
      </c>
      <c r="I5" s="75">
        <f>IFERROR(__xludf.DUMMYFUNCTION("""COMPUTED_VALUE"""),0.0)</f>
        <v>0</v>
      </c>
      <c r="J5" s="77" t="str">
        <f>IFERROR(__xludf.DUMMYFUNCTION("""COMPUTED_VALUE"""),"https://drive.google.com/open?id=1mgQJ7PVKKoZmV-qGrfd_y3l9_VsLB2Xd")</f>
        <v>https://drive.google.com/open?id=1mgQJ7PVKKoZmV-qGrfd_y3l9_VsLB2Xd</v>
      </c>
      <c r="K5" s="75" t="str">
        <f>IFERROR(__xludf.DUMMYFUNCTION("""COMPUTED_VALUE"""),"2018-2022")</f>
        <v>2018-2022</v>
      </c>
      <c r="L5" s="75" t="str">
        <f>IFERROR(__xludf.DUMMYFUNCTION("""COMPUTED_VALUE"""),"S3: Student Internships")</f>
        <v>S3: Student Internships</v>
      </c>
      <c r="M5" s="75" t="str">
        <f>IFERROR(__xludf.DUMMYFUNCTION("""COMPUTED_VALUE"""),"rajeshboddapati37@gmail.com")</f>
        <v>rajeshboddapati37@gmail.com</v>
      </c>
      <c r="N5" s="75" t="str">
        <f>IFERROR(__xludf.DUMMYFUNCTION("""COMPUTED_VALUE"""),"SEM-8")</f>
        <v>SEM-8</v>
      </c>
      <c r="O5" s="78"/>
      <c r="P5" s="78"/>
      <c r="Q5" s="78"/>
      <c r="R5" s="78"/>
      <c r="S5" s="78"/>
      <c r="T5" s="78"/>
      <c r="U5" s="78"/>
      <c r="V5" s="78"/>
      <c r="W5" s="78"/>
      <c r="X5" s="78"/>
    </row>
    <row r="6" ht="33.0" customHeight="1">
      <c r="A6" s="71" t="str">
        <f>IFERROR(__xludf.DUMMYFUNCTION("""COMPUTED_VALUE"""),"BUKA PRUDHVI RAJ")</f>
        <v>BUKA PRUDHVI RAJ</v>
      </c>
      <c r="B6" s="71" t="str">
        <f>IFERROR(__xludf.DUMMYFUNCTION("""COMPUTED_VALUE"""),"19335A0503")</f>
        <v>19335A0503</v>
      </c>
      <c r="C6" s="71" t="str">
        <f>IFERROR(__xludf.DUMMYFUNCTION("""COMPUTED_VALUE"""),"AICTE")</f>
        <v>AICTE</v>
      </c>
      <c r="D6" s="71" t="str">
        <f>IFERROR(__xludf.DUMMYFUNCTION("""COMPUTED_VALUE"""),"2 months")</f>
        <v>2 months</v>
      </c>
      <c r="E6" s="72">
        <f>IFERROR(__xludf.DUMMYFUNCTION("""COMPUTED_VALUE"""),44480.0)</f>
        <v>44480</v>
      </c>
      <c r="F6" s="72">
        <f>IFERROR(__xludf.DUMMYFUNCTION("""COMPUTED_VALUE"""),44544.0)</f>
        <v>44544</v>
      </c>
      <c r="G6" s="71" t="str">
        <f>IFERROR(__xludf.DUMMYFUNCTION("""COMPUTED_VALUE"""),"No")</f>
        <v>No</v>
      </c>
      <c r="H6" s="71" t="str">
        <f>IFERROR(__xludf.DUMMYFUNCTION("""COMPUTED_VALUE"""),"No")</f>
        <v>No</v>
      </c>
      <c r="I6" s="71">
        <f>IFERROR(__xludf.DUMMYFUNCTION("""COMPUTED_VALUE"""),0.0)</f>
        <v>0</v>
      </c>
      <c r="J6" s="73" t="str">
        <f>IFERROR(__xludf.DUMMYFUNCTION("""COMPUTED_VALUE"""),"https://drive.google.com/open?id=1MvkXMoGjwziiWPG0OmXyCZDmkQEV6b6_")</f>
        <v>https://drive.google.com/open?id=1MvkXMoGjwziiWPG0OmXyCZDmkQEV6b6_</v>
      </c>
      <c r="K6" s="71" t="str">
        <f>IFERROR(__xludf.DUMMYFUNCTION("""COMPUTED_VALUE"""),"2018-2022")</f>
        <v>2018-2022</v>
      </c>
      <c r="L6" s="71" t="str">
        <f>IFERROR(__xludf.DUMMYFUNCTION("""COMPUTED_VALUE"""),"S3: Student Internships")</f>
        <v>S3: Student Internships</v>
      </c>
      <c r="M6" s="71" t="str">
        <f>IFERROR(__xludf.DUMMYFUNCTION("""COMPUTED_VALUE"""),"prudhviraj.buka99@gmail.com")</f>
        <v>prudhviraj.buka99@gmail.com</v>
      </c>
      <c r="N6" s="71" t="str">
        <f>IFERROR(__xludf.DUMMYFUNCTION("""COMPUTED_VALUE"""),"SEM-7")</f>
        <v>SEM-7</v>
      </c>
      <c r="O6" s="74"/>
      <c r="P6" s="74"/>
      <c r="Q6" s="74"/>
      <c r="R6" s="74"/>
      <c r="S6" s="74"/>
      <c r="T6" s="74"/>
      <c r="U6" s="74"/>
      <c r="V6" s="74"/>
      <c r="W6" s="74"/>
      <c r="X6" s="74"/>
    </row>
    <row r="7" ht="33.0" customHeight="1">
      <c r="A7" s="71" t="str">
        <f>IFERROR(__xludf.DUMMYFUNCTION("""COMPUTED_VALUE"""),"Joshini Sabbavarapu")</f>
        <v>Joshini Sabbavarapu</v>
      </c>
      <c r="B7" s="71" t="str">
        <f>IFERROR(__xludf.DUMMYFUNCTION("""COMPUTED_VALUE"""),"19335A0515")</f>
        <v>19335A0515</v>
      </c>
      <c r="C7" s="71" t="str">
        <f>IFERROR(__xludf.DUMMYFUNCTION("""COMPUTED_VALUE"""),"AICTE")</f>
        <v>AICTE</v>
      </c>
      <c r="D7" s="71" t="str">
        <f>IFERROR(__xludf.DUMMYFUNCTION("""COMPUTED_VALUE"""),"2 Months")</f>
        <v>2 Months</v>
      </c>
      <c r="E7" s="72">
        <f>IFERROR(__xludf.DUMMYFUNCTION("""COMPUTED_VALUE"""),44480.0)</f>
        <v>44480</v>
      </c>
      <c r="F7" s="72">
        <f>IFERROR(__xludf.DUMMYFUNCTION("""COMPUTED_VALUE"""),44544.0)</f>
        <v>44544</v>
      </c>
      <c r="G7" s="71" t="str">
        <f>IFERROR(__xludf.DUMMYFUNCTION("""COMPUTED_VALUE"""),"No")</f>
        <v>No</v>
      </c>
      <c r="H7" s="71" t="str">
        <f>IFERROR(__xludf.DUMMYFUNCTION("""COMPUTED_VALUE"""),"No")</f>
        <v>No</v>
      </c>
      <c r="I7" s="71">
        <f>IFERROR(__xludf.DUMMYFUNCTION("""COMPUTED_VALUE"""),0.0)</f>
        <v>0</v>
      </c>
      <c r="J7" s="73" t="str">
        <f>IFERROR(__xludf.DUMMYFUNCTION("""COMPUTED_VALUE"""),"https://drive.google.com/open?id=1VnotBEkB8oNas5leG5dtem61RtWiI3Ml")</f>
        <v>https://drive.google.com/open?id=1VnotBEkB8oNas5leG5dtem61RtWiI3Ml</v>
      </c>
      <c r="K7" s="71" t="str">
        <f>IFERROR(__xludf.DUMMYFUNCTION("""COMPUTED_VALUE"""),"2018-2022")</f>
        <v>2018-2022</v>
      </c>
      <c r="L7" s="71" t="str">
        <f>IFERROR(__xludf.DUMMYFUNCTION("""COMPUTED_VALUE"""),"S3: Student Internships")</f>
        <v>S3: Student Internships</v>
      </c>
      <c r="M7" s="71" t="str">
        <f>IFERROR(__xludf.DUMMYFUNCTION("""COMPUTED_VALUE"""),"joshini747@gmail.com")</f>
        <v>joshini747@gmail.com</v>
      </c>
      <c r="N7" s="71" t="str">
        <f>IFERROR(__xludf.DUMMYFUNCTION("""COMPUTED_VALUE"""),"SEM-4")</f>
        <v>SEM-4</v>
      </c>
      <c r="O7" s="74"/>
      <c r="P7" s="74"/>
      <c r="Q7" s="74"/>
      <c r="R7" s="74"/>
      <c r="S7" s="74"/>
      <c r="T7" s="74"/>
      <c r="U7" s="74"/>
      <c r="V7" s="74"/>
      <c r="W7" s="74"/>
      <c r="X7" s="74"/>
    </row>
    <row r="8" ht="33.0" customHeight="1">
      <c r="A8" s="71" t="str">
        <f>IFERROR(__xludf.DUMMYFUNCTION("""COMPUTED_VALUE"""),"yashwanth boggarapu")</f>
        <v>yashwanth boggarapu</v>
      </c>
      <c r="B8" s="71" t="str">
        <f>IFERROR(__xludf.DUMMYFUNCTION("""COMPUTED_VALUE"""),"18331A0517")</f>
        <v>18331A0517</v>
      </c>
      <c r="C8" s="71" t="str">
        <f>IFERROR(__xludf.DUMMYFUNCTION("""COMPUTED_VALUE"""),"AICTE")</f>
        <v>AICTE</v>
      </c>
      <c r="D8" s="71" t="str">
        <f>IFERROR(__xludf.DUMMYFUNCTION("""COMPUTED_VALUE"""),"10 Weeks")</f>
        <v>10 Weeks</v>
      </c>
      <c r="E8" s="72">
        <f>IFERROR(__xludf.DUMMYFUNCTION("""COMPUTED_VALUE"""),44489.0)</f>
        <v>44489</v>
      </c>
      <c r="F8" s="72">
        <f>IFERROR(__xludf.DUMMYFUNCTION("""COMPUTED_VALUE"""),44561.0)</f>
        <v>44561</v>
      </c>
      <c r="G8" s="71" t="str">
        <f>IFERROR(__xludf.DUMMYFUNCTION("""COMPUTED_VALUE"""),"No")</f>
        <v>No</v>
      </c>
      <c r="H8" s="71" t="str">
        <f>IFERROR(__xludf.DUMMYFUNCTION("""COMPUTED_VALUE"""),"No")</f>
        <v>No</v>
      </c>
      <c r="I8" s="71">
        <f>IFERROR(__xludf.DUMMYFUNCTION("""COMPUTED_VALUE"""),0.0)</f>
        <v>0</v>
      </c>
      <c r="J8" s="73" t="str">
        <f>IFERROR(__xludf.DUMMYFUNCTION("""COMPUTED_VALUE"""),"https://drive.google.com/open?id=12y2JfnPITi1EgRwDeBbP2weo5du5Dfw_")</f>
        <v>https://drive.google.com/open?id=12y2JfnPITi1EgRwDeBbP2weo5du5Dfw_</v>
      </c>
      <c r="K8" s="71" t="str">
        <f>IFERROR(__xludf.DUMMYFUNCTION("""COMPUTED_VALUE"""),"2018-2022")</f>
        <v>2018-2022</v>
      </c>
      <c r="L8" s="71" t="str">
        <f>IFERROR(__xludf.DUMMYFUNCTION("""COMPUTED_VALUE"""),"S3: Student Internships")</f>
        <v>S3: Student Internships</v>
      </c>
      <c r="M8" s="71" t="str">
        <f>IFERROR(__xludf.DUMMYFUNCTION("""COMPUTED_VALUE"""),"yashwanthboggarapu2000@gmail.com")</f>
        <v>yashwanthboggarapu2000@gmail.com</v>
      </c>
      <c r="N8" s="71" t="str">
        <f>IFERROR(__xludf.DUMMYFUNCTION("""COMPUTED_VALUE"""),"SEM-7")</f>
        <v>SEM-7</v>
      </c>
      <c r="O8" s="74"/>
      <c r="P8" s="74"/>
      <c r="Q8" s="74"/>
      <c r="R8" s="74"/>
      <c r="S8" s="74"/>
      <c r="T8" s="74"/>
      <c r="U8" s="74"/>
      <c r="V8" s="74"/>
      <c r="W8" s="74"/>
      <c r="X8" s="74"/>
    </row>
    <row r="9" ht="33.0" customHeight="1">
      <c r="A9" s="71" t="str">
        <f>IFERROR(__xludf.DUMMYFUNCTION("""COMPUTED_VALUE"""),"GANTA MOUNIKA")</f>
        <v>GANTA MOUNIKA</v>
      </c>
      <c r="B9" s="71" t="str">
        <f>IFERROR(__xludf.DUMMYFUNCTION("""COMPUTED_VALUE"""),"18331A0543")</f>
        <v>18331A0543</v>
      </c>
      <c r="C9" s="71" t="str">
        <f>IFERROR(__xludf.DUMMYFUNCTION("""COMPUTED_VALUE"""),"AICTE")</f>
        <v>AICTE</v>
      </c>
      <c r="D9" s="71" t="str">
        <f>IFERROR(__xludf.DUMMYFUNCTION("""COMPUTED_VALUE"""),"2 months")</f>
        <v>2 months</v>
      </c>
      <c r="E9" s="72">
        <f>IFERROR(__xludf.DUMMYFUNCTION("""COMPUTED_VALUE"""),44489.0)</f>
        <v>44489</v>
      </c>
      <c r="F9" s="72">
        <f>IFERROR(__xludf.DUMMYFUNCTION("""COMPUTED_VALUE"""),44561.0)</f>
        <v>44561</v>
      </c>
      <c r="G9" s="71" t="str">
        <f>IFERROR(__xludf.DUMMYFUNCTION("""COMPUTED_VALUE"""),"No")</f>
        <v>No</v>
      </c>
      <c r="H9" s="71" t="str">
        <f>IFERROR(__xludf.DUMMYFUNCTION("""COMPUTED_VALUE"""),"No")</f>
        <v>No</v>
      </c>
      <c r="I9" s="71">
        <f>IFERROR(__xludf.DUMMYFUNCTION("""COMPUTED_VALUE"""),0.0)</f>
        <v>0</v>
      </c>
      <c r="J9" s="73" t="str">
        <f>IFERROR(__xludf.DUMMYFUNCTION("""COMPUTED_VALUE"""),"https://drive.google.com/open?id=19o5Qm4OqpYUbu8u3Ot2KY7B0CHQfQKNe")</f>
        <v>https://drive.google.com/open?id=19o5Qm4OqpYUbu8u3Ot2KY7B0CHQfQKNe</v>
      </c>
      <c r="K9" s="71" t="str">
        <f>IFERROR(__xludf.DUMMYFUNCTION("""COMPUTED_VALUE"""),"2018-2022")</f>
        <v>2018-2022</v>
      </c>
      <c r="L9" s="71" t="str">
        <f>IFERROR(__xludf.DUMMYFUNCTION("""COMPUTED_VALUE"""),"S3: Student Internships")</f>
        <v>S3: Student Internships</v>
      </c>
      <c r="M9" s="71" t="str">
        <f>IFERROR(__xludf.DUMMYFUNCTION("""COMPUTED_VALUE"""),"mounikaganta2001@gmail.com")</f>
        <v>mounikaganta2001@gmail.com</v>
      </c>
      <c r="N9" s="71" t="str">
        <f>IFERROR(__xludf.DUMMYFUNCTION("""COMPUTED_VALUE"""),"SEM-8")</f>
        <v>SEM-8</v>
      </c>
      <c r="O9" s="74"/>
      <c r="P9" s="74"/>
      <c r="Q9" s="74"/>
      <c r="R9" s="74"/>
      <c r="S9" s="74"/>
      <c r="T9" s="74"/>
      <c r="U9" s="74"/>
      <c r="V9" s="74"/>
      <c r="W9" s="74"/>
      <c r="X9" s="74"/>
    </row>
    <row r="10" ht="33.0" customHeight="1">
      <c r="A10" s="71" t="str">
        <f>IFERROR(__xludf.DUMMYFUNCTION("""COMPUTED_VALUE"""),"ganta manoj kumar")</f>
        <v>ganta manoj kumar</v>
      </c>
      <c r="B10" s="71" t="str">
        <f>IFERROR(__xludf.DUMMYFUNCTION("""COMPUTED_VALUE"""),"18331A0542")</f>
        <v>18331A0542</v>
      </c>
      <c r="C10" s="71" t="str">
        <f>IFERROR(__xludf.DUMMYFUNCTION("""COMPUTED_VALUE"""),"amazon")</f>
        <v>amazon</v>
      </c>
      <c r="D10" s="71" t="str">
        <f>IFERROR(__xludf.DUMMYFUNCTION("""COMPUTED_VALUE"""),"3months")</f>
        <v>3months</v>
      </c>
      <c r="E10" s="72">
        <f>IFERROR(__xludf.DUMMYFUNCTION("""COMPUTED_VALUE"""),44475.0)</f>
        <v>44475</v>
      </c>
      <c r="F10" s="72">
        <f>IFERROR(__xludf.DUMMYFUNCTION("""COMPUTED_VALUE"""),44560.0)</f>
        <v>44560</v>
      </c>
      <c r="G10" s="71" t="str">
        <f>IFERROR(__xludf.DUMMYFUNCTION("""COMPUTED_VALUE"""),"No")</f>
        <v>No</v>
      </c>
      <c r="H10" s="71" t="str">
        <f>IFERROR(__xludf.DUMMYFUNCTION("""COMPUTED_VALUE"""),"No")</f>
        <v>No</v>
      </c>
      <c r="I10" s="71">
        <f>IFERROR(__xludf.DUMMYFUNCTION("""COMPUTED_VALUE"""),0.0)</f>
        <v>0</v>
      </c>
      <c r="J10" s="73" t="str">
        <f>IFERROR(__xludf.DUMMYFUNCTION("""COMPUTED_VALUE"""),"https://drive.google.com/open?id=18-E87WQWNLxgSe6O5CdCHwihnb5pegwi")</f>
        <v>https://drive.google.com/open?id=18-E87WQWNLxgSe6O5CdCHwihnb5pegwi</v>
      </c>
      <c r="K10" s="71" t="str">
        <f>IFERROR(__xludf.DUMMYFUNCTION("""COMPUTED_VALUE"""),"2018-2022")</f>
        <v>2018-2022</v>
      </c>
      <c r="L10" s="71" t="str">
        <f>IFERROR(__xludf.DUMMYFUNCTION("""COMPUTED_VALUE"""),"S3: Student Internships")</f>
        <v>S3: Student Internships</v>
      </c>
      <c r="M10" s="71" t="str">
        <f>IFERROR(__xludf.DUMMYFUNCTION("""COMPUTED_VALUE"""),"gmanoj2k08@gmail.com")</f>
        <v>gmanoj2k08@gmail.com</v>
      </c>
      <c r="N10" s="71" t="str">
        <f>IFERROR(__xludf.DUMMYFUNCTION("""COMPUTED_VALUE"""),"SEM-7")</f>
        <v>SEM-7</v>
      </c>
      <c r="O10" s="74"/>
      <c r="P10" s="74"/>
      <c r="Q10" s="74"/>
      <c r="R10" s="74"/>
      <c r="S10" s="74"/>
      <c r="T10" s="74"/>
      <c r="U10" s="74"/>
      <c r="V10" s="74"/>
      <c r="W10" s="74"/>
      <c r="X10" s="74"/>
    </row>
    <row r="11" ht="33.0" customHeight="1">
      <c r="A11" s="71" t="str">
        <f>IFERROR(__xludf.DUMMYFUNCTION("""COMPUTED_VALUE"""),"Bogapurapu Rahul")</f>
        <v>Bogapurapu Rahul</v>
      </c>
      <c r="B11" s="71" t="str">
        <f>IFERROR(__xludf.DUMMYFUNCTION("""COMPUTED_VALUE"""),"18331A0516")</f>
        <v>18331A0516</v>
      </c>
      <c r="C11" s="71" t="str">
        <f>IFERROR(__xludf.DUMMYFUNCTION("""COMPUTED_VALUE"""),"AICTE")</f>
        <v>AICTE</v>
      </c>
      <c r="D11" s="71" t="str">
        <f>IFERROR(__xludf.DUMMYFUNCTION("""COMPUTED_VALUE"""),"10 Weeks")</f>
        <v>10 Weeks</v>
      </c>
      <c r="E11" s="72">
        <f>IFERROR(__xludf.DUMMYFUNCTION("""COMPUTED_VALUE"""),44476.0)</f>
        <v>44476</v>
      </c>
      <c r="F11" s="72">
        <f>IFERROR(__xludf.DUMMYFUNCTION("""COMPUTED_VALUE"""),44537.0)</f>
        <v>44537</v>
      </c>
      <c r="G11" s="71" t="str">
        <f>IFERROR(__xludf.DUMMYFUNCTION("""COMPUTED_VALUE"""),"No")</f>
        <v>No</v>
      </c>
      <c r="H11" s="71" t="str">
        <f>IFERROR(__xludf.DUMMYFUNCTION("""COMPUTED_VALUE"""),"No")</f>
        <v>No</v>
      </c>
      <c r="I11" s="71">
        <f>IFERROR(__xludf.DUMMYFUNCTION("""COMPUTED_VALUE"""),0.0)</f>
        <v>0</v>
      </c>
      <c r="J11" s="73" t="str">
        <f>IFERROR(__xludf.DUMMYFUNCTION("""COMPUTED_VALUE"""),"https://drive.google.com/open?id=1rz9AnQm86uagR_pAMig6v7gRhPmsjPD5")</f>
        <v>https://drive.google.com/open?id=1rz9AnQm86uagR_pAMig6v7gRhPmsjPD5</v>
      </c>
      <c r="K11" s="71" t="str">
        <f>IFERROR(__xludf.DUMMYFUNCTION("""COMPUTED_VALUE"""),"2018-2022")</f>
        <v>2018-2022</v>
      </c>
      <c r="L11" s="71" t="str">
        <f>IFERROR(__xludf.DUMMYFUNCTION("""COMPUTED_VALUE"""),"S3: Student Internships")</f>
        <v>S3: Student Internships</v>
      </c>
      <c r="M11" s="71" t="str">
        <f>IFERROR(__xludf.DUMMYFUNCTION("""COMPUTED_VALUE"""),"rrahul94772@gmail.com")</f>
        <v>rrahul94772@gmail.com</v>
      </c>
      <c r="N11" s="71" t="str">
        <f>IFERROR(__xludf.DUMMYFUNCTION("""COMPUTED_VALUE"""),"SEM-8")</f>
        <v>SEM-8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</row>
    <row r="12" ht="33.0" customHeight="1">
      <c r="A12" s="71" t="str">
        <f>IFERROR(__xludf.DUMMYFUNCTION("""COMPUTED_VALUE"""),"L.Kavya")</f>
        <v>L.Kavya</v>
      </c>
      <c r="B12" s="71" t="str">
        <f>IFERROR(__xludf.DUMMYFUNCTION("""COMPUTED_VALUE"""),"18331A0585")</f>
        <v>18331A0585</v>
      </c>
      <c r="C12" s="71" t="str">
        <f>IFERROR(__xludf.DUMMYFUNCTION("""COMPUTED_VALUE"""),"TIP Community ")</f>
        <v>TIP Community </v>
      </c>
      <c r="D12" s="71" t="str">
        <f>IFERROR(__xludf.DUMMYFUNCTION("""COMPUTED_VALUE"""),"1 month")</f>
        <v>1 month</v>
      </c>
      <c r="E12" s="72">
        <f>IFERROR(__xludf.DUMMYFUNCTION("""COMPUTED_VALUE"""),44505.0)</f>
        <v>44505</v>
      </c>
      <c r="F12" s="72">
        <f>IFERROR(__xludf.DUMMYFUNCTION("""COMPUTED_VALUE"""),44537.0)</f>
        <v>44537</v>
      </c>
      <c r="G12" s="71" t="str">
        <f>IFERROR(__xludf.DUMMYFUNCTION("""COMPUTED_VALUE"""),"No")</f>
        <v>No</v>
      </c>
      <c r="H12" s="71" t="str">
        <f>IFERROR(__xludf.DUMMYFUNCTION("""COMPUTED_VALUE"""),"No")</f>
        <v>No</v>
      </c>
      <c r="I12" s="71">
        <f>IFERROR(__xludf.DUMMYFUNCTION("""COMPUTED_VALUE"""),0.0)</f>
        <v>0</v>
      </c>
      <c r="J12" s="73" t="str">
        <f>IFERROR(__xludf.DUMMYFUNCTION("""COMPUTED_VALUE"""),"https://drive.google.com/open?id=1hifjuFihTXKbIiF-5nCra9V0PPc36URt")</f>
        <v>https://drive.google.com/open?id=1hifjuFihTXKbIiF-5nCra9V0PPc36URt</v>
      </c>
      <c r="K12" s="71" t="str">
        <f>IFERROR(__xludf.DUMMYFUNCTION("""COMPUTED_VALUE"""),"2018-2022")</f>
        <v>2018-2022</v>
      </c>
      <c r="L12" s="71" t="str">
        <f>IFERROR(__xludf.DUMMYFUNCTION("""COMPUTED_VALUE"""),"S3: Student Internships")</f>
        <v>S3: Student Internships</v>
      </c>
      <c r="M12" s="71" t="str">
        <f>IFERROR(__xludf.DUMMYFUNCTION("""COMPUTED_VALUE"""),"lakhanapuramkavya@gmail.com")</f>
        <v>lakhanapuramkavya@gmail.com</v>
      </c>
      <c r="N12" s="71" t="str">
        <f>IFERROR(__xludf.DUMMYFUNCTION("""COMPUTED_VALUE"""),"SEM-8")</f>
        <v>SEM-8</v>
      </c>
      <c r="O12" s="74"/>
      <c r="P12" s="74"/>
      <c r="Q12" s="74"/>
      <c r="R12" s="74"/>
      <c r="S12" s="74"/>
      <c r="T12" s="74"/>
      <c r="U12" s="74"/>
      <c r="V12" s="74"/>
      <c r="W12" s="74"/>
      <c r="X12" s="74"/>
    </row>
    <row r="13" ht="33.0" customHeight="1">
      <c r="A13" s="71" t="str">
        <f>IFERROR(__xludf.DUMMYFUNCTION("""COMPUTED_VALUE"""),"Alluri Vishnu Vardhan Varma ")</f>
        <v>Alluri Vishnu Vardhan Varma </v>
      </c>
      <c r="B13" s="71" t="str">
        <f>IFERROR(__xludf.DUMMYFUNCTION("""COMPUTED_VALUE"""),"18331A0504")</f>
        <v>18331A0504</v>
      </c>
      <c r="C13" s="71" t="str">
        <f>IFERROR(__xludf.DUMMYFUNCTION("""COMPUTED_VALUE"""),"Capgemini ")</f>
        <v>Capgemini </v>
      </c>
      <c r="D13" s="71" t="str">
        <f>IFERROR(__xludf.DUMMYFUNCTION("""COMPUTED_VALUE"""),"3 months")</f>
        <v>3 months</v>
      </c>
      <c r="E13" s="72">
        <f>IFERROR(__xludf.DUMMYFUNCTION("""COMPUTED_VALUE"""),44620.0)</f>
        <v>44620</v>
      </c>
      <c r="F13" s="72">
        <f>IFERROR(__xludf.DUMMYFUNCTION("""COMPUTED_VALUE"""),44701.0)</f>
        <v>44701</v>
      </c>
      <c r="G13" s="71" t="str">
        <f>IFERROR(__xludf.DUMMYFUNCTION("""COMPUTED_VALUE"""),"Yes")</f>
        <v>Yes</v>
      </c>
      <c r="H13" s="71" t="str">
        <f>IFERROR(__xludf.DUMMYFUNCTION("""COMPUTED_VALUE"""),"No")</f>
        <v>No</v>
      </c>
      <c r="I13" s="71">
        <f>IFERROR(__xludf.DUMMYFUNCTION("""COMPUTED_VALUE"""),220001.0)</f>
        <v>220001</v>
      </c>
      <c r="J13" s="73" t="str">
        <f>IFERROR(__xludf.DUMMYFUNCTION("""COMPUTED_VALUE"""),"https://drive.google.com/open?id=1CeOQ59qmlzNyT1Esv4h5TV6_GBYNxX3G")</f>
        <v>https://drive.google.com/open?id=1CeOQ59qmlzNyT1Esv4h5TV6_GBYNxX3G</v>
      </c>
      <c r="K13" s="71" t="str">
        <f>IFERROR(__xludf.DUMMYFUNCTION("""COMPUTED_VALUE"""),"2018-2022")</f>
        <v>2018-2022</v>
      </c>
      <c r="L13" s="71" t="str">
        <f>IFERROR(__xludf.DUMMYFUNCTION("""COMPUTED_VALUE"""),"S3: Student Internships")</f>
        <v>S3: Student Internships</v>
      </c>
      <c r="M13" s="71" t="str">
        <f>IFERROR(__xludf.DUMMYFUNCTION("""COMPUTED_VALUE"""),"vvvarma2001@gmail.com")</f>
        <v>vvvarma2001@gmail.com</v>
      </c>
      <c r="N13" s="71" t="str">
        <f>IFERROR(__xludf.DUMMYFUNCTION("""COMPUTED_VALUE"""),"SEM-8")</f>
        <v>SEM-8</v>
      </c>
      <c r="O13" s="74"/>
      <c r="P13" s="74"/>
      <c r="Q13" s="74"/>
      <c r="R13" s="74"/>
      <c r="S13" s="74"/>
      <c r="T13" s="74"/>
      <c r="U13" s="74"/>
      <c r="V13" s="74"/>
      <c r="W13" s="74"/>
      <c r="X13" s="74"/>
    </row>
    <row r="14" ht="33.0" customHeight="1">
      <c r="A14" s="71" t="str">
        <f>IFERROR(__xludf.DUMMYFUNCTION("""COMPUTED_VALUE"""),"Gorle Jayasri ")</f>
        <v>Gorle Jayasri </v>
      </c>
      <c r="B14" s="71" t="str">
        <f>IFERROR(__xludf.DUMMYFUNCTION("""COMPUTED_VALUE"""),"19335A0505")</f>
        <v>19335A0505</v>
      </c>
      <c r="C14" s="71" t="str">
        <f>IFERROR(__xludf.DUMMYFUNCTION("""COMPUTED_VALUE"""),"AICTE")</f>
        <v>AICTE</v>
      </c>
      <c r="D14" s="71" t="str">
        <f>IFERROR(__xludf.DUMMYFUNCTION("""COMPUTED_VALUE"""),"2 months")</f>
        <v>2 months</v>
      </c>
      <c r="E14" s="72">
        <f>IFERROR(__xludf.DUMMYFUNCTION("""COMPUTED_VALUE"""),44470.0)</f>
        <v>44470</v>
      </c>
      <c r="F14" s="72">
        <f>IFERROR(__xludf.DUMMYFUNCTION("""COMPUTED_VALUE"""),44537.0)</f>
        <v>44537</v>
      </c>
      <c r="G14" s="71" t="str">
        <f>IFERROR(__xludf.DUMMYFUNCTION("""COMPUTED_VALUE"""),"No")</f>
        <v>No</v>
      </c>
      <c r="H14" s="71" t="str">
        <f>IFERROR(__xludf.DUMMYFUNCTION("""COMPUTED_VALUE"""),"No")</f>
        <v>No</v>
      </c>
      <c r="I14" s="71">
        <f>IFERROR(__xludf.DUMMYFUNCTION("""COMPUTED_VALUE"""),0.0)</f>
        <v>0</v>
      </c>
      <c r="J14" s="73" t="str">
        <f>IFERROR(__xludf.DUMMYFUNCTION("""COMPUTED_VALUE"""),"https://drive.google.com/open?id=1iHQ_OzGdGwvuj_6h5n4_UoHjYIdeFruP")</f>
        <v>https://drive.google.com/open?id=1iHQ_OzGdGwvuj_6h5n4_UoHjYIdeFruP</v>
      </c>
      <c r="K14" s="71" t="str">
        <f>IFERROR(__xludf.DUMMYFUNCTION("""COMPUTED_VALUE"""),"2018-2022")</f>
        <v>2018-2022</v>
      </c>
      <c r="L14" s="71" t="str">
        <f>IFERROR(__xludf.DUMMYFUNCTION("""COMPUTED_VALUE"""),"S3: Student Internships")</f>
        <v>S3: Student Internships</v>
      </c>
      <c r="M14" s="71" t="str">
        <f>IFERROR(__xludf.DUMMYFUNCTION("""COMPUTED_VALUE"""),"gorlejayasri99@gmail.com")</f>
        <v>gorlejayasri99@gmail.com</v>
      </c>
      <c r="N14" s="71" t="str">
        <f>IFERROR(__xludf.DUMMYFUNCTION("""COMPUTED_VALUE"""),"SEM-7")</f>
        <v>SEM-7</v>
      </c>
      <c r="O14" s="74"/>
      <c r="P14" s="74"/>
      <c r="Q14" s="74"/>
      <c r="R14" s="74"/>
      <c r="S14" s="74"/>
      <c r="T14" s="74"/>
      <c r="U14" s="74"/>
      <c r="V14" s="74"/>
      <c r="W14" s="74"/>
      <c r="X14" s="74"/>
    </row>
    <row r="15" ht="33.0" customHeight="1">
      <c r="A15" s="71" t="str">
        <f>IFERROR(__xludf.DUMMYFUNCTION("""COMPUTED_VALUE"""),"Alluri Vishnu Vardhan Varma ")</f>
        <v>Alluri Vishnu Vardhan Varma </v>
      </c>
      <c r="B15" s="71" t="str">
        <f>IFERROR(__xludf.DUMMYFUNCTION("""COMPUTED_VALUE"""),"18331A0504")</f>
        <v>18331A0504</v>
      </c>
      <c r="C15" s="71" t="str">
        <f>IFERROR(__xludf.DUMMYFUNCTION("""COMPUTED_VALUE"""),"AWS academy")</f>
        <v>AWS academy</v>
      </c>
      <c r="D15" s="71" t="str">
        <f>IFERROR(__xludf.DUMMYFUNCTION("""COMPUTED_VALUE"""),"3 months")</f>
        <v>3 months</v>
      </c>
      <c r="E15" s="72">
        <f>IFERROR(__xludf.DUMMYFUNCTION("""COMPUTED_VALUE"""),44474.0)</f>
        <v>44474</v>
      </c>
      <c r="F15" s="72">
        <f>IFERROR(__xludf.DUMMYFUNCTION("""COMPUTED_VALUE"""),44555.0)</f>
        <v>44555</v>
      </c>
      <c r="G15" s="71" t="str">
        <f>IFERROR(__xludf.DUMMYFUNCTION("""COMPUTED_VALUE"""),"No")</f>
        <v>No</v>
      </c>
      <c r="H15" s="71" t="str">
        <f>IFERROR(__xludf.DUMMYFUNCTION("""COMPUTED_VALUE"""),"No")</f>
        <v>No</v>
      </c>
      <c r="I15" s="71">
        <f>IFERROR(__xludf.DUMMYFUNCTION("""COMPUTED_VALUE"""),0.0)</f>
        <v>0</v>
      </c>
      <c r="J15" s="73" t="str">
        <f>IFERROR(__xludf.DUMMYFUNCTION("""COMPUTED_VALUE"""),"https://drive.google.com/open?id=1ziKEhcb8WGR6GcExGyLs1lCuko-zHEY-")</f>
        <v>https://drive.google.com/open?id=1ziKEhcb8WGR6GcExGyLs1lCuko-zHEY-</v>
      </c>
      <c r="K15" s="71" t="str">
        <f>IFERROR(__xludf.DUMMYFUNCTION("""COMPUTED_VALUE"""),"2018-2022")</f>
        <v>2018-2022</v>
      </c>
      <c r="L15" s="71" t="str">
        <f>IFERROR(__xludf.DUMMYFUNCTION("""COMPUTED_VALUE"""),"S3: Student Internships")</f>
        <v>S3: Student Internships</v>
      </c>
      <c r="M15" s="71" t="str">
        <f>IFERROR(__xludf.DUMMYFUNCTION("""COMPUTED_VALUE"""),"vvvarma2001@gmail.com")</f>
        <v>vvvarma2001@gmail.com</v>
      </c>
      <c r="N15" s="71" t="str">
        <f>IFERROR(__xludf.DUMMYFUNCTION("""COMPUTED_VALUE"""),"SEM-8")</f>
        <v>SEM-8</v>
      </c>
      <c r="O15" s="74"/>
      <c r="P15" s="74"/>
      <c r="Q15" s="74"/>
      <c r="R15" s="74"/>
      <c r="S15" s="74"/>
      <c r="T15" s="74"/>
      <c r="U15" s="74"/>
      <c r="V15" s="74"/>
      <c r="W15" s="74"/>
      <c r="X15" s="74"/>
    </row>
    <row r="16" ht="33.0" customHeight="1">
      <c r="A16" s="71" t="str">
        <f>IFERROR(__xludf.DUMMYFUNCTION("""COMPUTED_VALUE"""),"LATCHUBUKTHA SUTESH")</f>
        <v>LATCHUBUKTHA SUTESH</v>
      </c>
      <c r="B16" s="71" t="str">
        <f>IFERROR(__xludf.DUMMYFUNCTION("""COMPUTED_VALUE"""),"18331A0588")</f>
        <v>18331A0588</v>
      </c>
      <c r="C16" s="71" t="str">
        <f>IFERROR(__xludf.DUMMYFUNCTION("""COMPUTED_VALUE"""),"AICTE")</f>
        <v>AICTE</v>
      </c>
      <c r="D16" s="71" t="str">
        <f>IFERROR(__xludf.DUMMYFUNCTION("""COMPUTED_VALUE"""),"10 weeks")</f>
        <v>10 weeks</v>
      </c>
      <c r="E16" s="72">
        <f>IFERROR(__xludf.DUMMYFUNCTION("""COMPUTED_VALUE"""),44489.0)</f>
        <v>44489</v>
      </c>
      <c r="F16" s="72">
        <f>IFERROR(__xludf.DUMMYFUNCTION("""COMPUTED_VALUE"""),44561.0)</f>
        <v>44561</v>
      </c>
      <c r="G16" s="71" t="str">
        <f>IFERROR(__xludf.DUMMYFUNCTION("""COMPUTED_VALUE"""),"No")</f>
        <v>No</v>
      </c>
      <c r="H16" s="71" t="str">
        <f>IFERROR(__xludf.DUMMYFUNCTION("""COMPUTED_VALUE"""),"No")</f>
        <v>No</v>
      </c>
      <c r="I16" s="71">
        <f>IFERROR(__xludf.DUMMYFUNCTION("""COMPUTED_VALUE"""),0.0)</f>
        <v>0</v>
      </c>
      <c r="J16" s="73" t="str">
        <f>IFERROR(__xludf.DUMMYFUNCTION("""COMPUTED_VALUE"""),"https://drive.google.com/open?id=12iVb3sqWGWkU7FaU42aPFyT_SieeG7QH")</f>
        <v>https://drive.google.com/open?id=12iVb3sqWGWkU7FaU42aPFyT_SieeG7QH</v>
      </c>
      <c r="K16" s="71" t="str">
        <f>IFERROR(__xludf.DUMMYFUNCTION("""COMPUTED_VALUE"""),"2018-2022")</f>
        <v>2018-2022</v>
      </c>
      <c r="L16" s="71" t="str">
        <f>IFERROR(__xludf.DUMMYFUNCTION("""COMPUTED_VALUE"""),"S3: Student Internships")</f>
        <v>S3: Student Internships</v>
      </c>
      <c r="M16" s="71" t="str">
        <f>IFERROR(__xludf.DUMMYFUNCTION("""COMPUTED_VALUE"""),"latchubukthasutesh9@gmail.com")</f>
        <v>latchubukthasutesh9@gmail.com</v>
      </c>
      <c r="N16" s="71" t="str">
        <f>IFERROR(__xludf.DUMMYFUNCTION("""COMPUTED_VALUE"""),"SEM-7")</f>
        <v>SEM-7</v>
      </c>
      <c r="O16" s="74"/>
      <c r="P16" s="74"/>
      <c r="Q16" s="74"/>
      <c r="R16" s="74"/>
      <c r="S16" s="74"/>
      <c r="T16" s="74"/>
      <c r="U16" s="74"/>
      <c r="V16" s="74"/>
      <c r="W16" s="74"/>
      <c r="X16" s="74"/>
    </row>
    <row r="17" ht="33.0" customHeight="1">
      <c r="A17" s="71" t="str">
        <f>IFERROR(__xludf.DUMMYFUNCTION("""COMPUTED_VALUE"""),"Pooja Madhurima Salapu")</f>
        <v>Pooja Madhurima Salapu</v>
      </c>
      <c r="B17" s="71" t="str">
        <f>IFERROR(__xludf.DUMMYFUNCTION("""COMPUTED_VALUE"""),"18331A05D5")</f>
        <v>18331A05D5</v>
      </c>
      <c r="C17" s="71" t="str">
        <f>IFERROR(__xludf.DUMMYFUNCTION("""COMPUTED_VALUE"""),"Swecha AP")</f>
        <v>Swecha AP</v>
      </c>
      <c r="D17" s="71" t="str">
        <f>IFERROR(__xludf.DUMMYFUNCTION("""COMPUTED_VALUE"""),"1 month")</f>
        <v>1 month</v>
      </c>
      <c r="E17" s="72">
        <f>IFERROR(__xludf.DUMMYFUNCTION("""COMPUTED_VALUE"""),44338.0)</f>
        <v>44338</v>
      </c>
      <c r="F17" s="72">
        <f>IFERROR(__xludf.DUMMYFUNCTION("""COMPUTED_VALUE"""),44732.0)</f>
        <v>44732</v>
      </c>
      <c r="G17" s="71" t="str">
        <f>IFERROR(__xludf.DUMMYFUNCTION("""COMPUTED_VALUE"""),"No")</f>
        <v>No</v>
      </c>
      <c r="H17" s="71" t="str">
        <f>IFERROR(__xludf.DUMMYFUNCTION("""COMPUTED_VALUE"""),"No")</f>
        <v>No</v>
      </c>
      <c r="I17" s="71">
        <f>IFERROR(__xludf.DUMMYFUNCTION("""COMPUTED_VALUE"""),0.0)</f>
        <v>0</v>
      </c>
      <c r="J17" s="73" t="str">
        <f>IFERROR(__xludf.DUMMYFUNCTION("""COMPUTED_VALUE"""),"https://drive.google.com/open?id=1rf12jICt3hys1pme1JN7hTvyeY64jQ6o")</f>
        <v>https://drive.google.com/open?id=1rf12jICt3hys1pme1JN7hTvyeY64jQ6o</v>
      </c>
      <c r="K17" s="71" t="str">
        <f>IFERROR(__xludf.DUMMYFUNCTION("""COMPUTED_VALUE"""),"2018-2022")</f>
        <v>2018-2022</v>
      </c>
      <c r="L17" s="71" t="str">
        <f>IFERROR(__xludf.DUMMYFUNCTION("""COMPUTED_VALUE"""),"S3: Student Internships")</f>
        <v>S3: Student Internships</v>
      </c>
      <c r="M17" s="71" t="str">
        <f>IFERROR(__xludf.DUMMYFUNCTION("""COMPUTED_VALUE"""),"18331a05d5@mvgrce.edu.in")</f>
        <v>18331a05d5@mvgrce.edu.in</v>
      </c>
      <c r="N17" s="71" t="str">
        <f>IFERROR(__xludf.DUMMYFUNCTION("""COMPUTED_VALUE"""),"SEM-8")</f>
        <v>SEM-8</v>
      </c>
      <c r="O17" s="74"/>
      <c r="P17" s="74"/>
      <c r="Q17" s="74"/>
      <c r="R17" s="74"/>
      <c r="S17" s="74"/>
      <c r="T17" s="74"/>
      <c r="U17" s="74"/>
      <c r="V17" s="74"/>
      <c r="W17" s="74"/>
      <c r="X17" s="74"/>
    </row>
    <row r="18" ht="33.0" customHeight="1">
      <c r="A18" s="71" t="str">
        <f>IFERROR(__xludf.DUMMYFUNCTION("""COMPUTED_VALUE"""),"Pooja Madhurima Salapu")</f>
        <v>Pooja Madhurima Salapu</v>
      </c>
      <c r="B18" s="71" t="str">
        <f>IFERROR(__xludf.DUMMYFUNCTION("""COMPUTED_VALUE"""),"18331A05D5")</f>
        <v>18331A05D5</v>
      </c>
      <c r="C18" s="71" t="str">
        <f>IFERROR(__xludf.DUMMYFUNCTION("""COMPUTED_VALUE"""),"Swecha AP")</f>
        <v>Swecha AP</v>
      </c>
      <c r="D18" s="71" t="str">
        <f>IFERROR(__xludf.DUMMYFUNCTION("""COMPUTED_VALUE"""),"1 month")</f>
        <v>1 month</v>
      </c>
      <c r="E18" s="72">
        <f>IFERROR(__xludf.DUMMYFUNCTION("""COMPUTED_VALUE"""),44338.0)</f>
        <v>44338</v>
      </c>
      <c r="F18" s="72">
        <f>IFERROR(__xludf.DUMMYFUNCTION("""COMPUTED_VALUE"""),44367.0)</f>
        <v>44367</v>
      </c>
      <c r="G18" s="71" t="str">
        <f>IFERROR(__xludf.DUMMYFUNCTION("""COMPUTED_VALUE"""),"No")</f>
        <v>No</v>
      </c>
      <c r="H18" s="71" t="str">
        <f>IFERROR(__xludf.DUMMYFUNCTION("""COMPUTED_VALUE"""),"No")</f>
        <v>No</v>
      </c>
      <c r="I18" s="71">
        <f>IFERROR(__xludf.DUMMYFUNCTION("""COMPUTED_VALUE"""),0.0)</f>
        <v>0</v>
      </c>
      <c r="J18" s="73" t="str">
        <f>IFERROR(__xludf.DUMMYFUNCTION("""COMPUTED_VALUE"""),"https://drive.google.com/open?id=1e6ubDzw6OCuboHa_eyBRGvgpGre_nTHs")</f>
        <v>https://drive.google.com/open?id=1e6ubDzw6OCuboHa_eyBRGvgpGre_nTHs</v>
      </c>
      <c r="K18" s="71" t="str">
        <f>IFERROR(__xludf.DUMMYFUNCTION("""COMPUTED_VALUE"""),"2018-2022")</f>
        <v>2018-2022</v>
      </c>
      <c r="L18" s="71" t="str">
        <f>IFERROR(__xludf.DUMMYFUNCTION("""COMPUTED_VALUE"""),"S3: Student Internships")</f>
        <v>S3: Student Internships</v>
      </c>
      <c r="M18" s="71" t="str">
        <f>IFERROR(__xludf.DUMMYFUNCTION("""COMPUTED_VALUE"""),"poojasalapu@gmail.com")</f>
        <v>poojasalapu@gmail.com</v>
      </c>
      <c r="N18" s="71" t="str">
        <f>IFERROR(__xludf.DUMMYFUNCTION("""COMPUTED_VALUE"""),"SEM-8")</f>
        <v>SEM-8</v>
      </c>
      <c r="O18" s="74"/>
      <c r="P18" s="74"/>
      <c r="Q18" s="74"/>
      <c r="R18" s="74"/>
      <c r="S18" s="74"/>
      <c r="T18" s="74"/>
      <c r="U18" s="74"/>
      <c r="V18" s="74"/>
      <c r="W18" s="74"/>
      <c r="X18" s="74"/>
    </row>
    <row r="19" ht="33.0" customHeight="1">
      <c r="A19" s="75" t="str">
        <f>IFERROR(__xludf.DUMMYFUNCTION("""COMPUTED_VALUE"""),"Pooja Madhurima Salapu")</f>
        <v>Pooja Madhurima Salapu</v>
      </c>
      <c r="B19" s="75" t="str">
        <f>IFERROR(__xludf.DUMMYFUNCTION("""COMPUTED_VALUE"""),"18331A05D5")</f>
        <v>18331A05D5</v>
      </c>
      <c r="C19" s="75" t="str">
        <f>IFERROR(__xludf.DUMMYFUNCTION("""COMPUTED_VALUE"""),"Swecha AP ")</f>
        <v>Swecha AP </v>
      </c>
      <c r="D19" s="75" t="str">
        <f>IFERROR(__xludf.DUMMYFUNCTION("""COMPUTED_VALUE"""),"1 month")</f>
        <v>1 month</v>
      </c>
      <c r="E19" s="76">
        <f>IFERROR(__xludf.DUMMYFUNCTION("""COMPUTED_VALUE"""),44338.0)</f>
        <v>44338</v>
      </c>
      <c r="F19" s="76">
        <f>IFERROR(__xludf.DUMMYFUNCTION("""COMPUTED_VALUE"""),44367.0)</f>
        <v>44367</v>
      </c>
      <c r="G19" s="75" t="str">
        <f>IFERROR(__xludf.DUMMYFUNCTION("""COMPUTED_VALUE"""),"No")</f>
        <v>No</v>
      </c>
      <c r="H19" s="75" t="str">
        <f>IFERROR(__xludf.DUMMYFUNCTION("""COMPUTED_VALUE"""),"No")</f>
        <v>No</v>
      </c>
      <c r="I19" s="75">
        <f>IFERROR(__xludf.DUMMYFUNCTION("""COMPUTED_VALUE"""),0.0)</f>
        <v>0</v>
      </c>
      <c r="J19" s="77" t="str">
        <f>IFERROR(__xludf.DUMMYFUNCTION("""COMPUTED_VALUE"""),"https://drive.google.com/open?id=1nEPbTa1t2UWNNR8RZde4eRKLEX8WqBpZ")</f>
        <v>https://drive.google.com/open?id=1nEPbTa1t2UWNNR8RZde4eRKLEX8WqBpZ</v>
      </c>
      <c r="K19" s="75" t="str">
        <f>IFERROR(__xludf.DUMMYFUNCTION("""COMPUTED_VALUE"""),"2018-2022")</f>
        <v>2018-2022</v>
      </c>
      <c r="L19" s="75" t="str">
        <f>IFERROR(__xludf.DUMMYFUNCTION("""COMPUTED_VALUE"""),"S3: Student Internships")</f>
        <v>S3: Student Internships</v>
      </c>
      <c r="M19" s="75" t="str">
        <f>IFERROR(__xludf.DUMMYFUNCTION("""COMPUTED_VALUE"""),"poojasalapu@gmail.com")</f>
        <v>poojasalapu@gmail.com</v>
      </c>
      <c r="N19" s="75" t="str">
        <f>IFERROR(__xludf.DUMMYFUNCTION("""COMPUTED_VALUE"""),"SEM-6")</f>
        <v>SEM-6</v>
      </c>
      <c r="O19" s="78"/>
      <c r="P19" s="78"/>
      <c r="Q19" s="78"/>
      <c r="R19" s="78"/>
      <c r="S19" s="78"/>
      <c r="T19" s="78"/>
      <c r="U19" s="78"/>
      <c r="V19" s="78"/>
      <c r="W19" s="78"/>
      <c r="X19" s="78"/>
    </row>
    <row r="20" ht="33.0" customHeight="1">
      <c r="A20" s="75" t="str">
        <f>IFERROR(__xludf.DUMMYFUNCTION("""COMPUTED_VALUE"""),"Pooja Madhurima Salapu")</f>
        <v>Pooja Madhurima Salapu</v>
      </c>
      <c r="B20" s="75" t="str">
        <f>IFERROR(__xludf.DUMMYFUNCTION("""COMPUTED_VALUE"""),"18331A05D5")</f>
        <v>18331A05D5</v>
      </c>
      <c r="C20" s="75" t="str">
        <f>IFERROR(__xludf.DUMMYFUNCTION("""COMPUTED_VALUE"""),"Nineleaps")</f>
        <v>Nineleaps</v>
      </c>
      <c r="D20" s="75" t="str">
        <f>IFERROR(__xludf.DUMMYFUNCTION("""COMPUTED_VALUE"""),"6 months")</f>
        <v>6 months</v>
      </c>
      <c r="E20" s="76">
        <f>IFERROR(__xludf.DUMMYFUNCTION("""COMPUTED_VALUE"""),44578.0)</f>
        <v>44578</v>
      </c>
      <c r="F20" s="76">
        <f>IFERROR(__xludf.DUMMYFUNCTION("""COMPUTED_VALUE"""),44729.0)</f>
        <v>44729</v>
      </c>
      <c r="G20" s="75" t="str">
        <f>IFERROR(__xludf.DUMMYFUNCTION("""COMPUTED_VALUE"""),"Yes")</f>
        <v>Yes</v>
      </c>
      <c r="H20" s="75" t="str">
        <f>IFERROR(__xludf.DUMMYFUNCTION("""COMPUTED_VALUE"""),"No")</f>
        <v>No</v>
      </c>
      <c r="I20" s="75">
        <f>IFERROR(__xludf.DUMMYFUNCTION("""COMPUTED_VALUE"""),0.0)</f>
        <v>0</v>
      </c>
      <c r="J20" s="77" t="str">
        <f>IFERROR(__xludf.DUMMYFUNCTION("""COMPUTED_VALUE"""),"https://drive.google.com/open?id=1hYqGjr9QMT_lw_DWcv9xguMH_Dqhm_0P")</f>
        <v>https://drive.google.com/open?id=1hYqGjr9QMT_lw_DWcv9xguMH_Dqhm_0P</v>
      </c>
      <c r="K20" s="75" t="str">
        <f>IFERROR(__xludf.DUMMYFUNCTION("""COMPUTED_VALUE"""),"2018-2022")</f>
        <v>2018-2022</v>
      </c>
      <c r="L20" s="75" t="str">
        <f>IFERROR(__xludf.DUMMYFUNCTION("""COMPUTED_VALUE"""),"S3: Student Internships")</f>
        <v>S3: Student Internships</v>
      </c>
      <c r="M20" s="75" t="str">
        <f>IFERROR(__xludf.DUMMYFUNCTION("""COMPUTED_VALUE"""),"poojasalapu@gmail.com")</f>
        <v>poojasalapu@gmail.com</v>
      </c>
      <c r="N20" s="75" t="str">
        <f>IFERROR(__xludf.DUMMYFUNCTION("""COMPUTED_VALUE"""),"SEM-8")</f>
        <v>SEM-8</v>
      </c>
      <c r="O20" s="78"/>
      <c r="P20" s="78"/>
      <c r="Q20" s="78"/>
      <c r="R20" s="78"/>
      <c r="S20" s="78"/>
      <c r="T20" s="78"/>
      <c r="U20" s="78"/>
      <c r="V20" s="78"/>
      <c r="W20" s="78"/>
      <c r="X20" s="78"/>
    </row>
    <row r="21" ht="33.0" customHeight="1">
      <c r="A21" s="71" t="str">
        <f>IFERROR(__xludf.DUMMYFUNCTION("""COMPUTED_VALUE"""),"Pooja Madhurima Salapu")</f>
        <v>Pooja Madhurima Salapu</v>
      </c>
      <c r="B21" s="71" t="str">
        <f>IFERROR(__xludf.DUMMYFUNCTION("""COMPUTED_VALUE"""),"18331A05D5")</f>
        <v>18331A05D5</v>
      </c>
      <c r="C21" s="71" t="str">
        <f>IFERROR(__xludf.DUMMYFUNCTION("""COMPUTED_VALUE"""),"AICTE ")</f>
        <v>AICTE </v>
      </c>
      <c r="D21" s="71" t="str">
        <f>IFERROR(__xludf.DUMMYFUNCTION("""COMPUTED_VALUE"""),"1 month")</f>
        <v>1 month</v>
      </c>
      <c r="E21" s="72">
        <f>IFERROR(__xludf.DUMMYFUNCTION("""COMPUTED_VALUE"""),44470.0)</f>
        <v>44470</v>
      </c>
      <c r="F21" s="72">
        <f>IFERROR(__xludf.DUMMYFUNCTION("""COMPUTED_VALUE"""),44531.0)</f>
        <v>44531</v>
      </c>
      <c r="G21" s="71" t="str">
        <f>IFERROR(__xludf.DUMMYFUNCTION("""COMPUTED_VALUE"""),"No")</f>
        <v>No</v>
      </c>
      <c r="H21" s="71" t="str">
        <f>IFERROR(__xludf.DUMMYFUNCTION("""COMPUTED_VALUE"""),"No")</f>
        <v>No</v>
      </c>
      <c r="I21" s="71">
        <f>IFERROR(__xludf.DUMMYFUNCTION("""COMPUTED_VALUE"""),0.0)</f>
        <v>0</v>
      </c>
      <c r="J21" s="73" t="str">
        <f>IFERROR(__xludf.DUMMYFUNCTION("""COMPUTED_VALUE"""),"https://drive.google.com/open?id=1TAH1SbQQA-KZ2zRXCfxGzvrNvcAAWpPd")</f>
        <v>https://drive.google.com/open?id=1TAH1SbQQA-KZ2zRXCfxGzvrNvcAAWpPd</v>
      </c>
      <c r="K21" s="71" t="str">
        <f>IFERROR(__xludf.DUMMYFUNCTION("""COMPUTED_VALUE"""),"2018-2022")</f>
        <v>2018-2022</v>
      </c>
      <c r="L21" s="71" t="str">
        <f>IFERROR(__xludf.DUMMYFUNCTION("""COMPUTED_VALUE"""),"S3: Student Internships")</f>
        <v>S3: Student Internships</v>
      </c>
      <c r="M21" s="71" t="str">
        <f>IFERROR(__xludf.DUMMYFUNCTION("""COMPUTED_VALUE"""),"poojasalapu@gmail.com")</f>
        <v>poojasalapu@gmail.com</v>
      </c>
      <c r="N21" s="71" t="str">
        <f>IFERROR(__xludf.DUMMYFUNCTION("""COMPUTED_VALUE"""),"SEM-6")</f>
        <v>SEM-6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</row>
    <row r="22" ht="33.0" customHeight="1">
      <c r="A22" s="71" t="str">
        <f>IFERROR(__xludf.DUMMYFUNCTION("""COMPUTED_VALUE"""),"Datla Vasanth Gopal Raju ")</f>
        <v>Datla Vasanth Gopal Raju </v>
      </c>
      <c r="B22" s="71" t="str">
        <f>IFERROR(__xludf.DUMMYFUNCTION("""COMPUTED_VALUE"""),"18331A05H5")</f>
        <v>18331A05H5</v>
      </c>
      <c r="C22" s="71" t="str">
        <f>IFERROR(__xludf.DUMMYFUNCTION("""COMPUTED_VALUE"""),"Capgemini ")</f>
        <v>Capgemini </v>
      </c>
      <c r="D22" s="71" t="str">
        <f>IFERROR(__xludf.DUMMYFUNCTION("""COMPUTED_VALUE"""),"82 days")</f>
        <v>82 days</v>
      </c>
      <c r="E22" s="72">
        <f>IFERROR(__xludf.DUMMYFUNCTION("""COMPUTED_VALUE"""),44621.0)</f>
        <v>44621</v>
      </c>
      <c r="F22" s="72">
        <f>IFERROR(__xludf.DUMMYFUNCTION("""COMPUTED_VALUE"""),44687.0)</f>
        <v>44687</v>
      </c>
      <c r="G22" s="71" t="str">
        <f>IFERROR(__xludf.DUMMYFUNCTION("""COMPUTED_VALUE"""),"Yes")</f>
        <v>Yes</v>
      </c>
      <c r="H22" s="71" t="str">
        <f>IFERROR(__xludf.DUMMYFUNCTION("""COMPUTED_VALUE"""),"No")</f>
        <v>No</v>
      </c>
      <c r="I22" s="71">
        <f>IFERROR(__xludf.DUMMYFUNCTION("""COMPUTED_VALUE"""),0.0)</f>
        <v>0</v>
      </c>
      <c r="J22" s="73" t="str">
        <f>IFERROR(__xludf.DUMMYFUNCTION("""COMPUTED_VALUE"""),"https://drive.google.com/open?id=1LuMxZ-WwCiFoEhTdZYsi4aKvomUYNSG1")</f>
        <v>https://drive.google.com/open?id=1LuMxZ-WwCiFoEhTdZYsi4aKvomUYNSG1</v>
      </c>
      <c r="K22" s="71" t="str">
        <f>IFERROR(__xludf.DUMMYFUNCTION("""COMPUTED_VALUE"""),"2018-2022")</f>
        <v>2018-2022</v>
      </c>
      <c r="L22" s="71" t="str">
        <f>IFERROR(__xludf.DUMMYFUNCTION("""COMPUTED_VALUE"""),"S3: Student Internships")</f>
        <v>S3: Student Internships</v>
      </c>
      <c r="M22" s="71" t="str">
        <f>IFERROR(__xludf.DUMMYFUNCTION("""COMPUTED_VALUE"""),"vasanthdatla@gmail.com")</f>
        <v>vasanthdatla@gmail.com</v>
      </c>
      <c r="N22" s="71" t="str">
        <f>IFERROR(__xludf.DUMMYFUNCTION("""COMPUTED_VALUE"""),"SEM-8")</f>
        <v>SEM-8</v>
      </c>
      <c r="O22" s="74"/>
      <c r="P22" s="74"/>
      <c r="Q22" s="74"/>
      <c r="R22" s="74"/>
      <c r="S22" s="74"/>
      <c r="T22" s="74"/>
      <c r="U22" s="74"/>
      <c r="V22" s="74"/>
      <c r="W22" s="74"/>
      <c r="X22" s="74"/>
    </row>
    <row r="23" ht="33.0" customHeight="1">
      <c r="A23" s="71" t="str">
        <f>IFERROR(__xludf.DUMMYFUNCTION("""COMPUTED_VALUE"""),"Venkata Jaswanth Potnuru")</f>
        <v>Venkata Jaswanth Potnuru</v>
      </c>
      <c r="B23" s="71" t="str">
        <f>IFERROR(__xludf.DUMMYFUNCTION("""COMPUTED_VALUE"""),"19335A0513")</f>
        <v>19335A0513</v>
      </c>
      <c r="C23" s="71" t="str">
        <f>IFERROR(__xludf.DUMMYFUNCTION("""COMPUTED_VALUE"""),"TechnoGen")</f>
        <v>TechnoGen</v>
      </c>
      <c r="D23" s="71" t="str">
        <f>IFERROR(__xludf.DUMMYFUNCTION("""COMPUTED_VALUE"""),"34 Days")</f>
        <v>34 Days</v>
      </c>
      <c r="E23" s="72">
        <f>IFERROR(__xludf.DUMMYFUNCTION("""COMPUTED_VALUE"""),44467.0)</f>
        <v>44467</v>
      </c>
      <c r="F23" s="72">
        <f>IFERROR(__xludf.DUMMYFUNCTION("""COMPUTED_VALUE"""),44501.0)</f>
        <v>44501</v>
      </c>
      <c r="G23" s="71" t="str">
        <f>IFERROR(__xludf.DUMMYFUNCTION("""COMPUTED_VALUE"""),"No")</f>
        <v>No</v>
      </c>
      <c r="H23" s="71" t="str">
        <f>IFERROR(__xludf.DUMMYFUNCTION("""COMPUTED_VALUE"""),"No")</f>
        <v>No</v>
      </c>
      <c r="I23" s="71">
        <f>IFERROR(__xludf.DUMMYFUNCTION("""COMPUTED_VALUE"""),0.0)</f>
        <v>0</v>
      </c>
      <c r="J23" s="73" t="str">
        <f>IFERROR(__xludf.DUMMYFUNCTION("""COMPUTED_VALUE"""),"https://drive.google.com/open?id=1Ypb6w_HDPXntjJUJ4tTBW_VXaSaaBTlB")</f>
        <v>https://drive.google.com/open?id=1Ypb6w_HDPXntjJUJ4tTBW_VXaSaaBTlB</v>
      </c>
      <c r="K23" s="71" t="str">
        <f>IFERROR(__xludf.DUMMYFUNCTION("""COMPUTED_VALUE"""),"2018-2022")</f>
        <v>2018-2022</v>
      </c>
      <c r="L23" s="71" t="str">
        <f>IFERROR(__xludf.DUMMYFUNCTION("""COMPUTED_VALUE"""),"S3: Student Internships")</f>
        <v>S3: Student Internships</v>
      </c>
      <c r="M23" s="71" t="str">
        <f>IFERROR(__xludf.DUMMYFUNCTION("""COMPUTED_VALUE"""),"venkatajaswanth10@gmail.com")</f>
        <v>venkatajaswanth10@gmail.com</v>
      </c>
      <c r="N23" s="71" t="str">
        <f>IFERROR(__xludf.DUMMYFUNCTION("""COMPUTED_VALUE"""),"SEM-7")</f>
        <v>SEM-7</v>
      </c>
      <c r="O23" s="74"/>
      <c r="P23" s="74"/>
      <c r="Q23" s="74"/>
      <c r="R23" s="74"/>
      <c r="S23" s="74"/>
      <c r="T23" s="74"/>
      <c r="U23" s="74"/>
      <c r="V23" s="74"/>
      <c r="W23" s="74"/>
      <c r="X23" s="74"/>
    </row>
    <row r="24" ht="33.0" customHeight="1">
      <c r="A24" s="71" t="str">
        <f>IFERROR(__xludf.DUMMYFUNCTION("""COMPUTED_VALUE"""),"Sai Sakthi Vamsi Kolli")</f>
        <v>Sai Sakthi Vamsi Kolli</v>
      </c>
      <c r="B24" s="71" t="str">
        <f>IFERROR(__xludf.DUMMYFUNCTION("""COMPUTED_VALUE"""),"18331A05D1")</f>
        <v>18331A05D1</v>
      </c>
      <c r="C24" s="71" t="str">
        <f>IFERROR(__xludf.DUMMYFUNCTION("""COMPUTED_VALUE"""),"Wipro")</f>
        <v>Wipro</v>
      </c>
      <c r="D24" s="71" t="str">
        <f>IFERROR(__xludf.DUMMYFUNCTION("""COMPUTED_VALUE"""),"10 Weeks")</f>
        <v>10 Weeks</v>
      </c>
      <c r="E24" s="72">
        <f>IFERROR(__xludf.DUMMYFUNCTION("""COMPUTED_VALUE"""),44630.0)</f>
        <v>44630</v>
      </c>
      <c r="F24" s="72">
        <f>IFERROR(__xludf.DUMMYFUNCTION("""COMPUTED_VALUE"""),44707.0)</f>
        <v>44707</v>
      </c>
      <c r="G24" s="71" t="str">
        <f>IFERROR(__xludf.DUMMYFUNCTION("""COMPUTED_VALUE"""),"No")</f>
        <v>No</v>
      </c>
      <c r="H24" s="71" t="str">
        <f>IFERROR(__xludf.DUMMYFUNCTION("""COMPUTED_VALUE"""),"No")</f>
        <v>No</v>
      </c>
      <c r="I24" s="71">
        <f>IFERROR(__xludf.DUMMYFUNCTION("""COMPUTED_VALUE"""),0.0)</f>
        <v>0</v>
      </c>
      <c r="J24" s="73" t="str">
        <f>IFERROR(__xludf.DUMMYFUNCTION("""COMPUTED_VALUE"""),"https://drive.google.com/open?id=1_o4CsmjyYrEXDlK98Mo745yDuPAPbOyo")</f>
        <v>https://drive.google.com/open?id=1_o4CsmjyYrEXDlK98Mo745yDuPAPbOyo</v>
      </c>
      <c r="K24" s="71" t="str">
        <f>IFERROR(__xludf.DUMMYFUNCTION("""COMPUTED_VALUE"""),"2018-2022")</f>
        <v>2018-2022</v>
      </c>
      <c r="L24" s="71" t="str">
        <f>IFERROR(__xludf.DUMMYFUNCTION("""COMPUTED_VALUE"""),"S3: Student Internships")</f>
        <v>S3: Student Internships</v>
      </c>
      <c r="M24" s="71" t="str">
        <f>IFERROR(__xludf.DUMMYFUNCTION("""COMPUTED_VALUE"""),"saishaktikolli@gmail.com")</f>
        <v>saishaktikolli@gmail.com</v>
      </c>
      <c r="N24" s="71" t="str">
        <f>IFERROR(__xludf.DUMMYFUNCTION("""COMPUTED_VALUE"""),"SEM-8")</f>
        <v>SEM-8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</row>
    <row r="25" ht="33.0" customHeight="1">
      <c r="A25" s="71" t="str">
        <f>IFERROR(__xludf.DUMMYFUNCTION("""COMPUTED_VALUE"""),"Sai Sakthi Vamsi Kolli")</f>
        <v>Sai Sakthi Vamsi Kolli</v>
      </c>
      <c r="B25" s="71" t="str">
        <f>IFERROR(__xludf.DUMMYFUNCTION("""COMPUTED_VALUE"""),"18331A05D1")</f>
        <v>18331A05D1</v>
      </c>
      <c r="C25" s="71" t="str">
        <f>IFERROR(__xludf.DUMMYFUNCTION("""COMPUTED_VALUE"""),"Wipro")</f>
        <v>Wipro</v>
      </c>
      <c r="D25" s="71" t="str">
        <f>IFERROR(__xludf.DUMMYFUNCTION("""COMPUTED_VALUE"""),"10 Weeks")</f>
        <v>10 Weeks</v>
      </c>
      <c r="E25" s="72">
        <f>IFERROR(__xludf.DUMMYFUNCTION("""COMPUTED_VALUE"""),44630.0)</f>
        <v>44630</v>
      </c>
      <c r="F25" s="72">
        <f>IFERROR(__xludf.DUMMYFUNCTION("""COMPUTED_VALUE"""),44707.0)</f>
        <v>44707</v>
      </c>
      <c r="G25" s="71" t="str">
        <f>IFERROR(__xludf.DUMMYFUNCTION("""COMPUTED_VALUE"""),"No")</f>
        <v>No</v>
      </c>
      <c r="H25" s="71" t="str">
        <f>IFERROR(__xludf.DUMMYFUNCTION("""COMPUTED_VALUE"""),"No")</f>
        <v>No</v>
      </c>
      <c r="I25" s="71">
        <f>IFERROR(__xludf.DUMMYFUNCTION("""COMPUTED_VALUE"""),0.0)</f>
        <v>0</v>
      </c>
      <c r="J25" s="73" t="str">
        <f>IFERROR(__xludf.DUMMYFUNCTION("""COMPUTED_VALUE"""),"https://drive.google.com/open?id=1GDwNFQwwbcvfERxsS__5FKPalkASwhN9")</f>
        <v>https://drive.google.com/open?id=1GDwNFQwwbcvfERxsS__5FKPalkASwhN9</v>
      </c>
      <c r="K25" s="71" t="str">
        <f>IFERROR(__xludf.DUMMYFUNCTION("""COMPUTED_VALUE"""),"2018-2022")</f>
        <v>2018-2022</v>
      </c>
      <c r="L25" s="71" t="str">
        <f>IFERROR(__xludf.DUMMYFUNCTION("""COMPUTED_VALUE"""),"S3: Student Internships")</f>
        <v>S3: Student Internships</v>
      </c>
      <c r="M25" s="71" t="str">
        <f>IFERROR(__xludf.DUMMYFUNCTION("""COMPUTED_VALUE"""),"saishaktikolli@gmail.com")</f>
        <v>saishaktikolli@gmail.com</v>
      </c>
      <c r="N25" s="71" t="str">
        <f>IFERROR(__xludf.DUMMYFUNCTION("""COMPUTED_VALUE"""),"SEM-8")</f>
        <v>SEM-8</v>
      </c>
      <c r="O25" s="74"/>
      <c r="P25" s="74"/>
      <c r="Q25" s="74"/>
      <c r="R25" s="74"/>
      <c r="S25" s="74"/>
      <c r="T25" s="74"/>
      <c r="U25" s="74"/>
      <c r="V25" s="74"/>
      <c r="W25" s="74"/>
      <c r="X25" s="74"/>
    </row>
    <row r="26" ht="33.0" customHeight="1">
      <c r="A26" s="71" t="str">
        <f>IFERROR(__xludf.DUMMYFUNCTION("""COMPUTED_VALUE"""),"chandra mohan ganivada")</f>
        <v>chandra mohan ganivada</v>
      </c>
      <c r="B26" s="71" t="str">
        <f>IFERROR(__xludf.DUMMYFUNCTION("""COMPUTED_VALUE"""),"18331A0540")</f>
        <v>18331A0540</v>
      </c>
      <c r="C26" s="71" t="str">
        <f>IFERROR(__xludf.DUMMYFUNCTION("""COMPUTED_VALUE"""),"AICTE")</f>
        <v>AICTE</v>
      </c>
      <c r="D26" s="71" t="str">
        <f>IFERROR(__xludf.DUMMYFUNCTION("""COMPUTED_VALUE"""),"2 MONTHS")</f>
        <v>2 MONTHS</v>
      </c>
      <c r="E26" s="72">
        <f>IFERROR(__xludf.DUMMYFUNCTION("""COMPUTED_VALUE"""),44470.0)</f>
        <v>44470</v>
      </c>
      <c r="F26" s="72">
        <f>IFERROR(__xludf.DUMMYFUNCTION("""COMPUTED_VALUE"""),44561.0)</f>
        <v>44561</v>
      </c>
      <c r="G26" s="71" t="str">
        <f>IFERROR(__xludf.DUMMYFUNCTION("""COMPUTED_VALUE"""),"No")</f>
        <v>No</v>
      </c>
      <c r="H26" s="71" t="str">
        <f>IFERROR(__xludf.DUMMYFUNCTION("""COMPUTED_VALUE"""),"No")</f>
        <v>No</v>
      </c>
      <c r="I26" s="71"/>
      <c r="J26" s="73" t="str">
        <f>IFERROR(__xludf.DUMMYFUNCTION("""COMPUTED_VALUE"""),"https://drive.google.com/open?id=1Nr448mqqr1NBrnVWdEOvPsyTfKkRoX6E")</f>
        <v>https://drive.google.com/open?id=1Nr448mqqr1NBrnVWdEOvPsyTfKkRoX6E</v>
      </c>
      <c r="K26" s="71" t="str">
        <f>IFERROR(__xludf.DUMMYFUNCTION("""COMPUTED_VALUE"""),"2018-2022")</f>
        <v>2018-2022</v>
      </c>
      <c r="L26" s="71" t="str">
        <f>IFERROR(__xludf.DUMMYFUNCTION("""COMPUTED_VALUE"""),"S3: Student Internships")</f>
        <v>S3: Student Internships</v>
      </c>
      <c r="M26" s="71" t="str">
        <f>IFERROR(__xludf.DUMMYFUNCTION("""COMPUTED_VALUE"""),"ganivasniz20852@gmail.com")</f>
        <v>ganivasniz20852@gmail.com</v>
      </c>
      <c r="N26" s="71" t="str">
        <f>IFERROR(__xludf.DUMMYFUNCTION("""COMPUTED_VALUE"""),"SEM-8")</f>
        <v>SEM-8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</row>
    <row r="27" ht="33.0" customHeight="1">
      <c r="A27" s="71" t="str">
        <f>IFERROR(__xludf.DUMMYFUNCTION("""COMPUTED_VALUE"""),"V Sowdamini")</f>
        <v>V Sowdamini</v>
      </c>
      <c r="B27" s="71" t="str">
        <f>IFERROR(__xludf.DUMMYFUNCTION("""COMPUTED_VALUE"""),"19335A0517")</f>
        <v>19335A0517</v>
      </c>
      <c r="C27" s="71" t="str">
        <f>IFERROR(__xludf.DUMMYFUNCTION("""COMPUTED_VALUE"""),"Amazo ")</f>
        <v>Amazo </v>
      </c>
      <c r="D27" s="71" t="str">
        <f>IFERROR(__xludf.DUMMYFUNCTION("""COMPUTED_VALUE"""),"3months")</f>
        <v>3months</v>
      </c>
      <c r="E27" s="72">
        <f>IFERROR(__xludf.DUMMYFUNCTION("""COMPUTED_VALUE"""),44477.0)</f>
        <v>44477</v>
      </c>
      <c r="F27" s="72">
        <f>IFERROR(__xludf.DUMMYFUNCTION("""COMPUTED_VALUE"""),44561.0)</f>
        <v>44561</v>
      </c>
      <c r="G27" s="71" t="str">
        <f>IFERROR(__xludf.DUMMYFUNCTION("""COMPUTED_VALUE"""),"No")</f>
        <v>No</v>
      </c>
      <c r="H27" s="71" t="str">
        <f>IFERROR(__xludf.DUMMYFUNCTION("""COMPUTED_VALUE"""),"No")</f>
        <v>No</v>
      </c>
      <c r="I27" s="71">
        <f>IFERROR(__xludf.DUMMYFUNCTION("""COMPUTED_VALUE"""),0.0)</f>
        <v>0</v>
      </c>
      <c r="J27" s="73" t="str">
        <f>IFERROR(__xludf.DUMMYFUNCTION("""COMPUTED_VALUE"""),"https://drive.google.com/open?id=1wt9s597GXQ644bd2PXLfHEfaSSeztFVo")</f>
        <v>https://drive.google.com/open?id=1wt9s597GXQ644bd2PXLfHEfaSSeztFVo</v>
      </c>
      <c r="K27" s="71" t="str">
        <f>IFERROR(__xludf.DUMMYFUNCTION("""COMPUTED_VALUE"""),"2018-2022")</f>
        <v>2018-2022</v>
      </c>
      <c r="L27" s="71" t="str">
        <f>IFERROR(__xludf.DUMMYFUNCTION("""COMPUTED_VALUE"""),"S3: Student Internships")</f>
        <v>S3: Student Internships</v>
      </c>
      <c r="M27" s="71" t="str">
        <f>IFERROR(__xludf.DUMMYFUNCTION("""COMPUTED_VALUE"""),"sowdaminivanamali5931@gmail.com")</f>
        <v>sowdaminivanamali5931@gmail.com</v>
      </c>
      <c r="N27" s="71" t="str">
        <f>IFERROR(__xludf.DUMMYFUNCTION("""COMPUTED_VALUE"""),"SEM-7")</f>
        <v>SEM-7</v>
      </c>
      <c r="O27" s="74"/>
      <c r="P27" s="74"/>
      <c r="Q27" s="74"/>
      <c r="R27" s="74"/>
      <c r="S27" s="74"/>
      <c r="T27" s="74"/>
      <c r="U27" s="74"/>
      <c r="V27" s="74"/>
      <c r="W27" s="74"/>
      <c r="X27" s="74"/>
    </row>
    <row r="28" ht="33.0" customHeight="1">
      <c r="A28" s="71" t="str">
        <f>IFERROR(__xludf.DUMMYFUNCTION("""COMPUTED_VALUE"""),"syed ali zulfekar")</f>
        <v>syed ali zulfekar</v>
      </c>
      <c r="B28" s="71" t="str">
        <f>IFERROR(__xludf.DUMMYFUNCTION("""COMPUTED_VALUE"""),"18331A05E9")</f>
        <v>18331A05E9</v>
      </c>
      <c r="C28" s="71" t="str">
        <f>IFERROR(__xludf.DUMMYFUNCTION("""COMPUTED_VALUE"""),"aicte")</f>
        <v>aicte</v>
      </c>
      <c r="D28" s="71" t="str">
        <f>IFERROR(__xludf.DUMMYFUNCTION("""COMPUTED_VALUE"""),"2 months")</f>
        <v>2 months</v>
      </c>
      <c r="E28" s="72">
        <f>IFERROR(__xludf.DUMMYFUNCTION("""COMPUTED_VALUE"""),44490.0)</f>
        <v>44490</v>
      </c>
      <c r="F28" s="72">
        <f>IFERROR(__xludf.DUMMYFUNCTION("""COMPUTED_VALUE"""),44551.0)</f>
        <v>44551</v>
      </c>
      <c r="G28" s="71" t="str">
        <f>IFERROR(__xludf.DUMMYFUNCTION("""COMPUTED_VALUE"""),"No")</f>
        <v>No</v>
      </c>
      <c r="H28" s="71" t="str">
        <f>IFERROR(__xludf.DUMMYFUNCTION("""COMPUTED_VALUE"""),"No")</f>
        <v>No</v>
      </c>
      <c r="I28" s="71">
        <f>IFERROR(__xludf.DUMMYFUNCTION("""COMPUTED_VALUE"""),0.0)</f>
        <v>0</v>
      </c>
      <c r="J28" s="73" t="str">
        <f>IFERROR(__xludf.DUMMYFUNCTION("""COMPUTED_VALUE"""),"https://drive.google.com/open?id=1f0LvrIQaf3gHFF_9bh-qodDIZzGE6k5J")</f>
        <v>https://drive.google.com/open?id=1f0LvrIQaf3gHFF_9bh-qodDIZzGE6k5J</v>
      </c>
      <c r="K28" s="71" t="str">
        <f>IFERROR(__xludf.DUMMYFUNCTION("""COMPUTED_VALUE"""),"2018-2022")</f>
        <v>2018-2022</v>
      </c>
      <c r="L28" s="71" t="str">
        <f>IFERROR(__xludf.DUMMYFUNCTION("""COMPUTED_VALUE"""),"S3: Student Internships")</f>
        <v>S3: Student Internships</v>
      </c>
      <c r="M28" s="71" t="str">
        <f>IFERROR(__xludf.DUMMYFUNCTION("""COMPUTED_VALUE"""),"tillu812@gmail.com")</f>
        <v>tillu812@gmail.com</v>
      </c>
      <c r="N28" s="71" t="str">
        <f>IFERROR(__xludf.DUMMYFUNCTION("""COMPUTED_VALUE"""),"SEM-8")</f>
        <v>SEM-8</v>
      </c>
      <c r="O28" s="74"/>
      <c r="P28" s="74"/>
      <c r="Q28" s="74"/>
      <c r="R28" s="74"/>
      <c r="S28" s="74"/>
      <c r="T28" s="74"/>
      <c r="U28" s="74"/>
      <c r="V28" s="74"/>
      <c r="W28" s="74"/>
      <c r="X28" s="74"/>
    </row>
    <row r="29" ht="33.0" customHeight="1">
      <c r="A29" s="71" t="str">
        <f>IFERROR(__xludf.DUMMYFUNCTION("""COMPUTED_VALUE"""),"Yasaswi Dendukuri ")</f>
        <v>Yasaswi Dendukuri </v>
      </c>
      <c r="B29" s="71" t="str">
        <f>IFERROR(__xludf.DUMMYFUNCTION("""COMPUTED_VALUE"""),"18331A0531")</f>
        <v>18331A0531</v>
      </c>
      <c r="C29" s="71" t="str">
        <f>IFERROR(__xludf.DUMMYFUNCTION("""COMPUTED_VALUE"""),"AWS academy ")</f>
        <v>AWS academy </v>
      </c>
      <c r="D29" s="71" t="str">
        <f>IFERROR(__xludf.DUMMYFUNCTION("""COMPUTED_VALUE"""),"10 weeks")</f>
        <v>10 weeks</v>
      </c>
      <c r="E29" s="72">
        <f>IFERROR(__xludf.DUMMYFUNCTION("""COMPUTED_VALUE"""),44484.0)</f>
        <v>44484</v>
      </c>
      <c r="F29" s="72">
        <f>IFERROR(__xludf.DUMMYFUNCTION("""COMPUTED_VALUE"""),44554.0)</f>
        <v>44554</v>
      </c>
      <c r="G29" s="71" t="str">
        <f>IFERROR(__xludf.DUMMYFUNCTION("""COMPUTED_VALUE"""),"No")</f>
        <v>No</v>
      </c>
      <c r="H29" s="71" t="str">
        <f>IFERROR(__xludf.DUMMYFUNCTION("""COMPUTED_VALUE"""),"No")</f>
        <v>No</v>
      </c>
      <c r="I29" s="71">
        <f>IFERROR(__xludf.DUMMYFUNCTION("""COMPUTED_VALUE"""),0.0)</f>
        <v>0</v>
      </c>
      <c r="J29" s="73" t="str">
        <f>IFERROR(__xludf.DUMMYFUNCTION("""COMPUTED_VALUE"""),"https://drive.google.com/open?id=1KSJLjeKsDdThgf6G9SNIh-_WIZEN-1Be")</f>
        <v>https://drive.google.com/open?id=1KSJLjeKsDdThgf6G9SNIh-_WIZEN-1Be</v>
      </c>
      <c r="K29" s="71" t="str">
        <f>IFERROR(__xludf.DUMMYFUNCTION("""COMPUTED_VALUE"""),"2018-2022")</f>
        <v>2018-2022</v>
      </c>
      <c r="L29" s="71" t="str">
        <f>IFERROR(__xludf.DUMMYFUNCTION("""COMPUTED_VALUE"""),"S3: Student Internships")</f>
        <v>S3: Student Internships</v>
      </c>
      <c r="M29" s="71" t="str">
        <f>IFERROR(__xludf.DUMMYFUNCTION("""COMPUTED_VALUE"""),"dendukuri.16@gmail.com")</f>
        <v>dendukuri.16@gmail.com</v>
      </c>
      <c r="N29" s="71" t="str">
        <f>IFERROR(__xludf.DUMMYFUNCTION("""COMPUTED_VALUE"""),"SEM-8")</f>
        <v>SEM-8</v>
      </c>
      <c r="O29" s="74"/>
      <c r="P29" s="74"/>
      <c r="Q29" s="74"/>
      <c r="R29" s="74"/>
      <c r="S29" s="74"/>
      <c r="T29" s="74"/>
      <c r="U29" s="74"/>
      <c r="V29" s="74"/>
      <c r="W29" s="74"/>
      <c r="X29" s="74"/>
    </row>
    <row r="30" ht="33.0" customHeight="1">
      <c r="A30" s="71" t="str">
        <f>IFERROR(__xludf.DUMMYFUNCTION("""COMPUTED_VALUE"""),"sruthi")</f>
        <v>sruthi</v>
      </c>
      <c r="B30" s="71" t="str">
        <f>IFERROR(__xludf.DUMMYFUNCTION("""COMPUTED_VALUE"""),"18331A05C5")</f>
        <v>18331A05C5</v>
      </c>
      <c r="C30" s="71" t="str">
        <f>IFERROR(__xludf.DUMMYFUNCTION("""COMPUTED_VALUE"""),"AWS")</f>
        <v>AWS</v>
      </c>
      <c r="D30" s="71" t="str">
        <f>IFERROR(__xludf.DUMMYFUNCTION("""COMPUTED_VALUE"""),"10WEEKS")</f>
        <v>10WEEKS</v>
      </c>
      <c r="E30" s="72">
        <f>IFERROR(__xludf.DUMMYFUNCTION("""COMPUTED_VALUE"""),44481.0)</f>
        <v>44481</v>
      </c>
      <c r="F30" s="72">
        <f>IFERROR(__xludf.DUMMYFUNCTION("""COMPUTED_VALUE"""),44542.0)</f>
        <v>44542</v>
      </c>
      <c r="G30" s="71" t="str">
        <f>IFERROR(__xludf.DUMMYFUNCTION("""COMPUTED_VALUE"""),"No")</f>
        <v>No</v>
      </c>
      <c r="H30" s="71" t="str">
        <f>IFERROR(__xludf.DUMMYFUNCTION("""COMPUTED_VALUE"""),"No")</f>
        <v>No</v>
      </c>
      <c r="I30" s="71">
        <f>IFERROR(__xludf.DUMMYFUNCTION("""COMPUTED_VALUE"""),0.0)</f>
        <v>0</v>
      </c>
      <c r="J30" s="73" t="str">
        <f>IFERROR(__xludf.DUMMYFUNCTION("""COMPUTED_VALUE"""),"https://drive.google.com/open?id=1kghyJdNeldS3J2SiTzRELjTjV3CbYhOw")</f>
        <v>https://drive.google.com/open?id=1kghyJdNeldS3J2SiTzRELjTjV3CbYhOw</v>
      </c>
      <c r="K30" s="71" t="str">
        <f>IFERROR(__xludf.DUMMYFUNCTION("""COMPUTED_VALUE"""),"2018-2022")</f>
        <v>2018-2022</v>
      </c>
      <c r="L30" s="71" t="str">
        <f>IFERROR(__xludf.DUMMYFUNCTION("""COMPUTED_VALUE"""),"S3: Student Internships")</f>
        <v>S3: Student Internships</v>
      </c>
      <c r="M30" s="71" t="str">
        <f>IFERROR(__xludf.DUMMYFUNCTION("""COMPUTED_VALUE"""),"sruthirokalla369@gmail.com")</f>
        <v>sruthirokalla369@gmail.com</v>
      </c>
      <c r="N30" s="71" t="str">
        <f>IFERROR(__xludf.DUMMYFUNCTION("""COMPUTED_VALUE"""),"SEM-8")</f>
        <v>SEM-8</v>
      </c>
      <c r="O30" s="74"/>
      <c r="P30" s="74"/>
      <c r="Q30" s="74"/>
      <c r="R30" s="74"/>
      <c r="S30" s="74"/>
      <c r="T30" s="74"/>
      <c r="U30" s="74"/>
      <c r="V30" s="74"/>
      <c r="W30" s="74"/>
      <c r="X30" s="74"/>
    </row>
    <row r="31" ht="33.0" customHeight="1">
      <c r="A31" s="71" t="str">
        <f>IFERROR(__xludf.DUMMYFUNCTION("""COMPUTED_VALUE"""),"MUKHEE JYOTHSNA")</f>
        <v>MUKHEE JYOTHSNA</v>
      </c>
      <c r="B31" s="71" t="str">
        <f>IFERROR(__xludf.DUMMYFUNCTION("""COMPUTED_VALUE"""),"18331A05A2")</f>
        <v>18331A05A2</v>
      </c>
      <c r="C31" s="71" t="str">
        <f>IFERROR(__xludf.DUMMYFUNCTION("""COMPUTED_VALUE"""),"AWS AICTE")</f>
        <v>AWS AICTE</v>
      </c>
      <c r="D31" s="71" t="str">
        <f>IFERROR(__xludf.DUMMYFUNCTION("""COMPUTED_VALUE"""),"2 months")</f>
        <v>2 months</v>
      </c>
      <c r="E31" s="72">
        <f>IFERROR(__xludf.DUMMYFUNCTION("""COMPUTED_VALUE"""),44477.0)</f>
        <v>44477</v>
      </c>
      <c r="F31" s="72">
        <f>IFERROR(__xludf.DUMMYFUNCTION("""COMPUTED_VALUE"""),44544.0)</f>
        <v>44544</v>
      </c>
      <c r="G31" s="71" t="str">
        <f>IFERROR(__xludf.DUMMYFUNCTION("""COMPUTED_VALUE"""),"No")</f>
        <v>No</v>
      </c>
      <c r="H31" s="71" t="str">
        <f>IFERROR(__xludf.DUMMYFUNCTION("""COMPUTED_VALUE"""),"No")</f>
        <v>No</v>
      </c>
      <c r="I31" s="71">
        <f>IFERROR(__xludf.DUMMYFUNCTION("""COMPUTED_VALUE"""),0.0)</f>
        <v>0</v>
      </c>
      <c r="J31" s="73" t="str">
        <f>IFERROR(__xludf.DUMMYFUNCTION("""COMPUTED_VALUE"""),"https://drive.google.com/open?id=1rH9_Xv4bqvDtpQ9t64MpU_vTDvA5hrFu")</f>
        <v>https://drive.google.com/open?id=1rH9_Xv4bqvDtpQ9t64MpU_vTDvA5hrFu</v>
      </c>
      <c r="K31" s="71" t="str">
        <f>IFERROR(__xludf.DUMMYFUNCTION("""COMPUTED_VALUE"""),"2018-2022")</f>
        <v>2018-2022</v>
      </c>
      <c r="L31" s="71" t="str">
        <f>IFERROR(__xludf.DUMMYFUNCTION("""COMPUTED_VALUE"""),"S3: Student Internships")</f>
        <v>S3: Student Internships</v>
      </c>
      <c r="M31" s="71" t="str">
        <f>IFERROR(__xludf.DUMMYFUNCTION("""COMPUTED_VALUE"""),"jyothsnamukhee03@gmail.com")</f>
        <v>jyothsnamukhee03@gmail.com</v>
      </c>
      <c r="N31" s="71" t="str">
        <f>IFERROR(__xludf.DUMMYFUNCTION("""COMPUTED_VALUE"""),"SEM-8")</f>
        <v>SEM-8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</row>
    <row r="32" ht="33.0" customHeight="1">
      <c r="A32" s="71" t="str">
        <f>IFERROR(__xludf.DUMMYFUNCTION("""COMPUTED_VALUE"""),"Venkata Jaswanth Potnuru")</f>
        <v>Venkata Jaswanth Potnuru</v>
      </c>
      <c r="B32" s="71" t="str">
        <f>IFERROR(__xludf.DUMMYFUNCTION("""COMPUTED_VALUE"""),"19335A0513")</f>
        <v>19335A0513</v>
      </c>
      <c r="C32" s="71" t="str">
        <f>IFERROR(__xludf.DUMMYFUNCTION("""COMPUTED_VALUE"""),"AWS AICTE")</f>
        <v>AWS AICTE</v>
      </c>
      <c r="D32" s="71" t="str">
        <f>IFERROR(__xludf.DUMMYFUNCTION("""COMPUTED_VALUE"""),"2 Months")</f>
        <v>2 Months</v>
      </c>
      <c r="E32" s="72">
        <f>IFERROR(__xludf.DUMMYFUNCTION("""COMPUTED_VALUE"""),44477.0)</f>
        <v>44477</v>
      </c>
      <c r="F32" s="72">
        <f>IFERROR(__xludf.DUMMYFUNCTION("""COMPUTED_VALUE"""),44544.0)</f>
        <v>44544</v>
      </c>
      <c r="G32" s="71" t="str">
        <f>IFERROR(__xludf.DUMMYFUNCTION("""COMPUTED_VALUE"""),"No")</f>
        <v>No</v>
      </c>
      <c r="H32" s="71" t="str">
        <f>IFERROR(__xludf.DUMMYFUNCTION("""COMPUTED_VALUE"""),"No")</f>
        <v>No</v>
      </c>
      <c r="I32" s="71">
        <f>IFERROR(__xludf.DUMMYFUNCTION("""COMPUTED_VALUE"""),0.0)</f>
        <v>0</v>
      </c>
      <c r="J32" s="73" t="str">
        <f>IFERROR(__xludf.DUMMYFUNCTION("""COMPUTED_VALUE"""),"https://drive.google.com/open?id=1Q2FKudakYyie6V-kEbVzxtvuNVTgPpRj")</f>
        <v>https://drive.google.com/open?id=1Q2FKudakYyie6V-kEbVzxtvuNVTgPpRj</v>
      </c>
      <c r="K32" s="71" t="str">
        <f>IFERROR(__xludf.DUMMYFUNCTION("""COMPUTED_VALUE"""),"2018-2022")</f>
        <v>2018-2022</v>
      </c>
      <c r="L32" s="71" t="str">
        <f>IFERROR(__xludf.DUMMYFUNCTION("""COMPUTED_VALUE"""),"S3: Student Internships")</f>
        <v>S3: Student Internships</v>
      </c>
      <c r="M32" s="71" t="str">
        <f>IFERROR(__xludf.DUMMYFUNCTION("""COMPUTED_VALUE"""),"venkatajaswanth10@gmail.com")</f>
        <v>venkatajaswanth10@gmail.com</v>
      </c>
      <c r="N32" s="71" t="str">
        <f>IFERROR(__xludf.DUMMYFUNCTION("""COMPUTED_VALUE"""),"SEM-7")</f>
        <v>SEM-7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</row>
    <row r="33" ht="33.0" customHeight="1">
      <c r="A33" s="71" t="str">
        <f>IFERROR(__xludf.DUMMYFUNCTION("""COMPUTED_VALUE"""),"sruthi ")</f>
        <v>sruthi </v>
      </c>
      <c r="B33" s="71" t="str">
        <f>IFERROR(__xludf.DUMMYFUNCTION("""COMPUTED_VALUE"""),"18331A05C5")</f>
        <v>18331A05C5</v>
      </c>
      <c r="C33" s="71" t="str">
        <f>IFERROR(__xludf.DUMMYFUNCTION("""COMPUTED_VALUE"""),"KOSMOS")</f>
        <v>KOSMOS</v>
      </c>
      <c r="D33" s="71" t="str">
        <f>IFERROR(__xludf.DUMMYFUNCTION("""COMPUTED_VALUE"""),"3MONTHS")</f>
        <v>3MONTHS</v>
      </c>
      <c r="E33" s="72">
        <f>IFERROR(__xludf.DUMMYFUNCTION("""COMPUTED_VALUE"""),44112.0)</f>
        <v>44112</v>
      </c>
      <c r="F33" s="72">
        <f>IFERROR(__xludf.DUMMYFUNCTION("""COMPUTED_VALUE"""),44170.0)</f>
        <v>44170</v>
      </c>
      <c r="G33" s="71" t="str">
        <f>IFERROR(__xludf.DUMMYFUNCTION("""COMPUTED_VALUE"""),"No")</f>
        <v>No</v>
      </c>
      <c r="H33" s="71" t="str">
        <f>IFERROR(__xludf.DUMMYFUNCTION("""COMPUTED_VALUE"""),"No")</f>
        <v>No</v>
      </c>
      <c r="I33" s="71">
        <f>IFERROR(__xludf.DUMMYFUNCTION("""COMPUTED_VALUE"""),0.0)</f>
        <v>0</v>
      </c>
      <c r="J33" s="73" t="str">
        <f>IFERROR(__xludf.DUMMYFUNCTION("""COMPUTED_VALUE"""),"https://drive.google.com/open?id=1o80YrSS6nw-p4ji1xpt0DwyY0GaDNIcM")</f>
        <v>https://drive.google.com/open?id=1o80YrSS6nw-p4ji1xpt0DwyY0GaDNIcM</v>
      </c>
      <c r="K33" s="71" t="str">
        <f>IFERROR(__xludf.DUMMYFUNCTION("""COMPUTED_VALUE"""),"2018-2022")</f>
        <v>2018-2022</v>
      </c>
      <c r="L33" s="71" t="str">
        <f>IFERROR(__xludf.DUMMYFUNCTION("""COMPUTED_VALUE"""),"S3: Student Internships")</f>
        <v>S3: Student Internships</v>
      </c>
      <c r="M33" s="71" t="str">
        <f>IFERROR(__xludf.DUMMYFUNCTION("""COMPUTED_VALUE"""),"sruthirokalla369@gmail.com")</f>
        <v>sruthirokalla369@gmail.com</v>
      </c>
      <c r="N33" s="71" t="str">
        <f>IFERROR(__xludf.DUMMYFUNCTION("""COMPUTED_VALUE"""),"SEM-8")</f>
        <v>SEM-8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</row>
    <row r="34" ht="33.0" customHeight="1">
      <c r="A34" s="71" t="str">
        <f>IFERROR(__xludf.DUMMYFUNCTION("""COMPUTED_VALUE"""),"VUGGINA VEERA VENKATA SATYA VARAHA AYYAPPA")</f>
        <v>VUGGINA VEERA VENKATA SATYA VARAHA AYYAPPA</v>
      </c>
      <c r="B34" s="71" t="str">
        <f>IFERROR(__xludf.DUMMYFUNCTION("""COMPUTED_VALUE"""),"19335A0518")</f>
        <v>19335A0518</v>
      </c>
      <c r="C34" s="71" t="str">
        <f>IFERROR(__xludf.DUMMYFUNCTION("""COMPUTED_VALUE"""),"AICTE ")</f>
        <v>AICTE </v>
      </c>
      <c r="D34" s="71" t="str">
        <f>IFERROR(__xludf.DUMMYFUNCTION("""COMPUTED_VALUE"""),"2 monthS")</f>
        <v>2 monthS</v>
      </c>
      <c r="E34" s="72">
        <f>IFERROR(__xludf.DUMMYFUNCTION("""COMPUTED_VALUE"""),44470.0)</f>
        <v>44470</v>
      </c>
      <c r="F34" s="72">
        <f>IFERROR(__xludf.DUMMYFUNCTION("""COMPUTED_VALUE"""),44560.0)</f>
        <v>44560</v>
      </c>
      <c r="G34" s="71" t="str">
        <f>IFERROR(__xludf.DUMMYFUNCTION("""COMPUTED_VALUE"""),"No")</f>
        <v>No</v>
      </c>
      <c r="H34" s="71" t="str">
        <f>IFERROR(__xludf.DUMMYFUNCTION("""COMPUTED_VALUE"""),"No")</f>
        <v>No</v>
      </c>
      <c r="I34" s="71">
        <f>IFERROR(__xludf.DUMMYFUNCTION("""COMPUTED_VALUE"""),0.0)</f>
        <v>0</v>
      </c>
      <c r="J34" s="73" t="str">
        <f>IFERROR(__xludf.DUMMYFUNCTION("""COMPUTED_VALUE"""),"https://drive.google.com/open?id=1sBRIOvnXlhUEOwhmWjBi2OIKVVyG4RDh")</f>
        <v>https://drive.google.com/open?id=1sBRIOvnXlhUEOwhmWjBi2OIKVVyG4RDh</v>
      </c>
      <c r="K34" s="71" t="str">
        <f>IFERROR(__xludf.DUMMYFUNCTION("""COMPUTED_VALUE"""),"2018-2022")</f>
        <v>2018-2022</v>
      </c>
      <c r="L34" s="71" t="str">
        <f>IFERROR(__xludf.DUMMYFUNCTION("""COMPUTED_VALUE"""),"S3: Student Internships")</f>
        <v>S3: Student Internships</v>
      </c>
      <c r="M34" s="71" t="str">
        <f>IFERROR(__xludf.DUMMYFUNCTION("""COMPUTED_VALUE"""),"ayyappa.vuggina001@gmail.com")</f>
        <v>ayyappa.vuggina001@gmail.com</v>
      </c>
      <c r="N34" s="71" t="str">
        <f>IFERROR(__xludf.DUMMYFUNCTION("""COMPUTED_VALUE"""),"SEM-7")</f>
        <v>SEM-7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</row>
    <row r="35" ht="33.0" customHeight="1">
      <c r="A35" s="71" t="str">
        <f>IFERROR(__xludf.DUMMYFUNCTION("""COMPUTED_VALUE"""),"Manukonda Royal Frederick ")</f>
        <v>Manukonda Royal Frederick </v>
      </c>
      <c r="B35" s="71" t="str">
        <f>IFERROR(__xludf.DUMMYFUNCTION("""COMPUTED_VALUE"""),"18331A0595")</f>
        <v>18331A0595</v>
      </c>
      <c r="C35" s="71" t="str">
        <f>IFERROR(__xludf.DUMMYFUNCTION("""COMPUTED_VALUE"""),"AWS Cloud Foundation ")</f>
        <v>AWS Cloud Foundation </v>
      </c>
      <c r="D35" s="71" t="str">
        <f>IFERROR(__xludf.DUMMYFUNCTION("""COMPUTED_VALUE"""),"10weeks")</f>
        <v>10weeks</v>
      </c>
      <c r="E35" s="72">
        <f>IFERROR(__xludf.DUMMYFUNCTION("""COMPUTED_VALUE"""),44470.0)</f>
        <v>44470</v>
      </c>
      <c r="F35" s="72">
        <f>IFERROR(__xludf.DUMMYFUNCTION("""COMPUTED_VALUE"""),44531.0)</f>
        <v>44531</v>
      </c>
      <c r="G35" s="71" t="str">
        <f>IFERROR(__xludf.DUMMYFUNCTION("""COMPUTED_VALUE"""),"No")</f>
        <v>No</v>
      </c>
      <c r="H35" s="71" t="str">
        <f>IFERROR(__xludf.DUMMYFUNCTION("""COMPUTED_VALUE"""),"No")</f>
        <v>No</v>
      </c>
      <c r="I35" s="71">
        <f>IFERROR(__xludf.DUMMYFUNCTION("""COMPUTED_VALUE"""),0.0)</f>
        <v>0</v>
      </c>
      <c r="J35" s="73" t="str">
        <f>IFERROR(__xludf.DUMMYFUNCTION("""COMPUTED_VALUE"""),"https://drive.google.com/open?id=13oDkQ5eszOIASYc_IZHqIC-kEbAMo6TT")</f>
        <v>https://drive.google.com/open?id=13oDkQ5eszOIASYc_IZHqIC-kEbAMo6TT</v>
      </c>
      <c r="K35" s="71" t="str">
        <f>IFERROR(__xludf.DUMMYFUNCTION("""COMPUTED_VALUE"""),"2018-2022")</f>
        <v>2018-2022</v>
      </c>
      <c r="L35" s="71" t="str">
        <f>IFERROR(__xludf.DUMMYFUNCTION("""COMPUTED_VALUE"""),"S3: Student Internships")</f>
        <v>S3: Student Internships</v>
      </c>
      <c r="M35" s="71" t="str">
        <f>IFERROR(__xludf.DUMMYFUNCTION("""COMPUTED_VALUE"""),"royalfrederickmanukonda@gmail.com")</f>
        <v>royalfrederickmanukonda@gmail.com</v>
      </c>
      <c r="N35" s="71" t="str">
        <f>IFERROR(__xludf.DUMMYFUNCTION("""COMPUTED_VALUE"""),"SEM-8")</f>
        <v>SEM-8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</row>
    <row r="36" ht="33.0" customHeight="1">
      <c r="A36" s="71" t="str">
        <f>IFERROR(__xludf.DUMMYFUNCTION("""COMPUTED_VALUE"""),"Kusuma Patnaik Murahari")</f>
        <v>Kusuma Patnaik Murahari</v>
      </c>
      <c r="B36" s="71" t="str">
        <f>IFERROR(__xludf.DUMMYFUNCTION("""COMPUTED_VALUE"""),"18331A0584")</f>
        <v>18331A0584</v>
      </c>
      <c r="C36" s="71" t="str">
        <f>IFERROR(__xludf.DUMMYFUNCTION("""COMPUTED_VALUE"""),"AICTE AWS Cloud Virtual Internship")</f>
        <v>AICTE AWS Cloud Virtual Internship</v>
      </c>
      <c r="D36" s="71" t="str">
        <f>IFERROR(__xludf.DUMMYFUNCTION("""COMPUTED_VALUE"""),"2 months")</f>
        <v>2 months</v>
      </c>
      <c r="E36" s="72">
        <f>IFERROR(__xludf.DUMMYFUNCTION("""COMPUTED_VALUE"""),44470.0)</f>
        <v>44470</v>
      </c>
      <c r="F36" s="72">
        <f>IFERROR(__xludf.DUMMYFUNCTION("""COMPUTED_VALUE"""),44561.0)</f>
        <v>44561</v>
      </c>
      <c r="G36" s="71" t="str">
        <f>IFERROR(__xludf.DUMMYFUNCTION("""COMPUTED_VALUE"""),"No")</f>
        <v>No</v>
      </c>
      <c r="H36" s="71" t="str">
        <f>IFERROR(__xludf.DUMMYFUNCTION("""COMPUTED_VALUE"""),"No")</f>
        <v>No</v>
      </c>
      <c r="I36" s="71">
        <f>IFERROR(__xludf.DUMMYFUNCTION("""COMPUTED_VALUE"""),0.0)</f>
        <v>0</v>
      </c>
      <c r="J36" s="73" t="str">
        <f>IFERROR(__xludf.DUMMYFUNCTION("""COMPUTED_VALUE"""),"https://drive.google.com/open?id=1gXlcLwDfPm-ZNDcW9x18d9Dv5fS8zPdT")</f>
        <v>https://drive.google.com/open?id=1gXlcLwDfPm-ZNDcW9x18d9Dv5fS8zPdT</v>
      </c>
      <c r="K36" s="71" t="str">
        <f>IFERROR(__xludf.DUMMYFUNCTION("""COMPUTED_VALUE"""),"2018-2022")</f>
        <v>2018-2022</v>
      </c>
      <c r="L36" s="71" t="str">
        <f>IFERROR(__xludf.DUMMYFUNCTION("""COMPUTED_VALUE"""),"S3: Student Internships")</f>
        <v>S3: Student Internships</v>
      </c>
      <c r="M36" s="71" t="str">
        <f>IFERROR(__xludf.DUMMYFUNCTION("""COMPUTED_VALUE"""),"muraharikusum2000@gmail.com")</f>
        <v>muraharikusum2000@gmail.com</v>
      </c>
      <c r="N36" s="71" t="str">
        <f>IFERROR(__xludf.DUMMYFUNCTION("""COMPUTED_VALUE"""),"SEM-8")</f>
        <v>SEM-8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</row>
    <row r="37" ht="33.0" customHeight="1">
      <c r="A37" s="71" t="str">
        <f>IFERROR(__xludf.DUMMYFUNCTION("""COMPUTED_VALUE"""),"POTNURU VENKATA NARASIMHA RAJU")</f>
        <v>POTNURU VENKATA NARASIMHA RAJU</v>
      </c>
      <c r="B37" s="71" t="str">
        <f>IFERROR(__xludf.DUMMYFUNCTION("""COMPUTED_VALUE"""),"19331A05D4")</f>
        <v>19331A05D4</v>
      </c>
      <c r="C37" s="71" t="str">
        <f>IFERROR(__xludf.DUMMYFUNCTION("""COMPUTED_VALUE"""),"AICTE")</f>
        <v>AICTE</v>
      </c>
      <c r="D37" s="71" t="str">
        <f>IFERROR(__xludf.DUMMYFUNCTION("""COMPUTED_VALUE"""),"10 weeks")</f>
        <v>10 weeks</v>
      </c>
      <c r="E37" s="72">
        <f>IFERROR(__xludf.DUMMYFUNCTION("""COMPUTED_VALUE"""),44479.0)</f>
        <v>44479</v>
      </c>
      <c r="F37" s="72">
        <f>IFERROR(__xludf.DUMMYFUNCTION("""COMPUTED_VALUE"""),44540.0)</f>
        <v>44540</v>
      </c>
      <c r="G37" s="71" t="str">
        <f>IFERROR(__xludf.DUMMYFUNCTION("""COMPUTED_VALUE"""),"No")</f>
        <v>No</v>
      </c>
      <c r="H37" s="71" t="str">
        <f>IFERROR(__xludf.DUMMYFUNCTION("""COMPUTED_VALUE"""),"No")</f>
        <v>No</v>
      </c>
      <c r="I37" s="71">
        <f>IFERROR(__xludf.DUMMYFUNCTION("""COMPUTED_VALUE"""),0.0)</f>
        <v>0</v>
      </c>
      <c r="J37" s="73" t="str">
        <f>IFERROR(__xludf.DUMMYFUNCTION("""COMPUTED_VALUE"""),"https://drive.google.com/open?id=1VuTH7Tgo0Pk_ScTpkx1b4YGJX5R6P5Zn")</f>
        <v>https://drive.google.com/open?id=1VuTH7Tgo0Pk_ScTpkx1b4YGJX5R6P5Zn</v>
      </c>
      <c r="K37" s="71" t="str">
        <f>IFERROR(__xludf.DUMMYFUNCTION("""COMPUTED_VALUE"""),"2019-2023")</f>
        <v>2019-2023</v>
      </c>
      <c r="L37" s="71" t="str">
        <f>IFERROR(__xludf.DUMMYFUNCTION("""COMPUTED_VALUE"""),"S3: Student Internships")</f>
        <v>S3: Student Internships</v>
      </c>
      <c r="M37" s="71" t="str">
        <f>IFERROR(__xludf.DUMMYFUNCTION("""COMPUTED_VALUE"""),"pvenkatanarasimharaju2214@gmail.com")</f>
        <v>pvenkatanarasimharaju2214@gmail.com</v>
      </c>
      <c r="N37" s="71" t="str">
        <f>IFERROR(__xludf.DUMMYFUNCTION("""COMPUTED_VALUE"""),"SEM-6")</f>
        <v>SEM-6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</row>
    <row r="38" ht="33.0" customHeight="1">
      <c r="A38" s="71" t="str">
        <f>IFERROR(__xludf.DUMMYFUNCTION("""COMPUTED_VALUE"""),"Yuvaraj Chowdary Ratnala")</f>
        <v>Yuvaraj Chowdary Ratnala</v>
      </c>
      <c r="B38" s="71" t="str">
        <f>IFERROR(__xludf.DUMMYFUNCTION("""COMPUTED_VALUE"""),"18331A05C3")</f>
        <v>18331A05C3</v>
      </c>
      <c r="C38" s="71" t="str">
        <f>IFERROR(__xludf.DUMMYFUNCTION("""COMPUTED_VALUE"""),"AICTE in collaboration with NEAT, Eduskills")</f>
        <v>AICTE in collaboration with NEAT, Eduskills</v>
      </c>
      <c r="D38" s="71" t="str">
        <f>IFERROR(__xludf.DUMMYFUNCTION("""COMPUTED_VALUE"""),"3 months")</f>
        <v>3 months</v>
      </c>
      <c r="E38" s="72">
        <f>IFERROR(__xludf.DUMMYFUNCTION("""COMPUTED_VALUE"""),44470.0)</f>
        <v>44470</v>
      </c>
      <c r="F38" s="72">
        <f>IFERROR(__xludf.DUMMYFUNCTION("""COMPUTED_VALUE"""),44561.0)</f>
        <v>44561</v>
      </c>
      <c r="G38" s="71" t="str">
        <f>IFERROR(__xludf.DUMMYFUNCTION("""COMPUTED_VALUE"""),"No")</f>
        <v>No</v>
      </c>
      <c r="H38" s="71" t="str">
        <f>IFERROR(__xludf.DUMMYFUNCTION("""COMPUTED_VALUE"""),"No")</f>
        <v>No</v>
      </c>
      <c r="I38" s="71">
        <f>IFERROR(__xludf.DUMMYFUNCTION("""COMPUTED_VALUE"""),0.0)</f>
        <v>0</v>
      </c>
      <c r="J38" s="73" t="str">
        <f>IFERROR(__xludf.DUMMYFUNCTION("""COMPUTED_VALUE"""),"https://drive.google.com/open?id=1nbfLYFI3vQYDxQ8JKspWb0auP9vnyZst")</f>
        <v>https://drive.google.com/open?id=1nbfLYFI3vQYDxQ8JKspWb0auP9vnyZst</v>
      </c>
      <c r="K38" s="71" t="str">
        <f>IFERROR(__xludf.DUMMYFUNCTION("""COMPUTED_VALUE"""),"2018-2022")</f>
        <v>2018-2022</v>
      </c>
      <c r="L38" s="71" t="str">
        <f>IFERROR(__xludf.DUMMYFUNCTION("""COMPUTED_VALUE"""),"S3: Student Internships")</f>
        <v>S3: Student Internships</v>
      </c>
      <c r="M38" s="71" t="str">
        <f>IFERROR(__xludf.DUMMYFUNCTION("""COMPUTED_VALUE"""),"18331A05C3@mvgrce.edu.in")</f>
        <v>18331A05C3@mvgrce.edu.in</v>
      </c>
      <c r="N38" s="71" t="str">
        <f>IFERROR(__xludf.DUMMYFUNCTION("""COMPUTED_VALUE"""),"SEM-8")</f>
        <v>SEM-8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</row>
    <row r="39" ht="33.0" customHeight="1">
      <c r="A39" s="71" t="str">
        <f>IFERROR(__xludf.DUMMYFUNCTION("""COMPUTED_VALUE"""),"KARUMURI SRI RAJ ARYAN")</f>
        <v>KARUMURI SRI RAJ ARYAN</v>
      </c>
      <c r="B39" s="71" t="str">
        <f>IFERROR(__xludf.DUMMYFUNCTION("""COMPUTED_VALUE"""),"18331A0571")</f>
        <v>18331A0571</v>
      </c>
      <c r="C39" s="71" t="str">
        <f>IFERROR(__xludf.DUMMYFUNCTION("""COMPUTED_VALUE"""),"TechLearn")</f>
        <v>TechLearn</v>
      </c>
      <c r="D39" s="71" t="str">
        <f>IFERROR(__xludf.DUMMYFUNCTION("""COMPUTED_VALUE"""),"1 month")</f>
        <v>1 month</v>
      </c>
      <c r="E39" s="72">
        <f>IFERROR(__xludf.DUMMYFUNCTION("""COMPUTED_VALUE"""),44561.0)</f>
        <v>44561</v>
      </c>
      <c r="F39" s="72">
        <f>IFERROR(__xludf.DUMMYFUNCTION("""COMPUTED_VALUE"""),44592.0)</f>
        <v>44592</v>
      </c>
      <c r="G39" s="71" t="str">
        <f>IFERROR(__xludf.DUMMYFUNCTION("""COMPUTED_VALUE"""),"Yes")</f>
        <v>Yes</v>
      </c>
      <c r="H39" s="71" t="str">
        <f>IFERROR(__xludf.DUMMYFUNCTION("""COMPUTED_VALUE"""),"No")</f>
        <v>No</v>
      </c>
      <c r="I39" s="71">
        <f>IFERROR(__xludf.DUMMYFUNCTION("""COMPUTED_VALUE"""),250.0)</f>
        <v>250</v>
      </c>
      <c r="J39" s="73" t="str">
        <f>IFERROR(__xludf.DUMMYFUNCTION("""COMPUTED_VALUE"""),"https://drive.google.com/open?id=1L8QvenQSbBbS_qby0dpkOU-60lBMdQqT")</f>
        <v>https://drive.google.com/open?id=1L8QvenQSbBbS_qby0dpkOU-60lBMdQqT</v>
      </c>
      <c r="K39" s="71" t="str">
        <f>IFERROR(__xludf.DUMMYFUNCTION("""COMPUTED_VALUE"""),"2018-2022")</f>
        <v>2018-2022</v>
      </c>
      <c r="L39" s="71" t="str">
        <f>IFERROR(__xludf.DUMMYFUNCTION("""COMPUTED_VALUE"""),"S3: Student Internships")</f>
        <v>S3: Student Internships</v>
      </c>
      <c r="M39" s="71" t="str">
        <f>IFERROR(__xludf.DUMMYFUNCTION("""COMPUTED_VALUE"""),"aryankarumuri@gmail.com")</f>
        <v>aryankarumuri@gmail.com</v>
      </c>
      <c r="N39" s="71" t="str">
        <f>IFERROR(__xludf.DUMMYFUNCTION("""COMPUTED_VALUE"""),"SEM-8")</f>
        <v>SEM-8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</row>
    <row r="40" ht="33.0" customHeight="1">
      <c r="A40" s="71" t="str">
        <f>IFERROR(__xludf.DUMMYFUNCTION("""COMPUTED_VALUE"""),"METTA VAMSI PRANAV")</f>
        <v>METTA VAMSI PRANAV</v>
      </c>
      <c r="B40" s="71" t="str">
        <f>IFERROR(__xludf.DUMMYFUNCTION("""COMPUTED_VALUE"""),"18331A0598")</f>
        <v>18331A0598</v>
      </c>
      <c r="C40" s="71" t="str">
        <f>IFERROR(__xludf.DUMMYFUNCTION("""COMPUTED_VALUE"""),"Red Hat")</f>
        <v>Red Hat</v>
      </c>
      <c r="D40" s="71" t="str">
        <f>IFERROR(__xludf.DUMMYFUNCTION("""COMPUTED_VALUE"""),"1 month")</f>
        <v>1 month</v>
      </c>
      <c r="E40" s="72">
        <f>IFERROR(__xludf.DUMMYFUNCTION("""COMPUTED_VALUE"""),44645.0)</f>
        <v>44645</v>
      </c>
      <c r="F40" s="72">
        <f>IFERROR(__xludf.DUMMYFUNCTION("""COMPUTED_VALUE"""),44676.0)</f>
        <v>44676</v>
      </c>
      <c r="G40" s="71" t="str">
        <f>IFERROR(__xludf.DUMMYFUNCTION("""COMPUTED_VALUE"""),"No")</f>
        <v>No</v>
      </c>
      <c r="H40" s="71" t="str">
        <f>IFERROR(__xludf.DUMMYFUNCTION("""COMPUTED_VALUE"""),"No")</f>
        <v>No</v>
      </c>
      <c r="I40" s="71">
        <f>IFERROR(__xludf.DUMMYFUNCTION("""COMPUTED_VALUE"""),0.0)</f>
        <v>0</v>
      </c>
      <c r="J40" s="73" t="str">
        <f>IFERROR(__xludf.DUMMYFUNCTION("""COMPUTED_VALUE"""),"https://drive.google.com/open?id=19ICyEx7TvltSMYYTihknjAb2kVuwFTJ0")</f>
        <v>https://drive.google.com/open?id=19ICyEx7TvltSMYYTihknjAb2kVuwFTJ0</v>
      </c>
      <c r="K40" s="71" t="str">
        <f>IFERROR(__xludf.DUMMYFUNCTION("""COMPUTED_VALUE"""),"2018-2022")</f>
        <v>2018-2022</v>
      </c>
      <c r="L40" s="71" t="str">
        <f>IFERROR(__xludf.DUMMYFUNCTION("""COMPUTED_VALUE"""),"S3: Student Internships")</f>
        <v>S3: Student Internships</v>
      </c>
      <c r="M40" s="71" t="str">
        <f>IFERROR(__xludf.DUMMYFUNCTION("""COMPUTED_VALUE"""),"vamsipranav9948@gmail.com")</f>
        <v>vamsipranav9948@gmail.com</v>
      </c>
      <c r="N40" s="71" t="str">
        <f>IFERROR(__xludf.DUMMYFUNCTION("""COMPUTED_VALUE"""),"SEM-8")</f>
        <v>SEM-8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</row>
    <row r="41" ht="33.0" customHeight="1">
      <c r="A41" s="71" t="str">
        <f>IFERROR(__xludf.DUMMYFUNCTION("""COMPUTED_VALUE"""),"KARUMURI SRI RAJ ARYAN")</f>
        <v>KARUMURI SRI RAJ ARYAN</v>
      </c>
      <c r="B41" s="71" t="str">
        <f>IFERROR(__xludf.DUMMYFUNCTION("""COMPUTED_VALUE"""),"18331A0571")</f>
        <v>18331A0571</v>
      </c>
      <c r="C41" s="71" t="str">
        <f>IFERROR(__xludf.DUMMYFUNCTION("""COMPUTED_VALUE"""),"AICTE")</f>
        <v>AICTE</v>
      </c>
      <c r="D41" s="71" t="str">
        <f>IFERROR(__xludf.DUMMYFUNCTION("""COMPUTED_VALUE"""),"2 MONTHS")</f>
        <v>2 MONTHS</v>
      </c>
      <c r="E41" s="72">
        <f>IFERROR(__xludf.DUMMYFUNCTION("""COMPUTED_VALUE"""),44489.0)</f>
        <v>44489</v>
      </c>
      <c r="F41" s="72">
        <f>IFERROR(__xludf.DUMMYFUNCTION("""COMPUTED_VALUE"""),44561.0)</f>
        <v>44561</v>
      </c>
      <c r="G41" s="71" t="str">
        <f>IFERROR(__xludf.DUMMYFUNCTION("""COMPUTED_VALUE"""),"No")</f>
        <v>No</v>
      </c>
      <c r="H41" s="71" t="str">
        <f>IFERROR(__xludf.DUMMYFUNCTION("""COMPUTED_VALUE"""),"No")</f>
        <v>No</v>
      </c>
      <c r="I41" s="71">
        <f>IFERROR(__xludf.DUMMYFUNCTION("""COMPUTED_VALUE"""),0.0)</f>
        <v>0</v>
      </c>
      <c r="J41" s="73" t="str">
        <f>IFERROR(__xludf.DUMMYFUNCTION("""COMPUTED_VALUE"""),"https://drive.google.com/open?id=1xXaz0acVeXLlZtQK5bAkaIcj6gP9tmUW")</f>
        <v>https://drive.google.com/open?id=1xXaz0acVeXLlZtQK5bAkaIcj6gP9tmUW</v>
      </c>
      <c r="K41" s="71" t="str">
        <f>IFERROR(__xludf.DUMMYFUNCTION("""COMPUTED_VALUE"""),"2018-2022")</f>
        <v>2018-2022</v>
      </c>
      <c r="L41" s="71" t="str">
        <f>IFERROR(__xludf.DUMMYFUNCTION("""COMPUTED_VALUE"""),"S3: Student Internships")</f>
        <v>S3: Student Internships</v>
      </c>
      <c r="M41" s="71" t="str">
        <f>IFERROR(__xludf.DUMMYFUNCTION("""COMPUTED_VALUE"""),"aryankarumuri@gmail.com")</f>
        <v>aryankarumuri@gmail.com</v>
      </c>
      <c r="N41" s="71" t="str">
        <f>IFERROR(__xludf.DUMMYFUNCTION("""COMPUTED_VALUE"""),"SEM-8")</f>
        <v>SEM-8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</row>
    <row r="42" ht="33.0" customHeight="1">
      <c r="A42" s="71" t="str">
        <f>IFERROR(__xludf.DUMMYFUNCTION("""COMPUTED_VALUE"""),"KARUMURI SRI RAJ ARYAN")</f>
        <v>KARUMURI SRI RAJ ARYAN</v>
      </c>
      <c r="B42" s="71" t="str">
        <f>IFERROR(__xludf.DUMMYFUNCTION("""COMPUTED_VALUE"""),"18331A0571")</f>
        <v>18331A0571</v>
      </c>
      <c r="C42" s="71" t="str">
        <f>IFERROR(__xludf.DUMMYFUNCTION("""COMPUTED_VALUE"""),"JP MORGAN CHASE &amp; Co.")</f>
        <v>JP MORGAN CHASE &amp; Co.</v>
      </c>
      <c r="D42" s="71" t="str">
        <f>IFERROR(__xludf.DUMMYFUNCTION("""COMPUTED_VALUE"""),"1 Month")</f>
        <v>1 Month</v>
      </c>
      <c r="E42" s="72">
        <f>IFERROR(__xludf.DUMMYFUNCTION("""COMPUTED_VALUE"""),44532.0)</f>
        <v>44532</v>
      </c>
      <c r="F42" s="72">
        <f>IFERROR(__xludf.DUMMYFUNCTION("""COMPUTED_VALUE"""),44563.0)</f>
        <v>44563</v>
      </c>
      <c r="G42" s="71" t="str">
        <f>IFERROR(__xludf.DUMMYFUNCTION("""COMPUTED_VALUE"""),"No")</f>
        <v>No</v>
      </c>
      <c r="H42" s="71" t="str">
        <f>IFERROR(__xludf.DUMMYFUNCTION("""COMPUTED_VALUE"""),"No")</f>
        <v>No</v>
      </c>
      <c r="I42" s="71">
        <f>IFERROR(__xludf.DUMMYFUNCTION("""COMPUTED_VALUE"""),0.0)</f>
        <v>0</v>
      </c>
      <c r="J42" s="73" t="str">
        <f>IFERROR(__xludf.DUMMYFUNCTION("""COMPUTED_VALUE"""),"https://drive.google.com/open?id=1yhkjwAcobRnGlwhZoJOOSTwHDCLEjMxE")</f>
        <v>https://drive.google.com/open?id=1yhkjwAcobRnGlwhZoJOOSTwHDCLEjMxE</v>
      </c>
      <c r="K42" s="71" t="str">
        <f>IFERROR(__xludf.DUMMYFUNCTION("""COMPUTED_VALUE"""),"2018-2022")</f>
        <v>2018-2022</v>
      </c>
      <c r="L42" s="71" t="str">
        <f>IFERROR(__xludf.DUMMYFUNCTION("""COMPUTED_VALUE"""),"S3: Student Internships")</f>
        <v>S3: Student Internships</v>
      </c>
      <c r="M42" s="71" t="str">
        <f>IFERROR(__xludf.DUMMYFUNCTION("""COMPUTED_VALUE"""),"aryankarumuri@gmail.com")</f>
        <v>aryankarumuri@gmail.com</v>
      </c>
      <c r="N42" s="71" t="str">
        <f>IFERROR(__xludf.DUMMYFUNCTION("""COMPUTED_VALUE"""),"SEM-8")</f>
        <v>SEM-8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</row>
    <row r="43" ht="33.0" customHeight="1">
      <c r="A43" s="75" t="str">
        <f>IFERROR(__xludf.DUMMYFUNCTION("""COMPUTED_VALUE"""),"KARUMURI SRI RAJ ARYAN")</f>
        <v>KARUMURI SRI RAJ ARYAN</v>
      </c>
      <c r="B43" s="75" t="str">
        <f>IFERROR(__xludf.DUMMYFUNCTION("""COMPUTED_VALUE"""),"18331A0571")</f>
        <v>18331A0571</v>
      </c>
      <c r="C43" s="75" t="str">
        <f>IFERROR(__xludf.DUMMYFUNCTION("""COMPUTED_VALUE"""),"PrepInsta")</f>
        <v>PrepInsta</v>
      </c>
      <c r="D43" s="75" t="str">
        <f>IFERROR(__xludf.DUMMYFUNCTION("""COMPUTED_VALUE"""),"2 Months")</f>
        <v>2 Months</v>
      </c>
      <c r="E43" s="76">
        <f>IFERROR(__xludf.DUMMYFUNCTION("""COMPUTED_VALUE"""),44620.0)</f>
        <v>44620</v>
      </c>
      <c r="F43" s="76">
        <f>IFERROR(__xludf.DUMMYFUNCTION("""COMPUTED_VALUE"""),44681.0)</f>
        <v>44681</v>
      </c>
      <c r="G43" s="75" t="str">
        <f>IFERROR(__xludf.DUMMYFUNCTION("""COMPUTED_VALUE"""),"Yes")</f>
        <v>Yes</v>
      </c>
      <c r="H43" s="75" t="str">
        <f>IFERROR(__xludf.DUMMYFUNCTION("""COMPUTED_VALUE"""),"No")</f>
        <v>No</v>
      </c>
      <c r="I43" s="75">
        <f>IFERROR(__xludf.DUMMYFUNCTION("""COMPUTED_VALUE"""),0.0)</f>
        <v>0</v>
      </c>
      <c r="J43" s="77" t="str">
        <f>IFERROR(__xludf.DUMMYFUNCTION("""COMPUTED_VALUE"""),"https://drive.google.com/open?id=1ng0Lk9SymFgR_16TJjdbejLvtYazcoUx")</f>
        <v>https://drive.google.com/open?id=1ng0Lk9SymFgR_16TJjdbejLvtYazcoUx</v>
      </c>
      <c r="K43" s="75" t="str">
        <f>IFERROR(__xludf.DUMMYFUNCTION("""COMPUTED_VALUE"""),"2018-2022")</f>
        <v>2018-2022</v>
      </c>
      <c r="L43" s="75" t="str">
        <f>IFERROR(__xludf.DUMMYFUNCTION("""COMPUTED_VALUE"""),"S3: Student Internships")</f>
        <v>S3: Student Internships</v>
      </c>
      <c r="M43" s="75" t="str">
        <f>IFERROR(__xludf.DUMMYFUNCTION("""COMPUTED_VALUE"""),"aryankarumuri@gmail.com")</f>
        <v>aryankarumuri@gmail.com</v>
      </c>
      <c r="N43" s="75" t="str">
        <f>IFERROR(__xludf.DUMMYFUNCTION("""COMPUTED_VALUE"""),"SEM-8")</f>
        <v>SEM-8</v>
      </c>
      <c r="O43" s="78"/>
      <c r="P43" s="78"/>
      <c r="Q43" s="78"/>
      <c r="R43" s="78"/>
      <c r="S43" s="78"/>
      <c r="T43" s="78"/>
      <c r="U43" s="78"/>
      <c r="V43" s="78"/>
      <c r="W43" s="78"/>
      <c r="X43" s="78"/>
    </row>
    <row r="44" ht="33.0" customHeight="1">
      <c r="A44" s="71" t="str">
        <f>IFERROR(__xludf.DUMMYFUNCTION("""COMPUTED_VALUE"""),"METTA VAMSI PRANAV")</f>
        <v>METTA VAMSI PRANAV</v>
      </c>
      <c r="B44" s="71" t="str">
        <f>IFERROR(__xludf.DUMMYFUNCTION("""COMPUTED_VALUE"""),"18331A0598")</f>
        <v>18331A0598</v>
      </c>
      <c r="C44" s="71" t="str">
        <f>IFERROR(__xludf.DUMMYFUNCTION("""COMPUTED_VALUE"""),"AICTE")</f>
        <v>AICTE</v>
      </c>
      <c r="D44" s="71" t="str">
        <f>IFERROR(__xludf.DUMMYFUNCTION("""COMPUTED_VALUE"""),"2 Months")</f>
        <v>2 Months</v>
      </c>
      <c r="E44" s="72">
        <f>IFERROR(__xludf.DUMMYFUNCTION("""COMPUTED_VALUE"""),44479.0)</f>
        <v>44479</v>
      </c>
      <c r="F44" s="72">
        <f>IFERROR(__xludf.DUMMYFUNCTION("""COMPUTED_VALUE"""),44560.0)</f>
        <v>44560</v>
      </c>
      <c r="G44" s="71" t="str">
        <f>IFERROR(__xludf.DUMMYFUNCTION("""COMPUTED_VALUE"""),"No")</f>
        <v>No</v>
      </c>
      <c r="H44" s="71" t="str">
        <f>IFERROR(__xludf.DUMMYFUNCTION("""COMPUTED_VALUE"""),"No")</f>
        <v>No</v>
      </c>
      <c r="I44" s="71">
        <f>IFERROR(__xludf.DUMMYFUNCTION("""COMPUTED_VALUE"""),0.0)</f>
        <v>0</v>
      </c>
      <c r="J44" s="73" t="str">
        <f>IFERROR(__xludf.DUMMYFUNCTION("""COMPUTED_VALUE"""),"https://drive.google.com/open?id=1BGZMlDUnSEgkcWuFeTdo9Q6hmkRpWqxk")</f>
        <v>https://drive.google.com/open?id=1BGZMlDUnSEgkcWuFeTdo9Q6hmkRpWqxk</v>
      </c>
      <c r="K44" s="71" t="str">
        <f>IFERROR(__xludf.DUMMYFUNCTION("""COMPUTED_VALUE"""),"2018-2022")</f>
        <v>2018-2022</v>
      </c>
      <c r="L44" s="71" t="str">
        <f>IFERROR(__xludf.DUMMYFUNCTION("""COMPUTED_VALUE"""),"S3: Student Internships")</f>
        <v>S3: Student Internships</v>
      </c>
      <c r="M44" s="71" t="str">
        <f>IFERROR(__xludf.DUMMYFUNCTION("""COMPUTED_VALUE"""),"vamsipranav9948@gmail.com")</f>
        <v>vamsipranav9948@gmail.com</v>
      </c>
      <c r="N44" s="71" t="str">
        <f>IFERROR(__xludf.DUMMYFUNCTION("""COMPUTED_VALUE"""),"SEM-7")</f>
        <v>SEM-7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</row>
    <row r="45" ht="33.0" customHeight="1">
      <c r="A45" s="71" t="str">
        <f>IFERROR(__xludf.DUMMYFUNCTION("""COMPUTED_VALUE"""),"SUBHASH VADLANA")</f>
        <v>SUBHASH VADLANA</v>
      </c>
      <c r="B45" s="71" t="str">
        <f>IFERROR(__xludf.DUMMYFUNCTION("""COMPUTED_VALUE"""),"18331A05G3")</f>
        <v>18331A05G3</v>
      </c>
      <c r="C45" s="71" t="str">
        <f>IFERROR(__xludf.DUMMYFUNCTION("""COMPUTED_VALUE"""),"Virtusa Consulting Services Pvt Ltd, India")</f>
        <v>Virtusa Consulting Services Pvt Ltd, India</v>
      </c>
      <c r="D45" s="71" t="str">
        <f>IFERROR(__xludf.DUMMYFUNCTION("""COMPUTED_VALUE"""),"3 months")</f>
        <v>3 months</v>
      </c>
      <c r="E45" s="72">
        <f>IFERROR(__xludf.DUMMYFUNCTION("""COMPUTED_VALUE"""),44547.0)</f>
        <v>44547</v>
      </c>
      <c r="F45" s="72">
        <f>IFERROR(__xludf.DUMMYFUNCTION("""COMPUTED_VALUE"""),44316.0)</f>
        <v>44316</v>
      </c>
      <c r="G45" s="71" t="str">
        <f>IFERROR(__xludf.DUMMYFUNCTION("""COMPUTED_VALUE"""),"Yes")</f>
        <v>Yes</v>
      </c>
      <c r="H45" s="71" t="str">
        <f>IFERROR(__xludf.DUMMYFUNCTION("""COMPUTED_VALUE"""),"No")</f>
        <v>No</v>
      </c>
      <c r="I45" s="71">
        <f>IFERROR(__xludf.DUMMYFUNCTION("""COMPUTED_VALUE"""),0.0)</f>
        <v>0</v>
      </c>
      <c r="J45" s="73" t="str">
        <f>IFERROR(__xludf.DUMMYFUNCTION("""COMPUTED_VALUE"""),"https://drive.google.com/open?id=1uKBfJz5WRxQys5M72Brb5OK10qcss7FK")</f>
        <v>https://drive.google.com/open?id=1uKBfJz5WRxQys5M72Brb5OK10qcss7FK</v>
      </c>
      <c r="K45" s="71" t="str">
        <f>IFERROR(__xludf.DUMMYFUNCTION("""COMPUTED_VALUE"""),"2018-2022")</f>
        <v>2018-2022</v>
      </c>
      <c r="L45" s="71" t="str">
        <f>IFERROR(__xludf.DUMMYFUNCTION("""COMPUTED_VALUE"""),"S3: Student Internships")</f>
        <v>S3: Student Internships</v>
      </c>
      <c r="M45" s="71" t="str">
        <f>IFERROR(__xludf.DUMMYFUNCTION("""COMPUTED_VALUE"""),"subhash12345696@gmail.com")</f>
        <v>subhash12345696@gmail.com</v>
      </c>
      <c r="N45" s="71" t="str">
        <f>IFERROR(__xludf.DUMMYFUNCTION("""COMPUTED_VALUE"""),"SEM-8")</f>
        <v>SEM-8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</row>
    <row r="46" ht="33.0" customHeight="1">
      <c r="A46" s="71" t="str">
        <f>IFERROR(__xludf.DUMMYFUNCTION("""COMPUTED_VALUE"""),"UMANANDAN SAGAR CHUKKA")</f>
        <v>UMANANDAN SAGAR CHUKKA</v>
      </c>
      <c r="B46" s="71" t="str">
        <f>IFERROR(__xludf.DUMMYFUNCTION("""COMPUTED_VALUE"""),"18331A05G1")</f>
        <v>18331A05G1</v>
      </c>
      <c r="C46" s="71" t="str">
        <f>IFERROR(__xludf.DUMMYFUNCTION("""COMPUTED_VALUE"""),"AICTE")</f>
        <v>AICTE</v>
      </c>
      <c r="D46" s="71" t="str">
        <f>IFERROR(__xludf.DUMMYFUNCTION("""COMPUTED_VALUE"""),"10 weeks")</f>
        <v>10 weeks</v>
      </c>
      <c r="E46" s="72">
        <f>IFERROR(__xludf.DUMMYFUNCTION("""COMPUTED_VALUE"""),44484.0)</f>
        <v>44484</v>
      </c>
      <c r="F46" s="72">
        <f>IFERROR(__xludf.DUMMYFUNCTION("""COMPUTED_VALUE"""),44920.0)</f>
        <v>44920</v>
      </c>
      <c r="G46" s="71" t="str">
        <f>IFERROR(__xludf.DUMMYFUNCTION("""COMPUTED_VALUE"""),"No")</f>
        <v>No</v>
      </c>
      <c r="H46" s="71" t="str">
        <f>IFERROR(__xludf.DUMMYFUNCTION("""COMPUTED_VALUE"""),"No")</f>
        <v>No</v>
      </c>
      <c r="I46" s="71">
        <f>IFERROR(__xludf.DUMMYFUNCTION("""COMPUTED_VALUE"""),0.0)</f>
        <v>0</v>
      </c>
      <c r="J46" s="73" t="str">
        <f>IFERROR(__xludf.DUMMYFUNCTION("""COMPUTED_VALUE"""),"https://drive.google.com/open?id=1cOOeFbzfVa259sAWKf5ChvDZd0ox5haj")</f>
        <v>https://drive.google.com/open?id=1cOOeFbzfVa259sAWKf5ChvDZd0ox5haj</v>
      </c>
      <c r="K46" s="71" t="str">
        <f>IFERROR(__xludf.DUMMYFUNCTION("""COMPUTED_VALUE"""),"2018-2022")</f>
        <v>2018-2022</v>
      </c>
      <c r="L46" s="71" t="str">
        <f>IFERROR(__xludf.DUMMYFUNCTION("""COMPUTED_VALUE"""),"S3: Student Internships")</f>
        <v>S3: Student Internships</v>
      </c>
      <c r="M46" s="71" t="str">
        <f>IFERROR(__xludf.DUMMYFUNCTION("""COMPUTED_VALUE"""),"cusagar@gmail.com")</f>
        <v>cusagar@gmail.com</v>
      </c>
      <c r="N46" s="71" t="str">
        <f>IFERROR(__xludf.DUMMYFUNCTION("""COMPUTED_VALUE"""),"SEM-8")</f>
        <v>SEM-8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</row>
    <row r="47" ht="33.0" customHeight="1">
      <c r="A47" s="71" t="str">
        <f>IFERROR(__xludf.DUMMYFUNCTION("""COMPUTED_VALUE"""),"dabbiru haneesh")</f>
        <v>dabbiru haneesh</v>
      </c>
      <c r="B47" s="71" t="str">
        <f>IFERROR(__xludf.DUMMYFUNCTION("""COMPUTED_VALUE"""),"18331A0528")</f>
        <v>18331A0528</v>
      </c>
      <c r="C47" s="71" t="str">
        <f>IFERROR(__xludf.DUMMYFUNCTION("""COMPUTED_VALUE"""),"Suvidha foundation")</f>
        <v>Suvidha foundation</v>
      </c>
      <c r="D47" s="71" t="str">
        <f>IFERROR(__xludf.DUMMYFUNCTION("""COMPUTED_VALUE"""),"2")</f>
        <v>2</v>
      </c>
      <c r="E47" s="72">
        <f>IFERROR(__xludf.DUMMYFUNCTION("""COMPUTED_VALUE"""),44348.0)</f>
        <v>44348</v>
      </c>
      <c r="F47" s="72">
        <f>IFERROR(__xludf.DUMMYFUNCTION("""COMPUTED_VALUE"""),44409.0)</f>
        <v>44409</v>
      </c>
      <c r="G47" s="71" t="str">
        <f>IFERROR(__xludf.DUMMYFUNCTION("""COMPUTED_VALUE"""),"No")</f>
        <v>No</v>
      </c>
      <c r="H47" s="71" t="str">
        <f>IFERROR(__xludf.DUMMYFUNCTION("""COMPUTED_VALUE"""),"No")</f>
        <v>No</v>
      </c>
      <c r="I47" s="71">
        <f>IFERROR(__xludf.DUMMYFUNCTION("""COMPUTED_VALUE"""),0.0)</f>
        <v>0</v>
      </c>
      <c r="J47" s="73" t="str">
        <f>IFERROR(__xludf.DUMMYFUNCTION("""COMPUTED_VALUE"""),"https://drive.google.com/open?id=1GJg-pY3JFa2WpVzh2cHEFtzk64MkRwv4")</f>
        <v>https://drive.google.com/open?id=1GJg-pY3JFa2WpVzh2cHEFtzk64MkRwv4</v>
      </c>
      <c r="K47" s="71" t="str">
        <f>IFERROR(__xludf.DUMMYFUNCTION("""COMPUTED_VALUE"""),"2018-2022")</f>
        <v>2018-2022</v>
      </c>
      <c r="L47" s="71" t="str">
        <f>IFERROR(__xludf.DUMMYFUNCTION("""COMPUTED_VALUE"""),"S3: Student Internships")</f>
        <v>S3: Student Internships</v>
      </c>
      <c r="M47" s="71" t="str">
        <f>IFERROR(__xludf.DUMMYFUNCTION("""COMPUTED_VALUE"""),"dabbiruhaneesh@gmail.com")</f>
        <v>dabbiruhaneesh@gmail.com</v>
      </c>
      <c r="N47" s="71" t="str">
        <f>IFERROR(__xludf.DUMMYFUNCTION("""COMPUTED_VALUE"""),"SEM-6")</f>
        <v>SEM-6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</row>
    <row r="48" ht="33.0" customHeight="1">
      <c r="A48" s="71" t="str">
        <f>IFERROR(__xludf.DUMMYFUNCTION("""COMPUTED_VALUE"""),"Dabbiru haneesh")</f>
        <v>Dabbiru haneesh</v>
      </c>
      <c r="B48" s="71" t="str">
        <f>IFERROR(__xludf.DUMMYFUNCTION("""COMPUTED_VALUE"""),"18331A0528")</f>
        <v>18331A0528</v>
      </c>
      <c r="C48" s="71" t="str">
        <f>IFERROR(__xludf.DUMMYFUNCTION("""COMPUTED_VALUE"""),"SPARKS FOUNDATION")</f>
        <v>SPARKS FOUNDATION</v>
      </c>
      <c r="D48" s="71" t="str">
        <f>IFERROR(__xludf.DUMMYFUNCTION("""COMPUTED_VALUE"""),"1")</f>
        <v>1</v>
      </c>
      <c r="E48" s="72">
        <f>IFERROR(__xludf.DUMMYFUNCTION("""COMPUTED_VALUE"""),44348.0)</f>
        <v>44348</v>
      </c>
      <c r="F48" s="72">
        <f>IFERROR(__xludf.DUMMYFUNCTION("""COMPUTED_VALUE"""),44378.0)</f>
        <v>44378</v>
      </c>
      <c r="G48" s="71" t="str">
        <f>IFERROR(__xludf.DUMMYFUNCTION("""COMPUTED_VALUE"""),"No")</f>
        <v>No</v>
      </c>
      <c r="H48" s="71" t="str">
        <f>IFERROR(__xludf.DUMMYFUNCTION("""COMPUTED_VALUE"""),"No")</f>
        <v>No</v>
      </c>
      <c r="I48" s="71">
        <f>IFERROR(__xludf.DUMMYFUNCTION("""COMPUTED_VALUE"""),0.0)</f>
        <v>0</v>
      </c>
      <c r="J48" s="73" t="str">
        <f>IFERROR(__xludf.DUMMYFUNCTION("""COMPUTED_VALUE"""),"https://drive.google.com/open?id=1ZdqbZz3jeUF3M_MYrqnTTtzHJAcp2G98")</f>
        <v>https://drive.google.com/open?id=1ZdqbZz3jeUF3M_MYrqnTTtzHJAcp2G98</v>
      </c>
      <c r="K48" s="71" t="str">
        <f>IFERROR(__xludf.DUMMYFUNCTION("""COMPUTED_VALUE"""),"2018-2022")</f>
        <v>2018-2022</v>
      </c>
      <c r="L48" s="71" t="str">
        <f>IFERROR(__xludf.DUMMYFUNCTION("""COMPUTED_VALUE"""),"S3: Student Internships")</f>
        <v>S3: Student Internships</v>
      </c>
      <c r="M48" s="71" t="str">
        <f>IFERROR(__xludf.DUMMYFUNCTION("""COMPUTED_VALUE"""),"dabbiruhaneesh@gmail.com")</f>
        <v>dabbiruhaneesh@gmail.com</v>
      </c>
      <c r="N48" s="71" t="str">
        <f>IFERROR(__xludf.DUMMYFUNCTION("""COMPUTED_VALUE"""),"SEM-6")</f>
        <v>SEM-6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</row>
    <row r="49" ht="33.0" customHeight="1">
      <c r="A49" s="71" t="str">
        <f>IFERROR(__xludf.DUMMYFUNCTION("""COMPUTED_VALUE"""),"ASHOK KUMAR KORNU")</f>
        <v>ASHOK KUMAR KORNU</v>
      </c>
      <c r="B49" s="71" t="str">
        <f>IFERROR(__xludf.DUMMYFUNCTION("""COMPUTED_VALUE"""),"19335A0509")</f>
        <v>19335A0509</v>
      </c>
      <c r="C49" s="71" t="str">
        <f>IFERROR(__xludf.DUMMYFUNCTION("""COMPUTED_VALUE"""),"AWS AICTE")</f>
        <v>AWS AICTE</v>
      </c>
      <c r="D49" s="71" t="str">
        <f>IFERROR(__xludf.DUMMYFUNCTION("""COMPUTED_VALUE"""),"2 Months")</f>
        <v>2 Months</v>
      </c>
      <c r="E49" s="72">
        <f>IFERROR(__xludf.DUMMYFUNCTION("""COMPUTED_VALUE"""),44477.0)</f>
        <v>44477</v>
      </c>
      <c r="F49" s="72">
        <f>IFERROR(__xludf.DUMMYFUNCTION("""COMPUTED_VALUE"""),44544.0)</f>
        <v>44544</v>
      </c>
      <c r="G49" s="71" t="str">
        <f>IFERROR(__xludf.DUMMYFUNCTION("""COMPUTED_VALUE"""),"No")</f>
        <v>No</v>
      </c>
      <c r="H49" s="71" t="str">
        <f>IFERROR(__xludf.DUMMYFUNCTION("""COMPUTED_VALUE"""),"No")</f>
        <v>No</v>
      </c>
      <c r="I49" s="71">
        <f>IFERROR(__xludf.DUMMYFUNCTION("""COMPUTED_VALUE"""),0.0)</f>
        <v>0</v>
      </c>
      <c r="J49" s="73" t="str">
        <f>IFERROR(__xludf.DUMMYFUNCTION("""COMPUTED_VALUE"""),"https://drive.google.com/open?id=1JlXIlbw3LU4pvglwII582towmfSEFhKP")</f>
        <v>https://drive.google.com/open?id=1JlXIlbw3LU4pvglwII582towmfSEFhKP</v>
      </c>
      <c r="K49" s="71" t="str">
        <f>IFERROR(__xludf.DUMMYFUNCTION("""COMPUTED_VALUE"""),"2018-2022")</f>
        <v>2018-2022</v>
      </c>
      <c r="L49" s="71" t="str">
        <f>IFERROR(__xludf.DUMMYFUNCTION("""COMPUTED_VALUE"""),"S3: Student Internships")</f>
        <v>S3: Student Internships</v>
      </c>
      <c r="M49" s="71" t="str">
        <f>IFERROR(__xludf.DUMMYFUNCTION("""COMPUTED_VALUE"""),"ashokkumarkornu2000@gmail.com")</f>
        <v>ashokkumarkornu2000@gmail.com</v>
      </c>
      <c r="N49" s="71" t="str">
        <f>IFERROR(__xludf.DUMMYFUNCTION("""COMPUTED_VALUE"""),"SEM-7")</f>
        <v>SEM-7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</row>
    <row r="50" ht="33.0" customHeight="1">
      <c r="A50" s="71" t="str">
        <f>IFERROR(__xludf.DUMMYFUNCTION("""COMPUTED_VALUE"""),"Yegireddi sharmila")</f>
        <v>Yegireddi sharmila</v>
      </c>
      <c r="B50" s="71" t="str">
        <f>IFERROR(__xludf.DUMMYFUNCTION("""COMPUTED_VALUE"""),"19335A0519")</f>
        <v>19335A0519</v>
      </c>
      <c r="C50" s="71" t="str">
        <f>IFERROR(__xludf.DUMMYFUNCTION("""COMPUTED_VALUE"""),"Amazon aws acadamy")</f>
        <v>Amazon aws acadamy</v>
      </c>
      <c r="D50" s="71" t="str">
        <f>IFERROR(__xludf.DUMMYFUNCTION("""COMPUTED_VALUE"""),"2months")</f>
        <v>2months</v>
      </c>
      <c r="E50" s="72">
        <f>IFERROR(__xludf.DUMMYFUNCTION("""COMPUTED_VALUE"""),44490.0)</f>
        <v>44490</v>
      </c>
      <c r="F50" s="72">
        <f>IFERROR(__xludf.DUMMYFUNCTION("""COMPUTED_VALUE"""),44551.0)</f>
        <v>44551</v>
      </c>
      <c r="G50" s="71" t="str">
        <f>IFERROR(__xludf.DUMMYFUNCTION("""COMPUTED_VALUE"""),"No")</f>
        <v>No</v>
      </c>
      <c r="H50" s="71" t="str">
        <f>IFERROR(__xludf.DUMMYFUNCTION("""COMPUTED_VALUE"""),"No")</f>
        <v>No</v>
      </c>
      <c r="I50" s="71">
        <f>IFERROR(__xludf.DUMMYFUNCTION("""COMPUTED_VALUE"""),0.0)</f>
        <v>0</v>
      </c>
      <c r="J50" s="73" t="str">
        <f>IFERROR(__xludf.DUMMYFUNCTION("""COMPUTED_VALUE"""),"https://drive.google.com/open?id=1lEpwiKvCdwRIeNr-XYFINLTXzsZygfTe")</f>
        <v>https://drive.google.com/open?id=1lEpwiKvCdwRIeNr-XYFINLTXzsZygfTe</v>
      </c>
      <c r="K50" s="71" t="str">
        <f>IFERROR(__xludf.DUMMYFUNCTION("""COMPUTED_VALUE"""),"2018-2022")</f>
        <v>2018-2022</v>
      </c>
      <c r="L50" s="71" t="str">
        <f>IFERROR(__xludf.DUMMYFUNCTION("""COMPUTED_VALUE"""),"S3: Student Internships")</f>
        <v>S3: Student Internships</v>
      </c>
      <c r="M50" s="71" t="str">
        <f>IFERROR(__xludf.DUMMYFUNCTION("""COMPUTED_VALUE"""),"sharmilayegireddi@gmail.com")</f>
        <v>sharmilayegireddi@gmail.com</v>
      </c>
      <c r="N50" s="71" t="str">
        <f>IFERROR(__xludf.DUMMYFUNCTION("""COMPUTED_VALUE"""),"SEM-8")</f>
        <v>SEM-8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</row>
    <row r="51" ht="33.0" customHeight="1">
      <c r="A51" s="71" t="str">
        <f>IFERROR(__xludf.DUMMYFUNCTION("""COMPUTED_VALUE"""),"Gummaluri A V L Sri Lekha")</f>
        <v>Gummaluri A V L Sri Lekha</v>
      </c>
      <c r="B51" s="71" t="str">
        <f>IFERROR(__xludf.DUMMYFUNCTION("""COMPUTED_VALUE"""),"18331A0555")</f>
        <v>18331A0555</v>
      </c>
      <c r="C51" s="71" t="str">
        <f>IFERROR(__xludf.DUMMYFUNCTION("""COMPUTED_VALUE"""),"Stumagz")</f>
        <v>Stumagz</v>
      </c>
      <c r="D51" s="71" t="str">
        <f>IFERROR(__xludf.DUMMYFUNCTION("""COMPUTED_VALUE"""),"50days")</f>
        <v>50days</v>
      </c>
      <c r="E51" s="72">
        <f>IFERROR(__xludf.DUMMYFUNCTION("""COMPUTED_VALUE"""),43992.0)</f>
        <v>43992</v>
      </c>
      <c r="F51" s="72">
        <f>IFERROR(__xludf.DUMMYFUNCTION("""COMPUTED_VALUE"""),44042.0)</f>
        <v>44042</v>
      </c>
      <c r="G51" s="71" t="str">
        <f>IFERROR(__xludf.DUMMYFUNCTION("""COMPUTED_VALUE"""),"No")</f>
        <v>No</v>
      </c>
      <c r="H51" s="71" t="str">
        <f>IFERROR(__xludf.DUMMYFUNCTION("""COMPUTED_VALUE"""),"No")</f>
        <v>No</v>
      </c>
      <c r="I51" s="71">
        <f>IFERROR(__xludf.DUMMYFUNCTION("""COMPUTED_VALUE"""),0.0)</f>
        <v>0</v>
      </c>
      <c r="J51" s="73" t="str">
        <f>IFERROR(__xludf.DUMMYFUNCTION("""COMPUTED_VALUE"""),"https://drive.google.com/open?id=17IrdOrM5riUDlK7k5Np6O4fQSFI_YiLU")</f>
        <v>https://drive.google.com/open?id=17IrdOrM5riUDlK7k5Np6O4fQSFI_YiLU</v>
      </c>
      <c r="K51" s="71" t="str">
        <f>IFERROR(__xludf.DUMMYFUNCTION("""COMPUTED_VALUE"""),"2018-2022")</f>
        <v>2018-2022</v>
      </c>
      <c r="L51" s="71" t="str">
        <f>IFERROR(__xludf.DUMMYFUNCTION("""COMPUTED_VALUE"""),"S3: Student Internships")</f>
        <v>S3: Student Internships</v>
      </c>
      <c r="M51" s="71" t="str">
        <f>IFERROR(__xludf.DUMMYFUNCTION("""COMPUTED_VALUE"""),"lekhasree1430@gmail.com")</f>
        <v>lekhasree1430@gmail.com</v>
      </c>
      <c r="N51" s="71" t="str">
        <f>IFERROR(__xludf.DUMMYFUNCTION("""COMPUTED_VALUE"""),"SEM-8")</f>
        <v>SEM-8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</row>
    <row r="52" ht="33.0" customHeight="1">
      <c r="A52" s="71" t="str">
        <f>IFERROR(__xludf.DUMMYFUNCTION("""COMPUTED_VALUE"""),"Chitikana Spandana ")</f>
        <v>Chitikana Spandana </v>
      </c>
      <c r="B52" s="71" t="str">
        <f>IFERROR(__xludf.DUMMYFUNCTION("""COMPUTED_VALUE"""),"18331A0527")</f>
        <v>18331A0527</v>
      </c>
      <c r="C52" s="71" t="str">
        <f>IFERROR(__xludf.DUMMYFUNCTION("""COMPUTED_VALUE"""),"Virtusa")</f>
        <v>Virtusa</v>
      </c>
      <c r="D52" s="71" t="str">
        <f>IFERROR(__xludf.DUMMYFUNCTION("""COMPUTED_VALUE"""),"3months")</f>
        <v>3months</v>
      </c>
      <c r="E52" s="72">
        <f>IFERROR(__xludf.DUMMYFUNCTION("""COMPUTED_VALUE"""),44547.0)</f>
        <v>44547</v>
      </c>
      <c r="F52" s="72">
        <f>IFERROR(__xludf.DUMMYFUNCTION("""COMPUTED_VALUE"""),44651.0)</f>
        <v>44651</v>
      </c>
      <c r="G52" s="71" t="str">
        <f>IFERROR(__xludf.DUMMYFUNCTION("""COMPUTED_VALUE"""),"Yes")</f>
        <v>Yes</v>
      </c>
      <c r="H52" s="71" t="str">
        <f>IFERROR(__xludf.DUMMYFUNCTION("""COMPUTED_VALUE"""),"No")</f>
        <v>No</v>
      </c>
      <c r="I52" s="71">
        <f>IFERROR(__xludf.DUMMYFUNCTION("""COMPUTED_VALUE"""),0.0)</f>
        <v>0</v>
      </c>
      <c r="J52" s="73" t="str">
        <f>IFERROR(__xludf.DUMMYFUNCTION("""COMPUTED_VALUE"""),"https://drive.google.com/open?id=1wwqvYj7G8Hq9WXoUmmD6Idk6NYqHxAoX")</f>
        <v>https://drive.google.com/open?id=1wwqvYj7G8Hq9WXoUmmD6Idk6NYqHxAoX</v>
      </c>
      <c r="K52" s="71" t="str">
        <f>IFERROR(__xludf.DUMMYFUNCTION("""COMPUTED_VALUE"""),"2018-2022")</f>
        <v>2018-2022</v>
      </c>
      <c r="L52" s="71" t="str">
        <f>IFERROR(__xludf.DUMMYFUNCTION("""COMPUTED_VALUE"""),"S3: Student Internships")</f>
        <v>S3: Student Internships</v>
      </c>
      <c r="M52" s="71" t="str">
        <f>IFERROR(__xludf.DUMMYFUNCTION("""COMPUTED_VALUE"""),"spandana1009@gmail.com")</f>
        <v>spandana1009@gmail.com</v>
      </c>
      <c r="N52" s="71" t="str">
        <f>IFERROR(__xludf.DUMMYFUNCTION("""COMPUTED_VALUE"""),"SEM-8")</f>
        <v>SEM-8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</row>
    <row r="53" ht="33.0" customHeight="1">
      <c r="A53" s="71" t="str">
        <f>IFERROR(__xludf.DUMMYFUNCTION("""COMPUTED_VALUE"""),"GANTA MOUNIKA")</f>
        <v>GANTA MOUNIKA</v>
      </c>
      <c r="B53" s="71" t="str">
        <f>IFERROR(__xludf.DUMMYFUNCTION("""COMPUTED_VALUE"""),"183331A0543")</f>
        <v>183331A0543</v>
      </c>
      <c r="C53" s="71" t="str">
        <f>IFERROR(__xludf.DUMMYFUNCTION("""COMPUTED_VALUE"""),"GoalStreet")</f>
        <v>GoalStreet</v>
      </c>
      <c r="D53" s="71" t="str">
        <f>IFERROR(__xludf.DUMMYFUNCTION("""COMPUTED_VALUE"""),"2 months")</f>
        <v>2 months</v>
      </c>
      <c r="E53" s="72">
        <f>IFERROR(__xludf.DUMMYFUNCTION("""COMPUTED_VALUE"""),44068.0)</f>
        <v>44068</v>
      </c>
      <c r="F53" s="72">
        <f>IFERROR(__xludf.DUMMYFUNCTION("""COMPUTED_VALUE"""),44129.0)</f>
        <v>44129</v>
      </c>
      <c r="G53" s="71" t="str">
        <f>IFERROR(__xludf.DUMMYFUNCTION("""COMPUTED_VALUE"""),"No")</f>
        <v>No</v>
      </c>
      <c r="H53" s="71" t="str">
        <f>IFERROR(__xludf.DUMMYFUNCTION("""COMPUTED_VALUE"""),"Yes")</f>
        <v>Yes</v>
      </c>
      <c r="I53" s="71">
        <f>IFERROR(__xludf.DUMMYFUNCTION("""COMPUTED_VALUE"""),2000.0)</f>
        <v>2000</v>
      </c>
      <c r="J53" s="73" t="str">
        <f>IFERROR(__xludf.DUMMYFUNCTION("""COMPUTED_VALUE"""),"https://drive.google.com/open?id=1ZeIF1osrfps_pQKFLERPH1SofXyLhKVp")</f>
        <v>https://drive.google.com/open?id=1ZeIF1osrfps_pQKFLERPH1SofXyLhKVp</v>
      </c>
      <c r="K53" s="71" t="str">
        <f>IFERROR(__xludf.DUMMYFUNCTION("""COMPUTED_VALUE"""),"2018-2022")</f>
        <v>2018-2022</v>
      </c>
      <c r="L53" s="71" t="str">
        <f>IFERROR(__xludf.DUMMYFUNCTION("""COMPUTED_VALUE"""),"S3: Student Internships")</f>
        <v>S3: Student Internships</v>
      </c>
      <c r="M53" s="71" t="str">
        <f>IFERROR(__xludf.DUMMYFUNCTION("""COMPUTED_VALUE"""),"mounikaganta2001@gmail.com")</f>
        <v>mounikaganta2001@gmail.com</v>
      </c>
      <c r="N53" s="71" t="str">
        <f>IFERROR(__xludf.DUMMYFUNCTION("""COMPUTED_VALUE"""),"SEM-8")</f>
        <v>SEM-8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</row>
    <row r="54" ht="33.0" customHeight="1">
      <c r="A54" s="71" t="str">
        <f>IFERROR(__xludf.DUMMYFUNCTION("""COMPUTED_VALUE"""),"Sathwick Sadanala ")</f>
        <v>Sathwick Sadanala </v>
      </c>
      <c r="B54" s="71" t="str">
        <f>IFERROR(__xludf.DUMMYFUNCTION("""COMPUTED_VALUE"""),"18331A05C6 ")</f>
        <v>18331A05C6 </v>
      </c>
      <c r="C54" s="71" t="str">
        <f>IFERROR(__xludf.DUMMYFUNCTION("""COMPUTED_VALUE"""),"AWS(Amazon)")</f>
        <v>AWS(Amazon)</v>
      </c>
      <c r="D54" s="71" t="str">
        <f>IFERROR(__xludf.DUMMYFUNCTION("""COMPUTED_VALUE"""),"10weeks")</f>
        <v>10weeks</v>
      </c>
      <c r="E54" s="72">
        <f>IFERROR(__xludf.DUMMYFUNCTION("""COMPUTED_VALUE"""),44470.0)</f>
        <v>44470</v>
      </c>
      <c r="F54" s="72">
        <f>IFERROR(__xludf.DUMMYFUNCTION("""COMPUTED_VALUE"""),44561.0)</f>
        <v>44561</v>
      </c>
      <c r="G54" s="71" t="str">
        <f>IFERROR(__xludf.DUMMYFUNCTION("""COMPUTED_VALUE"""),"No")</f>
        <v>No</v>
      </c>
      <c r="H54" s="71" t="str">
        <f>IFERROR(__xludf.DUMMYFUNCTION("""COMPUTED_VALUE"""),"No")</f>
        <v>No</v>
      </c>
      <c r="I54" s="71">
        <f>IFERROR(__xludf.DUMMYFUNCTION("""COMPUTED_VALUE"""),0.0)</f>
        <v>0</v>
      </c>
      <c r="J54" s="73" t="str">
        <f>IFERROR(__xludf.DUMMYFUNCTION("""COMPUTED_VALUE"""),"https://drive.google.com/open?id=1XYSKZ49HqIeghBbtItkh5MlLKQtpA4P9")</f>
        <v>https://drive.google.com/open?id=1XYSKZ49HqIeghBbtItkh5MlLKQtpA4P9</v>
      </c>
      <c r="K54" s="71" t="str">
        <f>IFERROR(__xludf.DUMMYFUNCTION("""COMPUTED_VALUE"""),"2018-2022")</f>
        <v>2018-2022</v>
      </c>
      <c r="L54" s="71" t="str">
        <f>IFERROR(__xludf.DUMMYFUNCTION("""COMPUTED_VALUE"""),"S3: Student Internships")</f>
        <v>S3: Student Internships</v>
      </c>
      <c r="M54" s="71" t="str">
        <f>IFERROR(__xludf.DUMMYFUNCTION("""COMPUTED_VALUE"""),"sadanalasathwick@gmail.com")</f>
        <v>sadanalasathwick@gmail.com</v>
      </c>
      <c r="N54" s="71" t="str">
        <f>IFERROR(__xludf.DUMMYFUNCTION("""COMPUTED_VALUE"""),"SEM-6")</f>
        <v>SEM-6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</row>
    <row r="55" ht="33.0" customHeight="1">
      <c r="A55" s="71" t="str">
        <f>IFERROR(__xludf.DUMMYFUNCTION("""COMPUTED_VALUE"""),"AKASAPU HEMANTH KUMAR ")</f>
        <v>AKASAPU HEMANTH KUMAR </v>
      </c>
      <c r="B55" s="71" t="str">
        <f>IFERROR(__xludf.DUMMYFUNCTION("""COMPUTED_VALUE"""),"18331A0502 ")</f>
        <v>18331A0502 </v>
      </c>
      <c r="C55" s="71" t="str">
        <f>IFERROR(__xludf.DUMMYFUNCTION("""COMPUTED_VALUE"""),"AICTE")</f>
        <v>AICTE</v>
      </c>
      <c r="D55" s="71" t="str">
        <f>IFERROR(__xludf.DUMMYFUNCTION("""COMPUTED_VALUE"""),"10 weeks")</f>
        <v>10 weeks</v>
      </c>
      <c r="E55" s="72">
        <f>IFERROR(__xludf.DUMMYFUNCTION("""COMPUTED_VALUE"""),44470.0)</f>
        <v>44470</v>
      </c>
      <c r="F55" s="72">
        <f>IFERROR(__xludf.DUMMYFUNCTION("""COMPUTED_VALUE"""),44561.0)</f>
        <v>44561</v>
      </c>
      <c r="G55" s="71" t="str">
        <f>IFERROR(__xludf.DUMMYFUNCTION("""COMPUTED_VALUE"""),"No")</f>
        <v>No</v>
      </c>
      <c r="H55" s="71" t="str">
        <f>IFERROR(__xludf.DUMMYFUNCTION("""COMPUTED_VALUE"""),"No")</f>
        <v>No</v>
      </c>
      <c r="I55" s="71">
        <f>IFERROR(__xludf.DUMMYFUNCTION("""COMPUTED_VALUE"""),0.0)</f>
        <v>0</v>
      </c>
      <c r="J55" s="73" t="str">
        <f>IFERROR(__xludf.DUMMYFUNCTION("""COMPUTED_VALUE"""),"https://drive.google.com/open?id=1EmvpTa5j_6na-7NvTE7ZmRtnvUJ1ecxS")</f>
        <v>https://drive.google.com/open?id=1EmvpTa5j_6na-7NvTE7ZmRtnvUJ1ecxS</v>
      </c>
      <c r="K55" s="71" t="str">
        <f>IFERROR(__xludf.DUMMYFUNCTION("""COMPUTED_VALUE"""),"2018-2022")</f>
        <v>2018-2022</v>
      </c>
      <c r="L55" s="71" t="str">
        <f>IFERROR(__xludf.DUMMYFUNCTION("""COMPUTED_VALUE"""),"S3: Student Internships")</f>
        <v>S3: Student Internships</v>
      </c>
      <c r="M55" s="71" t="str">
        <f>IFERROR(__xludf.DUMMYFUNCTION("""COMPUTED_VALUE"""),"akasapuhemanthkumar@gmail.com")</f>
        <v>akasapuhemanthkumar@gmail.com</v>
      </c>
      <c r="N55" s="71" t="str">
        <f>IFERROR(__xludf.DUMMYFUNCTION("""COMPUTED_VALUE"""),"SEM-7")</f>
        <v>SEM-7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</row>
    <row r="56" ht="33.0" customHeight="1">
      <c r="A56" s="71" t="str">
        <f>IFERROR(__xludf.DUMMYFUNCTION("""COMPUTED_VALUE"""),"Srihita Gottimukkala")</f>
        <v>Srihita Gottimukkala</v>
      </c>
      <c r="B56" s="71" t="str">
        <f>IFERROR(__xludf.DUMMYFUNCTION("""COMPUTED_VALUE"""),"18331A0551")</f>
        <v>18331A0551</v>
      </c>
      <c r="C56" s="71" t="str">
        <f>IFERROR(__xludf.DUMMYFUNCTION("""COMPUTED_VALUE"""),"AWS Cloud virtual internship -AICTE")</f>
        <v>AWS Cloud virtual internship -AICTE</v>
      </c>
      <c r="D56" s="71" t="str">
        <f>IFERROR(__xludf.DUMMYFUNCTION("""COMPUTED_VALUE"""),"2 months")</f>
        <v>2 months</v>
      </c>
      <c r="E56" s="72">
        <f>IFERROR(__xludf.DUMMYFUNCTION("""COMPUTED_VALUE"""),44470.0)</f>
        <v>44470</v>
      </c>
      <c r="F56" s="72">
        <f>IFERROR(__xludf.DUMMYFUNCTION("""COMPUTED_VALUE"""),44531.0)</f>
        <v>44531</v>
      </c>
      <c r="G56" s="71" t="str">
        <f>IFERROR(__xludf.DUMMYFUNCTION("""COMPUTED_VALUE"""),"No")</f>
        <v>No</v>
      </c>
      <c r="H56" s="71" t="str">
        <f>IFERROR(__xludf.DUMMYFUNCTION("""COMPUTED_VALUE"""),"No")</f>
        <v>No</v>
      </c>
      <c r="I56" s="71">
        <f>IFERROR(__xludf.DUMMYFUNCTION("""COMPUTED_VALUE"""),0.0)</f>
        <v>0</v>
      </c>
      <c r="J56" s="73" t="str">
        <f>IFERROR(__xludf.DUMMYFUNCTION("""COMPUTED_VALUE"""),"https://drive.google.com/open?id=1MlxCiiHa-jCKLhW0mp25BWHjk-pxLFWX")</f>
        <v>https://drive.google.com/open?id=1MlxCiiHa-jCKLhW0mp25BWHjk-pxLFWX</v>
      </c>
      <c r="K56" s="71" t="str">
        <f>IFERROR(__xludf.DUMMYFUNCTION("""COMPUTED_VALUE"""),"2018-2022")</f>
        <v>2018-2022</v>
      </c>
      <c r="L56" s="71" t="str">
        <f>IFERROR(__xludf.DUMMYFUNCTION("""COMPUTED_VALUE"""),"S3: Student Internships")</f>
        <v>S3: Student Internships</v>
      </c>
      <c r="M56" s="71" t="str">
        <f>IFERROR(__xludf.DUMMYFUNCTION("""COMPUTED_VALUE"""),"shrivarma29@gmail.com")</f>
        <v>shrivarma29@gmail.com</v>
      </c>
      <c r="N56" s="71" t="str">
        <f>IFERROR(__xludf.DUMMYFUNCTION("""COMPUTED_VALUE"""),"SEM-8")</f>
        <v>SEM-8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</row>
    <row r="57" ht="33.0" customHeight="1">
      <c r="A57" s="71" t="str">
        <f>IFERROR(__xludf.DUMMYFUNCTION("""COMPUTED_VALUE"""),"AKASAPU HEMANTH KUMAR")</f>
        <v>AKASAPU HEMANTH KUMAR</v>
      </c>
      <c r="B57" s="71" t="str">
        <f>IFERROR(__xludf.DUMMYFUNCTION("""COMPUTED_VALUE"""),"18331A0502 ")</f>
        <v>18331A0502 </v>
      </c>
      <c r="C57" s="71" t="str">
        <f>IFERROR(__xludf.DUMMYFUNCTION("""COMPUTED_VALUE"""),"Mindtree")</f>
        <v>Mindtree</v>
      </c>
      <c r="D57" s="71" t="str">
        <f>IFERROR(__xludf.DUMMYFUNCTION("""COMPUTED_VALUE"""),"3 months")</f>
        <v>3 months</v>
      </c>
      <c r="E57" s="72">
        <f>IFERROR(__xludf.DUMMYFUNCTION("""COMPUTED_VALUE"""),44621.0)</f>
        <v>44621</v>
      </c>
      <c r="F57" s="72">
        <f>IFERROR(__xludf.DUMMYFUNCTION("""COMPUTED_VALUE"""),44696.0)</f>
        <v>44696</v>
      </c>
      <c r="G57" s="71" t="str">
        <f>IFERROR(__xludf.DUMMYFUNCTION("""COMPUTED_VALUE"""),"Yes")</f>
        <v>Yes</v>
      </c>
      <c r="H57" s="71" t="str">
        <f>IFERROR(__xludf.DUMMYFUNCTION("""COMPUTED_VALUE"""),"No")</f>
        <v>No</v>
      </c>
      <c r="I57" s="71">
        <f>IFERROR(__xludf.DUMMYFUNCTION("""COMPUTED_VALUE"""),0.0)</f>
        <v>0</v>
      </c>
      <c r="J57" s="73" t="str">
        <f>IFERROR(__xludf.DUMMYFUNCTION("""COMPUTED_VALUE"""),"https://drive.google.com/open?id=1Qkly311R7TArLslRUrk4QxzeuF6u8THT")</f>
        <v>https://drive.google.com/open?id=1Qkly311R7TArLslRUrk4QxzeuF6u8THT</v>
      </c>
      <c r="K57" s="71" t="str">
        <f>IFERROR(__xludf.DUMMYFUNCTION("""COMPUTED_VALUE"""),"2018-2022")</f>
        <v>2018-2022</v>
      </c>
      <c r="L57" s="71" t="str">
        <f>IFERROR(__xludf.DUMMYFUNCTION("""COMPUTED_VALUE"""),"S3: Student Internships")</f>
        <v>S3: Student Internships</v>
      </c>
      <c r="M57" s="71" t="str">
        <f>IFERROR(__xludf.DUMMYFUNCTION("""COMPUTED_VALUE"""),"akasapuhemanthkumar@gmail.com")</f>
        <v>akasapuhemanthkumar@gmail.com</v>
      </c>
      <c r="N57" s="71" t="str">
        <f>IFERROR(__xludf.DUMMYFUNCTION("""COMPUTED_VALUE"""),"SEM-8")</f>
        <v>SEM-8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</row>
    <row r="58" ht="33.0" customHeight="1">
      <c r="A58" s="75" t="str">
        <f>IFERROR(__xludf.DUMMYFUNCTION("""COMPUTED_VALUE"""),"Sathwick Sadanala ")</f>
        <v>Sathwick Sadanala </v>
      </c>
      <c r="B58" s="75" t="str">
        <f>IFERROR(__xludf.DUMMYFUNCTION("""COMPUTED_VALUE"""),"18331A05C6 ")</f>
        <v>18331A05C6 </v>
      </c>
      <c r="C58" s="75" t="str">
        <f>IFERROR(__xludf.DUMMYFUNCTION("""COMPUTED_VALUE"""),"Capgemini")</f>
        <v>Capgemini</v>
      </c>
      <c r="D58" s="75" t="str">
        <f>IFERROR(__xludf.DUMMYFUNCTION("""COMPUTED_VALUE"""),"3months")</f>
        <v>3months</v>
      </c>
      <c r="E58" s="76">
        <f>IFERROR(__xludf.DUMMYFUNCTION("""COMPUTED_VALUE"""),44622.0)</f>
        <v>44622</v>
      </c>
      <c r="F58" s="76">
        <f>IFERROR(__xludf.DUMMYFUNCTION("""COMPUTED_VALUE"""),44721.0)</f>
        <v>44721</v>
      </c>
      <c r="G58" s="75" t="str">
        <f>IFERROR(__xludf.DUMMYFUNCTION("""COMPUTED_VALUE"""),"No")</f>
        <v>No</v>
      </c>
      <c r="H58" s="75" t="str">
        <f>IFERROR(__xludf.DUMMYFUNCTION("""COMPUTED_VALUE"""),"No")</f>
        <v>No</v>
      </c>
      <c r="I58" s="75">
        <f>IFERROR(__xludf.DUMMYFUNCTION("""COMPUTED_VALUE"""),0.0)</f>
        <v>0</v>
      </c>
      <c r="J58" s="77" t="str">
        <f>IFERROR(__xludf.DUMMYFUNCTION("""COMPUTED_VALUE"""),"https://drive.google.com/open?id=1OtmRwww0kHx5VNyzxRZUw9VdnrJnpqf0")</f>
        <v>https://drive.google.com/open?id=1OtmRwww0kHx5VNyzxRZUw9VdnrJnpqf0</v>
      </c>
      <c r="K58" s="75" t="str">
        <f>IFERROR(__xludf.DUMMYFUNCTION("""COMPUTED_VALUE"""),"2018-2022")</f>
        <v>2018-2022</v>
      </c>
      <c r="L58" s="75" t="str">
        <f>IFERROR(__xludf.DUMMYFUNCTION("""COMPUTED_VALUE"""),"S3: Student Internships")</f>
        <v>S3: Student Internships</v>
      </c>
      <c r="M58" s="75" t="str">
        <f>IFERROR(__xludf.DUMMYFUNCTION("""COMPUTED_VALUE"""),"sadanalasathwick@gmail.com")</f>
        <v>sadanalasathwick@gmail.com</v>
      </c>
      <c r="N58" s="75" t="str">
        <f>IFERROR(__xludf.DUMMYFUNCTION("""COMPUTED_VALUE"""),"SEM-8")</f>
        <v>SEM-8</v>
      </c>
      <c r="O58" s="78"/>
      <c r="P58" s="78"/>
      <c r="Q58" s="78"/>
      <c r="R58" s="78"/>
      <c r="S58" s="78"/>
      <c r="T58" s="78"/>
      <c r="U58" s="78"/>
      <c r="V58" s="78"/>
      <c r="W58" s="78"/>
      <c r="X58" s="78"/>
    </row>
    <row r="59" ht="33.0" customHeight="1">
      <c r="A59" s="71" t="str">
        <f>IFERROR(__xludf.DUMMYFUNCTION("""COMPUTED_VALUE"""),"MEESALA UPENDRA VENKATA AKHIL ")</f>
        <v>MEESALA UPENDRA VENKATA AKHIL </v>
      </c>
      <c r="B59" s="71" t="str">
        <f>IFERROR(__xludf.DUMMYFUNCTION("""COMPUTED_VALUE"""),"18331A0597")</f>
        <v>18331A0597</v>
      </c>
      <c r="C59" s="71" t="str">
        <f>IFERROR(__xludf.DUMMYFUNCTION("""COMPUTED_VALUE"""),"Aws AICTE")</f>
        <v>Aws AICTE</v>
      </c>
      <c r="D59" s="71" t="str">
        <f>IFERROR(__xludf.DUMMYFUNCTION("""COMPUTED_VALUE"""),"10 weeks ")</f>
        <v>10 weeks </v>
      </c>
      <c r="E59" s="72">
        <f>IFERROR(__xludf.DUMMYFUNCTION("""COMPUTED_VALUE"""),44418.0)</f>
        <v>44418</v>
      </c>
      <c r="F59" s="72">
        <f>IFERROR(__xludf.DUMMYFUNCTION("""COMPUTED_VALUE"""),44544.0)</f>
        <v>44544</v>
      </c>
      <c r="G59" s="71" t="str">
        <f>IFERROR(__xludf.DUMMYFUNCTION("""COMPUTED_VALUE"""),"No")</f>
        <v>No</v>
      </c>
      <c r="H59" s="71" t="str">
        <f>IFERROR(__xludf.DUMMYFUNCTION("""COMPUTED_VALUE"""),"No")</f>
        <v>No</v>
      </c>
      <c r="I59" s="71">
        <f>IFERROR(__xludf.DUMMYFUNCTION("""COMPUTED_VALUE"""),0.0)</f>
        <v>0</v>
      </c>
      <c r="J59" s="73" t="str">
        <f>IFERROR(__xludf.DUMMYFUNCTION("""COMPUTED_VALUE"""),"https://drive.google.com/open?id=1C_pOOqVb4BweyXOmoWqjvKoBG_jRZya9")</f>
        <v>https://drive.google.com/open?id=1C_pOOqVb4BweyXOmoWqjvKoBG_jRZya9</v>
      </c>
      <c r="K59" s="71" t="str">
        <f>IFERROR(__xludf.DUMMYFUNCTION("""COMPUTED_VALUE"""),"2018-2022")</f>
        <v>2018-2022</v>
      </c>
      <c r="L59" s="71" t="str">
        <f>IFERROR(__xludf.DUMMYFUNCTION("""COMPUTED_VALUE"""),"S3: Student Internships")</f>
        <v>S3: Student Internships</v>
      </c>
      <c r="M59" s="71" t="str">
        <f>IFERROR(__xludf.DUMMYFUNCTION("""COMPUTED_VALUE"""),"meesalaakhil2000@gmail.com")</f>
        <v>meesalaakhil2000@gmail.com</v>
      </c>
      <c r="N59" s="71" t="str">
        <f>IFERROR(__xludf.DUMMYFUNCTION("""COMPUTED_VALUE"""),"SEM-7")</f>
        <v>SEM-7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</row>
    <row r="60" ht="33.0" customHeight="1">
      <c r="A60" s="71" t="str">
        <f>IFERROR(__xludf.DUMMYFUNCTION("""COMPUTED_VALUE"""),"Alluri Vishnu Vardhan Varma ")</f>
        <v>Alluri Vishnu Vardhan Varma </v>
      </c>
      <c r="B60" s="71" t="str">
        <f>IFERROR(__xludf.DUMMYFUNCTION("""COMPUTED_VALUE"""),"18331A0504")</f>
        <v>18331A0504</v>
      </c>
      <c r="C60" s="71" t="str">
        <f>IFERROR(__xludf.DUMMYFUNCTION("""COMPUTED_VALUE"""),"Verzeo")</f>
        <v>Verzeo</v>
      </c>
      <c r="D60" s="71" t="str">
        <f>IFERROR(__xludf.DUMMYFUNCTION("""COMPUTED_VALUE"""),"3 months")</f>
        <v>3 months</v>
      </c>
      <c r="E60" s="72">
        <f>IFERROR(__xludf.DUMMYFUNCTION("""COMPUTED_VALUE"""),44075.0)</f>
        <v>44075</v>
      </c>
      <c r="F60" s="72">
        <f>IFERROR(__xludf.DUMMYFUNCTION("""COMPUTED_VALUE"""),44136.0)</f>
        <v>44136</v>
      </c>
      <c r="G60" s="71" t="str">
        <f>IFERROR(__xludf.DUMMYFUNCTION("""COMPUTED_VALUE"""),"No")</f>
        <v>No</v>
      </c>
      <c r="H60" s="71" t="str">
        <f>IFERROR(__xludf.DUMMYFUNCTION("""COMPUTED_VALUE"""),"Yes")</f>
        <v>Yes</v>
      </c>
      <c r="I60" s="71">
        <f>IFERROR(__xludf.DUMMYFUNCTION("""COMPUTED_VALUE"""),5000.0)</f>
        <v>5000</v>
      </c>
      <c r="J60" s="73" t="str">
        <f>IFERROR(__xludf.DUMMYFUNCTION("""COMPUTED_VALUE"""),"https://drive.google.com/open?id=1jMO4xex9aLpQ4Gd4CThhIclPonr9dDQn")</f>
        <v>https://drive.google.com/open?id=1jMO4xex9aLpQ4Gd4CThhIclPonr9dDQn</v>
      </c>
      <c r="K60" s="71" t="str">
        <f>IFERROR(__xludf.DUMMYFUNCTION("""COMPUTED_VALUE"""),"2018-2022")</f>
        <v>2018-2022</v>
      </c>
      <c r="L60" s="71" t="str">
        <f>IFERROR(__xludf.DUMMYFUNCTION("""COMPUTED_VALUE"""),"S3: Student Internships")</f>
        <v>S3: Student Internships</v>
      </c>
      <c r="M60" s="71" t="str">
        <f>IFERROR(__xludf.DUMMYFUNCTION("""COMPUTED_VALUE"""),"vvvarma2001@gmail.com")</f>
        <v>vvvarma2001@gmail.com</v>
      </c>
      <c r="N60" s="71" t="str">
        <f>IFERROR(__xludf.DUMMYFUNCTION("""COMPUTED_VALUE"""),"SEM-8")</f>
        <v>SEM-8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</row>
    <row r="61" ht="33.0" customHeight="1">
      <c r="A61" s="71" t="str">
        <f>IFERROR(__xludf.DUMMYFUNCTION("""COMPUTED_VALUE"""),"VADLAPUDI DHEERAJ KUMAR ")</f>
        <v>VADLAPUDI DHEERAJ KUMAR </v>
      </c>
      <c r="B61" s="71" t="str">
        <f>IFERROR(__xludf.DUMMYFUNCTION("""COMPUTED_VALUE"""),"18331A05G4")</f>
        <v>18331A05G4</v>
      </c>
      <c r="C61" s="71" t="str">
        <f>IFERROR(__xludf.DUMMYFUNCTION("""COMPUTED_VALUE"""),"AMAZON")</f>
        <v>AMAZON</v>
      </c>
      <c r="D61" s="71" t="str">
        <f>IFERROR(__xludf.DUMMYFUNCTION("""COMPUTED_VALUE"""),"10 weeks")</f>
        <v>10 weeks</v>
      </c>
      <c r="E61" s="72">
        <f>IFERROR(__xludf.DUMMYFUNCTION("""COMPUTED_VALUE"""),44473.0)</f>
        <v>44473</v>
      </c>
      <c r="F61" s="72">
        <f>IFERROR(__xludf.DUMMYFUNCTION("""COMPUTED_VALUE"""),44561.0)</f>
        <v>44561</v>
      </c>
      <c r="G61" s="71" t="str">
        <f>IFERROR(__xludf.DUMMYFUNCTION("""COMPUTED_VALUE"""),"No")</f>
        <v>No</v>
      </c>
      <c r="H61" s="71" t="str">
        <f>IFERROR(__xludf.DUMMYFUNCTION("""COMPUTED_VALUE"""),"No")</f>
        <v>No</v>
      </c>
      <c r="I61" s="71">
        <f>IFERROR(__xludf.DUMMYFUNCTION("""COMPUTED_VALUE"""),0.0)</f>
        <v>0</v>
      </c>
      <c r="J61" s="73" t="str">
        <f>IFERROR(__xludf.DUMMYFUNCTION("""COMPUTED_VALUE"""),"https://drive.google.com/open?id=1JaMGYAXjB8A_wX0xWqvSLF4SkKfTv8wQ")</f>
        <v>https://drive.google.com/open?id=1JaMGYAXjB8A_wX0xWqvSLF4SkKfTv8wQ</v>
      </c>
      <c r="K61" s="71" t="str">
        <f>IFERROR(__xludf.DUMMYFUNCTION("""COMPUTED_VALUE"""),"2018-2022")</f>
        <v>2018-2022</v>
      </c>
      <c r="L61" s="71" t="str">
        <f>IFERROR(__xludf.DUMMYFUNCTION("""COMPUTED_VALUE"""),"S3: Student Internships")</f>
        <v>S3: Student Internships</v>
      </c>
      <c r="M61" s="71" t="str">
        <f>IFERROR(__xludf.DUMMYFUNCTION("""COMPUTED_VALUE"""),"vdkumar1200@gmail.com")</f>
        <v>vdkumar1200@gmail.com</v>
      </c>
      <c r="N61" s="71" t="str">
        <f>IFERROR(__xludf.DUMMYFUNCTION("""COMPUTED_VALUE"""),"SEM-8")</f>
        <v>SEM-8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</row>
    <row r="62" ht="33.0" customHeight="1">
      <c r="A62" s="71" t="str">
        <f>IFERROR(__xludf.DUMMYFUNCTION("""COMPUTED_VALUE"""),"Jakkula Praseeda")</f>
        <v>Jakkula Praseeda</v>
      </c>
      <c r="B62" s="71" t="str">
        <f>IFERROR(__xludf.DUMMYFUNCTION("""COMPUTED_VALUE"""),"18331A0559 ")</f>
        <v>18331A0559 </v>
      </c>
      <c r="C62" s="71" t="str">
        <f>IFERROR(__xludf.DUMMYFUNCTION("""COMPUTED_VALUE"""),"Tcs")</f>
        <v>Tcs</v>
      </c>
      <c r="D62" s="71" t="str">
        <f>IFERROR(__xludf.DUMMYFUNCTION("""COMPUTED_VALUE"""),"2months")</f>
        <v>2months</v>
      </c>
      <c r="E62" s="72">
        <f>IFERROR(__xludf.DUMMYFUNCTION("""COMPUTED_VALUE"""),44615.0)</f>
        <v>44615</v>
      </c>
      <c r="F62" s="72">
        <f>IFERROR(__xludf.DUMMYFUNCTION("""COMPUTED_VALUE"""),44680.0)</f>
        <v>44680</v>
      </c>
      <c r="G62" s="71" t="str">
        <f>IFERROR(__xludf.DUMMYFUNCTION("""COMPUTED_VALUE"""),"No")</f>
        <v>No</v>
      </c>
      <c r="H62" s="71" t="str">
        <f>IFERROR(__xludf.DUMMYFUNCTION("""COMPUTED_VALUE"""),"No")</f>
        <v>No</v>
      </c>
      <c r="I62" s="71">
        <f>IFERROR(__xludf.DUMMYFUNCTION("""COMPUTED_VALUE"""),0.0)</f>
        <v>0</v>
      </c>
      <c r="J62" s="73" t="str">
        <f>IFERROR(__xludf.DUMMYFUNCTION("""COMPUTED_VALUE"""),"https://drive.google.com/open?id=1mmIxRh7KV6AuPrt8ko_SCJfjgabXIUqI")</f>
        <v>https://drive.google.com/open?id=1mmIxRh7KV6AuPrt8ko_SCJfjgabXIUqI</v>
      </c>
      <c r="K62" s="71" t="str">
        <f>IFERROR(__xludf.DUMMYFUNCTION("""COMPUTED_VALUE"""),"2018-2022")</f>
        <v>2018-2022</v>
      </c>
      <c r="L62" s="71" t="str">
        <f>IFERROR(__xludf.DUMMYFUNCTION("""COMPUTED_VALUE"""),"S3: Student Internships")</f>
        <v>S3: Student Internships</v>
      </c>
      <c r="M62" s="71" t="str">
        <f>IFERROR(__xludf.DUMMYFUNCTION("""COMPUTED_VALUE"""),"jakkulapraseeda8@gmail.com")</f>
        <v>jakkulapraseeda8@gmail.com</v>
      </c>
      <c r="N62" s="71" t="str">
        <f>IFERROR(__xludf.DUMMYFUNCTION("""COMPUTED_VALUE"""),"SEM-8")</f>
        <v>SEM-8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</row>
    <row r="63" ht="33.0" customHeight="1">
      <c r="A63" s="71" t="str">
        <f>IFERROR(__xludf.DUMMYFUNCTION("""COMPUTED_VALUE"""),"MEESALA UPENDRA VENKATA AKHIL")</f>
        <v>MEESALA UPENDRA VENKATA AKHIL</v>
      </c>
      <c r="B63" s="71" t="str">
        <f>IFERROR(__xludf.DUMMYFUNCTION("""COMPUTED_VALUE"""),"18331A0597")</f>
        <v>18331A0597</v>
      </c>
      <c r="C63" s="71" t="str">
        <f>IFERROR(__xludf.DUMMYFUNCTION("""COMPUTED_VALUE"""),"Wipro")</f>
        <v>Wipro</v>
      </c>
      <c r="D63" s="71" t="str">
        <f>IFERROR(__xludf.DUMMYFUNCTION("""COMPUTED_VALUE"""),"10 weeks")</f>
        <v>10 weeks</v>
      </c>
      <c r="E63" s="72">
        <f>IFERROR(__xludf.DUMMYFUNCTION("""COMPUTED_VALUE"""),44630.0)</f>
        <v>44630</v>
      </c>
      <c r="F63" s="72">
        <f>IFERROR(__xludf.DUMMYFUNCTION("""COMPUTED_VALUE"""),44771.0)</f>
        <v>44771</v>
      </c>
      <c r="G63" s="71" t="str">
        <f>IFERROR(__xludf.DUMMYFUNCTION("""COMPUTED_VALUE"""),"No")</f>
        <v>No</v>
      </c>
      <c r="H63" s="71" t="str">
        <f>IFERROR(__xludf.DUMMYFUNCTION("""COMPUTED_VALUE"""),"No")</f>
        <v>No</v>
      </c>
      <c r="I63" s="71">
        <f>IFERROR(__xludf.DUMMYFUNCTION("""COMPUTED_VALUE"""),0.0)</f>
        <v>0</v>
      </c>
      <c r="J63" s="73" t="str">
        <f>IFERROR(__xludf.DUMMYFUNCTION("""COMPUTED_VALUE"""),"https://drive.google.com/open?id=1P_kXvTodQgrAxLcYoHJL7hFzaXkWsdjp")</f>
        <v>https://drive.google.com/open?id=1P_kXvTodQgrAxLcYoHJL7hFzaXkWsdjp</v>
      </c>
      <c r="K63" s="71" t="str">
        <f>IFERROR(__xludf.DUMMYFUNCTION("""COMPUTED_VALUE"""),"2018-2022")</f>
        <v>2018-2022</v>
      </c>
      <c r="L63" s="71" t="str">
        <f>IFERROR(__xludf.DUMMYFUNCTION("""COMPUTED_VALUE"""),"S3: Student Internships")</f>
        <v>S3: Student Internships</v>
      </c>
      <c r="M63" s="71" t="str">
        <f>IFERROR(__xludf.DUMMYFUNCTION("""COMPUTED_VALUE"""),"meesalaakhil2000@gmail.com")</f>
        <v>meesalaakhil2000@gmail.com</v>
      </c>
      <c r="N63" s="71" t="str">
        <f>IFERROR(__xludf.DUMMYFUNCTION("""COMPUTED_VALUE"""),"SEM-8")</f>
        <v>SEM-8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</row>
    <row r="64" ht="33.0" customHeight="1">
      <c r="A64" s="71" t="str">
        <f>IFERROR(__xludf.DUMMYFUNCTION("""COMPUTED_VALUE"""),"Harshini Jampana")</f>
        <v>Harshini Jampana</v>
      </c>
      <c r="B64" s="71" t="str">
        <f>IFERROR(__xludf.DUMMYFUNCTION("""COMPUTED_VALUE"""),"18331A0561")</f>
        <v>18331A0561</v>
      </c>
      <c r="C64" s="71" t="str">
        <f>IFERROR(__xludf.DUMMYFUNCTION("""COMPUTED_VALUE"""),"Swecha")</f>
        <v>Swecha</v>
      </c>
      <c r="D64" s="71" t="str">
        <f>IFERROR(__xludf.DUMMYFUNCTION("""COMPUTED_VALUE"""),"1 month")</f>
        <v>1 month</v>
      </c>
      <c r="E64" s="72">
        <f>IFERROR(__xludf.DUMMYFUNCTION("""COMPUTED_VALUE"""),43999.0)</f>
        <v>43999</v>
      </c>
      <c r="F64" s="72">
        <f>IFERROR(__xludf.DUMMYFUNCTION("""COMPUTED_VALUE"""),44024.0)</f>
        <v>44024</v>
      </c>
      <c r="G64" s="71" t="str">
        <f>IFERROR(__xludf.DUMMYFUNCTION("""COMPUTED_VALUE"""),"No")</f>
        <v>No</v>
      </c>
      <c r="H64" s="71" t="str">
        <f>IFERROR(__xludf.DUMMYFUNCTION("""COMPUTED_VALUE"""),"No")</f>
        <v>No</v>
      </c>
      <c r="I64" s="71">
        <f>IFERROR(__xludf.DUMMYFUNCTION("""COMPUTED_VALUE"""),0.0)</f>
        <v>0</v>
      </c>
      <c r="J64" s="73" t="str">
        <f>IFERROR(__xludf.DUMMYFUNCTION("""COMPUTED_VALUE"""),"https://drive.google.com/open?id=1Xd2y5nlg-K0Q_Dueeqz6RuQsBFdomNzX")</f>
        <v>https://drive.google.com/open?id=1Xd2y5nlg-K0Q_Dueeqz6RuQsBFdomNzX</v>
      </c>
      <c r="K64" s="71" t="str">
        <f>IFERROR(__xludf.DUMMYFUNCTION("""COMPUTED_VALUE"""),"2018-2022")</f>
        <v>2018-2022</v>
      </c>
      <c r="L64" s="71" t="str">
        <f>IFERROR(__xludf.DUMMYFUNCTION("""COMPUTED_VALUE"""),"S3: Student Internships")</f>
        <v>S3: Student Internships</v>
      </c>
      <c r="M64" s="71" t="str">
        <f>IFERROR(__xludf.DUMMYFUNCTION("""COMPUTED_VALUE"""),"harshini.jampana@gmail.com")</f>
        <v>harshini.jampana@gmail.com</v>
      </c>
      <c r="N64" s="71" t="str">
        <f>IFERROR(__xludf.DUMMYFUNCTION("""COMPUTED_VALUE"""),"SEM-8")</f>
        <v>SEM-8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</row>
    <row r="65" ht="33.0" customHeight="1">
      <c r="A65" s="71" t="str">
        <f>IFERROR(__xludf.DUMMYFUNCTION("""COMPUTED_VALUE"""),"Kalivarapu Nikitha ")</f>
        <v>Kalivarapu Nikitha </v>
      </c>
      <c r="B65" s="71" t="str">
        <f>IFERROR(__xludf.DUMMYFUNCTION("""COMPUTED_VALUE"""),"18331A0563")</f>
        <v>18331A0563</v>
      </c>
      <c r="C65" s="71" t="str">
        <f>IFERROR(__xludf.DUMMYFUNCTION("""COMPUTED_VALUE"""),"TCS")</f>
        <v>TCS</v>
      </c>
      <c r="D65" s="71" t="str">
        <f>IFERROR(__xludf.DUMMYFUNCTION("""COMPUTED_VALUE"""),"3 months ")</f>
        <v>3 months </v>
      </c>
      <c r="E65" s="72">
        <f>IFERROR(__xludf.DUMMYFUNCTION("""COMPUTED_VALUE"""),44593.0)</f>
        <v>44593</v>
      </c>
      <c r="F65" s="72">
        <f>IFERROR(__xludf.DUMMYFUNCTION("""COMPUTED_VALUE"""),44708.0)</f>
        <v>44708</v>
      </c>
      <c r="G65" s="71" t="str">
        <f>IFERROR(__xludf.DUMMYFUNCTION("""COMPUTED_VALUE"""),"No")</f>
        <v>No</v>
      </c>
      <c r="H65" s="71" t="str">
        <f>IFERROR(__xludf.DUMMYFUNCTION("""COMPUTED_VALUE"""),"No")</f>
        <v>No</v>
      </c>
      <c r="I65" s="71">
        <f>IFERROR(__xludf.DUMMYFUNCTION("""COMPUTED_VALUE"""),0.0)</f>
        <v>0</v>
      </c>
      <c r="J65" s="73" t="str">
        <f>IFERROR(__xludf.DUMMYFUNCTION("""COMPUTED_VALUE"""),"https://drive.google.com/open?id=1KiMO9-8cXk6324UORr6IxuY-KUyyORrZ")</f>
        <v>https://drive.google.com/open?id=1KiMO9-8cXk6324UORr6IxuY-KUyyORrZ</v>
      </c>
      <c r="K65" s="71" t="str">
        <f>IFERROR(__xludf.DUMMYFUNCTION("""COMPUTED_VALUE"""),"2018-2022")</f>
        <v>2018-2022</v>
      </c>
      <c r="L65" s="71" t="str">
        <f>IFERROR(__xludf.DUMMYFUNCTION("""COMPUTED_VALUE"""),"S3: Student Internships")</f>
        <v>S3: Student Internships</v>
      </c>
      <c r="M65" s="71" t="str">
        <f>IFERROR(__xludf.DUMMYFUNCTION("""COMPUTED_VALUE"""),"nikithakalivarapu0404@gmail.com")</f>
        <v>nikithakalivarapu0404@gmail.com</v>
      </c>
      <c r="N65" s="71" t="str">
        <f>IFERROR(__xludf.DUMMYFUNCTION("""COMPUTED_VALUE"""),"SEM-8")</f>
        <v>SEM-8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</row>
    <row r="66" ht="33.0" customHeight="1">
      <c r="A66" s="71" t="str">
        <f>IFERROR(__xludf.DUMMYFUNCTION("""COMPUTED_VALUE"""),"Harshini jampana")</f>
        <v>Harshini jampana</v>
      </c>
      <c r="B66" s="71" t="str">
        <f>IFERROR(__xludf.DUMMYFUNCTION("""COMPUTED_VALUE"""),"18831A0561")</f>
        <v>18831A0561</v>
      </c>
      <c r="C66" s="71" t="str">
        <f>IFERROR(__xludf.DUMMYFUNCTION("""COMPUTED_VALUE"""),"TCS")</f>
        <v>TCS</v>
      </c>
      <c r="D66" s="71" t="str">
        <f>IFERROR(__xludf.DUMMYFUNCTION("""COMPUTED_VALUE"""),"3 months")</f>
        <v>3 months</v>
      </c>
      <c r="E66" s="72">
        <f>IFERROR(__xludf.DUMMYFUNCTION("""COMPUTED_VALUE"""),44614.0)</f>
        <v>44614</v>
      </c>
      <c r="F66" s="72">
        <f>IFERROR(__xludf.DUMMYFUNCTION("""COMPUTED_VALUE"""),44680.0)</f>
        <v>44680</v>
      </c>
      <c r="G66" s="71" t="str">
        <f>IFERROR(__xludf.DUMMYFUNCTION("""COMPUTED_VALUE"""),"No")</f>
        <v>No</v>
      </c>
      <c r="H66" s="71" t="str">
        <f>IFERROR(__xludf.DUMMYFUNCTION("""COMPUTED_VALUE"""),"No")</f>
        <v>No</v>
      </c>
      <c r="I66" s="71">
        <f>IFERROR(__xludf.DUMMYFUNCTION("""COMPUTED_VALUE"""),0.0)</f>
        <v>0</v>
      </c>
      <c r="J66" s="73" t="str">
        <f>IFERROR(__xludf.DUMMYFUNCTION("""COMPUTED_VALUE"""),"https://drive.google.com/open?id=1Fn17WcnzXqqx_gbD7qzad0N3XQCVJX-T")</f>
        <v>https://drive.google.com/open?id=1Fn17WcnzXqqx_gbD7qzad0N3XQCVJX-T</v>
      </c>
      <c r="K66" s="71" t="str">
        <f>IFERROR(__xludf.DUMMYFUNCTION("""COMPUTED_VALUE"""),"2018-2022")</f>
        <v>2018-2022</v>
      </c>
      <c r="L66" s="71" t="str">
        <f>IFERROR(__xludf.DUMMYFUNCTION("""COMPUTED_VALUE"""),"S3: Student Internships")</f>
        <v>S3: Student Internships</v>
      </c>
      <c r="M66" s="71" t="str">
        <f>IFERROR(__xludf.DUMMYFUNCTION("""COMPUTED_VALUE"""),"harshini.jampana@gmail.com")</f>
        <v>harshini.jampana@gmail.com</v>
      </c>
      <c r="N66" s="71" t="str">
        <f>IFERROR(__xludf.DUMMYFUNCTION("""COMPUTED_VALUE"""),"SEM-8")</f>
        <v>SEM-8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</row>
    <row r="67" ht="33.0" customHeight="1">
      <c r="A67" s="71" t="str">
        <f>IFERROR(__xludf.DUMMYFUNCTION("""COMPUTED_VALUE"""),"KADAGALA RAVIKUAMR")</f>
        <v>KADAGALA RAVIKUAMR</v>
      </c>
      <c r="B67" s="71" t="str">
        <f>IFERROR(__xludf.DUMMYFUNCTION("""COMPUTED_VALUE"""),"19335A0506")</f>
        <v>19335A0506</v>
      </c>
      <c r="C67" s="71" t="str">
        <f>IFERROR(__xludf.DUMMYFUNCTION("""COMPUTED_VALUE"""),"AICTE")</f>
        <v>AICTE</v>
      </c>
      <c r="D67" s="71" t="str">
        <f>IFERROR(__xludf.DUMMYFUNCTION("""COMPUTED_VALUE"""),"2 MONTHS")</f>
        <v>2 MONTHS</v>
      </c>
      <c r="E67" s="72">
        <f>IFERROR(__xludf.DUMMYFUNCTION("""COMPUTED_VALUE"""),44470.0)</f>
        <v>44470</v>
      </c>
      <c r="F67" s="72">
        <f>IFERROR(__xludf.DUMMYFUNCTION("""COMPUTED_VALUE"""),44552.0)</f>
        <v>44552</v>
      </c>
      <c r="G67" s="71" t="str">
        <f>IFERROR(__xludf.DUMMYFUNCTION("""COMPUTED_VALUE"""),"No")</f>
        <v>No</v>
      </c>
      <c r="H67" s="71" t="str">
        <f>IFERROR(__xludf.DUMMYFUNCTION("""COMPUTED_VALUE"""),"No")</f>
        <v>No</v>
      </c>
      <c r="I67" s="71">
        <f>IFERROR(__xludf.DUMMYFUNCTION("""COMPUTED_VALUE"""),0.0)</f>
        <v>0</v>
      </c>
      <c r="J67" s="73" t="str">
        <f>IFERROR(__xludf.DUMMYFUNCTION("""COMPUTED_VALUE"""),"https://drive.google.com/open?id=1cyFS3Sp1zfHCceCD48s7AXEP-jYbJ1bb")</f>
        <v>https://drive.google.com/open?id=1cyFS3Sp1zfHCceCD48s7AXEP-jYbJ1bb</v>
      </c>
      <c r="K67" s="71" t="str">
        <f>IFERROR(__xludf.DUMMYFUNCTION("""COMPUTED_VALUE"""),"2018-2022")</f>
        <v>2018-2022</v>
      </c>
      <c r="L67" s="71" t="str">
        <f>IFERROR(__xludf.DUMMYFUNCTION("""COMPUTED_VALUE"""),"S3: Student Internships")</f>
        <v>S3: Student Internships</v>
      </c>
      <c r="M67" s="71" t="str">
        <f>IFERROR(__xludf.DUMMYFUNCTION("""COMPUTED_VALUE"""),"ravikadagala9494@gmail.com")</f>
        <v>ravikadagala9494@gmail.com</v>
      </c>
      <c r="N67" s="71" t="str">
        <f>IFERROR(__xludf.DUMMYFUNCTION("""COMPUTED_VALUE"""),"SEM-7")</f>
        <v>SEM-7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</row>
    <row r="68" ht="33.0" customHeight="1">
      <c r="A68" s="71" t="str">
        <f>IFERROR(__xludf.DUMMYFUNCTION("""COMPUTED_VALUE"""),"Devadula N C S CH Sudhakar")</f>
        <v>Devadula N C S CH Sudhakar</v>
      </c>
      <c r="B68" s="71" t="str">
        <f>IFERROR(__xludf.DUMMYFUNCTION("""COMPUTED_VALUE"""),"19335A0504")</f>
        <v>19335A0504</v>
      </c>
      <c r="C68" s="71" t="str">
        <f>IFERROR(__xludf.DUMMYFUNCTION("""COMPUTED_VALUE"""),"AICTE")</f>
        <v>AICTE</v>
      </c>
      <c r="D68" s="71" t="str">
        <f>IFERROR(__xludf.DUMMYFUNCTION("""COMPUTED_VALUE"""),"2 months")</f>
        <v>2 months</v>
      </c>
      <c r="E68" s="72">
        <f>IFERROR(__xludf.DUMMYFUNCTION("""COMPUTED_VALUE"""),44478.0)</f>
        <v>44478</v>
      </c>
      <c r="F68" s="72">
        <f>IFERROR(__xludf.DUMMYFUNCTION("""COMPUTED_VALUE"""),44545.0)</f>
        <v>44545</v>
      </c>
      <c r="G68" s="71" t="str">
        <f>IFERROR(__xludf.DUMMYFUNCTION("""COMPUTED_VALUE"""),"No")</f>
        <v>No</v>
      </c>
      <c r="H68" s="71" t="str">
        <f>IFERROR(__xludf.DUMMYFUNCTION("""COMPUTED_VALUE"""),"No")</f>
        <v>No</v>
      </c>
      <c r="I68" s="71">
        <f>IFERROR(__xludf.DUMMYFUNCTION("""COMPUTED_VALUE"""),0.0)</f>
        <v>0</v>
      </c>
      <c r="J68" s="73" t="str">
        <f>IFERROR(__xludf.DUMMYFUNCTION("""COMPUTED_VALUE"""),"https://drive.google.com/open?id=1jfXVxuerdSjvFtlEZeWYwfurTz0AqxaO")</f>
        <v>https://drive.google.com/open?id=1jfXVxuerdSjvFtlEZeWYwfurTz0AqxaO</v>
      </c>
      <c r="K68" s="71" t="str">
        <f>IFERROR(__xludf.DUMMYFUNCTION("""COMPUTED_VALUE"""),"2018-2022")</f>
        <v>2018-2022</v>
      </c>
      <c r="L68" s="71" t="str">
        <f>IFERROR(__xludf.DUMMYFUNCTION("""COMPUTED_VALUE"""),"S3: Student Internships")</f>
        <v>S3: Student Internships</v>
      </c>
      <c r="M68" s="71" t="str">
        <f>IFERROR(__xludf.DUMMYFUNCTION("""COMPUTED_VALUE"""),"naveendevadula706@gmail.com")</f>
        <v>naveendevadula706@gmail.com</v>
      </c>
      <c r="N68" s="71" t="str">
        <f>IFERROR(__xludf.DUMMYFUNCTION("""COMPUTED_VALUE"""),"SEM-7")</f>
        <v>SEM-7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</row>
    <row r="69" ht="33.0" customHeight="1">
      <c r="A69" s="71" t="str">
        <f>IFERROR(__xludf.DUMMYFUNCTION("""COMPUTED_VALUE"""),"Madhavi Latha Maduthuri")</f>
        <v>Madhavi Latha Maduthuri</v>
      </c>
      <c r="B69" s="71" t="str">
        <f>IFERROR(__xludf.DUMMYFUNCTION("""COMPUTED_VALUE"""),"18331A0590")</f>
        <v>18331A0590</v>
      </c>
      <c r="C69" s="71" t="str">
        <f>IFERROR(__xludf.DUMMYFUNCTION("""COMPUTED_VALUE"""),"Wipro")</f>
        <v>Wipro</v>
      </c>
      <c r="D69" s="71" t="str">
        <f>IFERROR(__xludf.DUMMYFUNCTION("""COMPUTED_VALUE"""),"10 weeks")</f>
        <v>10 weeks</v>
      </c>
      <c r="E69" s="72">
        <f>IFERROR(__xludf.DUMMYFUNCTION("""COMPUTED_VALUE"""),44630.0)</f>
        <v>44630</v>
      </c>
      <c r="F69" s="72">
        <f>IFERROR(__xludf.DUMMYFUNCTION("""COMPUTED_VALUE"""),44712.0)</f>
        <v>44712</v>
      </c>
      <c r="G69" s="71" t="str">
        <f>IFERROR(__xludf.DUMMYFUNCTION("""COMPUTED_VALUE"""),"No")</f>
        <v>No</v>
      </c>
      <c r="H69" s="71" t="str">
        <f>IFERROR(__xludf.DUMMYFUNCTION("""COMPUTED_VALUE"""),"No")</f>
        <v>No</v>
      </c>
      <c r="I69" s="71">
        <f>IFERROR(__xludf.DUMMYFUNCTION("""COMPUTED_VALUE"""),0.0)</f>
        <v>0</v>
      </c>
      <c r="J69" s="73" t="str">
        <f>IFERROR(__xludf.DUMMYFUNCTION("""COMPUTED_VALUE"""),"https://drive.google.com/open?id=1iaMcD70_naH6KRFWv5NG0ZCyOjxcUoAW")</f>
        <v>https://drive.google.com/open?id=1iaMcD70_naH6KRFWv5NG0ZCyOjxcUoAW</v>
      </c>
      <c r="K69" s="71" t="str">
        <f>IFERROR(__xludf.DUMMYFUNCTION("""COMPUTED_VALUE"""),"2018-2022")</f>
        <v>2018-2022</v>
      </c>
      <c r="L69" s="71" t="str">
        <f>IFERROR(__xludf.DUMMYFUNCTION("""COMPUTED_VALUE"""),"S3: Student Internships")</f>
        <v>S3: Student Internships</v>
      </c>
      <c r="M69" s="71" t="str">
        <f>IFERROR(__xludf.DUMMYFUNCTION("""COMPUTED_VALUE"""),"madhavimaduthuri5@gmail.com")</f>
        <v>madhavimaduthuri5@gmail.com</v>
      </c>
      <c r="N69" s="71" t="str">
        <f>IFERROR(__xludf.DUMMYFUNCTION("""COMPUTED_VALUE"""),"SEM-8")</f>
        <v>SEM-8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</row>
    <row r="70" ht="33.0" customHeight="1">
      <c r="A70" s="71" t="str">
        <f>IFERROR(__xludf.DUMMYFUNCTION("""COMPUTED_VALUE"""),"Gorle Shri Aiswarya")</f>
        <v>Gorle Shri Aiswarya</v>
      </c>
      <c r="B70" s="71" t="str">
        <f>IFERROR(__xludf.DUMMYFUNCTION("""COMPUTED_VALUE"""),"18331A0549")</f>
        <v>18331A0549</v>
      </c>
      <c r="C70" s="71" t="str">
        <f>IFERROR(__xludf.DUMMYFUNCTION("""COMPUTED_VALUE"""),"Wipro")</f>
        <v>Wipro</v>
      </c>
      <c r="D70" s="71" t="str">
        <f>IFERROR(__xludf.DUMMYFUNCTION("""COMPUTED_VALUE"""),"3 months")</f>
        <v>3 months</v>
      </c>
      <c r="E70" s="72">
        <f>IFERROR(__xludf.DUMMYFUNCTION("""COMPUTED_VALUE"""),44668.0)</f>
        <v>44668</v>
      </c>
      <c r="F70" s="72">
        <f>IFERROR(__xludf.DUMMYFUNCTION("""COMPUTED_VALUE"""),44759.0)</f>
        <v>44759</v>
      </c>
      <c r="G70" s="71" t="str">
        <f>IFERROR(__xludf.DUMMYFUNCTION("""COMPUTED_VALUE"""),"No")</f>
        <v>No</v>
      </c>
      <c r="H70" s="71" t="str">
        <f>IFERROR(__xludf.DUMMYFUNCTION("""COMPUTED_VALUE"""),"No")</f>
        <v>No</v>
      </c>
      <c r="I70" s="71">
        <f>IFERROR(__xludf.DUMMYFUNCTION("""COMPUTED_VALUE"""),0.0)</f>
        <v>0</v>
      </c>
      <c r="J70" s="73" t="str">
        <f>IFERROR(__xludf.DUMMYFUNCTION("""COMPUTED_VALUE"""),"https://drive.google.com/open?id=1l9MmNe4Fq8SyQw1-9vTljhFxhOoq0gf_")</f>
        <v>https://drive.google.com/open?id=1l9MmNe4Fq8SyQw1-9vTljhFxhOoq0gf_</v>
      </c>
      <c r="K70" s="71" t="str">
        <f>IFERROR(__xludf.DUMMYFUNCTION("""COMPUTED_VALUE"""),"2018-2022")</f>
        <v>2018-2022</v>
      </c>
      <c r="L70" s="71" t="str">
        <f>IFERROR(__xludf.DUMMYFUNCTION("""COMPUTED_VALUE"""),"S3: Student Internships")</f>
        <v>S3: Student Internships</v>
      </c>
      <c r="M70" s="71" t="str">
        <f>IFERROR(__xludf.DUMMYFUNCTION("""COMPUTED_VALUE"""),"aiswarya15112000@gmail.com")</f>
        <v>aiswarya15112000@gmail.com</v>
      </c>
      <c r="N70" s="71" t="str">
        <f>IFERROR(__xludf.DUMMYFUNCTION("""COMPUTED_VALUE"""),"SEM-8")</f>
        <v>SEM-8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</row>
    <row r="71" ht="33.0" customHeight="1">
      <c r="A71" s="71" t="str">
        <f>IFERROR(__xludf.DUMMYFUNCTION("""COMPUTED_VALUE"""),"Ganta Gayatri")</f>
        <v>Ganta Gayatri</v>
      </c>
      <c r="B71" s="71" t="str">
        <f>IFERROR(__xludf.DUMMYFUNCTION("""COMPUTED_VALUE"""),"18331A0541")</f>
        <v>18331A0541</v>
      </c>
      <c r="C71" s="71" t="str">
        <f>IFERROR(__xludf.DUMMYFUNCTION("""COMPUTED_VALUE"""),"Wipro")</f>
        <v>Wipro</v>
      </c>
      <c r="D71" s="71" t="str">
        <f>IFERROR(__xludf.DUMMYFUNCTION("""COMPUTED_VALUE"""),"3 months")</f>
        <v>3 months</v>
      </c>
      <c r="E71" s="72">
        <f>IFERROR(__xludf.DUMMYFUNCTION("""COMPUTED_VALUE"""),44657.0)</f>
        <v>44657</v>
      </c>
      <c r="F71" s="72">
        <f>IFERROR(__xludf.DUMMYFUNCTION("""COMPUTED_VALUE"""),44742.0)</f>
        <v>44742</v>
      </c>
      <c r="G71" s="71" t="str">
        <f>IFERROR(__xludf.DUMMYFUNCTION("""COMPUTED_VALUE"""),"No")</f>
        <v>No</v>
      </c>
      <c r="H71" s="71" t="str">
        <f>IFERROR(__xludf.DUMMYFUNCTION("""COMPUTED_VALUE"""),"No")</f>
        <v>No</v>
      </c>
      <c r="I71" s="71">
        <f>IFERROR(__xludf.DUMMYFUNCTION("""COMPUTED_VALUE"""),0.0)</f>
        <v>0</v>
      </c>
      <c r="J71" s="73" t="str">
        <f>IFERROR(__xludf.DUMMYFUNCTION("""COMPUTED_VALUE"""),"https://drive.google.com/open?id=1vqeGJy-iKtS4guA_6gnC5j3DBV2QdXDU")</f>
        <v>https://drive.google.com/open?id=1vqeGJy-iKtS4guA_6gnC5j3DBV2QdXDU</v>
      </c>
      <c r="K71" s="71" t="str">
        <f>IFERROR(__xludf.DUMMYFUNCTION("""COMPUTED_VALUE"""),"2018-2022")</f>
        <v>2018-2022</v>
      </c>
      <c r="L71" s="71" t="str">
        <f>IFERROR(__xludf.DUMMYFUNCTION("""COMPUTED_VALUE"""),"S3: Student Internships")</f>
        <v>S3: Student Internships</v>
      </c>
      <c r="M71" s="71" t="str">
        <f>IFERROR(__xludf.DUMMYFUNCTION("""COMPUTED_VALUE"""),"gantagayatri490@gmail.com")</f>
        <v>gantagayatri490@gmail.com</v>
      </c>
      <c r="N71" s="71" t="str">
        <f>IFERROR(__xludf.DUMMYFUNCTION("""COMPUTED_VALUE"""),"SEM-8")</f>
        <v>SEM-8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</row>
    <row r="72" ht="33.0" customHeight="1">
      <c r="A72" s="71" t="str">
        <f>IFERROR(__xludf.DUMMYFUNCTION("""COMPUTED_VALUE"""),"MOUNIKA GANTA")</f>
        <v>MOUNIKA GANTA</v>
      </c>
      <c r="B72" s="71" t="str">
        <f>IFERROR(__xludf.DUMMYFUNCTION("""COMPUTED_VALUE"""),"18331A0543")</f>
        <v>18331A0543</v>
      </c>
      <c r="C72" s="71" t="str">
        <f>IFERROR(__xludf.DUMMYFUNCTION("""COMPUTED_VALUE"""),"Wipro")</f>
        <v>Wipro</v>
      </c>
      <c r="D72" s="71" t="str">
        <f>IFERROR(__xludf.DUMMYFUNCTION("""COMPUTED_VALUE"""),"3 months ")</f>
        <v>3 months </v>
      </c>
      <c r="E72" s="72">
        <f>IFERROR(__xludf.DUMMYFUNCTION("""COMPUTED_VALUE"""),44645.0)</f>
        <v>44645</v>
      </c>
      <c r="F72" s="72">
        <f>IFERROR(__xludf.DUMMYFUNCTION("""COMPUTED_VALUE"""),44737.0)</f>
        <v>44737</v>
      </c>
      <c r="G72" s="71" t="str">
        <f>IFERROR(__xludf.DUMMYFUNCTION("""COMPUTED_VALUE"""),"No")</f>
        <v>No</v>
      </c>
      <c r="H72" s="71" t="str">
        <f>IFERROR(__xludf.DUMMYFUNCTION("""COMPUTED_VALUE"""),"No")</f>
        <v>No</v>
      </c>
      <c r="I72" s="71">
        <f>IFERROR(__xludf.DUMMYFUNCTION("""COMPUTED_VALUE"""),0.0)</f>
        <v>0</v>
      </c>
      <c r="J72" s="73" t="str">
        <f>IFERROR(__xludf.DUMMYFUNCTION("""COMPUTED_VALUE"""),"https://drive.google.com/open?id=1bRPpbfZ6VF2nNspGaENIdFCxpIgOX3Wf")</f>
        <v>https://drive.google.com/open?id=1bRPpbfZ6VF2nNspGaENIdFCxpIgOX3Wf</v>
      </c>
      <c r="K72" s="71" t="str">
        <f>IFERROR(__xludf.DUMMYFUNCTION("""COMPUTED_VALUE"""),"2018-2022")</f>
        <v>2018-2022</v>
      </c>
      <c r="L72" s="71" t="str">
        <f>IFERROR(__xludf.DUMMYFUNCTION("""COMPUTED_VALUE"""),"S3: Student Internships")</f>
        <v>S3: Student Internships</v>
      </c>
      <c r="M72" s="71" t="str">
        <f>IFERROR(__xludf.DUMMYFUNCTION("""COMPUTED_VALUE"""),"mounikaganta2001@gmail.com")</f>
        <v>mounikaganta2001@gmail.com</v>
      </c>
      <c r="N72" s="71" t="str">
        <f>IFERROR(__xludf.DUMMYFUNCTION("""COMPUTED_VALUE"""),"SEM-8")</f>
        <v>SEM-8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</row>
    <row r="73" ht="33.0" customHeight="1">
      <c r="A73" s="71" t="str">
        <f>IFERROR(__xludf.DUMMYFUNCTION("""COMPUTED_VALUE"""),"Ichapurapu C S V Krishna Devarayalu ")</f>
        <v>Ichapurapu C S V Krishna Devarayalu </v>
      </c>
      <c r="B73" s="71" t="str">
        <f>IFERROR(__xludf.DUMMYFUNCTION("""COMPUTED_VALUE"""),"18331A0557")</f>
        <v>18331A0557</v>
      </c>
      <c r="C73" s="71" t="str">
        <f>IFERROR(__xludf.DUMMYFUNCTION("""COMPUTED_VALUE"""),"Capgemini")</f>
        <v>Capgemini</v>
      </c>
      <c r="D73" s="71" t="str">
        <f>IFERROR(__xludf.DUMMYFUNCTION("""COMPUTED_VALUE"""),"3 months")</f>
        <v>3 months</v>
      </c>
      <c r="E73" s="72">
        <f>IFERROR(__xludf.DUMMYFUNCTION("""COMPUTED_VALUE"""),44620.0)</f>
        <v>44620</v>
      </c>
      <c r="F73" s="72">
        <f>IFERROR(__xludf.DUMMYFUNCTION("""COMPUTED_VALUE"""),44696.0)</f>
        <v>44696</v>
      </c>
      <c r="G73" s="71" t="str">
        <f>IFERROR(__xludf.DUMMYFUNCTION("""COMPUTED_VALUE"""),"Yes")</f>
        <v>Yes</v>
      </c>
      <c r="H73" s="71" t="str">
        <f>IFERROR(__xludf.DUMMYFUNCTION("""COMPUTED_VALUE"""),"No")</f>
        <v>No</v>
      </c>
      <c r="I73" s="71">
        <f>IFERROR(__xludf.DUMMYFUNCTION("""COMPUTED_VALUE"""),22000.0)</f>
        <v>22000</v>
      </c>
      <c r="J73" s="73" t="str">
        <f>IFERROR(__xludf.DUMMYFUNCTION("""COMPUTED_VALUE"""),"https://drive.google.com/open?id=193Wgb8wmC7lrSq_ixj5T9weuc-l9Xeb8")</f>
        <v>https://drive.google.com/open?id=193Wgb8wmC7lrSq_ixj5T9weuc-l9Xeb8</v>
      </c>
      <c r="K73" s="71" t="str">
        <f>IFERROR(__xludf.DUMMYFUNCTION("""COMPUTED_VALUE"""),"2018-2022")</f>
        <v>2018-2022</v>
      </c>
      <c r="L73" s="71" t="str">
        <f>IFERROR(__xludf.DUMMYFUNCTION("""COMPUTED_VALUE"""),"S3: Student Internships")</f>
        <v>S3: Student Internships</v>
      </c>
      <c r="M73" s="71" t="str">
        <f>IFERROR(__xludf.DUMMYFUNCTION("""COMPUTED_VALUE"""),"devarayalu29@gmail.com")</f>
        <v>devarayalu29@gmail.com</v>
      </c>
      <c r="N73" s="71" t="str">
        <f>IFERROR(__xludf.DUMMYFUNCTION("""COMPUTED_VALUE"""),"SEM-8")</f>
        <v>SEM-8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</row>
    <row r="74" ht="33.0" customHeight="1">
      <c r="A74" s="71" t="str">
        <f>IFERROR(__xludf.DUMMYFUNCTION("""COMPUTED_VALUE"""),"MUKHEE JYOTHSNA")</f>
        <v>MUKHEE JYOTHSNA</v>
      </c>
      <c r="B74" s="71" t="str">
        <f>IFERROR(__xludf.DUMMYFUNCTION("""COMPUTED_VALUE"""),"18331A05A2")</f>
        <v>18331A05A2</v>
      </c>
      <c r="C74" s="71" t="str">
        <f>IFERROR(__xludf.DUMMYFUNCTION("""COMPUTED_VALUE"""),"AICTE")</f>
        <v>AICTE</v>
      </c>
      <c r="D74" s="71" t="str">
        <f>IFERROR(__xludf.DUMMYFUNCTION("""COMPUTED_VALUE"""),"10 WEEKS")</f>
        <v>10 WEEKS</v>
      </c>
      <c r="E74" s="72">
        <f>IFERROR(__xludf.DUMMYFUNCTION("""COMPUTED_VALUE"""),44485.0)</f>
        <v>44485</v>
      </c>
      <c r="F74" s="72">
        <f>IFERROR(__xludf.DUMMYFUNCTION("""COMPUTED_VALUE"""),44560.0)</f>
        <v>44560</v>
      </c>
      <c r="G74" s="71" t="str">
        <f>IFERROR(__xludf.DUMMYFUNCTION("""COMPUTED_VALUE"""),"No")</f>
        <v>No</v>
      </c>
      <c r="H74" s="71" t="str">
        <f>IFERROR(__xludf.DUMMYFUNCTION("""COMPUTED_VALUE"""),"No")</f>
        <v>No</v>
      </c>
      <c r="I74" s="71">
        <f>IFERROR(__xludf.DUMMYFUNCTION("""COMPUTED_VALUE"""),0.0)</f>
        <v>0</v>
      </c>
      <c r="J74" s="73" t="str">
        <f>IFERROR(__xludf.DUMMYFUNCTION("""COMPUTED_VALUE"""),"https://drive.google.com/open?id=13U9yk399AL7BvTvwZ1ytE-le7410_VoI")</f>
        <v>https://drive.google.com/open?id=13U9yk399AL7BvTvwZ1ytE-le7410_VoI</v>
      </c>
      <c r="K74" s="71" t="str">
        <f>IFERROR(__xludf.DUMMYFUNCTION("""COMPUTED_VALUE"""),"2018-2022")</f>
        <v>2018-2022</v>
      </c>
      <c r="L74" s="71" t="str">
        <f>IFERROR(__xludf.DUMMYFUNCTION("""COMPUTED_VALUE"""),"S3: Student Internships")</f>
        <v>S3: Student Internships</v>
      </c>
      <c r="M74" s="71" t="str">
        <f>IFERROR(__xludf.DUMMYFUNCTION("""COMPUTED_VALUE"""),"jyothsnamukhee03@gmail.com")</f>
        <v>jyothsnamukhee03@gmail.com</v>
      </c>
      <c r="N74" s="71" t="str">
        <f>IFERROR(__xludf.DUMMYFUNCTION("""COMPUTED_VALUE"""),"SEM-8")</f>
        <v>SEM-8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</row>
    <row r="75" ht="33.0" customHeight="1">
      <c r="A75" s="71" t="str">
        <f>IFERROR(__xludf.DUMMYFUNCTION("""COMPUTED_VALUE"""),"Tadi Satish Reddy")</f>
        <v>Tadi Satish Reddy</v>
      </c>
      <c r="B75" s="71" t="str">
        <f>IFERROR(__xludf.DUMMYFUNCTION("""COMPUTED_VALUE"""),"18331A05F0")</f>
        <v>18331A05F0</v>
      </c>
      <c r="C75" s="71" t="str">
        <f>IFERROR(__xludf.DUMMYFUNCTION("""COMPUTED_VALUE"""),"Swecha(FSM-AP)")</f>
        <v>Swecha(FSM-AP)</v>
      </c>
      <c r="D75" s="71" t="str">
        <f>IFERROR(__xludf.DUMMYFUNCTION("""COMPUTED_VALUE"""),"1 month")</f>
        <v>1 month</v>
      </c>
      <c r="E75" s="72">
        <f>IFERROR(__xludf.DUMMYFUNCTION("""COMPUTED_VALUE"""),43992.0)</f>
        <v>43992</v>
      </c>
      <c r="F75" s="72">
        <f>IFERROR(__xludf.DUMMYFUNCTION("""COMPUTED_VALUE"""),44024.0)</f>
        <v>44024</v>
      </c>
      <c r="G75" s="71" t="str">
        <f>IFERROR(__xludf.DUMMYFUNCTION("""COMPUTED_VALUE"""),"No")</f>
        <v>No</v>
      </c>
      <c r="H75" s="71" t="str">
        <f>IFERROR(__xludf.DUMMYFUNCTION("""COMPUTED_VALUE"""),"No")</f>
        <v>No</v>
      </c>
      <c r="I75" s="71">
        <f>IFERROR(__xludf.DUMMYFUNCTION("""COMPUTED_VALUE"""),0.0)</f>
        <v>0</v>
      </c>
      <c r="J75" s="73" t="str">
        <f>IFERROR(__xludf.DUMMYFUNCTION("""COMPUTED_VALUE"""),"https://drive.google.com/open?id=1Ul6j1tdopkDnXwGZ284vPMkX5WE8h6-k")</f>
        <v>https://drive.google.com/open?id=1Ul6j1tdopkDnXwGZ284vPMkX5WE8h6-k</v>
      </c>
      <c r="K75" s="71" t="str">
        <f>IFERROR(__xludf.DUMMYFUNCTION("""COMPUTED_VALUE"""),"2018-2022")</f>
        <v>2018-2022</v>
      </c>
      <c r="L75" s="71" t="str">
        <f>IFERROR(__xludf.DUMMYFUNCTION("""COMPUTED_VALUE"""),"S3: Student Internships")</f>
        <v>S3: Student Internships</v>
      </c>
      <c r="M75" s="71" t="str">
        <f>IFERROR(__xludf.DUMMYFUNCTION("""COMPUTED_VALUE"""),"tadisatishreddy2000@gmail.com")</f>
        <v>tadisatishreddy2000@gmail.com</v>
      </c>
      <c r="N75" s="71" t="str">
        <f>IFERROR(__xludf.DUMMYFUNCTION("""COMPUTED_VALUE"""),"SEM-8")</f>
        <v>SEM-8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</row>
    <row r="76" ht="33.0" customHeight="1">
      <c r="A76" s="71" t="str">
        <f>IFERROR(__xludf.DUMMYFUNCTION("""COMPUTED_VALUE"""),"Mallavarapu Tejaswi")</f>
        <v>Mallavarapu Tejaswi</v>
      </c>
      <c r="B76" s="71" t="str">
        <f>IFERROR(__xludf.DUMMYFUNCTION("""COMPUTED_VALUE"""),"18331A0591")</f>
        <v>18331A0591</v>
      </c>
      <c r="C76" s="71" t="str">
        <f>IFERROR(__xludf.DUMMYFUNCTION("""COMPUTED_VALUE"""),"AICTE")</f>
        <v>AICTE</v>
      </c>
      <c r="D76" s="71" t="str">
        <f>IFERROR(__xludf.DUMMYFUNCTION("""COMPUTED_VALUE"""),"3")</f>
        <v>3</v>
      </c>
      <c r="E76" s="72">
        <f>IFERROR(__xludf.DUMMYFUNCTION("""COMPUTED_VALUE"""),44484.0)</f>
        <v>44484</v>
      </c>
      <c r="F76" s="72">
        <f>IFERROR(__xludf.DUMMYFUNCTION("""COMPUTED_VALUE"""),44546.0)</f>
        <v>44546</v>
      </c>
      <c r="G76" s="71" t="str">
        <f>IFERROR(__xludf.DUMMYFUNCTION("""COMPUTED_VALUE"""),"No")</f>
        <v>No</v>
      </c>
      <c r="H76" s="71" t="str">
        <f>IFERROR(__xludf.DUMMYFUNCTION("""COMPUTED_VALUE"""),"No")</f>
        <v>No</v>
      </c>
      <c r="I76" s="71">
        <f>IFERROR(__xludf.DUMMYFUNCTION("""COMPUTED_VALUE"""),0.0)</f>
        <v>0</v>
      </c>
      <c r="J76" s="73" t="str">
        <f>IFERROR(__xludf.DUMMYFUNCTION("""COMPUTED_VALUE"""),"https://drive.google.com/open?id=1zD8mOZDCOPlEwskVEI9iFlOwZiKFVwqA")</f>
        <v>https://drive.google.com/open?id=1zD8mOZDCOPlEwskVEI9iFlOwZiKFVwqA</v>
      </c>
      <c r="K76" s="71" t="str">
        <f>IFERROR(__xludf.DUMMYFUNCTION("""COMPUTED_VALUE"""),"2018-2022")</f>
        <v>2018-2022</v>
      </c>
      <c r="L76" s="71" t="str">
        <f>IFERROR(__xludf.DUMMYFUNCTION("""COMPUTED_VALUE"""),"S3: Student Internships")</f>
        <v>S3: Student Internships</v>
      </c>
      <c r="M76" s="71" t="str">
        <f>IFERROR(__xludf.DUMMYFUNCTION("""COMPUTED_VALUE"""),"Mallavarapu.tejaswi@gmail.com")</f>
        <v>Mallavarapu.tejaswi@gmail.com</v>
      </c>
      <c r="N76" s="71" t="str">
        <f>IFERROR(__xludf.DUMMYFUNCTION("""COMPUTED_VALUE"""),"SEM-8")</f>
        <v>SEM-8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</row>
    <row r="77" ht="33.0" customHeight="1">
      <c r="A77" s="71" t="str">
        <f>IFERROR(__xludf.DUMMYFUNCTION("""COMPUTED_VALUE"""),"SOWMYA KALIDINDI")</f>
        <v>SOWMYA KALIDINDI</v>
      </c>
      <c r="B77" s="71" t="str">
        <f>IFERROR(__xludf.DUMMYFUNCTION("""COMPUTED_VALUE"""),"18331A0562")</f>
        <v>18331A0562</v>
      </c>
      <c r="C77" s="71" t="str">
        <f>IFERROR(__xludf.DUMMYFUNCTION("""COMPUTED_VALUE"""),"TCS")</f>
        <v>TCS</v>
      </c>
      <c r="D77" s="71" t="str">
        <f>IFERROR(__xludf.DUMMYFUNCTION("""COMPUTED_VALUE"""),"3 MONTHS")</f>
        <v>3 MONTHS</v>
      </c>
      <c r="E77" s="72">
        <f>IFERROR(__xludf.DUMMYFUNCTION("""COMPUTED_VALUE"""),44640.0)</f>
        <v>44640</v>
      </c>
      <c r="F77" s="72">
        <f>IFERROR(__xludf.DUMMYFUNCTION("""COMPUTED_VALUE"""),44732.0)</f>
        <v>44732</v>
      </c>
      <c r="G77" s="71" t="str">
        <f>IFERROR(__xludf.DUMMYFUNCTION("""COMPUTED_VALUE"""),"No")</f>
        <v>No</v>
      </c>
      <c r="H77" s="71" t="str">
        <f>IFERROR(__xludf.DUMMYFUNCTION("""COMPUTED_VALUE"""),"No")</f>
        <v>No</v>
      </c>
      <c r="I77" s="71">
        <f>IFERROR(__xludf.DUMMYFUNCTION("""COMPUTED_VALUE"""),0.0)</f>
        <v>0</v>
      </c>
      <c r="J77" s="73" t="str">
        <f>IFERROR(__xludf.DUMMYFUNCTION("""COMPUTED_VALUE"""),"https://drive.google.com/open?id=1DmPs353d-h_k805KpRM5_WLtihWEXRzd")</f>
        <v>https://drive.google.com/open?id=1DmPs353d-h_k805KpRM5_WLtihWEXRzd</v>
      </c>
      <c r="K77" s="71" t="str">
        <f>IFERROR(__xludf.DUMMYFUNCTION("""COMPUTED_VALUE"""),"2018-2022")</f>
        <v>2018-2022</v>
      </c>
      <c r="L77" s="71" t="str">
        <f>IFERROR(__xludf.DUMMYFUNCTION("""COMPUTED_VALUE"""),"S3: Student Internships")</f>
        <v>S3: Student Internships</v>
      </c>
      <c r="M77" s="71" t="str">
        <f>IFERROR(__xludf.DUMMYFUNCTION("""COMPUTED_VALUE"""),"sowmyakalidindi.01@gmail.com")</f>
        <v>sowmyakalidindi.01@gmail.com</v>
      </c>
      <c r="N77" s="71" t="str">
        <f>IFERROR(__xludf.DUMMYFUNCTION("""COMPUTED_VALUE"""),"SEM-8")</f>
        <v>SEM-8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</row>
    <row r="78" ht="33.0" customHeight="1">
      <c r="A78" s="71" t="str">
        <f>IFERROR(__xludf.DUMMYFUNCTION("""COMPUTED_VALUE"""),"Swathi Paluri")</f>
        <v>Swathi Paluri</v>
      </c>
      <c r="B78" s="71" t="str">
        <f>IFERROR(__xludf.DUMMYFUNCTION("""COMPUTED_VALUE"""),"19335A0516")</f>
        <v>19335A0516</v>
      </c>
      <c r="C78" s="71" t="str">
        <f>IFERROR(__xludf.DUMMYFUNCTION("""COMPUTED_VALUE"""),"AICTE")</f>
        <v>AICTE</v>
      </c>
      <c r="D78" s="71" t="str">
        <f>IFERROR(__xludf.DUMMYFUNCTION("""COMPUTED_VALUE"""),"2months")</f>
        <v>2months</v>
      </c>
      <c r="E78" s="72">
        <f>IFERROR(__xludf.DUMMYFUNCTION("""COMPUTED_VALUE"""),44470.0)</f>
        <v>44470</v>
      </c>
      <c r="F78" s="72">
        <f>IFERROR(__xludf.DUMMYFUNCTION("""COMPUTED_VALUE"""),44560.0)</f>
        <v>44560</v>
      </c>
      <c r="G78" s="71" t="str">
        <f>IFERROR(__xludf.DUMMYFUNCTION("""COMPUTED_VALUE"""),"No")</f>
        <v>No</v>
      </c>
      <c r="H78" s="71" t="str">
        <f>IFERROR(__xludf.DUMMYFUNCTION("""COMPUTED_VALUE"""),"No")</f>
        <v>No</v>
      </c>
      <c r="I78" s="71">
        <f>IFERROR(__xludf.DUMMYFUNCTION("""COMPUTED_VALUE"""),0.0)</f>
        <v>0</v>
      </c>
      <c r="J78" s="73" t="str">
        <f>IFERROR(__xludf.DUMMYFUNCTION("""COMPUTED_VALUE"""),"https://drive.google.com/open?id=1GMChl2S9RjFtG0f56onc7V-grHCA0_D-")</f>
        <v>https://drive.google.com/open?id=1GMChl2S9RjFtG0f56onc7V-grHCA0_D-</v>
      </c>
      <c r="K78" s="71" t="str">
        <f>IFERROR(__xludf.DUMMYFUNCTION("""COMPUTED_VALUE"""),"2018-2022")</f>
        <v>2018-2022</v>
      </c>
      <c r="L78" s="71" t="str">
        <f>IFERROR(__xludf.DUMMYFUNCTION("""COMPUTED_VALUE"""),"S3: Student Internships")</f>
        <v>S3: Student Internships</v>
      </c>
      <c r="M78" s="71" t="str">
        <f>IFERROR(__xludf.DUMMYFUNCTION("""COMPUTED_VALUE"""),"swathich164@gmail.com")</f>
        <v>swathich164@gmail.com</v>
      </c>
      <c r="N78" s="71" t="str">
        <f>IFERROR(__xludf.DUMMYFUNCTION("""COMPUTED_VALUE"""),"SEM-7")</f>
        <v>SEM-7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</row>
    <row r="79" ht="33.0" customHeight="1">
      <c r="A79" s="71" t="str">
        <f>IFERROR(__xludf.DUMMYFUNCTION("""COMPUTED_VALUE"""),"mohammad riyazul haneef sharief")</f>
        <v>mohammad riyazul haneef sharief</v>
      </c>
      <c r="B79" s="71" t="str">
        <f>IFERROR(__xludf.DUMMYFUNCTION("""COMPUTED_VALUE"""),"18331A05H6")</f>
        <v>18331A05H6</v>
      </c>
      <c r="C79" s="71" t="str">
        <f>IFERROR(__xludf.DUMMYFUNCTION("""COMPUTED_VALUE"""),"EDUSKILLS")</f>
        <v>EDUSKILLS</v>
      </c>
      <c r="D79" s="71" t="str">
        <f>IFERROR(__xludf.DUMMYFUNCTION("""COMPUTED_VALUE"""),"OCT - DEC")</f>
        <v>OCT - DEC</v>
      </c>
      <c r="E79" s="72">
        <f>IFERROR(__xludf.DUMMYFUNCTION("""COMPUTED_VALUE"""),44423.0)</f>
        <v>44423</v>
      </c>
      <c r="F79" s="72">
        <f>IFERROR(__xludf.DUMMYFUNCTION("""COMPUTED_VALUE"""),44536.0)</f>
        <v>44536</v>
      </c>
      <c r="G79" s="71" t="str">
        <f>IFERROR(__xludf.DUMMYFUNCTION("""COMPUTED_VALUE"""),"No")</f>
        <v>No</v>
      </c>
      <c r="H79" s="71" t="str">
        <f>IFERROR(__xludf.DUMMYFUNCTION("""COMPUTED_VALUE"""),"No")</f>
        <v>No</v>
      </c>
      <c r="I79" s="71">
        <f>IFERROR(__xludf.DUMMYFUNCTION("""COMPUTED_VALUE"""),0.0)</f>
        <v>0</v>
      </c>
      <c r="J79" s="73" t="str">
        <f>IFERROR(__xludf.DUMMYFUNCTION("""COMPUTED_VALUE"""),"https://drive.google.com/open?id=185yq5reXH52Tg4xzEngzlZp5G3H3apQs")</f>
        <v>https://drive.google.com/open?id=185yq5reXH52Tg4xzEngzlZp5G3H3apQs</v>
      </c>
      <c r="K79" s="71" t="str">
        <f>IFERROR(__xludf.DUMMYFUNCTION("""COMPUTED_VALUE"""),"2018-2022")</f>
        <v>2018-2022</v>
      </c>
      <c r="L79" s="71" t="str">
        <f>IFERROR(__xludf.DUMMYFUNCTION("""COMPUTED_VALUE"""),"S3: Student Internships")</f>
        <v>S3: Student Internships</v>
      </c>
      <c r="M79" s="71" t="str">
        <f>IFERROR(__xludf.DUMMYFUNCTION("""COMPUTED_VALUE"""),"haneefleo10@gmail.com")</f>
        <v>haneefleo10@gmail.com</v>
      </c>
      <c r="N79" s="71" t="str">
        <f>IFERROR(__xludf.DUMMYFUNCTION("""COMPUTED_VALUE"""),"SEM-8")</f>
        <v>SEM-8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</row>
    <row r="80" ht="33.0" customHeight="1">
      <c r="A80" s="71" t="str">
        <f>IFERROR(__xludf.DUMMYFUNCTION("""COMPUTED_VALUE"""),"Buddharaju Pragna")</f>
        <v>Buddharaju Pragna</v>
      </c>
      <c r="B80" s="71" t="str">
        <f>IFERROR(__xludf.DUMMYFUNCTION("""COMPUTED_VALUE"""),"18331A05H2")</f>
        <v>18331A05H2</v>
      </c>
      <c r="C80" s="71" t="str">
        <f>IFERROR(__xludf.DUMMYFUNCTION("""COMPUTED_VALUE"""),"TCS")</f>
        <v>TCS</v>
      </c>
      <c r="D80" s="71" t="str">
        <f>IFERROR(__xludf.DUMMYFUNCTION("""COMPUTED_VALUE"""),"2 months")</f>
        <v>2 months</v>
      </c>
      <c r="E80" s="72">
        <f>IFERROR(__xludf.DUMMYFUNCTION("""COMPUTED_VALUE"""),44615.0)</f>
        <v>44615</v>
      </c>
      <c r="F80" s="72">
        <f>IFERROR(__xludf.DUMMYFUNCTION("""COMPUTED_VALUE"""),44680.0)</f>
        <v>44680</v>
      </c>
      <c r="G80" s="71" t="str">
        <f>IFERROR(__xludf.DUMMYFUNCTION("""COMPUTED_VALUE"""),"No")</f>
        <v>No</v>
      </c>
      <c r="H80" s="71" t="str">
        <f>IFERROR(__xludf.DUMMYFUNCTION("""COMPUTED_VALUE"""),"No")</f>
        <v>No</v>
      </c>
      <c r="I80" s="71">
        <f>IFERROR(__xludf.DUMMYFUNCTION("""COMPUTED_VALUE"""),0.0)</f>
        <v>0</v>
      </c>
      <c r="J80" s="73" t="str">
        <f>IFERROR(__xludf.DUMMYFUNCTION("""COMPUTED_VALUE"""),"https://drive.google.com/open?id=1V-ZHoqUtAElJvV2UCSkugzD7cF6D22cX")</f>
        <v>https://drive.google.com/open?id=1V-ZHoqUtAElJvV2UCSkugzD7cF6D22cX</v>
      </c>
      <c r="K80" s="71" t="str">
        <f>IFERROR(__xludf.DUMMYFUNCTION("""COMPUTED_VALUE"""),"2018-2022")</f>
        <v>2018-2022</v>
      </c>
      <c r="L80" s="71" t="str">
        <f>IFERROR(__xludf.DUMMYFUNCTION("""COMPUTED_VALUE"""),"S3: Student Internships")</f>
        <v>S3: Student Internships</v>
      </c>
      <c r="M80" s="71" t="str">
        <f>IFERROR(__xludf.DUMMYFUNCTION("""COMPUTED_VALUE"""),"pragnabuddharaju@gmail.com")</f>
        <v>pragnabuddharaju@gmail.com</v>
      </c>
      <c r="N80" s="71" t="str">
        <f>IFERROR(__xludf.DUMMYFUNCTION("""COMPUTED_VALUE"""),"SEM-8")</f>
        <v>SEM-8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</row>
    <row r="81" ht="33.0" customHeight="1">
      <c r="A81" s="71" t="str">
        <f>IFERROR(__xludf.DUMMYFUNCTION("""COMPUTED_VALUE"""),"Savant Venkata Sai Mullapudi")</f>
        <v>Savant Venkata Sai Mullapudi</v>
      </c>
      <c r="B81" s="71" t="str">
        <f>IFERROR(__xludf.DUMMYFUNCTION("""COMPUTED_VALUE"""),"18331A05G7")</f>
        <v>18331A05G7</v>
      </c>
      <c r="C81" s="71" t="str">
        <f>IFERROR(__xludf.DUMMYFUNCTION("""COMPUTED_VALUE"""),"Pro Digital Worx")</f>
        <v>Pro Digital Worx</v>
      </c>
      <c r="D81" s="71" t="str">
        <f>IFERROR(__xludf.DUMMYFUNCTION("""COMPUTED_VALUE"""),"4 months")</f>
        <v>4 months</v>
      </c>
      <c r="E81" s="72">
        <f>IFERROR(__xludf.DUMMYFUNCTION("""COMPUTED_VALUE"""),44621.0)</f>
        <v>44621</v>
      </c>
      <c r="F81" s="72">
        <f>IFERROR(__xludf.DUMMYFUNCTION("""COMPUTED_VALUE"""),44742.0)</f>
        <v>44742</v>
      </c>
      <c r="G81" s="71" t="str">
        <f>IFERROR(__xludf.DUMMYFUNCTION("""COMPUTED_VALUE"""),"Yes")</f>
        <v>Yes</v>
      </c>
      <c r="H81" s="71" t="str">
        <f>IFERROR(__xludf.DUMMYFUNCTION("""COMPUTED_VALUE"""),"No")</f>
        <v>No</v>
      </c>
      <c r="I81" s="71">
        <f>IFERROR(__xludf.DUMMYFUNCTION("""COMPUTED_VALUE"""),10000.0)</f>
        <v>10000</v>
      </c>
      <c r="J81" s="73" t="str">
        <f>IFERROR(__xludf.DUMMYFUNCTION("""COMPUTED_VALUE"""),"https://drive.google.com/open?id=1XQxkvsPZxMq63zzQhpUlzZHGT-30Giml")</f>
        <v>https://drive.google.com/open?id=1XQxkvsPZxMq63zzQhpUlzZHGT-30Giml</v>
      </c>
      <c r="K81" s="71" t="str">
        <f>IFERROR(__xludf.DUMMYFUNCTION("""COMPUTED_VALUE"""),"2018-2022")</f>
        <v>2018-2022</v>
      </c>
      <c r="L81" s="71" t="str">
        <f>IFERROR(__xludf.DUMMYFUNCTION("""COMPUTED_VALUE"""),"S3: Student Internships")</f>
        <v>S3: Student Internships</v>
      </c>
      <c r="M81" s="71" t="str">
        <f>IFERROR(__xludf.DUMMYFUNCTION("""COMPUTED_VALUE"""),"savant.mullapudi@gmail.com")</f>
        <v>savant.mullapudi@gmail.com</v>
      </c>
      <c r="N81" s="71" t="str">
        <f>IFERROR(__xludf.DUMMYFUNCTION("""COMPUTED_VALUE"""),"SEM-8")</f>
        <v>SEM-8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</row>
    <row r="82" ht="33.0" customHeight="1">
      <c r="A82" s="71" t="str">
        <f>IFERROR(__xludf.DUMMYFUNCTION("""COMPUTED_VALUE"""),"Savant Venkata Sai Mullapudi ")</f>
        <v>Savant Venkata Sai Mullapudi </v>
      </c>
      <c r="B82" s="71" t="str">
        <f>IFERROR(__xludf.DUMMYFUNCTION("""COMPUTED_VALUE"""),"18331A05G7")</f>
        <v>18331A05G7</v>
      </c>
      <c r="C82" s="71" t="str">
        <f>IFERROR(__xludf.DUMMYFUNCTION("""COMPUTED_VALUE"""),"AWS Virtual internship")</f>
        <v>AWS Virtual internship</v>
      </c>
      <c r="D82" s="71" t="str">
        <f>IFERROR(__xludf.DUMMYFUNCTION("""COMPUTED_VALUE"""),"3 months")</f>
        <v>3 months</v>
      </c>
      <c r="E82" s="72">
        <f>IFERROR(__xludf.DUMMYFUNCTION("""COMPUTED_VALUE"""),44470.0)</f>
        <v>44470</v>
      </c>
      <c r="F82" s="72">
        <f>IFERROR(__xludf.DUMMYFUNCTION("""COMPUTED_VALUE"""),44561.0)</f>
        <v>44561</v>
      </c>
      <c r="G82" s="71" t="str">
        <f>IFERROR(__xludf.DUMMYFUNCTION("""COMPUTED_VALUE"""),"No")</f>
        <v>No</v>
      </c>
      <c r="H82" s="71" t="str">
        <f>IFERROR(__xludf.DUMMYFUNCTION("""COMPUTED_VALUE"""),"No")</f>
        <v>No</v>
      </c>
      <c r="I82" s="71">
        <f>IFERROR(__xludf.DUMMYFUNCTION("""COMPUTED_VALUE"""),0.0)</f>
        <v>0</v>
      </c>
      <c r="J82" s="73" t="str">
        <f>IFERROR(__xludf.DUMMYFUNCTION("""COMPUTED_VALUE"""),"https://drive.google.com/open?id=1lThSYHiqJHzqahEuh_3YUwc0a9q2IBhp")</f>
        <v>https://drive.google.com/open?id=1lThSYHiqJHzqahEuh_3YUwc0a9q2IBhp</v>
      </c>
      <c r="K82" s="71" t="str">
        <f>IFERROR(__xludf.DUMMYFUNCTION("""COMPUTED_VALUE"""),"2018-2022")</f>
        <v>2018-2022</v>
      </c>
      <c r="L82" s="71" t="str">
        <f>IFERROR(__xludf.DUMMYFUNCTION("""COMPUTED_VALUE"""),"S3: Student Internships")</f>
        <v>S3: Student Internships</v>
      </c>
      <c r="M82" s="71" t="str">
        <f>IFERROR(__xludf.DUMMYFUNCTION("""COMPUTED_VALUE"""),"savant.mullapudi@gmail.com")</f>
        <v>savant.mullapudi@gmail.com</v>
      </c>
      <c r="N82" s="71" t="str">
        <f>IFERROR(__xludf.DUMMYFUNCTION("""COMPUTED_VALUE"""),"SEM-8")</f>
        <v>SEM-8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</row>
    <row r="83" ht="33.0" customHeight="1">
      <c r="A83" s="75" t="str">
        <f>IFERROR(__xludf.DUMMYFUNCTION("""COMPUTED_VALUE"""),"Kasi Suresh")</f>
        <v>Kasi Suresh</v>
      </c>
      <c r="B83" s="75" t="str">
        <f>IFERROR(__xludf.DUMMYFUNCTION("""COMPUTED_VALUE"""),"18331A0573")</f>
        <v>18331A0573</v>
      </c>
      <c r="C83" s="75" t="str">
        <f>IFERROR(__xludf.DUMMYFUNCTION("""COMPUTED_VALUE"""),"Wipro")</f>
        <v>Wipro</v>
      </c>
      <c r="D83" s="75" t="str">
        <f>IFERROR(__xludf.DUMMYFUNCTION("""COMPUTED_VALUE"""),"3 months")</f>
        <v>3 months</v>
      </c>
      <c r="E83" s="76">
        <f>IFERROR(__xludf.DUMMYFUNCTION("""COMPUTED_VALUE"""),44634.0)</f>
        <v>44634</v>
      </c>
      <c r="F83" s="76">
        <f>IFERROR(__xludf.DUMMYFUNCTION("""COMPUTED_VALUE"""),44726.0)</f>
        <v>44726</v>
      </c>
      <c r="G83" s="75" t="str">
        <f>IFERROR(__xludf.DUMMYFUNCTION("""COMPUTED_VALUE"""),"No")</f>
        <v>No</v>
      </c>
      <c r="H83" s="75" t="str">
        <f>IFERROR(__xludf.DUMMYFUNCTION("""COMPUTED_VALUE"""),"No")</f>
        <v>No</v>
      </c>
      <c r="I83" s="75">
        <f>IFERROR(__xludf.DUMMYFUNCTION("""COMPUTED_VALUE"""),0.0)</f>
        <v>0</v>
      </c>
      <c r="J83" s="77" t="str">
        <f>IFERROR(__xludf.DUMMYFUNCTION("""COMPUTED_VALUE"""),"https://drive.google.com/open?id=1DeZf8Izquo12knJ7xhM8jkqs47vI9VAG")</f>
        <v>https://drive.google.com/open?id=1DeZf8Izquo12knJ7xhM8jkqs47vI9VAG</v>
      </c>
      <c r="K83" s="75" t="str">
        <f>IFERROR(__xludf.DUMMYFUNCTION("""COMPUTED_VALUE"""),"2018-2022")</f>
        <v>2018-2022</v>
      </c>
      <c r="L83" s="75" t="str">
        <f>IFERROR(__xludf.DUMMYFUNCTION("""COMPUTED_VALUE"""),"S3: Student Internships")</f>
        <v>S3: Student Internships</v>
      </c>
      <c r="M83" s="75" t="str">
        <f>IFERROR(__xludf.DUMMYFUNCTION("""COMPUTED_VALUE"""),"sureshkasi06@gmail.com")</f>
        <v>sureshkasi06@gmail.com</v>
      </c>
      <c r="N83" s="75" t="str">
        <f>IFERROR(__xludf.DUMMYFUNCTION("""COMPUTED_VALUE"""),"SEM-8")</f>
        <v>SEM-8</v>
      </c>
      <c r="O83" s="78"/>
      <c r="P83" s="78"/>
      <c r="Q83" s="78"/>
      <c r="R83" s="78"/>
      <c r="S83" s="78"/>
      <c r="T83" s="78"/>
      <c r="U83" s="78"/>
      <c r="V83" s="78"/>
      <c r="W83" s="78"/>
      <c r="X83" s="78"/>
    </row>
    <row r="84" ht="33.0" customHeight="1">
      <c r="A84" s="71" t="str">
        <f>IFERROR(__xludf.DUMMYFUNCTION("""COMPUTED_VALUE"""),"Vattikulla Sharmila")</f>
        <v>Vattikulla Sharmila</v>
      </c>
      <c r="B84" s="71" t="str">
        <f>IFERROR(__xludf.DUMMYFUNCTION("""COMPUTED_VALUE"""),"18331A05H8")</f>
        <v>18331A05H8</v>
      </c>
      <c r="C84" s="71" t="str">
        <f>IFERROR(__xludf.DUMMYFUNCTION("""COMPUTED_VALUE"""),"Eduskills")</f>
        <v>Eduskills</v>
      </c>
      <c r="D84" s="71" t="str">
        <f>IFERROR(__xludf.DUMMYFUNCTION("""COMPUTED_VALUE"""),"3 months")</f>
        <v>3 months</v>
      </c>
      <c r="E84" s="72">
        <f>IFERROR(__xludf.DUMMYFUNCTION("""COMPUTED_VALUE"""),44470.0)</f>
        <v>44470</v>
      </c>
      <c r="F84" s="72">
        <f>IFERROR(__xludf.DUMMYFUNCTION("""COMPUTED_VALUE"""),44561.0)</f>
        <v>44561</v>
      </c>
      <c r="G84" s="71" t="str">
        <f>IFERROR(__xludf.DUMMYFUNCTION("""COMPUTED_VALUE"""),"No")</f>
        <v>No</v>
      </c>
      <c r="H84" s="71" t="str">
        <f>IFERROR(__xludf.DUMMYFUNCTION("""COMPUTED_VALUE"""),"No")</f>
        <v>No</v>
      </c>
      <c r="I84" s="71">
        <f>IFERROR(__xludf.DUMMYFUNCTION("""COMPUTED_VALUE"""),0.0)</f>
        <v>0</v>
      </c>
      <c r="J84" s="73" t="str">
        <f>IFERROR(__xludf.DUMMYFUNCTION("""COMPUTED_VALUE"""),"https://drive.google.com/open?id=1gKXf64OaYsX91n6YGp_dwGAQ9rb5W9na")</f>
        <v>https://drive.google.com/open?id=1gKXf64OaYsX91n6YGp_dwGAQ9rb5W9na</v>
      </c>
      <c r="K84" s="71" t="str">
        <f>IFERROR(__xludf.DUMMYFUNCTION("""COMPUTED_VALUE"""),"2018-2022")</f>
        <v>2018-2022</v>
      </c>
      <c r="L84" s="71" t="str">
        <f>IFERROR(__xludf.DUMMYFUNCTION("""COMPUTED_VALUE"""),"S3: Student Internships")</f>
        <v>S3: Student Internships</v>
      </c>
      <c r="M84" s="71" t="str">
        <f>IFERROR(__xludf.DUMMYFUNCTION("""COMPUTED_VALUE"""),"sharmilavattikulla@gmail.com")</f>
        <v>sharmilavattikulla@gmail.com</v>
      </c>
      <c r="N84" s="71" t="str">
        <f>IFERROR(__xludf.DUMMYFUNCTION("""COMPUTED_VALUE"""),"SEM-8")</f>
        <v>SEM-8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</row>
    <row r="85" ht="33.0" customHeight="1">
      <c r="A85" s="71" t="str">
        <f>IFERROR(__xludf.DUMMYFUNCTION("""COMPUTED_VALUE"""),"Sravani Sreepada")</f>
        <v>Sravani Sreepada</v>
      </c>
      <c r="B85" s="71" t="str">
        <f>IFERROR(__xludf.DUMMYFUNCTION("""COMPUTED_VALUE"""),"19331A05G1")</f>
        <v>19331A05G1</v>
      </c>
      <c r="C85" s="71" t="str">
        <f>IFERROR(__xludf.DUMMYFUNCTION("""COMPUTED_VALUE"""),"EduSkills")</f>
        <v>EduSkills</v>
      </c>
      <c r="D85" s="71" t="str">
        <f>IFERROR(__xludf.DUMMYFUNCTION("""COMPUTED_VALUE"""),"3 months")</f>
        <v>3 months</v>
      </c>
      <c r="E85" s="72">
        <f>IFERROR(__xludf.DUMMYFUNCTION("""COMPUTED_VALUE"""),44479.0)</f>
        <v>44479</v>
      </c>
      <c r="F85" s="72">
        <f>IFERROR(__xludf.DUMMYFUNCTION("""COMPUTED_VALUE"""),44540.0)</f>
        <v>44540</v>
      </c>
      <c r="G85" s="71" t="str">
        <f>IFERROR(__xludf.DUMMYFUNCTION("""COMPUTED_VALUE"""),"No")</f>
        <v>No</v>
      </c>
      <c r="H85" s="71" t="str">
        <f>IFERROR(__xludf.DUMMYFUNCTION("""COMPUTED_VALUE"""),"No")</f>
        <v>No</v>
      </c>
      <c r="I85" s="71">
        <f>IFERROR(__xludf.DUMMYFUNCTION("""COMPUTED_VALUE"""),0.0)</f>
        <v>0</v>
      </c>
      <c r="J85" s="73" t="str">
        <f>IFERROR(__xludf.DUMMYFUNCTION("""COMPUTED_VALUE"""),"https://drive.google.com/open?id=1R_crjsy8Lbn26MMooTRDEIdrtwv0l2F0")</f>
        <v>https://drive.google.com/open?id=1R_crjsy8Lbn26MMooTRDEIdrtwv0l2F0</v>
      </c>
      <c r="K85" s="71" t="str">
        <f>IFERROR(__xludf.DUMMYFUNCTION("""COMPUTED_VALUE"""),"2019-2023")</f>
        <v>2019-2023</v>
      </c>
      <c r="L85" s="71" t="str">
        <f>IFERROR(__xludf.DUMMYFUNCTION("""COMPUTED_VALUE"""),"S3: Student Internships")</f>
        <v>S3: Student Internships</v>
      </c>
      <c r="M85" s="71" t="str">
        <f>IFERROR(__xludf.DUMMYFUNCTION("""COMPUTED_VALUE"""),"sreepadasravani@gmail.com")</f>
        <v>sreepadasravani@gmail.com</v>
      </c>
      <c r="N85" s="71" t="str">
        <f>IFERROR(__xludf.DUMMYFUNCTION("""COMPUTED_VALUE"""),"SEM-6")</f>
        <v>SEM-6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</row>
    <row r="86" ht="33.0" customHeight="1">
      <c r="A86" s="71" t="str">
        <f>IFERROR(__xludf.DUMMYFUNCTION("""COMPUTED_VALUE"""),"Hari Rama krishna Turpati")</f>
        <v>Hari Rama krishna Turpati</v>
      </c>
      <c r="B86" s="71" t="str">
        <f>IFERROR(__xludf.DUMMYFUNCTION("""COMPUTED_VALUE"""),"18331A05F9")</f>
        <v>18331A05F9</v>
      </c>
      <c r="C86" s="71" t="str">
        <f>IFERROR(__xludf.DUMMYFUNCTION("""COMPUTED_VALUE"""),"ProDigital Worx")</f>
        <v>ProDigital Worx</v>
      </c>
      <c r="D86" s="71" t="str">
        <f>IFERROR(__xludf.DUMMYFUNCTION("""COMPUTED_VALUE"""),"4 months")</f>
        <v>4 months</v>
      </c>
      <c r="E86" s="72">
        <f>IFERROR(__xludf.DUMMYFUNCTION("""COMPUTED_VALUE"""),44621.0)</f>
        <v>44621</v>
      </c>
      <c r="F86" s="72">
        <f>IFERROR(__xludf.DUMMYFUNCTION("""COMPUTED_VALUE"""),44742.0)</f>
        <v>44742</v>
      </c>
      <c r="G86" s="71" t="str">
        <f>IFERROR(__xludf.DUMMYFUNCTION("""COMPUTED_VALUE"""),"Yes")</f>
        <v>Yes</v>
      </c>
      <c r="H86" s="71" t="str">
        <f>IFERROR(__xludf.DUMMYFUNCTION("""COMPUTED_VALUE"""),"No")</f>
        <v>No</v>
      </c>
      <c r="I86" s="71">
        <f>IFERROR(__xludf.DUMMYFUNCTION("""COMPUTED_VALUE"""),0.0)</f>
        <v>0</v>
      </c>
      <c r="J86" s="73" t="str">
        <f>IFERROR(__xludf.DUMMYFUNCTION("""COMPUTED_VALUE"""),"https://drive.google.com/open?id=1iT_54ac8mHt0eNjUvGQm683y9KsMKAtY")</f>
        <v>https://drive.google.com/open?id=1iT_54ac8mHt0eNjUvGQm683y9KsMKAtY</v>
      </c>
      <c r="K86" s="71" t="str">
        <f>IFERROR(__xludf.DUMMYFUNCTION("""COMPUTED_VALUE"""),"2018-2022")</f>
        <v>2018-2022</v>
      </c>
      <c r="L86" s="71" t="str">
        <f>IFERROR(__xludf.DUMMYFUNCTION("""COMPUTED_VALUE"""),"S3: Student Internships")</f>
        <v>S3: Student Internships</v>
      </c>
      <c r="M86" s="71" t="str">
        <f>IFERROR(__xludf.DUMMYFUNCTION("""COMPUTED_VALUE"""),"thriramakrishna95@gmail.com")</f>
        <v>thriramakrishna95@gmail.com</v>
      </c>
      <c r="N86" s="71" t="str">
        <f>IFERROR(__xludf.DUMMYFUNCTION("""COMPUTED_VALUE"""),"SEM-8")</f>
        <v>SEM-8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</row>
    <row r="87" ht="33.0" customHeight="1">
      <c r="A87" s="71" t="str">
        <f>IFERROR(__xludf.DUMMYFUNCTION("""COMPUTED_VALUE"""),"Mandadi Bharathi naga sri sai prathyusha ")</f>
        <v>Mandadi Bharathi naga sri sai prathyusha </v>
      </c>
      <c r="B87" s="71" t="str">
        <f>IFERROR(__xludf.DUMMYFUNCTION("""COMPUTED_VALUE"""),"18331A0593")</f>
        <v>18331A0593</v>
      </c>
      <c r="C87" s="71" t="str">
        <f>IFERROR(__xludf.DUMMYFUNCTION("""COMPUTED_VALUE"""),"Now and me")</f>
        <v>Now and me</v>
      </c>
      <c r="D87" s="71" t="str">
        <f>IFERROR(__xludf.DUMMYFUNCTION("""COMPUTED_VALUE"""),"3 months")</f>
        <v>3 months</v>
      </c>
      <c r="E87" s="72">
        <f>IFERROR(__xludf.DUMMYFUNCTION("""COMPUTED_VALUE"""),44197.0)</f>
        <v>44197</v>
      </c>
      <c r="F87" s="72">
        <f>IFERROR(__xludf.DUMMYFUNCTION("""COMPUTED_VALUE"""),44286.0)</f>
        <v>44286</v>
      </c>
      <c r="G87" s="71" t="str">
        <f>IFERROR(__xludf.DUMMYFUNCTION("""COMPUTED_VALUE"""),"No")</f>
        <v>No</v>
      </c>
      <c r="H87" s="71" t="str">
        <f>IFERROR(__xludf.DUMMYFUNCTION("""COMPUTED_VALUE"""),"No")</f>
        <v>No</v>
      </c>
      <c r="I87" s="71">
        <f>IFERROR(__xludf.DUMMYFUNCTION("""COMPUTED_VALUE"""),0.0)</f>
        <v>0</v>
      </c>
      <c r="J87" s="73" t="str">
        <f>IFERROR(__xludf.DUMMYFUNCTION("""COMPUTED_VALUE"""),"https://drive.google.com/open?id=1pWiCeUui6TF-dBkqKuF1k9wm-ZuQPQmy")</f>
        <v>https://drive.google.com/open?id=1pWiCeUui6TF-dBkqKuF1k9wm-ZuQPQmy</v>
      </c>
      <c r="K87" s="71" t="str">
        <f>IFERROR(__xludf.DUMMYFUNCTION("""COMPUTED_VALUE"""),"2018-2022")</f>
        <v>2018-2022</v>
      </c>
      <c r="L87" s="71" t="str">
        <f>IFERROR(__xludf.DUMMYFUNCTION("""COMPUTED_VALUE"""),"S3: Student Internships")</f>
        <v>S3: Student Internships</v>
      </c>
      <c r="M87" s="71" t="str">
        <f>IFERROR(__xludf.DUMMYFUNCTION("""COMPUTED_VALUE"""),"mandadi.prathyusha@gmail.com")</f>
        <v>mandadi.prathyusha@gmail.com</v>
      </c>
      <c r="N87" s="71" t="str">
        <f>IFERROR(__xludf.DUMMYFUNCTION("""COMPUTED_VALUE"""),"SEM-8")</f>
        <v>SEM-8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</row>
    <row r="88" ht="33.0" customHeight="1">
      <c r="A88" s="71" t="str">
        <f>IFERROR(__xludf.DUMMYFUNCTION("""COMPUTED_VALUE"""),"PRAJYULITHA LAKKOJU")</f>
        <v>PRAJYULITHA LAKKOJU</v>
      </c>
      <c r="B88" s="71" t="str">
        <f>IFERROR(__xludf.DUMMYFUNCTION("""COMPUTED_VALUE"""),"20331A0598")</f>
        <v>20331A0598</v>
      </c>
      <c r="C88" s="71" t="str">
        <f>IFERROR(__xludf.DUMMYFUNCTION("""COMPUTED_VALUE"""),"eduskills")</f>
        <v>eduskills</v>
      </c>
      <c r="D88" s="71" t="str">
        <f>IFERROR(__xludf.DUMMYFUNCTION("""COMPUTED_VALUE"""),"2 months")</f>
        <v>2 months</v>
      </c>
      <c r="E88" s="72">
        <f>IFERROR(__xludf.DUMMYFUNCTION("""COMPUTED_VALUE"""),44470.0)</f>
        <v>44470</v>
      </c>
      <c r="F88" s="72">
        <f>IFERROR(__xludf.DUMMYFUNCTION("""COMPUTED_VALUE"""),44561.0)</f>
        <v>44561</v>
      </c>
      <c r="G88" s="71" t="str">
        <f>IFERROR(__xludf.DUMMYFUNCTION("""COMPUTED_VALUE"""),"No")</f>
        <v>No</v>
      </c>
      <c r="H88" s="71" t="str">
        <f>IFERROR(__xludf.DUMMYFUNCTION("""COMPUTED_VALUE"""),"No")</f>
        <v>No</v>
      </c>
      <c r="I88" s="71">
        <f>IFERROR(__xludf.DUMMYFUNCTION("""COMPUTED_VALUE"""),0.0)</f>
        <v>0</v>
      </c>
      <c r="J88" s="73" t="str">
        <f>IFERROR(__xludf.DUMMYFUNCTION("""COMPUTED_VALUE"""),"https://drive.google.com/open?id=1oBsoHCUqyikc8mDOXNplplxNdc8rspMh")</f>
        <v>https://drive.google.com/open?id=1oBsoHCUqyikc8mDOXNplplxNdc8rspMh</v>
      </c>
      <c r="K88" s="71" t="str">
        <f>IFERROR(__xludf.DUMMYFUNCTION("""COMPUTED_VALUE"""),"2020-2024")</f>
        <v>2020-2024</v>
      </c>
      <c r="L88" s="71" t="str">
        <f>IFERROR(__xludf.DUMMYFUNCTION("""COMPUTED_VALUE"""),"S3: Student Internships")</f>
        <v>S3: Student Internships</v>
      </c>
      <c r="M88" s="71" t="str">
        <f>IFERROR(__xludf.DUMMYFUNCTION("""COMPUTED_VALUE"""),"sonalakkoju6@gmail.com")</f>
        <v>sonalakkoju6@gmail.com</v>
      </c>
      <c r="N88" s="71" t="str">
        <f>IFERROR(__xludf.DUMMYFUNCTION("""COMPUTED_VALUE"""),"SEM-3")</f>
        <v>SEM-3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</row>
    <row r="89" ht="33.0" customHeight="1">
      <c r="A89" s="71" t="str">
        <f>IFERROR(__xludf.DUMMYFUNCTION("""COMPUTED_VALUE"""),"Mandadi Bharathi naga sri sai prathyusha ")</f>
        <v>Mandadi Bharathi naga sri sai prathyusha </v>
      </c>
      <c r="B89" s="71" t="str">
        <f>IFERROR(__xludf.DUMMYFUNCTION("""COMPUTED_VALUE"""),"18331A0593")</f>
        <v>18331A0593</v>
      </c>
      <c r="C89" s="71" t="str">
        <f>IFERROR(__xludf.DUMMYFUNCTION("""COMPUTED_VALUE"""),"Smart knower")</f>
        <v>Smart knower</v>
      </c>
      <c r="D89" s="71" t="str">
        <f>IFERROR(__xludf.DUMMYFUNCTION("""COMPUTED_VALUE"""),"6")</f>
        <v>6</v>
      </c>
      <c r="E89" s="72">
        <f>IFERROR(__xludf.DUMMYFUNCTION("""COMPUTED_VALUE"""),44123.0)</f>
        <v>44123</v>
      </c>
      <c r="F89" s="72">
        <f>IFERROR(__xludf.DUMMYFUNCTION("""COMPUTED_VALUE"""),44305.0)</f>
        <v>44305</v>
      </c>
      <c r="G89" s="71" t="str">
        <f>IFERROR(__xludf.DUMMYFUNCTION("""COMPUTED_VALUE"""),"No")</f>
        <v>No</v>
      </c>
      <c r="H89" s="71" t="str">
        <f>IFERROR(__xludf.DUMMYFUNCTION("""COMPUTED_VALUE"""),"No")</f>
        <v>No</v>
      </c>
      <c r="I89" s="71">
        <f>IFERROR(__xludf.DUMMYFUNCTION("""COMPUTED_VALUE"""),0.0)</f>
        <v>0</v>
      </c>
      <c r="J89" s="73" t="str">
        <f>IFERROR(__xludf.DUMMYFUNCTION("""COMPUTED_VALUE"""),"https://drive.google.com/open?id=1GcsdzqCzF19-5ITW2e-Qg41q-oUQdwCy")</f>
        <v>https://drive.google.com/open?id=1GcsdzqCzF19-5ITW2e-Qg41q-oUQdwCy</v>
      </c>
      <c r="K89" s="71" t="str">
        <f>IFERROR(__xludf.DUMMYFUNCTION("""COMPUTED_VALUE"""),"2018-2022")</f>
        <v>2018-2022</v>
      </c>
      <c r="L89" s="71" t="str">
        <f>IFERROR(__xludf.DUMMYFUNCTION("""COMPUTED_VALUE"""),"S3: Student Internships")</f>
        <v>S3: Student Internships</v>
      </c>
      <c r="M89" s="71" t="str">
        <f>IFERROR(__xludf.DUMMYFUNCTION("""COMPUTED_VALUE"""),"mandadi.prathyusha@gmail.com")</f>
        <v>mandadi.prathyusha@gmail.com</v>
      </c>
      <c r="N89" s="71" t="str">
        <f>IFERROR(__xludf.DUMMYFUNCTION("""COMPUTED_VALUE"""),"SEM-8")</f>
        <v>SEM-8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</row>
    <row r="90" ht="33.0" customHeight="1">
      <c r="A90" s="71" t="str">
        <f>IFERROR(__xludf.DUMMYFUNCTION("""COMPUTED_VALUE"""),"Sai Yogesh Bhasuru")</f>
        <v>Sai Yogesh Bhasuru</v>
      </c>
      <c r="B90" s="71" t="str">
        <f>IFERROR(__xludf.DUMMYFUNCTION("""COMPUTED_VALUE"""),"18331A05D4")</f>
        <v>18331A05D4</v>
      </c>
      <c r="C90" s="71" t="str">
        <f>IFERROR(__xludf.DUMMYFUNCTION("""COMPUTED_VALUE"""),"EDU SKILLS")</f>
        <v>EDU SKILLS</v>
      </c>
      <c r="D90" s="71" t="str">
        <f>IFERROR(__xludf.DUMMYFUNCTION("""COMPUTED_VALUE"""),"10 WEEKS")</f>
        <v>10 WEEKS</v>
      </c>
      <c r="E90" s="72">
        <f>IFERROR(__xludf.DUMMYFUNCTION("""COMPUTED_VALUE"""),44490.0)</f>
        <v>44490</v>
      </c>
      <c r="F90" s="72">
        <f>IFERROR(__xludf.DUMMYFUNCTION("""COMPUTED_VALUE"""),44561.0)</f>
        <v>44561</v>
      </c>
      <c r="G90" s="71" t="str">
        <f>IFERROR(__xludf.DUMMYFUNCTION("""COMPUTED_VALUE"""),"No")</f>
        <v>No</v>
      </c>
      <c r="H90" s="71" t="str">
        <f>IFERROR(__xludf.DUMMYFUNCTION("""COMPUTED_VALUE"""),"No")</f>
        <v>No</v>
      </c>
      <c r="I90" s="71">
        <f>IFERROR(__xludf.DUMMYFUNCTION("""COMPUTED_VALUE"""),0.0)</f>
        <v>0</v>
      </c>
      <c r="J90" s="73" t="str">
        <f>IFERROR(__xludf.DUMMYFUNCTION("""COMPUTED_VALUE"""),"https://drive.google.com/open?id=1MMJqoGur-eMCf_7hAzgs-uyOed9kNdHH")</f>
        <v>https://drive.google.com/open?id=1MMJqoGur-eMCf_7hAzgs-uyOed9kNdHH</v>
      </c>
      <c r="K90" s="71" t="str">
        <f>IFERROR(__xludf.DUMMYFUNCTION("""COMPUTED_VALUE"""),"2018-2022")</f>
        <v>2018-2022</v>
      </c>
      <c r="L90" s="71" t="str">
        <f>IFERROR(__xludf.DUMMYFUNCTION("""COMPUTED_VALUE"""),"S3: Student Internships")</f>
        <v>S3: Student Internships</v>
      </c>
      <c r="M90" s="71" t="str">
        <f>IFERROR(__xludf.DUMMYFUNCTION("""COMPUTED_VALUE"""),"saiyogeshbhasuru16@gmail.com")</f>
        <v>saiyogeshbhasuru16@gmail.com</v>
      </c>
      <c r="N90" s="71" t="str">
        <f>IFERROR(__xludf.DUMMYFUNCTION("""COMPUTED_VALUE"""),"SEM-8")</f>
        <v>SEM-8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</row>
    <row r="91" ht="33.0" customHeight="1">
      <c r="A91" s="71" t="str">
        <f>IFERROR(__xludf.DUMMYFUNCTION("""COMPUTED_VALUE"""),"DEVARAJU")</f>
        <v>DEVARAJU</v>
      </c>
      <c r="B91" s="71" t="str">
        <f>IFERROR(__xludf.DUMMYFUNCTION("""COMPUTED_VALUE"""),"20331A0592")</f>
        <v>20331A0592</v>
      </c>
      <c r="C91" s="71" t="str">
        <f>IFERROR(__xludf.DUMMYFUNCTION("""COMPUTED_VALUE"""),"Eduskills")</f>
        <v>Eduskills</v>
      </c>
      <c r="D91" s="71" t="str">
        <f>IFERROR(__xludf.DUMMYFUNCTION("""COMPUTED_VALUE"""),"10 weeks")</f>
        <v>10 weeks</v>
      </c>
      <c r="E91" s="72">
        <f>IFERROR(__xludf.DUMMYFUNCTION("""COMPUTED_VALUE"""),44470.0)</f>
        <v>44470</v>
      </c>
      <c r="F91" s="72">
        <f>IFERROR(__xludf.DUMMYFUNCTION("""COMPUTED_VALUE"""),44531.0)</f>
        <v>44531</v>
      </c>
      <c r="G91" s="71" t="str">
        <f>IFERROR(__xludf.DUMMYFUNCTION("""COMPUTED_VALUE"""),"No")</f>
        <v>No</v>
      </c>
      <c r="H91" s="71" t="str">
        <f>IFERROR(__xludf.DUMMYFUNCTION("""COMPUTED_VALUE"""),"No")</f>
        <v>No</v>
      </c>
      <c r="I91" s="71">
        <f>IFERROR(__xludf.DUMMYFUNCTION("""COMPUTED_VALUE"""),0.0)</f>
        <v>0</v>
      </c>
      <c r="J91" s="73" t="str">
        <f>IFERROR(__xludf.DUMMYFUNCTION("""COMPUTED_VALUE"""),"https://drive.google.com/open?id=1A2vochcJvGrHoDWXY64uTyxO0dapzj9a")</f>
        <v>https://drive.google.com/open?id=1A2vochcJvGrHoDWXY64uTyxO0dapzj9a</v>
      </c>
      <c r="K91" s="71" t="str">
        <f>IFERROR(__xludf.DUMMYFUNCTION("""COMPUTED_VALUE"""),"2020-2024")</f>
        <v>2020-2024</v>
      </c>
      <c r="L91" s="71" t="str">
        <f>IFERROR(__xludf.DUMMYFUNCTION("""COMPUTED_VALUE"""),"S3: Student Internships")</f>
        <v>S3: Student Internships</v>
      </c>
      <c r="M91" s="71" t="str">
        <f>IFERROR(__xludf.DUMMYFUNCTION("""COMPUTED_VALUE"""),"devaraj20112002@gmail.com")</f>
        <v>devaraj20112002@gmail.com</v>
      </c>
      <c r="N91" s="71" t="str">
        <f>IFERROR(__xludf.DUMMYFUNCTION("""COMPUTED_VALUE"""),"SEM-3")</f>
        <v>SEM-3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</row>
    <row r="92" ht="33.0" customHeight="1">
      <c r="A92" s="71" t="str">
        <f>IFERROR(__xludf.DUMMYFUNCTION("""COMPUTED_VALUE"""),"Venkata Surya Pranay Mamidipalli ")</f>
        <v>Venkata Surya Pranay Mamidipalli </v>
      </c>
      <c r="B92" s="71" t="str">
        <f>IFERROR(__xludf.DUMMYFUNCTION("""COMPUTED_VALUE"""),"20331A05A5 ")</f>
        <v>20331A05A5 </v>
      </c>
      <c r="C92" s="71" t="str">
        <f>IFERROR(__xludf.DUMMYFUNCTION("""COMPUTED_VALUE"""),"LINUX VIRTUAL AUTOMATION INTERNSHIP")</f>
        <v>LINUX VIRTUAL AUTOMATION INTERNSHIP</v>
      </c>
      <c r="D92" s="71" t="str">
        <f>IFERROR(__xludf.DUMMYFUNCTION("""COMPUTED_VALUE"""),"10 weeks")</f>
        <v>10 weeks</v>
      </c>
      <c r="E92" s="72">
        <f>IFERROR(__xludf.DUMMYFUNCTION("""COMPUTED_VALUE"""),44483.0)</f>
        <v>44483</v>
      </c>
      <c r="F92" s="72">
        <f>IFERROR(__xludf.DUMMYFUNCTION("""COMPUTED_VALUE"""),44561.0)</f>
        <v>44561</v>
      </c>
      <c r="G92" s="71" t="str">
        <f>IFERROR(__xludf.DUMMYFUNCTION("""COMPUTED_VALUE"""),"No")</f>
        <v>No</v>
      </c>
      <c r="H92" s="71" t="str">
        <f>IFERROR(__xludf.DUMMYFUNCTION("""COMPUTED_VALUE"""),"No")</f>
        <v>No</v>
      </c>
      <c r="I92" s="71">
        <f>IFERROR(__xludf.DUMMYFUNCTION("""COMPUTED_VALUE"""),0.0)</f>
        <v>0</v>
      </c>
      <c r="J92" s="73" t="str">
        <f>IFERROR(__xludf.DUMMYFUNCTION("""COMPUTED_VALUE"""),"https://drive.google.com/open?id=1rABfJUKRpSqleWAVpC2T3MOprLuyLyPa")</f>
        <v>https://drive.google.com/open?id=1rABfJUKRpSqleWAVpC2T3MOprLuyLyPa</v>
      </c>
      <c r="K92" s="71" t="str">
        <f>IFERROR(__xludf.DUMMYFUNCTION("""COMPUTED_VALUE"""),"2020-2024")</f>
        <v>2020-2024</v>
      </c>
      <c r="L92" s="71" t="str">
        <f>IFERROR(__xludf.DUMMYFUNCTION("""COMPUTED_VALUE"""),"S3: Student Internships")</f>
        <v>S3: Student Internships</v>
      </c>
      <c r="M92" s="71" t="str">
        <f>IFERROR(__xludf.DUMMYFUNCTION("""COMPUTED_VALUE"""),"suryapranaymamidipalli@gmail.com")</f>
        <v>suryapranaymamidipalli@gmail.com</v>
      </c>
      <c r="N92" s="71" t="str">
        <f>IFERROR(__xludf.DUMMYFUNCTION("""COMPUTED_VALUE"""),"SEM-4")</f>
        <v>SEM-4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</row>
    <row r="93" ht="33.0" customHeight="1">
      <c r="A93" s="71" t="str">
        <f>IFERROR(__xludf.DUMMYFUNCTION("""COMPUTED_VALUE"""),"Boddapati Rajesh")</f>
        <v>Boddapati Rajesh</v>
      </c>
      <c r="B93" s="71" t="str">
        <f>IFERROR(__xludf.DUMMYFUNCTION("""COMPUTED_VALUE"""),"18331A0515")</f>
        <v>18331A0515</v>
      </c>
      <c r="C93" s="71" t="str">
        <f>IFERROR(__xludf.DUMMYFUNCTION("""COMPUTED_VALUE"""),"Red Hat")</f>
        <v>Red Hat</v>
      </c>
      <c r="D93" s="71" t="str">
        <f>IFERROR(__xludf.DUMMYFUNCTION("""COMPUTED_VALUE"""),"Feb-Apr")</f>
        <v>Feb-Apr</v>
      </c>
      <c r="E93" s="72">
        <f>IFERROR(__xludf.DUMMYFUNCTION("""COMPUTED_VALUE"""),44645.0)</f>
        <v>44645</v>
      </c>
      <c r="F93" s="72">
        <f>IFERROR(__xludf.DUMMYFUNCTION("""COMPUTED_VALUE"""),44661.0)</f>
        <v>44661</v>
      </c>
      <c r="G93" s="71" t="str">
        <f>IFERROR(__xludf.DUMMYFUNCTION("""COMPUTED_VALUE"""),"No")</f>
        <v>No</v>
      </c>
      <c r="H93" s="71" t="str">
        <f>IFERROR(__xludf.DUMMYFUNCTION("""COMPUTED_VALUE"""),"No")</f>
        <v>No</v>
      </c>
      <c r="I93" s="71">
        <f>IFERROR(__xludf.DUMMYFUNCTION("""COMPUTED_VALUE"""),0.0)</f>
        <v>0</v>
      </c>
      <c r="J93" s="73" t="str">
        <f>IFERROR(__xludf.DUMMYFUNCTION("""COMPUTED_VALUE"""),"https://drive.google.com/open?id=1alC3TptgmchgQ0Ov9CEIfYpn5FubFyJL")</f>
        <v>https://drive.google.com/open?id=1alC3TptgmchgQ0Ov9CEIfYpn5FubFyJL</v>
      </c>
      <c r="K93" s="71" t="str">
        <f>IFERROR(__xludf.DUMMYFUNCTION("""COMPUTED_VALUE"""),"2018-2022")</f>
        <v>2018-2022</v>
      </c>
      <c r="L93" s="71" t="str">
        <f>IFERROR(__xludf.DUMMYFUNCTION("""COMPUTED_VALUE"""),"S3: Student Internships")</f>
        <v>S3: Student Internships</v>
      </c>
      <c r="M93" s="71" t="str">
        <f>IFERROR(__xludf.DUMMYFUNCTION("""COMPUTED_VALUE"""),"rajeshboddapati37@gmail.com")</f>
        <v>rajeshboddapati37@gmail.com</v>
      </c>
      <c r="N93" s="71" t="str">
        <f>IFERROR(__xludf.DUMMYFUNCTION("""COMPUTED_VALUE"""),"SEM-8")</f>
        <v>SEM-8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</row>
    <row r="94" ht="33.0" customHeight="1">
      <c r="A94" s="71" t="str">
        <f>IFERROR(__xludf.DUMMYFUNCTION("""COMPUTED_VALUE"""),"Sravanthi ")</f>
        <v>Sravanthi </v>
      </c>
      <c r="B94" s="71" t="str">
        <f>IFERROR(__xludf.DUMMYFUNCTION("""COMPUTED_VALUE"""),"20331A0594 ")</f>
        <v>20331A0594 </v>
      </c>
      <c r="C94" s="71" t="str">
        <f>IFERROR(__xludf.DUMMYFUNCTION("""COMPUTED_VALUE"""),"Eduskill")</f>
        <v>Eduskill</v>
      </c>
      <c r="D94" s="71" t="str">
        <f>IFERROR(__xludf.DUMMYFUNCTION("""COMPUTED_VALUE"""),"10 weeks ")</f>
        <v>10 weeks </v>
      </c>
      <c r="E94" s="72">
        <f>IFERROR(__xludf.DUMMYFUNCTION("""COMPUTED_VALUE"""),44470.0)</f>
        <v>44470</v>
      </c>
      <c r="F94" s="72">
        <f>IFERROR(__xludf.DUMMYFUNCTION("""COMPUTED_VALUE"""),44531.0)</f>
        <v>44531</v>
      </c>
      <c r="G94" s="71" t="str">
        <f>IFERROR(__xludf.DUMMYFUNCTION("""COMPUTED_VALUE"""),"No")</f>
        <v>No</v>
      </c>
      <c r="H94" s="71" t="str">
        <f>IFERROR(__xludf.DUMMYFUNCTION("""COMPUTED_VALUE"""),"No")</f>
        <v>No</v>
      </c>
      <c r="I94" s="71">
        <f>IFERROR(__xludf.DUMMYFUNCTION("""COMPUTED_VALUE"""),0.0)</f>
        <v>0</v>
      </c>
      <c r="J94" s="73" t="str">
        <f>IFERROR(__xludf.DUMMYFUNCTION("""COMPUTED_VALUE"""),"https://drive.google.com/open?id=1Jbbts9ceS-YQiXZrGgp3WKwz8lNH1LZO")</f>
        <v>https://drive.google.com/open?id=1Jbbts9ceS-YQiXZrGgp3WKwz8lNH1LZO</v>
      </c>
      <c r="K94" s="71" t="str">
        <f>IFERROR(__xludf.DUMMYFUNCTION("""COMPUTED_VALUE"""),"2020-2024")</f>
        <v>2020-2024</v>
      </c>
      <c r="L94" s="71" t="str">
        <f>IFERROR(__xludf.DUMMYFUNCTION("""COMPUTED_VALUE"""),"S3: Student Internships")</f>
        <v>S3: Student Internships</v>
      </c>
      <c r="M94" s="71" t="str">
        <f>IFERROR(__xludf.DUMMYFUNCTION("""COMPUTED_VALUE"""),"sravanthikumarapu.88@gmail.com")</f>
        <v>sravanthikumarapu.88@gmail.com</v>
      </c>
      <c r="N94" s="71" t="str">
        <f>IFERROR(__xludf.DUMMYFUNCTION("""COMPUTED_VALUE"""),"SEM-4")</f>
        <v>SEM-4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</row>
    <row r="95" ht="33.0" customHeight="1">
      <c r="A95" s="71" t="str">
        <f>IFERROR(__xludf.DUMMYFUNCTION("""COMPUTED_VALUE"""),"MD.Halima")</f>
        <v>MD.Halima</v>
      </c>
      <c r="B95" s="71" t="str">
        <f>IFERROR(__xludf.DUMMYFUNCTION("""COMPUTED_VALUE"""),"20331A05B1")</f>
        <v>20331A05B1</v>
      </c>
      <c r="C95" s="71" t="str">
        <f>IFERROR(__xludf.DUMMYFUNCTION("""COMPUTED_VALUE"""),"Eduskills")</f>
        <v>Eduskills</v>
      </c>
      <c r="D95" s="71" t="str">
        <f>IFERROR(__xludf.DUMMYFUNCTION("""COMPUTED_VALUE"""),"2montha")</f>
        <v>2montha</v>
      </c>
      <c r="E95" s="72">
        <f>IFERROR(__xludf.DUMMYFUNCTION("""COMPUTED_VALUE"""),44835.0)</f>
        <v>44835</v>
      </c>
      <c r="F95" s="72">
        <f>IFERROR(__xludf.DUMMYFUNCTION("""COMPUTED_VALUE"""),44926.0)</f>
        <v>44926</v>
      </c>
      <c r="G95" s="71" t="str">
        <f>IFERROR(__xludf.DUMMYFUNCTION("""COMPUTED_VALUE"""),"No")</f>
        <v>No</v>
      </c>
      <c r="H95" s="71" t="str">
        <f>IFERROR(__xludf.DUMMYFUNCTION("""COMPUTED_VALUE"""),"No")</f>
        <v>No</v>
      </c>
      <c r="I95" s="71">
        <f>IFERROR(__xludf.DUMMYFUNCTION("""COMPUTED_VALUE"""),0.0)</f>
        <v>0</v>
      </c>
      <c r="J95" s="73" t="str">
        <f>IFERROR(__xludf.DUMMYFUNCTION("""COMPUTED_VALUE"""),"https://drive.google.com/open?id=18oE2vDGu9afNUFdwWn5qMx4nqei6-7E9")</f>
        <v>https://drive.google.com/open?id=18oE2vDGu9afNUFdwWn5qMx4nqei6-7E9</v>
      </c>
      <c r="K95" s="71" t="str">
        <f>IFERROR(__xludf.DUMMYFUNCTION("""COMPUTED_VALUE"""),"2020-2024")</f>
        <v>2020-2024</v>
      </c>
      <c r="L95" s="71" t="str">
        <f>IFERROR(__xludf.DUMMYFUNCTION("""COMPUTED_VALUE"""),"S3: Student Internships")</f>
        <v>S3: Student Internships</v>
      </c>
      <c r="M95" s="71" t="str">
        <f>IFERROR(__xludf.DUMMYFUNCTION("""COMPUTED_VALUE"""),"md138halima@gmail.com")</f>
        <v>md138halima@gmail.com</v>
      </c>
      <c r="N95" s="71" t="str">
        <f>IFERROR(__xludf.DUMMYFUNCTION("""COMPUTED_VALUE"""),"SEM-3")</f>
        <v>SEM-3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</row>
    <row r="96" ht="33.0" customHeight="1">
      <c r="A96" s="71" t="str">
        <f>IFERROR(__xludf.DUMMYFUNCTION("""COMPUTED_VALUE"""),"MD.Halima")</f>
        <v>MD.Halima</v>
      </c>
      <c r="B96" s="71" t="str">
        <f>IFERROR(__xludf.DUMMYFUNCTION("""COMPUTED_VALUE"""),"20331A05B1")</f>
        <v>20331A05B1</v>
      </c>
      <c r="C96" s="71" t="str">
        <f>IFERROR(__xludf.DUMMYFUNCTION("""COMPUTED_VALUE"""),"Eduskills")</f>
        <v>Eduskills</v>
      </c>
      <c r="D96" s="71" t="str">
        <f>IFERROR(__xludf.DUMMYFUNCTION("""COMPUTED_VALUE"""),"2months")</f>
        <v>2months</v>
      </c>
      <c r="E96" s="72">
        <f>IFERROR(__xludf.DUMMYFUNCTION("""COMPUTED_VALUE"""),44470.0)</f>
        <v>44470</v>
      </c>
      <c r="F96" s="72">
        <f>IFERROR(__xludf.DUMMYFUNCTION("""COMPUTED_VALUE"""),44561.0)</f>
        <v>44561</v>
      </c>
      <c r="G96" s="71" t="str">
        <f>IFERROR(__xludf.DUMMYFUNCTION("""COMPUTED_VALUE"""),"No")</f>
        <v>No</v>
      </c>
      <c r="H96" s="71" t="str">
        <f>IFERROR(__xludf.DUMMYFUNCTION("""COMPUTED_VALUE"""),"No")</f>
        <v>No</v>
      </c>
      <c r="I96" s="71">
        <f>IFERROR(__xludf.DUMMYFUNCTION("""COMPUTED_VALUE"""),0.0)</f>
        <v>0</v>
      </c>
      <c r="J96" s="73" t="str">
        <f>IFERROR(__xludf.DUMMYFUNCTION("""COMPUTED_VALUE"""),"https://drive.google.com/open?id=18rsWLMQxRgogo3XfG981SyQXesg61x9O")</f>
        <v>https://drive.google.com/open?id=18rsWLMQxRgogo3XfG981SyQXesg61x9O</v>
      </c>
      <c r="K96" s="71" t="str">
        <f>IFERROR(__xludf.DUMMYFUNCTION("""COMPUTED_VALUE"""),"2020-2024")</f>
        <v>2020-2024</v>
      </c>
      <c r="L96" s="71" t="str">
        <f>IFERROR(__xludf.DUMMYFUNCTION("""COMPUTED_VALUE"""),"S3: Student Internships")</f>
        <v>S3: Student Internships</v>
      </c>
      <c r="M96" s="71" t="str">
        <f>IFERROR(__xludf.DUMMYFUNCTION("""COMPUTED_VALUE"""),"md138halima@gmail.com")</f>
        <v>md138halima@gmail.com</v>
      </c>
      <c r="N96" s="71" t="str">
        <f>IFERROR(__xludf.DUMMYFUNCTION("""COMPUTED_VALUE"""),"SEM-3")</f>
        <v>SEM-3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</row>
    <row r="97" ht="33.0" customHeight="1">
      <c r="A97" s="71" t="str">
        <f>IFERROR(__xludf.DUMMYFUNCTION("""COMPUTED_VALUE"""),"Matcha Priyanka")</f>
        <v>Matcha Priyanka</v>
      </c>
      <c r="B97" s="71" t="str">
        <f>IFERROR(__xludf.DUMMYFUNCTION("""COMPUTED_VALUE"""),"20331A05A7")</f>
        <v>20331A05A7</v>
      </c>
      <c r="C97" s="71" t="str">
        <f>IFERROR(__xludf.DUMMYFUNCTION("""COMPUTED_VALUE"""),"Eduskills")</f>
        <v>Eduskills</v>
      </c>
      <c r="D97" s="71" t="str">
        <f>IFERROR(__xludf.DUMMYFUNCTION("""COMPUTED_VALUE"""),"2 months")</f>
        <v>2 months</v>
      </c>
      <c r="E97" s="72">
        <f>IFERROR(__xludf.DUMMYFUNCTION("""COMPUTED_VALUE"""),44470.0)</f>
        <v>44470</v>
      </c>
      <c r="F97" s="72">
        <f>IFERROR(__xludf.DUMMYFUNCTION("""COMPUTED_VALUE"""),44561.0)</f>
        <v>44561</v>
      </c>
      <c r="G97" s="71" t="str">
        <f>IFERROR(__xludf.DUMMYFUNCTION("""COMPUTED_VALUE"""),"No")</f>
        <v>No</v>
      </c>
      <c r="H97" s="71" t="str">
        <f>IFERROR(__xludf.DUMMYFUNCTION("""COMPUTED_VALUE"""),"No")</f>
        <v>No</v>
      </c>
      <c r="I97" s="71">
        <f>IFERROR(__xludf.DUMMYFUNCTION("""COMPUTED_VALUE"""),0.0)</f>
        <v>0</v>
      </c>
      <c r="J97" s="73" t="str">
        <f>IFERROR(__xludf.DUMMYFUNCTION("""COMPUTED_VALUE"""),"https://drive.google.com/open?id=1YFVlenXh3kc0nHj0cl5g9MGId9HzR25u")</f>
        <v>https://drive.google.com/open?id=1YFVlenXh3kc0nHj0cl5g9MGId9HzR25u</v>
      </c>
      <c r="K97" s="71" t="str">
        <f>IFERROR(__xludf.DUMMYFUNCTION("""COMPUTED_VALUE"""),"2020-2024")</f>
        <v>2020-2024</v>
      </c>
      <c r="L97" s="71" t="str">
        <f>IFERROR(__xludf.DUMMYFUNCTION("""COMPUTED_VALUE"""),"S3: Student Internships")</f>
        <v>S3: Student Internships</v>
      </c>
      <c r="M97" s="71" t="str">
        <f>IFERROR(__xludf.DUMMYFUNCTION("""COMPUTED_VALUE"""),"priyamatcha03@gmail.com")</f>
        <v>priyamatcha03@gmail.com</v>
      </c>
      <c r="N97" s="71" t="str">
        <f>IFERROR(__xludf.DUMMYFUNCTION("""COMPUTED_VALUE"""),"SEM-3")</f>
        <v>SEM-3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</row>
    <row r="98" ht="33.0" customHeight="1">
      <c r="A98" s="75" t="str">
        <f>IFERROR(__xludf.DUMMYFUNCTION("""COMPUTED_VALUE"""),"Jami Harshini")</f>
        <v>Jami Harshini</v>
      </c>
      <c r="B98" s="75" t="str">
        <f>IFERROR(__xludf.DUMMYFUNCTION("""COMPUTED_VALUE"""),"18331A0560")</f>
        <v>18331A0560</v>
      </c>
      <c r="C98" s="75" t="str">
        <f>IFERROR(__xludf.DUMMYFUNCTION("""COMPUTED_VALUE"""),"AWS Academy")</f>
        <v>AWS Academy</v>
      </c>
      <c r="D98" s="75" t="str">
        <f>IFERROR(__xludf.DUMMYFUNCTION("""COMPUTED_VALUE"""),"3 months")</f>
        <v>3 months</v>
      </c>
      <c r="E98" s="76">
        <f>IFERROR(__xludf.DUMMYFUNCTION("""COMPUTED_VALUE"""),44470.0)</f>
        <v>44470</v>
      </c>
      <c r="F98" s="76">
        <f>IFERROR(__xludf.DUMMYFUNCTION("""COMPUTED_VALUE"""),44542.0)</f>
        <v>44542</v>
      </c>
      <c r="G98" s="75" t="str">
        <f>IFERROR(__xludf.DUMMYFUNCTION("""COMPUTED_VALUE"""),"No")</f>
        <v>No</v>
      </c>
      <c r="H98" s="75" t="str">
        <f>IFERROR(__xludf.DUMMYFUNCTION("""COMPUTED_VALUE"""),"No")</f>
        <v>No</v>
      </c>
      <c r="I98" s="75">
        <f>IFERROR(__xludf.DUMMYFUNCTION("""COMPUTED_VALUE"""),0.0)</f>
        <v>0</v>
      </c>
      <c r="J98" s="77" t="str">
        <f>IFERROR(__xludf.DUMMYFUNCTION("""COMPUTED_VALUE"""),"https://drive.google.com/open?id=10PSNFfo7CjwjQLY7Gx8EcRI6qf5g1DH5")</f>
        <v>https://drive.google.com/open?id=10PSNFfo7CjwjQLY7Gx8EcRI6qf5g1DH5</v>
      </c>
      <c r="K98" s="75" t="str">
        <f>IFERROR(__xludf.DUMMYFUNCTION("""COMPUTED_VALUE"""),"2018-2022")</f>
        <v>2018-2022</v>
      </c>
      <c r="L98" s="75" t="str">
        <f>IFERROR(__xludf.DUMMYFUNCTION("""COMPUTED_VALUE"""),"S3: Student Internships")</f>
        <v>S3: Student Internships</v>
      </c>
      <c r="M98" s="75" t="str">
        <f>IFERROR(__xludf.DUMMYFUNCTION("""COMPUTED_VALUE"""),"jamiharshini123@gmail.com")</f>
        <v>jamiharshini123@gmail.com</v>
      </c>
      <c r="N98" s="75" t="str">
        <f>IFERROR(__xludf.DUMMYFUNCTION("""COMPUTED_VALUE"""),"SEM-8")</f>
        <v>SEM-8</v>
      </c>
      <c r="O98" s="78"/>
      <c r="P98" s="78"/>
      <c r="Q98" s="78"/>
      <c r="R98" s="78"/>
      <c r="S98" s="78"/>
      <c r="T98" s="78"/>
      <c r="U98" s="78"/>
      <c r="V98" s="78"/>
      <c r="W98" s="78"/>
      <c r="X98" s="78"/>
    </row>
    <row r="99" ht="33.0" customHeight="1">
      <c r="A99" s="71" t="str">
        <f>IFERROR(__xludf.DUMMYFUNCTION("""COMPUTED_VALUE"""),"Gara Ranjeet")</f>
        <v>Gara Ranjeet</v>
      </c>
      <c r="B99" s="71" t="str">
        <f>IFERROR(__xludf.DUMMYFUNCTION("""COMPUTED_VALUE"""),"18331A0544")</f>
        <v>18331A0544</v>
      </c>
      <c r="C99" s="71" t="str">
        <f>IFERROR(__xludf.DUMMYFUNCTION("""COMPUTED_VALUE"""),"Techmihirnaik")</f>
        <v>Techmihirnaik</v>
      </c>
      <c r="D99" s="71" t="str">
        <f>IFERROR(__xludf.DUMMYFUNCTION("""COMPUTED_VALUE"""),"3 Months")</f>
        <v>3 Months</v>
      </c>
      <c r="E99" s="72">
        <f>IFERROR(__xludf.DUMMYFUNCTION("""COMPUTED_VALUE"""),44469.0)</f>
        <v>44469</v>
      </c>
      <c r="F99" s="72">
        <f>IFERROR(__xludf.DUMMYFUNCTION("""COMPUTED_VALUE"""),44530.0)</f>
        <v>44530</v>
      </c>
      <c r="G99" s="71" t="str">
        <f>IFERROR(__xludf.DUMMYFUNCTION("""COMPUTED_VALUE"""),"No")</f>
        <v>No</v>
      </c>
      <c r="H99" s="71" t="str">
        <f>IFERROR(__xludf.DUMMYFUNCTION("""COMPUTED_VALUE"""),"No")</f>
        <v>No</v>
      </c>
      <c r="I99" s="71">
        <f>IFERROR(__xludf.DUMMYFUNCTION("""COMPUTED_VALUE"""),0.0)</f>
        <v>0</v>
      </c>
      <c r="J99" s="73" t="str">
        <f>IFERROR(__xludf.DUMMYFUNCTION("""COMPUTED_VALUE"""),"https://drive.google.com/open?id=1Cf5Nc45YCsAU9q1zOQiHHUx4XaxKGJuX")</f>
        <v>https://drive.google.com/open?id=1Cf5Nc45YCsAU9q1zOQiHHUx4XaxKGJuX</v>
      </c>
      <c r="K99" s="71" t="str">
        <f>IFERROR(__xludf.DUMMYFUNCTION("""COMPUTED_VALUE"""),"2018-2022")</f>
        <v>2018-2022</v>
      </c>
      <c r="L99" s="71" t="str">
        <f>IFERROR(__xludf.DUMMYFUNCTION("""COMPUTED_VALUE"""),"S3: Student Internships")</f>
        <v>S3: Student Internships</v>
      </c>
      <c r="M99" s="71" t="str">
        <f>IFERROR(__xludf.DUMMYFUNCTION("""COMPUTED_VALUE"""),"ranjeetgara123@gmail.com")</f>
        <v>ranjeetgara123@gmail.com</v>
      </c>
      <c r="N99" s="71" t="str">
        <f>IFERROR(__xludf.DUMMYFUNCTION("""COMPUTED_VALUE"""),"SEM-7")</f>
        <v>SEM-7</v>
      </c>
      <c r="O99" s="74"/>
      <c r="P99" s="74"/>
      <c r="Q99" s="74"/>
      <c r="R99" s="74"/>
      <c r="S99" s="74"/>
      <c r="T99" s="74"/>
      <c r="U99" s="74"/>
      <c r="V99" s="74"/>
      <c r="W99" s="74"/>
      <c r="X99" s="74"/>
    </row>
    <row r="100" ht="33.0" customHeight="1">
      <c r="A100" s="71" t="str">
        <f>IFERROR(__xludf.DUMMYFUNCTION("""COMPUTED_VALUE"""),"Medi Prasuna")</f>
        <v>Medi Prasuna</v>
      </c>
      <c r="B100" s="71" t="str">
        <f>IFERROR(__xludf.DUMMYFUNCTION("""COMPUTED_VALUE"""),"18331A0596")</f>
        <v>18331A0596</v>
      </c>
      <c r="C100" s="71" t="str">
        <f>IFERROR(__xludf.DUMMYFUNCTION("""COMPUTED_VALUE"""),"BNY Mellon Technology ")</f>
        <v>BNY Mellon Technology </v>
      </c>
      <c r="D100" s="71" t="str">
        <f>IFERROR(__xludf.DUMMYFUNCTION("""COMPUTED_VALUE"""),"6 Months")</f>
        <v>6 Months</v>
      </c>
      <c r="E100" s="72">
        <f>IFERROR(__xludf.DUMMYFUNCTION("""COMPUTED_VALUE"""),44580.0)</f>
        <v>44580</v>
      </c>
      <c r="F100" s="72">
        <f>IFERROR(__xludf.DUMMYFUNCTION("""COMPUTED_VALUE"""),44742.0)</f>
        <v>44742</v>
      </c>
      <c r="G100" s="71" t="str">
        <f>IFERROR(__xludf.DUMMYFUNCTION("""COMPUTED_VALUE"""),"Yes")</f>
        <v>Yes</v>
      </c>
      <c r="H100" s="71" t="str">
        <f>IFERROR(__xludf.DUMMYFUNCTION("""COMPUTED_VALUE"""),"No")</f>
        <v>No</v>
      </c>
      <c r="I100" s="71">
        <f>IFERROR(__xludf.DUMMYFUNCTION("""COMPUTED_VALUE"""),30000.0)</f>
        <v>30000</v>
      </c>
      <c r="J100" s="73" t="str">
        <f>IFERROR(__xludf.DUMMYFUNCTION("""COMPUTED_VALUE"""),"https://drive.google.com/open?id=16K0OjAGBT3DmHR5mzjJrBu_od50A5jWJ")</f>
        <v>https://drive.google.com/open?id=16K0OjAGBT3DmHR5mzjJrBu_od50A5jWJ</v>
      </c>
      <c r="K100" s="71" t="str">
        <f>IFERROR(__xludf.DUMMYFUNCTION("""COMPUTED_VALUE"""),"2018-2022")</f>
        <v>2018-2022</v>
      </c>
      <c r="L100" s="71" t="str">
        <f>IFERROR(__xludf.DUMMYFUNCTION("""COMPUTED_VALUE"""),"S3: Student Internships")</f>
        <v>S3: Student Internships</v>
      </c>
      <c r="M100" s="71" t="str">
        <f>IFERROR(__xludf.DUMMYFUNCTION("""COMPUTED_VALUE"""),"prasunamedi5@gmail.com")</f>
        <v>prasunamedi5@gmail.com</v>
      </c>
      <c r="N100" s="71" t="str">
        <f>IFERROR(__xludf.DUMMYFUNCTION("""COMPUTED_VALUE"""),"SEM-8")</f>
        <v>SEM-8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</row>
    <row r="101" ht="33.0" customHeight="1">
      <c r="A101" s="71" t="str">
        <f>IFERROR(__xludf.DUMMYFUNCTION("""COMPUTED_VALUE"""),"INDU KAMBAPU")</f>
        <v>INDU KAMBAPU</v>
      </c>
      <c r="B101" s="71" t="str">
        <f>IFERROR(__xludf.DUMMYFUNCTION("""COMPUTED_VALUE"""),"18331A0565")</f>
        <v>18331A0565</v>
      </c>
      <c r="C101" s="71" t="str">
        <f>IFERROR(__xludf.DUMMYFUNCTION("""COMPUTED_VALUE"""),"WIPRO")</f>
        <v>WIPRO</v>
      </c>
      <c r="D101" s="71" t="str">
        <f>IFERROR(__xludf.DUMMYFUNCTION("""COMPUTED_VALUE"""),"3 MONTHS")</f>
        <v>3 MONTHS</v>
      </c>
      <c r="E101" s="72">
        <f>IFERROR(__xludf.DUMMYFUNCTION("""COMPUTED_VALUE"""),44638.0)</f>
        <v>44638</v>
      </c>
      <c r="F101" s="72">
        <f>IFERROR(__xludf.DUMMYFUNCTION("""COMPUTED_VALUE"""),44730.0)</f>
        <v>44730</v>
      </c>
      <c r="G101" s="71" t="str">
        <f>IFERROR(__xludf.DUMMYFUNCTION("""COMPUTED_VALUE"""),"No")</f>
        <v>No</v>
      </c>
      <c r="H101" s="71" t="str">
        <f>IFERROR(__xludf.DUMMYFUNCTION("""COMPUTED_VALUE"""),"No")</f>
        <v>No</v>
      </c>
      <c r="I101" s="71">
        <f>IFERROR(__xludf.DUMMYFUNCTION("""COMPUTED_VALUE"""),0.0)</f>
        <v>0</v>
      </c>
      <c r="J101" s="73" t="str">
        <f>IFERROR(__xludf.DUMMYFUNCTION("""COMPUTED_VALUE"""),"https://drive.google.com/open?id=17si7cirUmJndpGWo3GtEYCMGrK38dDoV")</f>
        <v>https://drive.google.com/open?id=17si7cirUmJndpGWo3GtEYCMGrK38dDoV</v>
      </c>
      <c r="K101" s="71" t="str">
        <f>IFERROR(__xludf.DUMMYFUNCTION("""COMPUTED_VALUE"""),"2018-2022")</f>
        <v>2018-2022</v>
      </c>
      <c r="L101" s="71" t="str">
        <f>IFERROR(__xludf.DUMMYFUNCTION("""COMPUTED_VALUE"""),"S3: Student Internships")</f>
        <v>S3: Student Internships</v>
      </c>
      <c r="M101" s="71" t="str">
        <f>IFERROR(__xludf.DUMMYFUNCTION("""COMPUTED_VALUE"""),"kambapuindu@gmail.com")</f>
        <v>kambapuindu@gmail.com</v>
      </c>
      <c r="N101" s="71" t="str">
        <f>IFERROR(__xludf.DUMMYFUNCTION("""COMPUTED_VALUE"""),"SEM-8")</f>
        <v>SEM-8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</row>
    <row r="102" ht="33.0" customHeight="1">
      <c r="A102" s="71" t="str">
        <f>IFERROR(__xludf.DUMMYFUNCTION("""COMPUTED_VALUE"""),"Yogesh Vardhan Duvvi ")</f>
        <v>Yogesh Vardhan Duvvi </v>
      </c>
      <c r="B102" s="71" t="str">
        <f>IFERROR(__xludf.DUMMYFUNCTION("""COMPUTED_VALUE"""),"18331A0538")</f>
        <v>18331A0538</v>
      </c>
      <c r="C102" s="71" t="str">
        <f>IFERROR(__xludf.DUMMYFUNCTION("""COMPUTED_VALUE"""),"Prodigital worx")</f>
        <v>Prodigital worx</v>
      </c>
      <c r="D102" s="71" t="str">
        <f>IFERROR(__xludf.DUMMYFUNCTION("""COMPUTED_VALUE"""),"4 months")</f>
        <v>4 months</v>
      </c>
      <c r="E102" s="72">
        <f>IFERROR(__xludf.DUMMYFUNCTION("""COMPUTED_VALUE"""),44621.0)</f>
        <v>44621</v>
      </c>
      <c r="F102" s="72">
        <f>IFERROR(__xludf.DUMMYFUNCTION("""COMPUTED_VALUE"""),44742.0)</f>
        <v>44742</v>
      </c>
      <c r="G102" s="71" t="str">
        <f>IFERROR(__xludf.DUMMYFUNCTION("""COMPUTED_VALUE"""),"Yes")</f>
        <v>Yes</v>
      </c>
      <c r="H102" s="71" t="str">
        <f>IFERROR(__xludf.DUMMYFUNCTION("""COMPUTED_VALUE"""),"No")</f>
        <v>No</v>
      </c>
      <c r="I102" s="71">
        <f>IFERROR(__xludf.DUMMYFUNCTION("""COMPUTED_VALUE"""),0.0)</f>
        <v>0</v>
      </c>
      <c r="J102" s="73" t="str">
        <f>IFERROR(__xludf.DUMMYFUNCTION("""COMPUTED_VALUE"""),"https://drive.google.com/open?id=1Dj1IHiJpi9Lf7RMiYSSBntVBnyCoemGO")</f>
        <v>https://drive.google.com/open?id=1Dj1IHiJpi9Lf7RMiYSSBntVBnyCoemGO</v>
      </c>
      <c r="K102" s="71" t="str">
        <f>IFERROR(__xludf.DUMMYFUNCTION("""COMPUTED_VALUE"""),"2018-2022")</f>
        <v>2018-2022</v>
      </c>
      <c r="L102" s="71" t="str">
        <f>IFERROR(__xludf.DUMMYFUNCTION("""COMPUTED_VALUE"""),"S3: Student Internships")</f>
        <v>S3: Student Internships</v>
      </c>
      <c r="M102" s="71" t="str">
        <f>IFERROR(__xludf.DUMMYFUNCTION("""COMPUTED_VALUE"""),"yogeshvardhanduvvi@gmail.com")</f>
        <v>yogeshvardhanduvvi@gmail.com</v>
      </c>
      <c r="N102" s="71" t="str">
        <f>IFERROR(__xludf.DUMMYFUNCTION("""COMPUTED_VALUE"""),"SEM-8")</f>
        <v>SEM-8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</row>
    <row r="103" ht="33.0" customHeight="1">
      <c r="A103" s="71" t="str">
        <f>IFERROR(__xludf.DUMMYFUNCTION("""COMPUTED_VALUE"""),"Hari Krishna Saripalli")</f>
        <v>Hari Krishna Saripalli</v>
      </c>
      <c r="B103" s="71" t="str">
        <f>IFERROR(__xludf.DUMMYFUNCTION("""COMPUTED_VALUE"""),"18331A05D9")</f>
        <v>18331A05D9</v>
      </c>
      <c r="C103" s="71" t="str">
        <f>IFERROR(__xludf.DUMMYFUNCTION("""COMPUTED_VALUE"""),"Aicte")</f>
        <v>Aicte</v>
      </c>
      <c r="D103" s="71" t="str">
        <f>IFERROR(__xludf.DUMMYFUNCTION("""COMPUTED_VALUE"""),"10 weeks")</f>
        <v>10 weeks</v>
      </c>
      <c r="E103" s="72">
        <f>IFERROR(__xludf.DUMMYFUNCTION("""COMPUTED_VALUE"""),44470.0)</f>
        <v>44470</v>
      </c>
      <c r="F103" s="72">
        <f>IFERROR(__xludf.DUMMYFUNCTION("""COMPUTED_VALUE"""),44545.0)</f>
        <v>44545</v>
      </c>
      <c r="G103" s="71" t="str">
        <f>IFERROR(__xludf.DUMMYFUNCTION("""COMPUTED_VALUE"""),"No")</f>
        <v>No</v>
      </c>
      <c r="H103" s="71" t="str">
        <f>IFERROR(__xludf.DUMMYFUNCTION("""COMPUTED_VALUE"""),"No")</f>
        <v>No</v>
      </c>
      <c r="I103" s="71">
        <f>IFERROR(__xludf.DUMMYFUNCTION("""COMPUTED_VALUE"""),0.0)</f>
        <v>0</v>
      </c>
      <c r="J103" s="73" t="str">
        <f>IFERROR(__xludf.DUMMYFUNCTION("""COMPUTED_VALUE"""),"https://drive.google.com/open?id=1tjRps7JVzvJ4U_8NLhIsGXmohocnwFRC")</f>
        <v>https://drive.google.com/open?id=1tjRps7JVzvJ4U_8NLhIsGXmohocnwFRC</v>
      </c>
      <c r="K103" s="71" t="str">
        <f>IFERROR(__xludf.DUMMYFUNCTION("""COMPUTED_VALUE"""),"2018-2022")</f>
        <v>2018-2022</v>
      </c>
      <c r="L103" s="71" t="str">
        <f>IFERROR(__xludf.DUMMYFUNCTION("""COMPUTED_VALUE"""),"S3: Student Internships")</f>
        <v>S3: Student Internships</v>
      </c>
      <c r="M103" s="71" t="str">
        <f>IFERROR(__xludf.DUMMYFUNCTION("""COMPUTED_VALUE"""),"harikrishnasaripalli99@gmail.com")</f>
        <v>harikrishnasaripalli99@gmail.com</v>
      </c>
      <c r="N103" s="71" t="str">
        <f>IFERROR(__xludf.DUMMYFUNCTION("""COMPUTED_VALUE"""),"SEM-8")</f>
        <v>SEM-8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</row>
    <row r="104" ht="33.0" customHeight="1">
      <c r="A104" s="71" t="str">
        <f>IFERROR(__xludf.DUMMYFUNCTION("""COMPUTED_VALUE"""),"Sai Venkata rohit naik bhukya ")</f>
        <v>Sai Venkata rohit naik bhukya </v>
      </c>
      <c r="B104" s="71" t="str">
        <f>IFERROR(__xludf.DUMMYFUNCTION("""COMPUTED_VALUE"""),"18331A05D3")</f>
        <v>18331A05D3</v>
      </c>
      <c r="C104" s="71" t="str">
        <f>IFERROR(__xludf.DUMMYFUNCTION("""COMPUTED_VALUE"""),"Revature ")</f>
        <v>Revature </v>
      </c>
      <c r="D104" s="71" t="str">
        <f>IFERROR(__xludf.DUMMYFUNCTION("""COMPUTED_VALUE"""),"3 months ")</f>
        <v>3 months </v>
      </c>
      <c r="E104" s="72">
        <f>IFERROR(__xludf.DUMMYFUNCTION("""COMPUTED_VALUE"""),44641.0)</f>
        <v>44641</v>
      </c>
      <c r="F104" s="72">
        <f>IFERROR(__xludf.DUMMYFUNCTION("""COMPUTED_VALUE"""),44713.0)</f>
        <v>44713</v>
      </c>
      <c r="G104" s="71" t="str">
        <f>IFERROR(__xludf.DUMMYFUNCTION("""COMPUTED_VALUE"""),"Yes")</f>
        <v>Yes</v>
      </c>
      <c r="H104" s="71" t="str">
        <f>IFERROR(__xludf.DUMMYFUNCTION("""COMPUTED_VALUE"""),"No")</f>
        <v>No</v>
      </c>
      <c r="I104" s="71">
        <f>IFERROR(__xludf.DUMMYFUNCTION("""COMPUTED_VALUE"""),5000.0)</f>
        <v>5000</v>
      </c>
      <c r="J104" s="73" t="str">
        <f>IFERROR(__xludf.DUMMYFUNCTION("""COMPUTED_VALUE"""),"https://drive.google.com/open?id=1x1vPPgHRokfeWxX4IGrK3rtEMoNuxZ4y")</f>
        <v>https://drive.google.com/open?id=1x1vPPgHRokfeWxX4IGrK3rtEMoNuxZ4y</v>
      </c>
      <c r="K104" s="71" t="str">
        <f>IFERROR(__xludf.DUMMYFUNCTION("""COMPUTED_VALUE"""),"2018-2022")</f>
        <v>2018-2022</v>
      </c>
      <c r="L104" s="71" t="str">
        <f>IFERROR(__xludf.DUMMYFUNCTION("""COMPUTED_VALUE"""),"S3: Student Internships")</f>
        <v>S3: Student Internships</v>
      </c>
      <c r="M104" s="71" t="str">
        <f>IFERROR(__xludf.DUMMYFUNCTION("""COMPUTED_VALUE"""),"rohitbhukya@gmail.com")</f>
        <v>rohitbhukya@gmail.com</v>
      </c>
      <c r="N104" s="71" t="str">
        <f>IFERROR(__xludf.DUMMYFUNCTION("""COMPUTED_VALUE"""),"SEM-8")</f>
        <v>SEM-8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</row>
    <row r="105" ht="33.0" customHeight="1">
      <c r="A105" s="71" t="str">
        <f>IFERROR(__xludf.DUMMYFUNCTION("""COMPUTED_VALUE"""),"L.Kavya")</f>
        <v>L.Kavya</v>
      </c>
      <c r="B105" s="71" t="str">
        <f>IFERROR(__xludf.DUMMYFUNCTION("""COMPUTED_VALUE"""),"18331A0585")</f>
        <v>18331A0585</v>
      </c>
      <c r="C105" s="71" t="str">
        <f>IFERROR(__xludf.DUMMYFUNCTION("""COMPUTED_VALUE"""),"Eduskills")</f>
        <v>Eduskills</v>
      </c>
      <c r="D105" s="71" t="str">
        <f>IFERROR(__xludf.DUMMYFUNCTION("""COMPUTED_VALUE"""),"10 weeks")</f>
        <v>10 weeks</v>
      </c>
      <c r="E105" s="72">
        <f>IFERROR(__xludf.DUMMYFUNCTION("""COMPUTED_VALUE"""),44472.0)</f>
        <v>44472</v>
      </c>
      <c r="F105" s="72">
        <f>IFERROR(__xludf.DUMMYFUNCTION("""COMPUTED_VALUE"""),44557.0)</f>
        <v>44557</v>
      </c>
      <c r="G105" s="71" t="str">
        <f>IFERROR(__xludf.DUMMYFUNCTION("""COMPUTED_VALUE"""),"No")</f>
        <v>No</v>
      </c>
      <c r="H105" s="71" t="str">
        <f>IFERROR(__xludf.DUMMYFUNCTION("""COMPUTED_VALUE"""),"No")</f>
        <v>No</v>
      </c>
      <c r="I105" s="71">
        <f>IFERROR(__xludf.DUMMYFUNCTION("""COMPUTED_VALUE"""),0.0)</f>
        <v>0</v>
      </c>
      <c r="J105" s="73" t="str">
        <f>IFERROR(__xludf.DUMMYFUNCTION("""COMPUTED_VALUE"""),"https://drive.google.com/open?id=1o8ldw801tLElIfAhRl2UosClrwPyDlUF")</f>
        <v>https://drive.google.com/open?id=1o8ldw801tLElIfAhRl2UosClrwPyDlUF</v>
      </c>
      <c r="K105" s="71" t="str">
        <f>IFERROR(__xludf.DUMMYFUNCTION("""COMPUTED_VALUE"""),"2018-2022")</f>
        <v>2018-2022</v>
      </c>
      <c r="L105" s="71" t="str">
        <f>IFERROR(__xludf.DUMMYFUNCTION("""COMPUTED_VALUE"""),"S3: Student Internships")</f>
        <v>S3: Student Internships</v>
      </c>
      <c r="M105" s="71" t="str">
        <f>IFERROR(__xludf.DUMMYFUNCTION("""COMPUTED_VALUE"""),"lakhanapuramkavya@gmail.com")</f>
        <v>lakhanapuramkavya@gmail.com</v>
      </c>
      <c r="N105" s="71" t="str">
        <f>IFERROR(__xludf.DUMMYFUNCTION("""COMPUTED_VALUE"""),"SEM-8")</f>
        <v>SEM-8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</row>
    <row r="106" ht="33.0" customHeight="1">
      <c r="A106" s="71" t="str">
        <f>IFERROR(__xludf.DUMMYFUNCTION("""COMPUTED_VALUE"""),"L.Kavya")</f>
        <v>L.Kavya</v>
      </c>
      <c r="B106" s="71" t="str">
        <f>IFERROR(__xludf.DUMMYFUNCTION("""COMPUTED_VALUE"""),"18331A0585")</f>
        <v>18331A0585</v>
      </c>
      <c r="C106" s="71" t="str">
        <f>IFERROR(__xludf.DUMMYFUNCTION("""COMPUTED_VALUE"""),"TIP Community ")</f>
        <v>TIP Community </v>
      </c>
      <c r="D106" s="71" t="str">
        <f>IFERROR(__xludf.DUMMYFUNCTION("""COMPUTED_VALUE"""),"1 month")</f>
        <v>1 month</v>
      </c>
      <c r="E106" s="72">
        <f>IFERROR(__xludf.DUMMYFUNCTION("""COMPUTED_VALUE"""),44440.0)</f>
        <v>44440</v>
      </c>
      <c r="F106" s="72">
        <f>IFERROR(__xludf.DUMMYFUNCTION("""COMPUTED_VALUE"""),44472.0)</f>
        <v>44472</v>
      </c>
      <c r="G106" s="71" t="str">
        <f>IFERROR(__xludf.DUMMYFUNCTION("""COMPUTED_VALUE"""),"No")</f>
        <v>No</v>
      </c>
      <c r="H106" s="71" t="str">
        <f>IFERROR(__xludf.DUMMYFUNCTION("""COMPUTED_VALUE"""),"No")</f>
        <v>No</v>
      </c>
      <c r="I106" s="71">
        <f>IFERROR(__xludf.DUMMYFUNCTION("""COMPUTED_VALUE"""),0.0)</f>
        <v>0</v>
      </c>
      <c r="J106" s="73" t="str">
        <f>IFERROR(__xludf.DUMMYFUNCTION("""COMPUTED_VALUE"""),"https://drive.google.com/open?id=1OcrvTBzPmFZ0bGCM7fryutUkjhGhJYh5")</f>
        <v>https://drive.google.com/open?id=1OcrvTBzPmFZ0bGCM7fryutUkjhGhJYh5</v>
      </c>
      <c r="K106" s="71" t="str">
        <f>IFERROR(__xludf.DUMMYFUNCTION("""COMPUTED_VALUE"""),"2018-2022")</f>
        <v>2018-2022</v>
      </c>
      <c r="L106" s="71" t="str">
        <f>IFERROR(__xludf.DUMMYFUNCTION("""COMPUTED_VALUE"""),"S3: Student Internships")</f>
        <v>S3: Student Internships</v>
      </c>
      <c r="M106" s="71" t="str">
        <f>IFERROR(__xludf.DUMMYFUNCTION("""COMPUTED_VALUE"""),"lakhanapuramkavya@gmail.com")</f>
        <v>lakhanapuramkavya@gmail.com</v>
      </c>
      <c r="N106" s="71" t="str">
        <f>IFERROR(__xludf.DUMMYFUNCTION("""COMPUTED_VALUE"""),"SEM-8")</f>
        <v>SEM-8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</row>
    <row r="107" ht="33.0" customHeight="1">
      <c r="A107" s="71" t="str">
        <f>IFERROR(__xludf.DUMMYFUNCTION("""COMPUTED_VALUE"""),"Thudumu Soni kumar")</f>
        <v>Thudumu Soni kumar</v>
      </c>
      <c r="B107" s="71" t="str">
        <f>IFERROR(__xludf.DUMMYFUNCTION("""COMPUTED_VALUE"""),"18331A05F6")</f>
        <v>18331A05F6</v>
      </c>
      <c r="C107" s="71" t="str">
        <f>IFERROR(__xludf.DUMMYFUNCTION("""COMPUTED_VALUE"""),"AWS ")</f>
        <v>AWS </v>
      </c>
      <c r="D107" s="71" t="str">
        <f>IFERROR(__xludf.DUMMYFUNCTION("""COMPUTED_VALUE"""),"2months")</f>
        <v>2months</v>
      </c>
      <c r="E107" s="72">
        <f>IFERROR(__xludf.DUMMYFUNCTION("""COMPUTED_VALUE"""),44533.0)</f>
        <v>44533</v>
      </c>
      <c r="F107" s="72">
        <f>IFERROR(__xludf.DUMMYFUNCTION("""COMPUTED_VALUE"""),44568.0)</f>
        <v>44568</v>
      </c>
      <c r="G107" s="71" t="str">
        <f>IFERROR(__xludf.DUMMYFUNCTION("""COMPUTED_VALUE"""),"No")</f>
        <v>No</v>
      </c>
      <c r="H107" s="71" t="str">
        <f>IFERROR(__xludf.DUMMYFUNCTION("""COMPUTED_VALUE"""),"No")</f>
        <v>No</v>
      </c>
      <c r="I107" s="71">
        <f>IFERROR(__xludf.DUMMYFUNCTION("""COMPUTED_VALUE"""),0.0)</f>
        <v>0</v>
      </c>
      <c r="J107" s="73" t="str">
        <f>IFERROR(__xludf.DUMMYFUNCTION("""COMPUTED_VALUE"""),"https://drive.google.com/open?id=1xIIq1nYwFHorwLkBW_zDqAC1A5tdIh8Q")</f>
        <v>https://drive.google.com/open?id=1xIIq1nYwFHorwLkBW_zDqAC1A5tdIh8Q</v>
      </c>
      <c r="K107" s="71" t="str">
        <f>IFERROR(__xludf.DUMMYFUNCTION("""COMPUTED_VALUE"""),"2018-2022")</f>
        <v>2018-2022</v>
      </c>
      <c r="L107" s="71" t="str">
        <f>IFERROR(__xludf.DUMMYFUNCTION("""COMPUTED_VALUE"""),"S3: Student Internships")</f>
        <v>S3: Student Internships</v>
      </c>
      <c r="M107" s="71" t="str">
        <f>IFERROR(__xludf.DUMMYFUNCTION("""COMPUTED_VALUE"""),"tsksoni1@gmail.com")</f>
        <v>tsksoni1@gmail.com</v>
      </c>
      <c r="N107" s="71" t="str">
        <f>IFERROR(__xludf.DUMMYFUNCTION("""COMPUTED_VALUE"""),"SEM-7")</f>
        <v>SEM-7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</row>
    <row r="108" ht="33.0" customHeight="1">
      <c r="A108" s="71" t="str">
        <f>IFERROR(__xludf.DUMMYFUNCTION("""COMPUTED_VALUE"""),"MOYYA VENKATESWARA NAIDU")</f>
        <v>MOYYA VENKATESWARA NAIDU</v>
      </c>
      <c r="B108" s="71" t="str">
        <f>IFERROR(__xludf.DUMMYFUNCTION("""COMPUTED_VALUE"""),"20331A05B5")</f>
        <v>20331A05B5</v>
      </c>
      <c r="C108" s="71" t="str">
        <f>IFERROR(__xludf.DUMMYFUNCTION("""COMPUTED_VALUE"""),"Red hat")</f>
        <v>Red hat</v>
      </c>
      <c r="D108" s="71" t="str">
        <f>IFERROR(__xludf.DUMMYFUNCTION("""COMPUTED_VALUE"""),"2 months")</f>
        <v>2 months</v>
      </c>
      <c r="E108" s="72">
        <f>IFERROR(__xludf.DUMMYFUNCTION("""COMPUTED_VALUE"""),44470.0)</f>
        <v>44470</v>
      </c>
      <c r="F108" s="72">
        <f>IFERROR(__xludf.DUMMYFUNCTION("""COMPUTED_VALUE"""),44561.0)</f>
        <v>44561</v>
      </c>
      <c r="G108" s="71" t="str">
        <f>IFERROR(__xludf.DUMMYFUNCTION("""COMPUTED_VALUE"""),"No")</f>
        <v>No</v>
      </c>
      <c r="H108" s="71" t="str">
        <f>IFERROR(__xludf.DUMMYFUNCTION("""COMPUTED_VALUE"""),"No")</f>
        <v>No</v>
      </c>
      <c r="I108" s="71">
        <f>IFERROR(__xludf.DUMMYFUNCTION("""COMPUTED_VALUE"""),0.0)</f>
        <v>0</v>
      </c>
      <c r="J108" s="73" t="str">
        <f>IFERROR(__xludf.DUMMYFUNCTION("""COMPUTED_VALUE"""),"https://drive.google.com/open?id=1jQmw3Ie7xSNvHnUNz9e96ERK-Ud-Slz5")</f>
        <v>https://drive.google.com/open?id=1jQmw3Ie7xSNvHnUNz9e96ERK-Ud-Slz5</v>
      </c>
      <c r="K108" s="71" t="str">
        <f>IFERROR(__xludf.DUMMYFUNCTION("""COMPUTED_VALUE"""),"2020-2024")</f>
        <v>2020-2024</v>
      </c>
      <c r="L108" s="71" t="str">
        <f>IFERROR(__xludf.DUMMYFUNCTION("""COMPUTED_VALUE"""),"S3: Student Internships")</f>
        <v>S3: Student Internships</v>
      </c>
      <c r="M108" s="71" t="str">
        <f>IFERROR(__xludf.DUMMYFUNCTION("""COMPUTED_VALUE"""),"venkateswaranaidumoyya@gmail.com")</f>
        <v>venkateswaranaidumoyya@gmail.com</v>
      </c>
      <c r="N108" s="71" t="str">
        <f>IFERROR(__xludf.DUMMYFUNCTION("""COMPUTED_VALUE"""),"SEM-4")</f>
        <v>SEM-4</v>
      </c>
      <c r="O108" s="74"/>
      <c r="P108" s="74"/>
      <c r="Q108" s="74"/>
      <c r="R108" s="74"/>
      <c r="S108" s="74"/>
      <c r="T108" s="74"/>
      <c r="U108" s="74"/>
      <c r="V108" s="74"/>
      <c r="W108" s="74"/>
      <c r="X108" s="74"/>
    </row>
    <row r="109" ht="33.0" customHeight="1">
      <c r="A109" s="71" t="str">
        <f>IFERROR(__xludf.DUMMYFUNCTION("""COMPUTED_VALUE"""),"Kuppili Pratyusha")</f>
        <v>Kuppili Pratyusha</v>
      </c>
      <c r="B109" s="71" t="str">
        <f>IFERROR(__xludf.DUMMYFUNCTION("""COMPUTED_VALUE"""),"18331A0583")</f>
        <v>18331A0583</v>
      </c>
      <c r="C109" s="71" t="str">
        <f>IFERROR(__xludf.DUMMYFUNCTION("""COMPUTED_VALUE"""),"Verzeo")</f>
        <v>Verzeo</v>
      </c>
      <c r="D109" s="71" t="str">
        <f>IFERROR(__xludf.DUMMYFUNCTION("""COMPUTED_VALUE"""),"2 months")</f>
        <v>2 months</v>
      </c>
      <c r="E109" s="72">
        <f>IFERROR(__xludf.DUMMYFUNCTION("""COMPUTED_VALUE"""),44317.0)</f>
        <v>44317</v>
      </c>
      <c r="F109" s="72">
        <f>IFERROR(__xludf.DUMMYFUNCTION("""COMPUTED_VALUE"""),44377.0)</f>
        <v>44377</v>
      </c>
      <c r="G109" s="71" t="str">
        <f>IFERROR(__xludf.DUMMYFUNCTION("""COMPUTED_VALUE"""),"No")</f>
        <v>No</v>
      </c>
      <c r="H109" s="71" t="str">
        <f>IFERROR(__xludf.DUMMYFUNCTION("""COMPUTED_VALUE"""),"Yes")</f>
        <v>Yes</v>
      </c>
      <c r="I109" s="71">
        <f>IFERROR(__xludf.DUMMYFUNCTION("""COMPUTED_VALUE"""),5000.0)</f>
        <v>5000</v>
      </c>
      <c r="J109" s="73" t="str">
        <f>IFERROR(__xludf.DUMMYFUNCTION("""COMPUTED_VALUE"""),"https://drive.google.com/open?id=1XJ6SeZ_hy3OjpGyqWE0RO2fvlFNqQ9wb")</f>
        <v>https://drive.google.com/open?id=1XJ6SeZ_hy3OjpGyqWE0RO2fvlFNqQ9wb</v>
      </c>
      <c r="K109" s="71" t="str">
        <f>IFERROR(__xludf.DUMMYFUNCTION("""COMPUTED_VALUE"""),"2018-2022")</f>
        <v>2018-2022</v>
      </c>
      <c r="L109" s="71" t="str">
        <f>IFERROR(__xludf.DUMMYFUNCTION("""COMPUTED_VALUE"""),"S3: Student Internships")</f>
        <v>S3: Student Internships</v>
      </c>
      <c r="M109" s="71" t="str">
        <f>IFERROR(__xludf.DUMMYFUNCTION("""COMPUTED_VALUE"""),"pratyukuppili2001@gmail.com")</f>
        <v>pratyukuppili2001@gmail.com</v>
      </c>
      <c r="N109" s="71" t="str">
        <f>IFERROR(__xludf.DUMMYFUNCTION("""COMPUTED_VALUE"""),"SEM-8")</f>
        <v>SEM-8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</row>
    <row r="110" ht="33.0" customHeight="1">
      <c r="A110" s="71" t="str">
        <f>IFERROR(__xludf.DUMMYFUNCTION("""COMPUTED_VALUE"""),"Uday sai Kiran Abbireddy")</f>
        <v>Uday sai Kiran Abbireddy</v>
      </c>
      <c r="B110" s="71" t="str">
        <f>IFERROR(__xludf.DUMMYFUNCTION("""COMPUTED_VALUE"""),"18331A05G0")</f>
        <v>18331A05G0</v>
      </c>
      <c r="C110" s="71" t="str">
        <f>IFERROR(__xludf.DUMMYFUNCTION("""COMPUTED_VALUE"""),"Cisco")</f>
        <v>Cisco</v>
      </c>
      <c r="D110" s="71" t="str">
        <f>IFERROR(__xludf.DUMMYFUNCTION("""COMPUTED_VALUE"""),"6 months")</f>
        <v>6 months</v>
      </c>
      <c r="E110" s="72">
        <f>IFERROR(__xludf.DUMMYFUNCTION("""COMPUTED_VALUE"""),44573.0)</f>
        <v>44573</v>
      </c>
      <c r="F110" s="72">
        <f>IFERROR(__xludf.DUMMYFUNCTION("""COMPUTED_VALUE"""),44730.0)</f>
        <v>44730</v>
      </c>
      <c r="G110" s="71" t="str">
        <f>IFERROR(__xludf.DUMMYFUNCTION("""COMPUTED_VALUE"""),"Yes")</f>
        <v>Yes</v>
      </c>
      <c r="H110" s="71" t="str">
        <f>IFERROR(__xludf.DUMMYFUNCTION("""COMPUTED_VALUE"""),"No")</f>
        <v>No</v>
      </c>
      <c r="I110" s="71">
        <f>IFERROR(__xludf.DUMMYFUNCTION("""COMPUTED_VALUE"""),0.0)</f>
        <v>0</v>
      </c>
      <c r="J110" s="73" t="str">
        <f>IFERROR(__xludf.DUMMYFUNCTION("""COMPUTED_VALUE"""),"https://drive.google.com/open?id=1lSazFEIzDqFFXObzM2CoBuKoIgGVlXCw")</f>
        <v>https://drive.google.com/open?id=1lSazFEIzDqFFXObzM2CoBuKoIgGVlXCw</v>
      </c>
      <c r="K110" s="71" t="str">
        <f>IFERROR(__xludf.DUMMYFUNCTION("""COMPUTED_VALUE"""),"2018-2022")</f>
        <v>2018-2022</v>
      </c>
      <c r="L110" s="71" t="str">
        <f>IFERROR(__xludf.DUMMYFUNCTION("""COMPUTED_VALUE"""),"S3: Student Internships")</f>
        <v>S3: Student Internships</v>
      </c>
      <c r="M110" s="71" t="str">
        <f>IFERROR(__xludf.DUMMYFUNCTION("""COMPUTED_VALUE"""),"abbireddy8300@gmail.com")</f>
        <v>abbireddy8300@gmail.com</v>
      </c>
      <c r="N110" s="71" t="str">
        <f>IFERROR(__xludf.DUMMYFUNCTION("""COMPUTED_VALUE"""),"SEM-7")</f>
        <v>SEM-7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</row>
    <row r="111" ht="33.0" customHeight="1">
      <c r="A111" s="74" t="str">
        <f>IFERROR(__xludf.DUMMYFUNCTION("""COMPUTED_VALUE"""),"Donthamsetti Sumitha")</f>
        <v>Donthamsetti Sumitha</v>
      </c>
      <c r="B111" s="74" t="str">
        <f>IFERROR(__xludf.DUMMYFUNCTION("""COMPUTED_VALUE"""),"18331A0535")</f>
        <v>18331A0535</v>
      </c>
      <c r="C111" s="74" t="str">
        <f>IFERROR(__xludf.DUMMYFUNCTION("""COMPUTED_VALUE"""),"Online Summer Training - Kyrion technology")</f>
        <v>Online Summer Training - Kyrion technology</v>
      </c>
      <c r="D111" s="74" t="str">
        <f>IFERROR(__xludf.DUMMYFUNCTION("""COMPUTED_VALUE"""),"2 months")</f>
        <v>2 months</v>
      </c>
      <c r="E111" s="79">
        <f>IFERROR(__xludf.DUMMYFUNCTION("""COMPUTED_VALUE"""),43983.0)</f>
        <v>43983</v>
      </c>
      <c r="F111" s="79">
        <f>IFERROR(__xludf.DUMMYFUNCTION("""COMPUTED_VALUE"""),44038.0)</f>
        <v>44038</v>
      </c>
      <c r="G111" s="74" t="str">
        <f>IFERROR(__xludf.DUMMYFUNCTION("""COMPUTED_VALUE"""),"No")</f>
        <v>No</v>
      </c>
      <c r="H111" s="74" t="str">
        <f>IFERROR(__xludf.DUMMYFUNCTION("""COMPUTED_VALUE"""),"Yes")</f>
        <v>Yes</v>
      </c>
      <c r="I111" s="74">
        <f>IFERROR(__xludf.DUMMYFUNCTION("""COMPUTED_VALUE"""),1200.0)</f>
        <v>1200</v>
      </c>
      <c r="J111" s="80" t="str">
        <f>IFERROR(__xludf.DUMMYFUNCTION("""COMPUTED_VALUE"""),"https://drive.google.com/open?id=1ML-AQBPz_j8-clf9teLqwOuIGI7Dcpfg")</f>
        <v>https://drive.google.com/open?id=1ML-AQBPz_j8-clf9teLqwOuIGI7Dcpfg</v>
      </c>
      <c r="K111" s="74" t="str">
        <f>IFERROR(__xludf.DUMMYFUNCTION("""COMPUTED_VALUE"""),"2018-2022")</f>
        <v>2018-2022</v>
      </c>
      <c r="L111" s="74" t="str">
        <f>IFERROR(__xludf.DUMMYFUNCTION("""COMPUTED_VALUE"""),"S3: Student Internships")</f>
        <v>S3: Student Internships</v>
      </c>
      <c r="M111" s="74" t="str">
        <f>IFERROR(__xludf.DUMMYFUNCTION("""COMPUTED_VALUE"""),"sumitha.donthamsetti@gmail.com")</f>
        <v>sumitha.donthamsetti@gmail.com</v>
      </c>
      <c r="N111" s="74" t="str">
        <f>IFERROR(__xludf.DUMMYFUNCTION("""COMPUTED_VALUE"""),"SEM-4")</f>
        <v>SEM-4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</row>
    <row r="112" ht="33.0" customHeight="1">
      <c r="A112" s="74" t="str">
        <f>IFERROR(__xludf.DUMMYFUNCTION("""COMPUTED_VALUE"""),"Karanam yeswanth teja")</f>
        <v>Karanam yeswanth teja</v>
      </c>
      <c r="B112" s="74" t="str">
        <f>IFERROR(__xludf.DUMMYFUNCTION("""COMPUTED_VALUE"""),"20331A0581")</f>
        <v>20331A0581</v>
      </c>
      <c r="C112" s="74" t="str">
        <f>IFERROR(__xludf.DUMMYFUNCTION("""COMPUTED_VALUE"""),"Red hat")</f>
        <v>Red hat</v>
      </c>
      <c r="D112" s="74" t="str">
        <f>IFERROR(__xludf.DUMMYFUNCTION("""COMPUTED_VALUE"""),"2 months")</f>
        <v>2 months</v>
      </c>
      <c r="E112" s="79">
        <f>IFERROR(__xludf.DUMMYFUNCTION("""COMPUTED_VALUE"""),44662.0)</f>
        <v>44662</v>
      </c>
      <c r="F112" s="79">
        <f>IFERROR(__xludf.DUMMYFUNCTION("""COMPUTED_VALUE"""),44531.0)</f>
        <v>44531</v>
      </c>
      <c r="G112" s="74" t="str">
        <f>IFERROR(__xludf.DUMMYFUNCTION("""COMPUTED_VALUE"""),"No")</f>
        <v>No</v>
      </c>
      <c r="H112" s="74" t="str">
        <f>IFERROR(__xludf.DUMMYFUNCTION("""COMPUTED_VALUE"""),"No")</f>
        <v>No</v>
      </c>
      <c r="I112" s="74">
        <f>IFERROR(__xludf.DUMMYFUNCTION("""COMPUTED_VALUE"""),0.0)</f>
        <v>0</v>
      </c>
      <c r="J112" s="80" t="str">
        <f>IFERROR(__xludf.DUMMYFUNCTION("""COMPUTED_VALUE"""),"https://drive.google.com/open?id=1yt2Df3VcW_0AB69NaxXNmKcQZRhjv1TI")</f>
        <v>https://drive.google.com/open?id=1yt2Df3VcW_0AB69NaxXNmKcQZRhjv1TI</v>
      </c>
      <c r="K112" s="74" t="str">
        <f>IFERROR(__xludf.DUMMYFUNCTION("""COMPUTED_VALUE"""),"2020-2024")</f>
        <v>2020-2024</v>
      </c>
      <c r="L112" s="74" t="str">
        <f>IFERROR(__xludf.DUMMYFUNCTION("""COMPUTED_VALUE"""),"S3: Student Internships")</f>
        <v>S3: Student Internships</v>
      </c>
      <c r="M112" s="74" t="str">
        <f>IFERROR(__xludf.DUMMYFUNCTION("""COMPUTED_VALUE"""),"tejacherry0611@gmail.com")</f>
        <v>tejacherry0611@gmail.com</v>
      </c>
      <c r="N112" s="74" t="str">
        <f>IFERROR(__xludf.DUMMYFUNCTION("""COMPUTED_VALUE"""),"SEM-4")</f>
        <v>SEM-4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</row>
    <row r="113" ht="33.0" customHeight="1">
      <c r="A113" s="81" t="str">
        <f>IFERROR(__xludf.DUMMYFUNCTION("""COMPUTED_VALUE"""),"Karanam yeswanth teja")</f>
        <v>Karanam yeswanth teja</v>
      </c>
      <c r="B113" s="81" t="str">
        <f>IFERROR(__xludf.DUMMYFUNCTION("""COMPUTED_VALUE"""),"20331A0581")</f>
        <v>20331A0581</v>
      </c>
      <c r="C113" s="81" t="str">
        <f>IFERROR(__xludf.DUMMYFUNCTION("""COMPUTED_VALUE"""),"Redhat")</f>
        <v>Redhat</v>
      </c>
      <c r="D113" s="81" t="str">
        <f>IFERROR(__xludf.DUMMYFUNCTION("""COMPUTED_VALUE"""),"2months")</f>
        <v>2months</v>
      </c>
      <c r="E113" s="82">
        <f>IFERROR(__xludf.DUMMYFUNCTION("""COMPUTED_VALUE"""),44470.0)</f>
        <v>44470</v>
      </c>
      <c r="F113" s="82">
        <f>IFERROR(__xludf.DUMMYFUNCTION("""COMPUTED_VALUE"""),44531.0)</f>
        <v>44531</v>
      </c>
      <c r="G113" s="81" t="str">
        <f>IFERROR(__xludf.DUMMYFUNCTION("""COMPUTED_VALUE"""),"No")</f>
        <v>No</v>
      </c>
      <c r="H113" s="81" t="str">
        <f>IFERROR(__xludf.DUMMYFUNCTION("""COMPUTED_VALUE"""),"No")</f>
        <v>No</v>
      </c>
      <c r="I113" s="81">
        <f>IFERROR(__xludf.DUMMYFUNCTION("""COMPUTED_VALUE"""),0.0)</f>
        <v>0</v>
      </c>
      <c r="J113" s="83" t="str">
        <f>IFERROR(__xludf.DUMMYFUNCTION("""COMPUTED_VALUE"""),"https://drive.google.com/open?id=10vYy2yRzwiezw6ByqFwZcrerK8gpogGu")</f>
        <v>https://drive.google.com/open?id=10vYy2yRzwiezw6ByqFwZcrerK8gpogGu</v>
      </c>
      <c r="K113" s="81" t="str">
        <f>IFERROR(__xludf.DUMMYFUNCTION("""COMPUTED_VALUE"""),"2020-2024")</f>
        <v>2020-2024</v>
      </c>
      <c r="L113" s="81" t="str">
        <f>IFERROR(__xludf.DUMMYFUNCTION("""COMPUTED_VALUE"""),"S3: Student Internships")</f>
        <v>S3: Student Internships</v>
      </c>
      <c r="M113" s="81" t="str">
        <f>IFERROR(__xludf.DUMMYFUNCTION("""COMPUTED_VALUE"""),"tejacherry0611@gmail.com")</f>
        <v>tejacherry0611@gmail.com</v>
      </c>
      <c r="N113" s="81" t="str">
        <f>IFERROR(__xludf.DUMMYFUNCTION("""COMPUTED_VALUE"""),"SEM-3")</f>
        <v>SEM-3</v>
      </c>
      <c r="O113" s="81"/>
      <c r="P113" s="81"/>
      <c r="Q113" s="81"/>
      <c r="R113" s="81"/>
      <c r="S113" s="81"/>
      <c r="T113" s="81"/>
      <c r="U113" s="81"/>
      <c r="V113" s="81"/>
      <c r="W113" s="81"/>
      <c r="X113" s="81"/>
    </row>
    <row r="114" ht="33.0" customHeight="1">
      <c r="A114" s="81" t="str">
        <f>IFERROR(__xludf.DUMMYFUNCTION("""COMPUTED_VALUE"""),"Nune.Veera Narayanamma")</f>
        <v>Nune.Veera Narayanamma</v>
      </c>
      <c r="B114" s="81" t="str">
        <f>IFERROR(__xludf.DUMMYFUNCTION("""COMPUTED_VALUE"""),"20331A05C9")</f>
        <v>20331A05C9</v>
      </c>
      <c r="C114" s="81" t="str">
        <f>IFERROR(__xludf.DUMMYFUNCTION("""COMPUTED_VALUE""")," NDG")</f>
        <v> NDG</v>
      </c>
      <c r="D114" s="81" t="str">
        <f>IFERROR(__xludf.DUMMYFUNCTION("""COMPUTED_VALUE"""),"2months")</f>
        <v>2months</v>
      </c>
      <c r="E114" s="82">
        <f>IFERROR(__xludf.DUMMYFUNCTION("""COMPUTED_VALUE"""),44593.0)</f>
        <v>44593</v>
      </c>
      <c r="F114" s="82">
        <f>IFERROR(__xludf.DUMMYFUNCTION("""COMPUTED_VALUE"""),44655.0)</f>
        <v>44655</v>
      </c>
      <c r="G114" s="81" t="str">
        <f>IFERROR(__xludf.DUMMYFUNCTION("""COMPUTED_VALUE"""),"No")</f>
        <v>No</v>
      </c>
      <c r="H114" s="81" t="str">
        <f>IFERROR(__xludf.DUMMYFUNCTION("""COMPUTED_VALUE"""),"No")</f>
        <v>No</v>
      </c>
      <c r="I114" s="81">
        <f>IFERROR(__xludf.DUMMYFUNCTION("""COMPUTED_VALUE"""),0.0)</f>
        <v>0</v>
      </c>
      <c r="J114" s="83" t="str">
        <f>IFERROR(__xludf.DUMMYFUNCTION("""COMPUTED_VALUE"""),"https://drive.google.com/open?id=1ULzhn86Os22MLlFB0nnAUp6trn1SlqXA")</f>
        <v>https://drive.google.com/open?id=1ULzhn86Os22MLlFB0nnAUp6trn1SlqXA</v>
      </c>
      <c r="K114" s="81" t="str">
        <f>IFERROR(__xludf.DUMMYFUNCTION("""COMPUTED_VALUE"""),"2020-2024")</f>
        <v>2020-2024</v>
      </c>
      <c r="L114" s="81" t="str">
        <f>IFERROR(__xludf.DUMMYFUNCTION("""COMPUTED_VALUE"""),"S3: Student Internships")</f>
        <v>S3: Student Internships</v>
      </c>
      <c r="M114" s="81" t="str">
        <f>IFERROR(__xludf.DUMMYFUNCTION("""COMPUTED_VALUE"""),"vasavinune24@gmail.com")</f>
        <v>vasavinune24@gmail.com</v>
      </c>
      <c r="N114" s="81" t="str">
        <f>IFERROR(__xludf.DUMMYFUNCTION("""COMPUTED_VALUE"""),"SEM-4")</f>
        <v>SEM-4</v>
      </c>
      <c r="O114" s="81"/>
      <c r="P114" s="81"/>
      <c r="Q114" s="81"/>
      <c r="R114" s="81"/>
      <c r="S114" s="81"/>
      <c r="T114" s="81"/>
      <c r="U114" s="81"/>
      <c r="V114" s="81"/>
      <c r="W114" s="81"/>
      <c r="X114" s="81"/>
    </row>
    <row r="115" ht="33.0" customHeight="1">
      <c r="A115" s="74" t="str">
        <f>IFERROR(__xludf.DUMMYFUNCTION("""COMPUTED_VALUE"""),"GUMMA VENKATA SRIVATHSA")</f>
        <v>GUMMA VENKATA SRIVATHSA</v>
      </c>
      <c r="B115" s="74" t="str">
        <f>IFERROR(__xludf.DUMMYFUNCTION("""COMPUTED_VALUE"""),"20331A0568")</f>
        <v>20331A0568</v>
      </c>
      <c r="C115" s="74" t="str">
        <f>IFERROR(__xludf.DUMMYFUNCTION("""COMPUTED_VALUE"""),"REDHAT")</f>
        <v>REDHAT</v>
      </c>
      <c r="D115" s="74" t="str">
        <f>IFERROR(__xludf.DUMMYFUNCTION("""COMPUTED_VALUE"""),"2 months")</f>
        <v>2 months</v>
      </c>
      <c r="E115" s="79">
        <f>IFERROR(__xludf.DUMMYFUNCTION("""COMPUTED_VALUE"""),44470.0)</f>
        <v>44470</v>
      </c>
      <c r="F115" s="79">
        <f>IFERROR(__xludf.DUMMYFUNCTION("""COMPUTED_VALUE"""),44557.0)</f>
        <v>44557</v>
      </c>
      <c r="G115" s="74" t="str">
        <f>IFERROR(__xludf.DUMMYFUNCTION("""COMPUTED_VALUE"""),"No")</f>
        <v>No</v>
      </c>
      <c r="H115" s="74" t="str">
        <f>IFERROR(__xludf.DUMMYFUNCTION("""COMPUTED_VALUE"""),"No")</f>
        <v>No</v>
      </c>
      <c r="I115" s="74">
        <f>IFERROR(__xludf.DUMMYFUNCTION("""COMPUTED_VALUE"""),0.0)</f>
        <v>0</v>
      </c>
      <c r="J115" s="80" t="str">
        <f>IFERROR(__xludf.DUMMYFUNCTION("""COMPUTED_VALUE"""),"https://drive.google.com/open?id=1cr5DGy03nmFmZFMxy1SU8HLUYkTAtxEu")</f>
        <v>https://drive.google.com/open?id=1cr5DGy03nmFmZFMxy1SU8HLUYkTAtxEu</v>
      </c>
      <c r="K115" s="74" t="str">
        <f>IFERROR(__xludf.DUMMYFUNCTION("""COMPUTED_VALUE"""),"2020-2024")</f>
        <v>2020-2024</v>
      </c>
      <c r="L115" s="74" t="str">
        <f>IFERROR(__xludf.DUMMYFUNCTION("""COMPUTED_VALUE"""),"S3: Student Internships")</f>
        <v>S3: Student Internships</v>
      </c>
      <c r="M115" s="74" t="str">
        <f>IFERROR(__xludf.DUMMYFUNCTION("""COMPUTED_VALUE"""),"gvsrivathsa@gmail.com")</f>
        <v>gvsrivathsa@gmail.com</v>
      </c>
      <c r="N115" s="74" t="str">
        <f>IFERROR(__xludf.DUMMYFUNCTION("""COMPUTED_VALUE"""),"SEM-4")</f>
        <v>SEM-4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</row>
    <row r="116" ht="33.0" customHeight="1">
      <c r="A116" s="74" t="str">
        <f>IFERROR(__xludf.DUMMYFUNCTION("""COMPUTED_VALUE"""),"M. Tarun kumar")</f>
        <v>M. Tarun kumar</v>
      </c>
      <c r="B116" s="74" t="str">
        <f>IFERROR(__xludf.DUMMYFUNCTION("""COMPUTED_VALUE"""),"20331A05B0")</f>
        <v>20331A05B0</v>
      </c>
      <c r="C116" s="74" t="str">
        <f>IFERROR(__xludf.DUMMYFUNCTION("""COMPUTED_VALUE"""),"Red hat")</f>
        <v>Red hat</v>
      </c>
      <c r="D116" s="74" t="str">
        <f>IFERROR(__xludf.DUMMYFUNCTION("""COMPUTED_VALUE"""),"2 Months")</f>
        <v>2 Months</v>
      </c>
      <c r="E116" s="79">
        <f>IFERROR(__xludf.DUMMYFUNCTION("""COMPUTED_VALUE"""),44470.0)</f>
        <v>44470</v>
      </c>
      <c r="F116" s="79">
        <f>IFERROR(__xludf.DUMMYFUNCTION("""COMPUTED_VALUE"""),44557.0)</f>
        <v>44557</v>
      </c>
      <c r="G116" s="74" t="str">
        <f>IFERROR(__xludf.DUMMYFUNCTION("""COMPUTED_VALUE"""),"No")</f>
        <v>No</v>
      </c>
      <c r="H116" s="74" t="str">
        <f>IFERROR(__xludf.DUMMYFUNCTION("""COMPUTED_VALUE"""),"No")</f>
        <v>No</v>
      </c>
      <c r="I116" s="74">
        <f>IFERROR(__xludf.DUMMYFUNCTION("""COMPUTED_VALUE"""),0.0)</f>
        <v>0</v>
      </c>
      <c r="J116" s="80" t="str">
        <f>IFERROR(__xludf.DUMMYFUNCTION("""COMPUTED_VALUE"""),"https://drive.google.com/open?id=1_7V9WKQdECrYmJ4B1k45Qyokl2hvYj3d")</f>
        <v>https://drive.google.com/open?id=1_7V9WKQdECrYmJ4B1k45Qyokl2hvYj3d</v>
      </c>
      <c r="K116" s="74" t="str">
        <f>IFERROR(__xludf.DUMMYFUNCTION("""COMPUTED_VALUE"""),"2020-2024")</f>
        <v>2020-2024</v>
      </c>
      <c r="L116" s="74" t="str">
        <f>IFERROR(__xludf.DUMMYFUNCTION("""COMPUTED_VALUE"""),"S3: Student Internships")</f>
        <v>S3: Student Internships</v>
      </c>
      <c r="M116" s="74" t="str">
        <f>IFERROR(__xludf.DUMMYFUNCTION("""COMPUTED_VALUE"""),"mt790191@gmail.com")</f>
        <v>mt790191@gmail.com</v>
      </c>
      <c r="N116" s="74" t="str">
        <f>IFERROR(__xludf.DUMMYFUNCTION("""COMPUTED_VALUE"""),"SEM-4")</f>
        <v>SEM-4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</row>
    <row r="117" ht="33.0" customHeight="1">
      <c r="A117" s="74" t="str">
        <f>IFERROR(__xludf.DUMMYFUNCTION("""COMPUTED_VALUE"""),"Gudala Lalitha Maheswari")</f>
        <v>Gudala Lalitha Maheswari</v>
      </c>
      <c r="B117" s="74" t="str">
        <f>IFERROR(__xludf.DUMMYFUNCTION("""COMPUTED_VALUE"""),"20331A0565")</f>
        <v>20331A0565</v>
      </c>
      <c r="C117" s="74" t="str">
        <f>IFERROR(__xludf.DUMMYFUNCTION("""COMPUTED_VALUE"""),"Red hat")</f>
        <v>Red hat</v>
      </c>
      <c r="D117" s="74" t="str">
        <f>IFERROR(__xludf.DUMMYFUNCTION("""COMPUTED_VALUE"""),"2 months")</f>
        <v>2 months</v>
      </c>
      <c r="E117" s="79">
        <f>IFERROR(__xludf.DUMMYFUNCTION("""COMPUTED_VALUE"""),44470.0)</f>
        <v>44470</v>
      </c>
      <c r="F117" s="79">
        <f>IFERROR(__xludf.DUMMYFUNCTION("""COMPUTED_VALUE"""),44561.0)</f>
        <v>44561</v>
      </c>
      <c r="G117" s="74" t="str">
        <f>IFERROR(__xludf.DUMMYFUNCTION("""COMPUTED_VALUE"""),"No")</f>
        <v>No</v>
      </c>
      <c r="H117" s="74" t="str">
        <f>IFERROR(__xludf.DUMMYFUNCTION("""COMPUTED_VALUE"""),"No")</f>
        <v>No</v>
      </c>
      <c r="I117" s="74">
        <f>IFERROR(__xludf.DUMMYFUNCTION("""COMPUTED_VALUE"""),0.0)</f>
        <v>0</v>
      </c>
      <c r="J117" s="80" t="str">
        <f>IFERROR(__xludf.DUMMYFUNCTION("""COMPUTED_VALUE"""),"https://drive.google.com/open?id=1vinEl0B5tg4rSvGazB6MyvSNVNZm97dS")</f>
        <v>https://drive.google.com/open?id=1vinEl0B5tg4rSvGazB6MyvSNVNZm97dS</v>
      </c>
      <c r="K117" s="74" t="str">
        <f>IFERROR(__xludf.DUMMYFUNCTION("""COMPUTED_VALUE"""),"2020-2024")</f>
        <v>2020-2024</v>
      </c>
      <c r="L117" s="74" t="str">
        <f>IFERROR(__xludf.DUMMYFUNCTION("""COMPUTED_VALUE"""),"S3: Student Internships")</f>
        <v>S3: Student Internships</v>
      </c>
      <c r="M117" s="74" t="str">
        <f>IFERROR(__xludf.DUMMYFUNCTION("""COMPUTED_VALUE"""),"gudalalalithamaheswari4180@gmail.com")</f>
        <v>gudalalalithamaheswari4180@gmail.com</v>
      </c>
      <c r="N117" s="74" t="str">
        <f>IFERROR(__xludf.DUMMYFUNCTION("""COMPUTED_VALUE"""),"SEM-4")</f>
        <v>SEM-4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</row>
    <row r="118" ht="33.0" customHeight="1">
      <c r="A118" s="74" t="str">
        <f>IFERROR(__xludf.DUMMYFUNCTION("""COMPUTED_VALUE"""),"KONA THARUN SREE SAI")</f>
        <v>KONA THARUN SREE SAI</v>
      </c>
      <c r="B118" s="74" t="str">
        <f>IFERROR(__xludf.DUMMYFUNCTION("""COMPUTED_VALUE"""),"20331A0590")</f>
        <v>20331A0590</v>
      </c>
      <c r="C118" s="74" t="str">
        <f>IFERROR(__xludf.DUMMYFUNCTION("""COMPUTED_VALUE"""),"Redhat")</f>
        <v>Redhat</v>
      </c>
      <c r="D118" s="74" t="str">
        <f>IFERROR(__xludf.DUMMYFUNCTION("""COMPUTED_VALUE"""),"2 months ")</f>
        <v>2 months </v>
      </c>
      <c r="E118" s="79">
        <f>IFERROR(__xludf.DUMMYFUNCTION("""COMPUTED_VALUE"""),44470.0)</f>
        <v>44470</v>
      </c>
      <c r="F118" s="79">
        <f>IFERROR(__xludf.DUMMYFUNCTION("""COMPUTED_VALUE"""),44531.0)</f>
        <v>44531</v>
      </c>
      <c r="G118" s="74" t="str">
        <f>IFERROR(__xludf.DUMMYFUNCTION("""COMPUTED_VALUE"""),"No")</f>
        <v>No</v>
      </c>
      <c r="H118" s="74" t="str">
        <f>IFERROR(__xludf.DUMMYFUNCTION("""COMPUTED_VALUE"""),"No")</f>
        <v>No</v>
      </c>
      <c r="I118" s="74">
        <f>IFERROR(__xludf.DUMMYFUNCTION("""COMPUTED_VALUE"""),0.0)</f>
        <v>0</v>
      </c>
      <c r="J118" s="80" t="str">
        <f>IFERROR(__xludf.DUMMYFUNCTION("""COMPUTED_VALUE"""),"https://drive.google.com/open?id=1U4zNBqKNThAe54o7icr_2AYBW3oeP86E")</f>
        <v>https://drive.google.com/open?id=1U4zNBqKNThAe54o7icr_2AYBW3oeP86E</v>
      </c>
      <c r="K118" s="74" t="str">
        <f>IFERROR(__xludf.DUMMYFUNCTION("""COMPUTED_VALUE"""),"2020-2024")</f>
        <v>2020-2024</v>
      </c>
      <c r="L118" s="74" t="str">
        <f>IFERROR(__xludf.DUMMYFUNCTION("""COMPUTED_VALUE"""),"S3: Student Internships")</f>
        <v>S3: Student Internships</v>
      </c>
      <c r="M118" s="74" t="str">
        <f>IFERROR(__xludf.DUMMYFUNCTION("""COMPUTED_VALUE"""),"tharunkona111@gmail.com")</f>
        <v>tharunkona111@gmail.com</v>
      </c>
      <c r="N118" s="74" t="str">
        <f>IFERROR(__xludf.DUMMYFUNCTION("""COMPUTED_VALUE"""),"SEM-4")</f>
        <v>SEM-4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</row>
    <row r="119" ht="33.0" customHeight="1">
      <c r="A119" s="74" t="str">
        <f>IFERROR(__xludf.DUMMYFUNCTION("""COMPUTED_VALUE"""),"GUDIVADA VASUDEVARAJU ")</f>
        <v>GUDIVADA VASUDEVARAJU </v>
      </c>
      <c r="B119" s="74" t="str">
        <f>IFERROR(__xludf.DUMMYFUNCTION("""COMPUTED_VALUE"""),"20331A0567")</f>
        <v>20331A0567</v>
      </c>
      <c r="C119" s="74" t="str">
        <f>IFERROR(__xludf.DUMMYFUNCTION("""COMPUTED_VALUE"""),"Eduskills ")</f>
        <v>Eduskills </v>
      </c>
      <c r="D119" s="74" t="str">
        <f>IFERROR(__xludf.DUMMYFUNCTION("""COMPUTED_VALUE"""),"Linux automation virtual internship ")</f>
        <v>Linux automation virtual internship </v>
      </c>
      <c r="E119" s="79">
        <f>IFERROR(__xludf.DUMMYFUNCTION("""COMPUTED_VALUE"""),44481.0)</f>
        <v>44481</v>
      </c>
      <c r="F119" s="79">
        <f>IFERROR(__xludf.DUMMYFUNCTION("""COMPUTED_VALUE"""),44542.0)</f>
        <v>44542</v>
      </c>
      <c r="G119" s="74" t="str">
        <f>IFERROR(__xludf.DUMMYFUNCTION("""COMPUTED_VALUE"""),"No")</f>
        <v>No</v>
      </c>
      <c r="H119" s="74" t="str">
        <f>IFERROR(__xludf.DUMMYFUNCTION("""COMPUTED_VALUE"""),"No")</f>
        <v>No</v>
      </c>
      <c r="I119" s="74">
        <f>IFERROR(__xludf.DUMMYFUNCTION("""COMPUTED_VALUE"""),0.0)</f>
        <v>0</v>
      </c>
      <c r="J119" s="80" t="str">
        <f>IFERROR(__xludf.DUMMYFUNCTION("""COMPUTED_VALUE"""),"https://drive.google.com/open?id=1RW0cM3DT5GM0oQ8k3Q0cM-pY3Bkzk4xa")</f>
        <v>https://drive.google.com/open?id=1RW0cM3DT5GM0oQ8k3Q0cM-pY3Bkzk4xa</v>
      </c>
      <c r="K119" s="74" t="str">
        <f>IFERROR(__xludf.DUMMYFUNCTION("""COMPUTED_VALUE"""),"2020-2024")</f>
        <v>2020-2024</v>
      </c>
      <c r="L119" s="74" t="str">
        <f>IFERROR(__xludf.DUMMYFUNCTION("""COMPUTED_VALUE"""),"S3: Student Internships")</f>
        <v>S3: Student Internships</v>
      </c>
      <c r="M119" s="74" t="str">
        <f>IFERROR(__xludf.DUMMYFUNCTION("""COMPUTED_VALUE"""),"vasuvpk2330@gmail.com")</f>
        <v>vasuvpk2330@gmail.com</v>
      </c>
      <c r="N119" s="74" t="str">
        <f>IFERROR(__xludf.DUMMYFUNCTION("""COMPUTED_VALUE"""),"SEM-4")</f>
        <v>SEM-4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</row>
    <row r="120" ht="33.0" customHeight="1">
      <c r="A120" s="74" t="str">
        <f>IFERROR(__xludf.DUMMYFUNCTION("""COMPUTED_VALUE"""),"Mohammed Imran")</f>
        <v>Mohammed Imran</v>
      </c>
      <c r="B120" s="74" t="str">
        <f>IFERROR(__xludf.DUMMYFUNCTION("""COMPUTED_VALUE"""),"20335A0509")</f>
        <v>20335A0509</v>
      </c>
      <c r="C120" s="74" t="str">
        <f>IFERROR(__xludf.DUMMYFUNCTION("""COMPUTED_VALUE"""),"Blue Prism")</f>
        <v>Blue Prism</v>
      </c>
      <c r="D120" s="74" t="str">
        <f>IFERROR(__xludf.DUMMYFUNCTION("""COMPUTED_VALUE"""),"10 weeks")</f>
        <v>10 weeks</v>
      </c>
      <c r="E120" s="79">
        <f>IFERROR(__xludf.DUMMYFUNCTION("""COMPUTED_VALUE"""),44492.0)</f>
        <v>44492</v>
      </c>
      <c r="F120" s="79">
        <f>IFERROR(__xludf.DUMMYFUNCTION("""COMPUTED_VALUE"""),44554.0)</f>
        <v>44554</v>
      </c>
      <c r="G120" s="74" t="str">
        <f>IFERROR(__xludf.DUMMYFUNCTION("""COMPUTED_VALUE"""),"No")</f>
        <v>No</v>
      </c>
      <c r="H120" s="74" t="str">
        <f>IFERROR(__xludf.DUMMYFUNCTION("""COMPUTED_VALUE"""),"No")</f>
        <v>No</v>
      </c>
      <c r="I120" s="74">
        <f>IFERROR(__xludf.DUMMYFUNCTION("""COMPUTED_VALUE"""),0.0)</f>
        <v>0</v>
      </c>
      <c r="J120" s="80" t="str">
        <f>IFERROR(__xludf.DUMMYFUNCTION("""COMPUTED_VALUE"""),"https://drive.google.com/open?id=1I10ymDocU9KshULXlkbs_MaLEpV-PeAS")</f>
        <v>https://drive.google.com/open?id=1I10ymDocU9KshULXlkbs_MaLEpV-PeAS</v>
      </c>
      <c r="K120" s="74" t="str">
        <f>IFERROR(__xludf.DUMMYFUNCTION("""COMPUTED_VALUE"""),"2019-2023")</f>
        <v>2019-2023</v>
      </c>
      <c r="L120" s="74" t="str">
        <f>IFERROR(__xludf.DUMMYFUNCTION("""COMPUTED_VALUE"""),"S3: Student Internships")</f>
        <v>S3: Student Internships</v>
      </c>
      <c r="M120" s="74" t="str">
        <f>IFERROR(__xludf.DUMMYFUNCTION("""COMPUTED_VALUE"""),"md116imran@gmail.com")</f>
        <v>md116imran@gmail.com</v>
      </c>
      <c r="N120" s="74" t="str">
        <f>IFERROR(__xludf.DUMMYFUNCTION("""COMPUTED_VALUE"""),"SEM-6")</f>
        <v>SEM-6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</row>
    <row r="121" ht="33.0" customHeight="1">
      <c r="A121" s="74" t="str">
        <f>IFERROR(__xludf.DUMMYFUNCTION("""COMPUTED_VALUE"""),"Jyothirmayi Manapuram")</f>
        <v>Jyothirmayi Manapuram</v>
      </c>
      <c r="B121" s="74" t="str">
        <f>IFERROR(__xludf.DUMMYFUNCTION("""COMPUTED_VALUE"""),"20335A0507")</f>
        <v>20335A0507</v>
      </c>
      <c r="C121" s="74" t="str">
        <f>IFERROR(__xludf.DUMMYFUNCTION("""COMPUTED_VALUE"""),"AICTE")</f>
        <v>AICTE</v>
      </c>
      <c r="D121" s="74" t="str">
        <f>IFERROR(__xludf.DUMMYFUNCTION("""COMPUTED_VALUE"""),"10 weeks")</f>
        <v>10 weeks</v>
      </c>
      <c r="E121" s="79">
        <f>IFERROR(__xludf.DUMMYFUNCTION("""COMPUTED_VALUE"""),44479.0)</f>
        <v>44479</v>
      </c>
      <c r="F121" s="79">
        <f>IFERROR(__xludf.DUMMYFUNCTION("""COMPUTED_VALUE"""),44573.0)</f>
        <v>44573</v>
      </c>
      <c r="G121" s="74" t="str">
        <f>IFERROR(__xludf.DUMMYFUNCTION("""COMPUTED_VALUE"""),"No")</f>
        <v>No</v>
      </c>
      <c r="H121" s="74" t="str">
        <f>IFERROR(__xludf.DUMMYFUNCTION("""COMPUTED_VALUE"""),"No")</f>
        <v>No</v>
      </c>
      <c r="I121" s="74">
        <f>IFERROR(__xludf.DUMMYFUNCTION("""COMPUTED_VALUE"""),0.0)</f>
        <v>0</v>
      </c>
      <c r="J121" s="80" t="str">
        <f>IFERROR(__xludf.DUMMYFUNCTION("""COMPUTED_VALUE"""),"https://drive.google.com/open?id=1Nd4eGUqv6sSL8MquViyInvt8UdolPuv1")</f>
        <v>https://drive.google.com/open?id=1Nd4eGUqv6sSL8MquViyInvt8UdolPuv1</v>
      </c>
      <c r="K121" s="74" t="str">
        <f>IFERROR(__xludf.DUMMYFUNCTION("""COMPUTED_VALUE"""),"2019-2023")</f>
        <v>2019-2023</v>
      </c>
      <c r="L121" s="74" t="str">
        <f>IFERROR(__xludf.DUMMYFUNCTION("""COMPUTED_VALUE"""),"S3: Student Internships")</f>
        <v>S3: Student Internships</v>
      </c>
      <c r="M121" s="74" t="str">
        <f>IFERROR(__xludf.DUMMYFUNCTION("""COMPUTED_VALUE"""),"jyothirmaimanapuram4@gmail.com")</f>
        <v>jyothirmaimanapuram4@gmail.com</v>
      </c>
      <c r="N121" s="74" t="str">
        <f>IFERROR(__xludf.DUMMYFUNCTION("""COMPUTED_VALUE"""),"SEM-6")</f>
        <v>SEM-6</v>
      </c>
      <c r="O121" s="74"/>
      <c r="P121" s="74"/>
      <c r="Q121" s="74"/>
      <c r="R121" s="74"/>
      <c r="S121" s="74"/>
      <c r="T121" s="74"/>
      <c r="U121" s="74"/>
      <c r="V121" s="74"/>
      <c r="W121" s="74"/>
      <c r="X121" s="74"/>
    </row>
    <row r="122" ht="33.0" customHeight="1">
      <c r="A122" s="74" t="str">
        <f>IFERROR(__xludf.DUMMYFUNCTION("""COMPUTED_VALUE"""),"Kuriti Ravindra naidu")</f>
        <v>Kuriti Ravindra naidu</v>
      </c>
      <c r="B122" s="74" t="str">
        <f>IFERROR(__xludf.DUMMYFUNCTION("""COMPUTED_VALUE"""),"20331A0597")</f>
        <v>20331A0597</v>
      </c>
      <c r="C122" s="74" t="str">
        <f>IFERROR(__xludf.DUMMYFUNCTION("""COMPUTED_VALUE"""),"Eduskills")</f>
        <v>Eduskills</v>
      </c>
      <c r="D122" s="74" t="str">
        <f>IFERROR(__xludf.DUMMYFUNCTION("""COMPUTED_VALUE"""),"3 months")</f>
        <v>3 months</v>
      </c>
      <c r="E122" s="79">
        <f>IFERROR(__xludf.DUMMYFUNCTION("""COMPUTED_VALUE"""),44470.0)</f>
        <v>44470</v>
      </c>
      <c r="F122" s="79">
        <f>IFERROR(__xludf.DUMMYFUNCTION("""COMPUTED_VALUE"""),44561.0)</f>
        <v>44561</v>
      </c>
      <c r="G122" s="74" t="str">
        <f>IFERROR(__xludf.DUMMYFUNCTION("""COMPUTED_VALUE"""),"No")</f>
        <v>No</v>
      </c>
      <c r="H122" s="74" t="str">
        <f>IFERROR(__xludf.DUMMYFUNCTION("""COMPUTED_VALUE"""),"No")</f>
        <v>No</v>
      </c>
      <c r="I122" s="74">
        <f>IFERROR(__xludf.DUMMYFUNCTION("""COMPUTED_VALUE"""),0.0)</f>
        <v>0</v>
      </c>
      <c r="J122" s="80" t="str">
        <f>IFERROR(__xludf.DUMMYFUNCTION("""COMPUTED_VALUE"""),"https://drive.google.com/open?id=16zd3VBlO3IdfTICh8JOvZbYDTeh7-442")</f>
        <v>https://drive.google.com/open?id=16zd3VBlO3IdfTICh8JOvZbYDTeh7-442</v>
      </c>
      <c r="K122" s="74" t="str">
        <f>IFERROR(__xludf.DUMMYFUNCTION("""COMPUTED_VALUE"""),"2020-2024")</f>
        <v>2020-2024</v>
      </c>
      <c r="L122" s="74" t="str">
        <f>IFERROR(__xludf.DUMMYFUNCTION("""COMPUTED_VALUE"""),"S3: Student Internships")</f>
        <v>S3: Student Internships</v>
      </c>
      <c r="M122" s="74" t="str">
        <f>IFERROR(__xludf.DUMMYFUNCTION("""COMPUTED_VALUE"""),"ravindranaidukuriti@gmail.com")</f>
        <v>ravindranaidukuriti@gmail.com</v>
      </c>
      <c r="N122" s="74" t="str">
        <f>IFERROR(__xludf.DUMMYFUNCTION("""COMPUTED_VALUE"""),"SEM-4")</f>
        <v>SEM-4</v>
      </c>
      <c r="O122" s="74"/>
      <c r="P122" s="74"/>
      <c r="Q122" s="74"/>
      <c r="R122" s="74"/>
      <c r="S122" s="74"/>
      <c r="T122" s="74"/>
      <c r="U122" s="74"/>
      <c r="V122" s="74"/>
      <c r="W122" s="74"/>
      <c r="X122" s="74"/>
    </row>
    <row r="123" ht="33.0" customHeight="1">
      <c r="A123" s="74" t="str">
        <f>IFERROR(__xludf.DUMMYFUNCTION("""COMPUTED_VALUE"""),"ELURU DIVYA DEEPTHI")</f>
        <v>ELURU DIVYA DEEPTHI</v>
      </c>
      <c r="B123" s="74" t="str">
        <f>IFERROR(__xludf.DUMMYFUNCTION("""COMPUTED_VALUE"""),"20335A0503")</f>
        <v>20335A0503</v>
      </c>
      <c r="C123" s="74" t="str">
        <f>IFERROR(__xludf.DUMMYFUNCTION("""COMPUTED_VALUE"""),"AICTE")</f>
        <v>AICTE</v>
      </c>
      <c r="D123" s="74" t="str">
        <f>IFERROR(__xludf.DUMMYFUNCTION("""COMPUTED_VALUE"""),"10 weeks")</f>
        <v>10 weeks</v>
      </c>
      <c r="E123" s="79">
        <f>IFERROR(__xludf.DUMMYFUNCTION("""COMPUTED_VALUE"""),44481.0)</f>
        <v>44481</v>
      </c>
      <c r="F123" s="79">
        <f>IFERROR(__xludf.DUMMYFUNCTION("""COMPUTED_VALUE"""),44573.0)</f>
        <v>44573</v>
      </c>
      <c r="G123" s="74" t="str">
        <f>IFERROR(__xludf.DUMMYFUNCTION("""COMPUTED_VALUE"""),"No")</f>
        <v>No</v>
      </c>
      <c r="H123" s="74" t="str">
        <f>IFERROR(__xludf.DUMMYFUNCTION("""COMPUTED_VALUE"""),"No")</f>
        <v>No</v>
      </c>
      <c r="I123" s="74">
        <f>IFERROR(__xludf.DUMMYFUNCTION("""COMPUTED_VALUE"""),0.0)</f>
        <v>0</v>
      </c>
      <c r="J123" s="80" t="str">
        <f>IFERROR(__xludf.DUMMYFUNCTION("""COMPUTED_VALUE"""),"https://drive.google.com/open?id=1M6-zSpYjgfr0BASlp2QUzn_c4XjO8T6i")</f>
        <v>https://drive.google.com/open?id=1M6-zSpYjgfr0BASlp2QUzn_c4XjO8T6i</v>
      </c>
      <c r="K123" s="74" t="str">
        <f>IFERROR(__xludf.DUMMYFUNCTION("""COMPUTED_VALUE"""),"2019-2023")</f>
        <v>2019-2023</v>
      </c>
      <c r="L123" s="74" t="str">
        <f>IFERROR(__xludf.DUMMYFUNCTION("""COMPUTED_VALUE"""),"S3: Student Internships")</f>
        <v>S3: Student Internships</v>
      </c>
      <c r="M123" s="74" t="str">
        <f>IFERROR(__xludf.DUMMYFUNCTION("""COMPUTED_VALUE"""),"eluruneelaveni@gmail.com")</f>
        <v>eluruneelaveni@gmail.com</v>
      </c>
      <c r="N123" s="74" t="str">
        <f>IFERROR(__xludf.DUMMYFUNCTION("""COMPUTED_VALUE"""),"SEM-5")</f>
        <v>SEM-5</v>
      </c>
      <c r="O123" s="74"/>
      <c r="P123" s="74"/>
      <c r="Q123" s="74"/>
      <c r="R123" s="74"/>
      <c r="S123" s="74"/>
      <c r="T123" s="74"/>
      <c r="U123" s="74"/>
      <c r="V123" s="74"/>
      <c r="W123" s="74"/>
      <c r="X123" s="74"/>
    </row>
    <row r="124" ht="33.0" customHeight="1">
      <c r="A124" s="81" t="str">
        <f>IFERROR(__xludf.DUMMYFUNCTION("""COMPUTED_VALUE"""),"Chinthapalli. Geetha sree")</f>
        <v>Chinthapalli. Geetha sree</v>
      </c>
      <c r="B124" s="81" t="str">
        <f>IFERROR(__xludf.DUMMYFUNCTION("""COMPUTED_VALUE"""),"19331A0537")</f>
        <v>19331A0537</v>
      </c>
      <c r="C124" s="81" t="str">
        <f>IFERROR(__xludf.DUMMYFUNCTION("""COMPUTED_VALUE"""),"Swecha")</f>
        <v>Swecha</v>
      </c>
      <c r="D124" s="81" t="str">
        <f>IFERROR(__xludf.DUMMYFUNCTION("""COMPUTED_VALUE"""),"4 weeks")</f>
        <v>4 weeks</v>
      </c>
      <c r="E124" s="82">
        <f>IFERROR(__xludf.DUMMYFUNCTION("""COMPUTED_VALUE"""),44338.0)</f>
        <v>44338</v>
      </c>
      <c r="F124" s="82">
        <f>IFERROR(__xludf.DUMMYFUNCTION("""COMPUTED_VALUE"""),44367.0)</f>
        <v>44367</v>
      </c>
      <c r="G124" s="81" t="str">
        <f>IFERROR(__xludf.DUMMYFUNCTION("""COMPUTED_VALUE"""),"No")</f>
        <v>No</v>
      </c>
      <c r="H124" s="81" t="str">
        <f>IFERROR(__xludf.DUMMYFUNCTION("""COMPUTED_VALUE"""),"No")</f>
        <v>No</v>
      </c>
      <c r="I124" s="81">
        <f>IFERROR(__xludf.DUMMYFUNCTION("""COMPUTED_VALUE"""),0.0)</f>
        <v>0</v>
      </c>
      <c r="J124" s="83" t="str">
        <f>IFERROR(__xludf.DUMMYFUNCTION("""COMPUTED_VALUE"""),"https://drive.google.com/open?id=19zlUndQh5pJmKfNO2-EjhssTuaVWZjGL")</f>
        <v>https://drive.google.com/open?id=19zlUndQh5pJmKfNO2-EjhssTuaVWZjGL</v>
      </c>
      <c r="K124" s="81" t="str">
        <f>IFERROR(__xludf.DUMMYFUNCTION("""COMPUTED_VALUE"""),"2019-2023")</f>
        <v>2019-2023</v>
      </c>
      <c r="L124" s="81" t="str">
        <f>IFERROR(__xludf.DUMMYFUNCTION("""COMPUTED_VALUE"""),"S3: Student Internships")</f>
        <v>S3: Student Internships</v>
      </c>
      <c r="M124" s="81" t="str">
        <f>IFERROR(__xludf.DUMMYFUNCTION("""COMPUTED_VALUE"""),"sreegeetha794@gmail.com")</f>
        <v>sreegeetha794@gmail.com</v>
      </c>
      <c r="N124" s="81" t="str">
        <f>IFERROR(__xludf.DUMMYFUNCTION("""COMPUTED_VALUE"""),"SEM-6")</f>
        <v>SEM-6</v>
      </c>
      <c r="O124" s="81"/>
      <c r="P124" s="81"/>
      <c r="Q124" s="81"/>
      <c r="R124" s="81"/>
      <c r="S124" s="81"/>
      <c r="T124" s="81"/>
      <c r="U124" s="81"/>
      <c r="V124" s="81"/>
      <c r="W124" s="81"/>
      <c r="X124" s="81"/>
    </row>
    <row r="125" ht="33.0" customHeight="1">
      <c r="A125" s="74" t="str">
        <f>IFERROR(__xludf.DUMMYFUNCTION("""COMPUTED_VALUE"""),"BANDARU BHANU SAI PRAKASH")</f>
        <v>BANDARU BHANU SAI PRAKASH</v>
      </c>
      <c r="B125" s="74" t="str">
        <f>IFERROR(__xludf.DUMMYFUNCTION("""COMPUTED_VALUE"""),"20335A0501")</f>
        <v>20335A0501</v>
      </c>
      <c r="C125" s="74" t="str">
        <f>IFERROR(__xludf.DUMMYFUNCTION("""COMPUTED_VALUE"""),"AICTE")</f>
        <v>AICTE</v>
      </c>
      <c r="D125" s="74" t="str">
        <f>IFERROR(__xludf.DUMMYFUNCTION("""COMPUTED_VALUE"""),"10 weeks")</f>
        <v>10 weeks</v>
      </c>
      <c r="E125" s="79">
        <f>IFERROR(__xludf.DUMMYFUNCTION("""COMPUTED_VALUE"""),44481.0)</f>
        <v>44481</v>
      </c>
      <c r="F125" s="79">
        <f>IFERROR(__xludf.DUMMYFUNCTION("""COMPUTED_VALUE"""),44573.0)</f>
        <v>44573</v>
      </c>
      <c r="G125" s="74" t="str">
        <f>IFERROR(__xludf.DUMMYFUNCTION("""COMPUTED_VALUE"""),"No")</f>
        <v>No</v>
      </c>
      <c r="H125" s="74" t="str">
        <f>IFERROR(__xludf.DUMMYFUNCTION("""COMPUTED_VALUE"""),"No")</f>
        <v>No</v>
      </c>
      <c r="I125" s="74">
        <f>IFERROR(__xludf.DUMMYFUNCTION("""COMPUTED_VALUE"""),0.0)</f>
        <v>0</v>
      </c>
      <c r="J125" s="80" t="str">
        <f>IFERROR(__xludf.DUMMYFUNCTION("""COMPUTED_VALUE"""),"https://drive.google.com/open?id=1QL9q--_GVEuGWpOC3zPdAKUT_Ha5rhv-")</f>
        <v>https://drive.google.com/open?id=1QL9q--_GVEuGWpOC3zPdAKUT_Ha5rhv-</v>
      </c>
      <c r="K125" s="74" t="str">
        <f>IFERROR(__xludf.DUMMYFUNCTION("""COMPUTED_VALUE"""),"2019-2023")</f>
        <v>2019-2023</v>
      </c>
      <c r="L125" s="74" t="str">
        <f>IFERROR(__xludf.DUMMYFUNCTION("""COMPUTED_VALUE"""),"S3: Student Internships")</f>
        <v>S3: Student Internships</v>
      </c>
      <c r="M125" s="74" t="str">
        <f>IFERROR(__xludf.DUMMYFUNCTION("""COMPUTED_VALUE"""),"bhanusaiprakash04@gmail.com")</f>
        <v>bhanusaiprakash04@gmail.com</v>
      </c>
      <c r="N125" s="74" t="str">
        <f>IFERROR(__xludf.DUMMYFUNCTION("""COMPUTED_VALUE"""),"SEM-5")</f>
        <v>SEM-5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</row>
    <row r="126" ht="33.0" customHeight="1">
      <c r="A126" s="74" t="str">
        <f>IFERROR(__xludf.DUMMYFUNCTION("""COMPUTED_VALUE"""),"LADI ADITYA PRASAD ")</f>
        <v>LADI ADITYA PRASAD </v>
      </c>
      <c r="B126" s="74" t="str">
        <f>IFERROR(__xludf.DUMMYFUNCTION("""COMPUTED_VALUE"""),"20335A0506")</f>
        <v>20335A0506</v>
      </c>
      <c r="C126" s="74" t="str">
        <f>IFERROR(__xludf.DUMMYFUNCTION("""COMPUTED_VALUE"""),"AICTE")</f>
        <v>AICTE</v>
      </c>
      <c r="D126" s="74" t="str">
        <f>IFERROR(__xludf.DUMMYFUNCTION("""COMPUTED_VALUE"""),"10 weeks ")</f>
        <v>10 weeks </v>
      </c>
      <c r="E126" s="79">
        <f>IFERROR(__xludf.DUMMYFUNCTION("""COMPUTED_VALUE"""),44481.0)</f>
        <v>44481</v>
      </c>
      <c r="F126" s="79">
        <f>IFERROR(__xludf.DUMMYFUNCTION("""COMPUTED_VALUE"""),44573.0)</f>
        <v>44573</v>
      </c>
      <c r="G126" s="74" t="str">
        <f>IFERROR(__xludf.DUMMYFUNCTION("""COMPUTED_VALUE"""),"No")</f>
        <v>No</v>
      </c>
      <c r="H126" s="74" t="str">
        <f>IFERROR(__xludf.DUMMYFUNCTION("""COMPUTED_VALUE"""),"No")</f>
        <v>No</v>
      </c>
      <c r="I126" s="74">
        <f>IFERROR(__xludf.DUMMYFUNCTION("""COMPUTED_VALUE"""),0.0)</f>
        <v>0</v>
      </c>
      <c r="J126" s="80" t="str">
        <f>IFERROR(__xludf.DUMMYFUNCTION("""COMPUTED_VALUE"""),"https://drive.google.com/open?id=1mYUOK3K-F97GEKgt0CtUJvMCj1Ut9iVR")</f>
        <v>https://drive.google.com/open?id=1mYUOK3K-F97GEKgt0CtUJvMCj1Ut9iVR</v>
      </c>
      <c r="K126" s="74" t="str">
        <f>IFERROR(__xludf.DUMMYFUNCTION("""COMPUTED_VALUE"""),"2019-2023")</f>
        <v>2019-2023</v>
      </c>
      <c r="L126" s="74" t="str">
        <f>IFERROR(__xludf.DUMMYFUNCTION("""COMPUTED_VALUE"""),"S3: Student Internships")</f>
        <v>S3: Student Internships</v>
      </c>
      <c r="M126" s="74" t="str">
        <f>IFERROR(__xludf.DUMMYFUNCTION("""COMPUTED_VALUE"""),"adityaprasadladi@gmail.com")</f>
        <v>adityaprasadladi@gmail.com</v>
      </c>
      <c r="N126" s="74" t="str">
        <f>IFERROR(__xludf.DUMMYFUNCTION("""COMPUTED_VALUE"""),"SEM-5")</f>
        <v>SEM-5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</row>
    <row r="127" ht="33.0" customHeight="1">
      <c r="A127" s="81" t="str">
        <f>IFERROR(__xludf.DUMMYFUNCTION("""COMPUTED_VALUE"""),"M. Tarun kumar")</f>
        <v>M. Tarun kumar</v>
      </c>
      <c r="B127" s="81" t="str">
        <f>IFERROR(__xludf.DUMMYFUNCTION("""COMPUTED_VALUE"""),"20331A05B0")</f>
        <v>20331A05B0</v>
      </c>
      <c r="C127" s="81" t="str">
        <f>IFERROR(__xludf.DUMMYFUNCTION("""COMPUTED_VALUE"""),"Red Hat")</f>
        <v>Red Hat</v>
      </c>
      <c r="D127" s="81" t="str">
        <f>IFERROR(__xludf.DUMMYFUNCTION("""COMPUTED_VALUE"""),"2 months")</f>
        <v>2 months</v>
      </c>
      <c r="E127" s="82">
        <f>IFERROR(__xludf.DUMMYFUNCTION("""COMPUTED_VALUE"""),44105.0)</f>
        <v>44105</v>
      </c>
      <c r="F127" s="82">
        <f>IFERROR(__xludf.DUMMYFUNCTION("""COMPUTED_VALUE"""),44562.0)</f>
        <v>44562</v>
      </c>
      <c r="G127" s="81" t="str">
        <f>IFERROR(__xludf.DUMMYFUNCTION("""COMPUTED_VALUE"""),"No")</f>
        <v>No</v>
      </c>
      <c r="H127" s="81" t="str">
        <f>IFERROR(__xludf.DUMMYFUNCTION("""COMPUTED_VALUE"""),"No")</f>
        <v>No</v>
      </c>
      <c r="I127" s="81">
        <f>IFERROR(__xludf.DUMMYFUNCTION("""COMPUTED_VALUE"""),0.0)</f>
        <v>0</v>
      </c>
      <c r="J127" s="83" t="str">
        <f>IFERROR(__xludf.DUMMYFUNCTION("""COMPUTED_VALUE"""),"https://drive.google.com/open?id=1cURO-VXsTbK6ZoZ8HDDxXySavbQV-XEM")</f>
        <v>https://drive.google.com/open?id=1cURO-VXsTbK6ZoZ8HDDxXySavbQV-XEM</v>
      </c>
      <c r="K127" s="81" t="str">
        <f>IFERROR(__xludf.DUMMYFUNCTION("""COMPUTED_VALUE"""),"2020-2024")</f>
        <v>2020-2024</v>
      </c>
      <c r="L127" s="81" t="str">
        <f>IFERROR(__xludf.DUMMYFUNCTION("""COMPUTED_VALUE"""),"S3: Student Internships")</f>
        <v>S3: Student Internships</v>
      </c>
      <c r="M127" s="81" t="str">
        <f>IFERROR(__xludf.DUMMYFUNCTION("""COMPUTED_VALUE"""),"mt790191@gmail.com")</f>
        <v>mt790191@gmail.com</v>
      </c>
      <c r="N127" s="81" t="str">
        <f>IFERROR(__xludf.DUMMYFUNCTION("""COMPUTED_VALUE"""),"SEM-4")</f>
        <v>SEM-4</v>
      </c>
      <c r="O127" s="81"/>
      <c r="P127" s="81"/>
      <c r="Q127" s="81"/>
      <c r="R127" s="81"/>
      <c r="S127" s="81"/>
      <c r="T127" s="81"/>
      <c r="U127" s="81"/>
      <c r="V127" s="81"/>
      <c r="W127" s="81"/>
      <c r="X127" s="81"/>
    </row>
    <row r="128" ht="33.0" customHeight="1">
      <c r="A128" s="74" t="str">
        <f>IFERROR(__xludf.DUMMYFUNCTION("""COMPUTED_VALUE"""),"Jayanthi lahari Katta ")</f>
        <v>Jayanthi lahari Katta </v>
      </c>
      <c r="B128" s="74" t="str">
        <f>IFERROR(__xludf.DUMMYFUNCTION("""COMPUTED_VALUE"""),"20335A0505")</f>
        <v>20335A0505</v>
      </c>
      <c r="C128" s="74" t="str">
        <f>IFERROR(__xludf.DUMMYFUNCTION("""COMPUTED_VALUE"""),"AICTE")</f>
        <v>AICTE</v>
      </c>
      <c r="D128" s="74" t="str">
        <f>IFERROR(__xludf.DUMMYFUNCTION("""COMPUTED_VALUE"""),"10 weeks")</f>
        <v>10 weeks</v>
      </c>
      <c r="E128" s="79">
        <f>IFERROR(__xludf.DUMMYFUNCTION("""COMPUTED_VALUE"""),44480.0)</f>
        <v>44480</v>
      </c>
      <c r="F128" s="79">
        <f>IFERROR(__xludf.DUMMYFUNCTION("""COMPUTED_VALUE"""),44562.0)</f>
        <v>44562</v>
      </c>
      <c r="G128" s="74" t="str">
        <f>IFERROR(__xludf.DUMMYFUNCTION("""COMPUTED_VALUE"""),"No")</f>
        <v>No</v>
      </c>
      <c r="H128" s="74" t="str">
        <f>IFERROR(__xludf.DUMMYFUNCTION("""COMPUTED_VALUE"""),"No")</f>
        <v>No</v>
      </c>
      <c r="I128" s="74">
        <f>IFERROR(__xludf.DUMMYFUNCTION("""COMPUTED_VALUE"""),0.0)</f>
        <v>0</v>
      </c>
      <c r="J128" s="80" t="str">
        <f>IFERROR(__xludf.DUMMYFUNCTION("""COMPUTED_VALUE"""),"https://drive.google.com/open?id=1sAcrYSuEOcOeoIFyHDZBVlmlqck3MYDm")</f>
        <v>https://drive.google.com/open?id=1sAcrYSuEOcOeoIFyHDZBVlmlqck3MYDm</v>
      </c>
      <c r="K128" s="74" t="str">
        <f>IFERROR(__xludf.DUMMYFUNCTION("""COMPUTED_VALUE"""),"2019-2023")</f>
        <v>2019-2023</v>
      </c>
      <c r="L128" s="74" t="str">
        <f>IFERROR(__xludf.DUMMYFUNCTION("""COMPUTED_VALUE"""),"S3: Student Internships")</f>
        <v>S3: Student Internships</v>
      </c>
      <c r="M128" s="74" t="str">
        <f>IFERROR(__xludf.DUMMYFUNCTION("""COMPUTED_VALUE"""),"laharijayanthi10@gmail.com")</f>
        <v>laharijayanthi10@gmail.com</v>
      </c>
      <c r="N128" s="74" t="str">
        <f>IFERROR(__xludf.DUMMYFUNCTION("""COMPUTED_VALUE"""),"SEM-5")</f>
        <v>SEM-5</v>
      </c>
      <c r="O128" s="74"/>
      <c r="P128" s="74"/>
      <c r="Q128" s="74"/>
      <c r="R128" s="74"/>
      <c r="S128" s="74"/>
      <c r="T128" s="74"/>
      <c r="U128" s="74"/>
      <c r="V128" s="74"/>
      <c r="W128" s="74"/>
      <c r="X128" s="74"/>
    </row>
    <row r="129" ht="33.0" customHeight="1">
      <c r="A129" s="74" t="str">
        <f>IFERROR(__xludf.DUMMYFUNCTION("""COMPUTED_VALUE"""),"Muppaneni Gayatri Srinidhi")</f>
        <v>Muppaneni Gayatri Srinidhi</v>
      </c>
      <c r="B129" s="74" t="str">
        <f>IFERROR(__xludf.DUMMYFUNCTION("""COMPUTED_VALUE"""),"18331A05A3")</f>
        <v>18331A05A3</v>
      </c>
      <c r="C129" s="74" t="str">
        <f>IFERROR(__xludf.DUMMYFUNCTION("""COMPUTED_VALUE"""),"AICTE Edu skills")</f>
        <v>AICTE Edu skills</v>
      </c>
      <c r="D129" s="74" t="str">
        <f>IFERROR(__xludf.DUMMYFUNCTION("""COMPUTED_VALUE"""),"3 months")</f>
        <v>3 months</v>
      </c>
      <c r="E129" s="79">
        <f>IFERROR(__xludf.DUMMYFUNCTION("""COMPUTED_VALUE"""),44105.0)</f>
        <v>44105</v>
      </c>
      <c r="F129" s="79">
        <f>IFERROR(__xludf.DUMMYFUNCTION("""COMPUTED_VALUE"""),44561.0)</f>
        <v>44561</v>
      </c>
      <c r="G129" s="74" t="str">
        <f>IFERROR(__xludf.DUMMYFUNCTION("""COMPUTED_VALUE"""),"No")</f>
        <v>No</v>
      </c>
      <c r="H129" s="74" t="str">
        <f>IFERROR(__xludf.DUMMYFUNCTION("""COMPUTED_VALUE"""),"No")</f>
        <v>No</v>
      </c>
      <c r="I129" s="74">
        <f>IFERROR(__xludf.DUMMYFUNCTION("""COMPUTED_VALUE"""),0.0)</f>
        <v>0</v>
      </c>
      <c r="J129" s="80" t="str">
        <f>IFERROR(__xludf.DUMMYFUNCTION("""COMPUTED_VALUE"""),"https://drive.google.com/open?id=1XIuR7daUWGUMTat-Yoq0W9bWN3UpHpcf")</f>
        <v>https://drive.google.com/open?id=1XIuR7daUWGUMTat-Yoq0W9bWN3UpHpcf</v>
      </c>
      <c r="K129" s="74" t="str">
        <f>IFERROR(__xludf.DUMMYFUNCTION("""COMPUTED_VALUE"""),"2018-2022")</f>
        <v>2018-2022</v>
      </c>
      <c r="L129" s="74" t="str">
        <f>IFERROR(__xludf.DUMMYFUNCTION("""COMPUTED_VALUE"""),"S3: Student Internships")</f>
        <v>S3: Student Internships</v>
      </c>
      <c r="M129" s="74" t="str">
        <f>IFERROR(__xludf.DUMMYFUNCTION("""COMPUTED_VALUE"""),"srinidhimuppaneni@gmail.com")</f>
        <v>srinidhimuppaneni@gmail.com</v>
      </c>
      <c r="N129" s="74" t="str">
        <f>IFERROR(__xludf.DUMMYFUNCTION("""COMPUTED_VALUE"""),"SEM-8")</f>
        <v>SEM-8</v>
      </c>
      <c r="O129" s="74"/>
      <c r="P129" s="74"/>
      <c r="Q129" s="74"/>
      <c r="R129" s="74"/>
      <c r="S129" s="74"/>
      <c r="T129" s="74"/>
      <c r="U129" s="74"/>
      <c r="V129" s="74"/>
      <c r="W129" s="74"/>
      <c r="X129" s="74"/>
    </row>
    <row r="130" ht="33.0" customHeight="1">
      <c r="A130" s="81" t="str">
        <f>IFERROR(__xludf.DUMMYFUNCTION("""COMPUTED_VALUE"""),"BHARAT HARI")</f>
        <v>BHARAT HARI</v>
      </c>
      <c r="B130" s="81" t="str">
        <f>IFERROR(__xludf.DUMMYFUNCTION("""COMPUTED_VALUE"""),"20331A0570")</f>
        <v>20331A0570</v>
      </c>
      <c r="C130" s="81" t="str">
        <f>IFERROR(__xludf.DUMMYFUNCTION("""COMPUTED_VALUE"""),"REDHAT")</f>
        <v>REDHAT</v>
      </c>
      <c r="D130" s="81" t="str">
        <f>IFERROR(__xludf.DUMMYFUNCTION("""COMPUTED_VALUE"""),"oct-dec 2021")</f>
        <v>oct-dec 2021</v>
      </c>
      <c r="E130" s="82">
        <f>IFERROR(__xludf.DUMMYFUNCTION("""COMPUTED_VALUE"""),44470.0)</f>
        <v>44470</v>
      </c>
      <c r="F130" s="82">
        <f>IFERROR(__xludf.DUMMYFUNCTION("""COMPUTED_VALUE"""),44531.0)</f>
        <v>44531</v>
      </c>
      <c r="G130" s="81" t="str">
        <f>IFERROR(__xludf.DUMMYFUNCTION("""COMPUTED_VALUE"""),"No")</f>
        <v>No</v>
      </c>
      <c r="H130" s="81" t="str">
        <f>IFERROR(__xludf.DUMMYFUNCTION("""COMPUTED_VALUE"""),"No")</f>
        <v>No</v>
      </c>
      <c r="I130" s="81">
        <f>IFERROR(__xludf.DUMMYFUNCTION("""COMPUTED_VALUE"""),0.0)</f>
        <v>0</v>
      </c>
      <c r="J130" s="83" t="str">
        <f>IFERROR(__xludf.DUMMYFUNCTION("""COMPUTED_VALUE"""),"https://drive.google.com/open?id=1xGu6fOJRvDMwRLBNU3Kd0Ulose5pqrjf")</f>
        <v>https://drive.google.com/open?id=1xGu6fOJRvDMwRLBNU3Kd0Ulose5pqrjf</v>
      </c>
      <c r="K130" s="81" t="str">
        <f>IFERROR(__xludf.DUMMYFUNCTION("""COMPUTED_VALUE"""),"2020-2024")</f>
        <v>2020-2024</v>
      </c>
      <c r="L130" s="81" t="str">
        <f>IFERROR(__xludf.DUMMYFUNCTION("""COMPUTED_VALUE"""),"S3: Student Internships")</f>
        <v>S3: Student Internships</v>
      </c>
      <c r="M130" s="81" t="str">
        <f>IFERROR(__xludf.DUMMYFUNCTION("""COMPUTED_VALUE"""),"bharat.haristudent@gmail.com")</f>
        <v>bharat.haristudent@gmail.com</v>
      </c>
      <c r="N130" s="81" t="str">
        <f>IFERROR(__xludf.DUMMYFUNCTION("""COMPUTED_VALUE"""),"SEM-4")</f>
        <v>SEM-4</v>
      </c>
      <c r="O130" s="81"/>
      <c r="P130" s="81"/>
      <c r="Q130" s="81"/>
      <c r="R130" s="81"/>
      <c r="S130" s="81"/>
      <c r="T130" s="81"/>
      <c r="U130" s="81"/>
      <c r="V130" s="81"/>
      <c r="W130" s="81"/>
      <c r="X130" s="81"/>
    </row>
    <row r="131" ht="33.0" customHeight="1">
      <c r="A131" s="74" t="str">
        <f>IFERROR(__xludf.DUMMYFUNCTION("""COMPUTED_VALUE"""),"PIRADHI YASWANTH KUMAR")</f>
        <v>PIRADHI YASWANTH KUMAR</v>
      </c>
      <c r="B131" s="74" t="str">
        <f>IFERROR(__xludf.DUMMYFUNCTION("""COMPUTED_VALUE"""),"20335A0514")</f>
        <v>20335A0514</v>
      </c>
      <c r="C131" s="74" t="str">
        <f>IFERROR(__xludf.DUMMYFUNCTION("""COMPUTED_VALUE"""),"AICTE")</f>
        <v>AICTE</v>
      </c>
      <c r="D131" s="74" t="str">
        <f>IFERROR(__xludf.DUMMYFUNCTION("""COMPUTED_VALUE"""),"10 weeks")</f>
        <v>10 weeks</v>
      </c>
      <c r="E131" s="79">
        <f>IFERROR(__xludf.DUMMYFUNCTION("""COMPUTED_VALUE"""),44481.0)</f>
        <v>44481</v>
      </c>
      <c r="F131" s="79">
        <f>IFERROR(__xludf.DUMMYFUNCTION("""COMPUTED_VALUE"""),44573.0)</f>
        <v>44573</v>
      </c>
      <c r="G131" s="74" t="str">
        <f>IFERROR(__xludf.DUMMYFUNCTION("""COMPUTED_VALUE"""),"No")</f>
        <v>No</v>
      </c>
      <c r="H131" s="74" t="str">
        <f>IFERROR(__xludf.DUMMYFUNCTION("""COMPUTED_VALUE"""),"No")</f>
        <v>No</v>
      </c>
      <c r="I131" s="74">
        <f>IFERROR(__xludf.DUMMYFUNCTION("""COMPUTED_VALUE"""),0.0)</f>
        <v>0</v>
      </c>
      <c r="J131" s="80" t="str">
        <f>IFERROR(__xludf.DUMMYFUNCTION("""COMPUTED_VALUE"""),"https://drive.google.com/open?id=11dwcyzHKey-Qjswz26kVyFcRmb_znhxm")</f>
        <v>https://drive.google.com/open?id=11dwcyzHKey-Qjswz26kVyFcRmb_znhxm</v>
      </c>
      <c r="K131" s="74" t="str">
        <f>IFERROR(__xludf.DUMMYFUNCTION("""COMPUTED_VALUE"""),"2019-2023")</f>
        <v>2019-2023</v>
      </c>
      <c r="L131" s="74" t="str">
        <f>IFERROR(__xludf.DUMMYFUNCTION("""COMPUTED_VALUE"""),"S3: Student Internships")</f>
        <v>S3: Student Internships</v>
      </c>
      <c r="M131" s="74" t="str">
        <f>IFERROR(__xludf.DUMMYFUNCTION("""COMPUTED_VALUE"""),"yashdarling14@gmail.com")</f>
        <v>yashdarling14@gmail.com</v>
      </c>
      <c r="N131" s="74" t="str">
        <f>IFERROR(__xludf.DUMMYFUNCTION("""COMPUTED_VALUE"""),"SEM-5")</f>
        <v>SEM-5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/>
    </row>
    <row r="132" ht="33.0" customHeight="1">
      <c r="A132" s="74" t="str">
        <f>IFERROR(__xludf.DUMMYFUNCTION("""COMPUTED_VALUE"""),"Jahnavi Kadagala")</f>
        <v>Jahnavi Kadagala</v>
      </c>
      <c r="B132" s="74" t="str">
        <f>IFERROR(__xludf.DUMMYFUNCTION("""COMPUTED_VALUE"""),"20331A0576")</f>
        <v>20331A0576</v>
      </c>
      <c r="C132" s="74" t="str">
        <f>IFERROR(__xludf.DUMMYFUNCTION("""COMPUTED_VALUE"""),"REDHAT")</f>
        <v>REDHAT</v>
      </c>
      <c r="D132" s="74" t="str">
        <f>IFERROR(__xludf.DUMMYFUNCTION("""COMPUTED_VALUE"""),"2 months")</f>
        <v>2 months</v>
      </c>
      <c r="E132" s="79">
        <f>IFERROR(__xludf.DUMMYFUNCTION("""COMPUTED_VALUE"""),44470.0)</f>
        <v>44470</v>
      </c>
      <c r="F132" s="79">
        <f>IFERROR(__xludf.DUMMYFUNCTION("""COMPUTED_VALUE"""),44531.0)</f>
        <v>44531</v>
      </c>
      <c r="G132" s="74" t="str">
        <f>IFERROR(__xludf.DUMMYFUNCTION("""COMPUTED_VALUE"""),"No")</f>
        <v>No</v>
      </c>
      <c r="H132" s="74" t="str">
        <f>IFERROR(__xludf.DUMMYFUNCTION("""COMPUTED_VALUE"""),"No")</f>
        <v>No</v>
      </c>
      <c r="I132" s="74">
        <f>IFERROR(__xludf.DUMMYFUNCTION("""COMPUTED_VALUE"""),0.0)</f>
        <v>0</v>
      </c>
      <c r="J132" s="80" t="str">
        <f>IFERROR(__xludf.DUMMYFUNCTION("""COMPUTED_VALUE"""),"https://drive.google.com/open?id=1McGay_zEnuYV7_C0DLAirQ8wZ8zoD7xk")</f>
        <v>https://drive.google.com/open?id=1McGay_zEnuYV7_C0DLAirQ8wZ8zoD7xk</v>
      </c>
      <c r="K132" s="74" t="str">
        <f>IFERROR(__xludf.DUMMYFUNCTION("""COMPUTED_VALUE"""),"2020-2024")</f>
        <v>2020-2024</v>
      </c>
      <c r="L132" s="74" t="str">
        <f>IFERROR(__xludf.DUMMYFUNCTION("""COMPUTED_VALUE"""),"S3: Student Internships")</f>
        <v>S3: Student Internships</v>
      </c>
      <c r="M132" s="74" t="str">
        <f>IFERROR(__xludf.DUMMYFUNCTION("""COMPUTED_VALUE"""),"jahnavi200305@gmail.com")</f>
        <v>jahnavi200305@gmail.com</v>
      </c>
      <c r="N132" s="74" t="str">
        <f>IFERROR(__xludf.DUMMYFUNCTION("""COMPUTED_VALUE"""),"SEM-4")</f>
        <v>SEM-4</v>
      </c>
      <c r="O132" s="74"/>
      <c r="P132" s="74"/>
      <c r="Q132" s="74"/>
      <c r="R132" s="74"/>
      <c r="S132" s="74"/>
      <c r="T132" s="74"/>
      <c r="U132" s="74"/>
      <c r="V132" s="74"/>
      <c r="W132" s="74"/>
      <c r="X132" s="74"/>
    </row>
    <row r="133" ht="33.0" customHeight="1">
      <c r="A133" s="74" t="str">
        <f>IFERROR(__xludf.DUMMYFUNCTION("""COMPUTED_VALUE"""),"BHAVANI GUDE")</f>
        <v>BHAVANI GUDE</v>
      </c>
      <c r="B133" s="74" t="str">
        <f>IFERROR(__xludf.DUMMYFUNCTION("""COMPUTED_VALUE"""),"20331A0566")</f>
        <v>20331A0566</v>
      </c>
      <c r="C133" s="74" t="str">
        <f>IFERROR(__xludf.DUMMYFUNCTION("""COMPUTED_VALUE"""),"REDHAT")</f>
        <v>REDHAT</v>
      </c>
      <c r="D133" s="74" t="str">
        <f>IFERROR(__xludf.DUMMYFUNCTION("""COMPUTED_VALUE"""),"2 MONTHS")</f>
        <v>2 MONTHS</v>
      </c>
      <c r="E133" s="79">
        <f>IFERROR(__xludf.DUMMYFUNCTION("""COMPUTED_VALUE"""),44470.0)</f>
        <v>44470</v>
      </c>
      <c r="F133" s="79">
        <f>IFERROR(__xludf.DUMMYFUNCTION("""COMPUTED_VALUE"""),44531.0)</f>
        <v>44531</v>
      </c>
      <c r="G133" s="74" t="str">
        <f>IFERROR(__xludf.DUMMYFUNCTION("""COMPUTED_VALUE"""),"No")</f>
        <v>No</v>
      </c>
      <c r="H133" s="74" t="str">
        <f>IFERROR(__xludf.DUMMYFUNCTION("""COMPUTED_VALUE"""),"No")</f>
        <v>No</v>
      </c>
      <c r="I133" s="74">
        <f>IFERROR(__xludf.DUMMYFUNCTION("""COMPUTED_VALUE"""),0.0)</f>
        <v>0</v>
      </c>
      <c r="J133" s="80" t="str">
        <f>IFERROR(__xludf.DUMMYFUNCTION("""COMPUTED_VALUE"""),"https://drive.google.com/open?id=1BM7zfaq9nhB2UA45kz0lUnEv5gHDG3Gd")</f>
        <v>https://drive.google.com/open?id=1BM7zfaq9nhB2UA45kz0lUnEv5gHDG3Gd</v>
      </c>
      <c r="K133" s="74" t="str">
        <f>IFERROR(__xludf.DUMMYFUNCTION("""COMPUTED_VALUE"""),"2020-2024")</f>
        <v>2020-2024</v>
      </c>
      <c r="L133" s="74" t="str">
        <f>IFERROR(__xludf.DUMMYFUNCTION("""COMPUTED_VALUE"""),"S3: Student Internships")</f>
        <v>S3: Student Internships</v>
      </c>
      <c r="M133" s="74" t="str">
        <f>IFERROR(__xludf.DUMMYFUNCTION("""COMPUTED_VALUE"""),"gudebhavani9@gmail.com")</f>
        <v>gudebhavani9@gmail.com</v>
      </c>
      <c r="N133" s="74" t="str">
        <f>IFERROR(__xludf.DUMMYFUNCTION("""COMPUTED_VALUE"""),"SEM-4")</f>
        <v>SEM-4</v>
      </c>
      <c r="O133" s="74"/>
      <c r="P133" s="74"/>
      <c r="Q133" s="74"/>
      <c r="R133" s="74"/>
      <c r="S133" s="74"/>
      <c r="T133" s="74"/>
      <c r="U133" s="74"/>
      <c r="V133" s="74"/>
      <c r="W133" s="74"/>
      <c r="X133" s="74"/>
    </row>
    <row r="134" ht="33.0" customHeight="1">
      <c r="A134" s="74" t="str">
        <f>IFERROR(__xludf.DUMMYFUNCTION("""COMPUTED_VALUE"""),"KARANAM HARIKA DEVI ")</f>
        <v>KARANAM HARIKA DEVI </v>
      </c>
      <c r="B134" s="74" t="str">
        <f>IFERROR(__xludf.DUMMYFUNCTION("""COMPUTED_VALUE"""),"20335A0504")</f>
        <v>20335A0504</v>
      </c>
      <c r="C134" s="74" t="str">
        <f>IFERROR(__xludf.DUMMYFUNCTION("""COMPUTED_VALUE"""),"AICTE")</f>
        <v>AICTE</v>
      </c>
      <c r="D134" s="74" t="str">
        <f>IFERROR(__xludf.DUMMYFUNCTION("""COMPUTED_VALUE"""),"10 weeks")</f>
        <v>10 weeks</v>
      </c>
      <c r="E134" s="79">
        <f>IFERROR(__xludf.DUMMYFUNCTION("""COMPUTED_VALUE"""),44481.0)</f>
        <v>44481</v>
      </c>
      <c r="F134" s="79">
        <f>IFERROR(__xludf.DUMMYFUNCTION("""COMPUTED_VALUE"""),44573.0)</f>
        <v>44573</v>
      </c>
      <c r="G134" s="74" t="str">
        <f>IFERROR(__xludf.DUMMYFUNCTION("""COMPUTED_VALUE"""),"No")</f>
        <v>No</v>
      </c>
      <c r="H134" s="74" t="str">
        <f>IFERROR(__xludf.DUMMYFUNCTION("""COMPUTED_VALUE"""),"No")</f>
        <v>No</v>
      </c>
      <c r="I134" s="74">
        <f>IFERROR(__xludf.DUMMYFUNCTION("""COMPUTED_VALUE"""),0.0)</f>
        <v>0</v>
      </c>
      <c r="J134" s="80" t="str">
        <f>IFERROR(__xludf.DUMMYFUNCTION("""COMPUTED_VALUE"""),"https://drive.google.com/open?id=1C15t6nORIzHNmH0Srb6akMdRBN_UHjiv")</f>
        <v>https://drive.google.com/open?id=1C15t6nORIzHNmH0Srb6akMdRBN_UHjiv</v>
      </c>
      <c r="K134" s="74" t="str">
        <f>IFERROR(__xludf.DUMMYFUNCTION("""COMPUTED_VALUE"""),"2019-2023")</f>
        <v>2019-2023</v>
      </c>
      <c r="L134" s="74" t="str">
        <f>IFERROR(__xludf.DUMMYFUNCTION("""COMPUTED_VALUE"""),"S3: Student Internships")</f>
        <v>S3: Student Internships</v>
      </c>
      <c r="M134" s="74" t="str">
        <f>IFERROR(__xludf.DUMMYFUNCTION("""COMPUTED_VALUE"""),"harikaappalaraju7413@gmail.com")</f>
        <v>harikaappalaraju7413@gmail.com</v>
      </c>
      <c r="N134" s="74" t="str">
        <f>IFERROR(__xludf.DUMMYFUNCTION("""COMPUTED_VALUE"""),"SEM-5")</f>
        <v>SEM-5</v>
      </c>
      <c r="O134" s="74"/>
      <c r="P134" s="74"/>
      <c r="Q134" s="74"/>
      <c r="R134" s="74"/>
      <c r="S134" s="74"/>
      <c r="T134" s="74"/>
      <c r="U134" s="74"/>
      <c r="V134" s="74"/>
      <c r="W134" s="74"/>
      <c r="X134" s="74"/>
    </row>
    <row r="135" ht="33.0" customHeight="1">
      <c r="A135" s="74" t="str">
        <f>IFERROR(__xludf.DUMMYFUNCTION("""COMPUTED_VALUE"""),"Pavanteja sepana")</f>
        <v>Pavanteja sepana</v>
      </c>
      <c r="B135" s="74" t="str">
        <f>IFERROR(__xludf.DUMMYFUNCTION("""COMPUTED_VALUE"""),"18331A05H4")</f>
        <v>18331A05H4</v>
      </c>
      <c r="C135" s="74" t="str">
        <f>IFERROR(__xludf.DUMMYFUNCTION("""COMPUTED_VALUE"""),"Aws")</f>
        <v>Aws</v>
      </c>
      <c r="D135" s="74" t="str">
        <f>IFERROR(__xludf.DUMMYFUNCTION("""COMPUTED_VALUE"""),"10 weeks")</f>
        <v>10 weeks</v>
      </c>
      <c r="E135" s="79">
        <f>IFERROR(__xludf.DUMMYFUNCTION("""COMPUTED_VALUE"""),44482.0)</f>
        <v>44482</v>
      </c>
      <c r="F135" s="79">
        <f>IFERROR(__xludf.DUMMYFUNCTION("""COMPUTED_VALUE"""),44546.0)</f>
        <v>44546</v>
      </c>
      <c r="G135" s="74" t="str">
        <f>IFERROR(__xludf.DUMMYFUNCTION("""COMPUTED_VALUE"""),"No")</f>
        <v>No</v>
      </c>
      <c r="H135" s="74" t="str">
        <f>IFERROR(__xludf.DUMMYFUNCTION("""COMPUTED_VALUE"""),"No")</f>
        <v>No</v>
      </c>
      <c r="I135" s="74">
        <f>IFERROR(__xludf.DUMMYFUNCTION("""COMPUTED_VALUE"""),0.0)</f>
        <v>0</v>
      </c>
      <c r="J135" s="80" t="str">
        <f>IFERROR(__xludf.DUMMYFUNCTION("""COMPUTED_VALUE"""),"https://drive.google.com/open?id=15jQXeRCr_UZiP-hfR59DPeR33fQ64tnE")</f>
        <v>https://drive.google.com/open?id=15jQXeRCr_UZiP-hfR59DPeR33fQ64tnE</v>
      </c>
      <c r="K135" s="74" t="str">
        <f>IFERROR(__xludf.DUMMYFUNCTION("""COMPUTED_VALUE"""),"2018-2022")</f>
        <v>2018-2022</v>
      </c>
      <c r="L135" s="74" t="str">
        <f>IFERROR(__xludf.DUMMYFUNCTION("""COMPUTED_VALUE"""),"S3: Student Internships")</f>
        <v>S3: Student Internships</v>
      </c>
      <c r="M135" s="74" t="str">
        <f>IFERROR(__xludf.DUMMYFUNCTION("""COMPUTED_VALUE"""),"tejpavan68@gmail.com")</f>
        <v>tejpavan68@gmail.com</v>
      </c>
      <c r="N135" s="74" t="str">
        <f>IFERROR(__xludf.DUMMYFUNCTION("""COMPUTED_VALUE"""),"SEM-6")</f>
        <v>SEM-6</v>
      </c>
      <c r="O135" s="74"/>
      <c r="P135" s="74"/>
      <c r="Q135" s="74"/>
      <c r="R135" s="74"/>
      <c r="S135" s="74"/>
      <c r="T135" s="74"/>
      <c r="U135" s="74"/>
      <c r="V135" s="74"/>
      <c r="W135" s="74"/>
      <c r="X135" s="74"/>
    </row>
    <row r="136" ht="33.0" customHeight="1">
      <c r="A136" s="74" t="str">
        <f>IFERROR(__xludf.DUMMYFUNCTION("""COMPUTED_VALUE"""),"Bankapalli Bhargavi ")</f>
        <v>Bankapalli Bhargavi </v>
      </c>
      <c r="B136" s="74" t="str">
        <f>IFERROR(__xludf.DUMMYFUNCTION("""COMPUTED_VALUE"""),"20335A0502")</f>
        <v>20335A0502</v>
      </c>
      <c r="C136" s="74" t="str">
        <f>IFERROR(__xludf.DUMMYFUNCTION("""COMPUTED_VALUE"""),"Aicte")</f>
        <v>Aicte</v>
      </c>
      <c r="D136" s="74" t="str">
        <f>IFERROR(__xludf.DUMMYFUNCTION("""COMPUTED_VALUE"""),"10 weeks")</f>
        <v>10 weeks</v>
      </c>
      <c r="E136" s="79">
        <f>IFERROR(__xludf.DUMMYFUNCTION("""COMPUTED_VALUE"""),44481.0)</f>
        <v>44481</v>
      </c>
      <c r="F136" s="79">
        <f>IFERROR(__xludf.DUMMYFUNCTION("""COMPUTED_VALUE"""),44573.0)</f>
        <v>44573</v>
      </c>
      <c r="G136" s="74" t="str">
        <f>IFERROR(__xludf.DUMMYFUNCTION("""COMPUTED_VALUE"""),"No")</f>
        <v>No</v>
      </c>
      <c r="H136" s="74" t="str">
        <f>IFERROR(__xludf.DUMMYFUNCTION("""COMPUTED_VALUE"""),"No")</f>
        <v>No</v>
      </c>
      <c r="I136" s="74">
        <f>IFERROR(__xludf.DUMMYFUNCTION("""COMPUTED_VALUE"""),0.0)</f>
        <v>0</v>
      </c>
      <c r="J136" s="80" t="str">
        <f>IFERROR(__xludf.DUMMYFUNCTION("""COMPUTED_VALUE"""),"https://drive.google.com/open?id=1pwG9BM12sfB_tRjhDTqD7cY1CDD1QwDY")</f>
        <v>https://drive.google.com/open?id=1pwG9BM12sfB_tRjhDTqD7cY1CDD1QwDY</v>
      </c>
      <c r="K136" s="74" t="str">
        <f>IFERROR(__xludf.DUMMYFUNCTION("""COMPUTED_VALUE"""),"2019-2023")</f>
        <v>2019-2023</v>
      </c>
      <c r="L136" s="74" t="str">
        <f>IFERROR(__xludf.DUMMYFUNCTION("""COMPUTED_VALUE"""),"S3: Student Internships")</f>
        <v>S3: Student Internships</v>
      </c>
      <c r="M136" s="74" t="str">
        <f>IFERROR(__xludf.DUMMYFUNCTION("""COMPUTED_VALUE"""),"bhargavicme003@gmail.com")</f>
        <v>bhargavicme003@gmail.com</v>
      </c>
      <c r="N136" s="74" t="str">
        <f>IFERROR(__xludf.DUMMYFUNCTION("""COMPUTED_VALUE"""),"SEM-5")</f>
        <v>SEM-5</v>
      </c>
      <c r="O136" s="74"/>
      <c r="P136" s="74"/>
      <c r="Q136" s="74"/>
      <c r="R136" s="74"/>
      <c r="S136" s="74"/>
      <c r="T136" s="74"/>
      <c r="U136" s="74"/>
      <c r="V136" s="74"/>
      <c r="W136" s="74"/>
      <c r="X136" s="74"/>
    </row>
    <row r="137" ht="33.0" customHeight="1">
      <c r="A137" s="74" t="str">
        <f>IFERROR(__xludf.DUMMYFUNCTION("""COMPUTED_VALUE"""),"Nimishakavi V S R Srujan ")</f>
        <v>Nimishakavi V S R Srujan </v>
      </c>
      <c r="B137" s="74" t="str">
        <f>IFERROR(__xludf.DUMMYFUNCTION("""COMPUTED_VALUE"""),"20331A05C6")</f>
        <v>20331A05C6</v>
      </c>
      <c r="C137" s="74" t="str">
        <f>IFERROR(__xludf.DUMMYFUNCTION("""COMPUTED_VALUE"""),"EduSkills")</f>
        <v>EduSkills</v>
      </c>
      <c r="D137" s="74" t="str">
        <f>IFERROR(__xludf.DUMMYFUNCTION("""COMPUTED_VALUE"""),"3 months")</f>
        <v>3 months</v>
      </c>
      <c r="E137" s="79">
        <f>IFERROR(__xludf.DUMMYFUNCTION("""COMPUTED_VALUE"""),44481.0)</f>
        <v>44481</v>
      </c>
      <c r="F137" s="79">
        <f>IFERROR(__xludf.DUMMYFUNCTION("""COMPUTED_VALUE"""),44542.0)</f>
        <v>44542</v>
      </c>
      <c r="G137" s="74" t="str">
        <f>IFERROR(__xludf.DUMMYFUNCTION("""COMPUTED_VALUE"""),"No")</f>
        <v>No</v>
      </c>
      <c r="H137" s="74" t="str">
        <f>IFERROR(__xludf.DUMMYFUNCTION("""COMPUTED_VALUE"""),"No")</f>
        <v>No</v>
      </c>
      <c r="I137" s="74">
        <f>IFERROR(__xludf.DUMMYFUNCTION("""COMPUTED_VALUE"""),0.0)</f>
        <v>0</v>
      </c>
      <c r="J137" s="80" t="str">
        <f>IFERROR(__xludf.DUMMYFUNCTION("""COMPUTED_VALUE"""),"https://drive.google.com/open?id=1W_NOCuAPkMT5-7uZY2yLpkRH3sDF2yBb")</f>
        <v>https://drive.google.com/open?id=1W_NOCuAPkMT5-7uZY2yLpkRH3sDF2yBb</v>
      </c>
      <c r="K137" s="74" t="str">
        <f>IFERROR(__xludf.DUMMYFUNCTION("""COMPUTED_VALUE"""),"2020-2024")</f>
        <v>2020-2024</v>
      </c>
      <c r="L137" s="74" t="str">
        <f>IFERROR(__xludf.DUMMYFUNCTION("""COMPUTED_VALUE"""),"S3: Student Internships")</f>
        <v>S3: Student Internships</v>
      </c>
      <c r="M137" s="74" t="str">
        <f>IFERROR(__xludf.DUMMYFUNCTION("""COMPUTED_VALUE"""),"srujanraghc@gmail.com")</f>
        <v>srujanraghc@gmail.com</v>
      </c>
      <c r="N137" s="74" t="str">
        <f>IFERROR(__xludf.DUMMYFUNCTION("""COMPUTED_VALUE"""),"SEM-3")</f>
        <v>SEM-3</v>
      </c>
      <c r="O137" s="74"/>
      <c r="P137" s="74"/>
      <c r="Q137" s="74"/>
      <c r="R137" s="74"/>
      <c r="S137" s="74"/>
      <c r="T137" s="74"/>
      <c r="U137" s="74"/>
      <c r="V137" s="74"/>
      <c r="W137" s="74"/>
      <c r="X137" s="74"/>
    </row>
    <row r="138" ht="33.0" customHeight="1">
      <c r="A138" s="74" t="str">
        <f>IFERROR(__xludf.DUMMYFUNCTION("""COMPUTED_VALUE"""),"Kolipaka Dinesh Venkata Mani Sai")</f>
        <v>Kolipaka Dinesh Venkata Mani Sai</v>
      </c>
      <c r="B138" s="74" t="str">
        <f>IFERROR(__xludf.DUMMYFUNCTION("""COMPUTED_VALUE"""),"20331A0586")</f>
        <v>20331A0586</v>
      </c>
      <c r="C138" s="74" t="str">
        <f>IFERROR(__xludf.DUMMYFUNCTION("""COMPUTED_VALUE"""),"AICTE")</f>
        <v>AICTE</v>
      </c>
      <c r="D138" s="74" t="str">
        <f>IFERROR(__xludf.DUMMYFUNCTION("""COMPUTED_VALUE"""),"10 Weeks")</f>
        <v>10 Weeks</v>
      </c>
      <c r="E138" s="79">
        <f>IFERROR(__xludf.DUMMYFUNCTION("""COMPUTED_VALUE"""),44481.0)</f>
        <v>44481</v>
      </c>
      <c r="F138" s="79">
        <f>IFERROR(__xludf.DUMMYFUNCTION("""COMPUTED_VALUE"""),44542.0)</f>
        <v>44542</v>
      </c>
      <c r="G138" s="74" t="str">
        <f>IFERROR(__xludf.DUMMYFUNCTION("""COMPUTED_VALUE"""),"No")</f>
        <v>No</v>
      </c>
      <c r="H138" s="74" t="str">
        <f>IFERROR(__xludf.DUMMYFUNCTION("""COMPUTED_VALUE"""),"No")</f>
        <v>No</v>
      </c>
      <c r="I138" s="74">
        <f>IFERROR(__xludf.DUMMYFUNCTION("""COMPUTED_VALUE"""),0.0)</f>
        <v>0</v>
      </c>
      <c r="J138" s="80" t="str">
        <f>IFERROR(__xludf.DUMMYFUNCTION("""COMPUTED_VALUE"""),"https://drive.google.com/open?id=1Tg_9Zl6ggrHhx7AJjufvYTUhaC5608Su")</f>
        <v>https://drive.google.com/open?id=1Tg_9Zl6ggrHhx7AJjufvYTUhaC5608Su</v>
      </c>
      <c r="K138" s="74" t="str">
        <f>IFERROR(__xludf.DUMMYFUNCTION("""COMPUTED_VALUE"""),"2020-2024")</f>
        <v>2020-2024</v>
      </c>
      <c r="L138" s="74" t="str">
        <f>IFERROR(__xludf.DUMMYFUNCTION("""COMPUTED_VALUE"""),"S3: Student Internships")</f>
        <v>S3: Student Internships</v>
      </c>
      <c r="M138" s="74" t="str">
        <f>IFERROR(__xludf.DUMMYFUNCTION("""COMPUTED_VALUE"""),"kolipakadinesh2003@gmail.com")</f>
        <v>kolipakadinesh2003@gmail.com</v>
      </c>
      <c r="N138" s="74" t="str">
        <f>IFERROR(__xludf.DUMMYFUNCTION("""COMPUTED_VALUE"""),"SEM-4")</f>
        <v>SEM-4</v>
      </c>
      <c r="O138" s="74"/>
      <c r="P138" s="74"/>
      <c r="Q138" s="74"/>
      <c r="R138" s="74"/>
      <c r="S138" s="74"/>
      <c r="T138" s="74"/>
      <c r="U138" s="74"/>
      <c r="V138" s="74"/>
      <c r="W138" s="74"/>
      <c r="X138" s="74"/>
    </row>
    <row r="139" ht="33.0" customHeight="1">
      <c r="A139" s="81" t="str">
        <f>IFERROR(__xludf.DUMMYFUNCTION("""COMPUTED_VALUE"""),"Kolipaka Dinesh Venkata Mani Sai")</f>
        <v>Kolipaka Dinesh Venkata Mani Sai</v>
      </c>
      <c r="B139" s="81" t="str">
        <f>IFERROR(__xludf.DUMMYFUNCTION("""COMPUTED_VALUE"""),"20331A0586")</f>
        <v>20331A0586</v>
      </c>
      <c r="C139" s="81" t="str">
        <f>IFERROR(__xludf.DUMMYFUNCTION("""COMPUTED_VALUE"""),"Cisco Networking Academy")</f>
        <v>Cisco Networking Academy</v>
      </c>
      <c r="D139" s="81" t="str">
        <f>IFERROR(__xludf.DUMMYFUNCTION("""COMPUTED_VALUE"""),"2 months")</f>
        <v>2 months</v>
      </c>
      <c r="E139" s="82">
        <f>IFERROR(__xludf.DUMMYFUNCTION("""COMPUTED_VALUE"""),44326.0)</f>
        <v>44326</v>
      </c>
      <c r="F139" s="82">
        <f>IFERROR(__xludf.DUMMYFUNCTION("""COMPUTED_VALUE"""),44752.0)</f>
        <v>44752</v>
      </c>
      <c r="G139" s="81" t="str">
        <f>IFERROR(__xludf.DUMMYFUNCTION("""COMPUTED_VALUE"""),"No")</f>
        <v>No</v>
      </c>
      <c r="H139" s="81" t="str">
        <f>IFERROR(__xludf.DUMMYFUNCTION("""COMPUTED_VALUE"""),"No")</f>
        <v>No</v>
      </c>
      <c r="I139" s="81">
        <f>IFERROR(__xludf.DUMMYFUNCTION("""COMPUTED_VALUE"""),0.0)</f>
        <v>0</v>
      </c>
      <c r="J139" s="83" t="str">
        <f>IFERROR(__xludf.DUMMYFUNCTION("""COMPUTED_VALUE"""),"https://drive.google.com/open?id=1tVbui3IpKcHFKD1bNKAkcM4ru9WczXoG")</f>
        <v>https://drive.google.com/open?id=1tVbui3IpKcHFKD1bNKAkcM4ru9WczXoG</v>
      </c>
      <c r="K139" s="81" t="str">
        <f>IFERROR(__xludf.DUMMYFUNCTION("""COMPUTED_VALUE"""),"2020-2024")</f>
        <v>2020-2024</v>
      </c>
      <c r="L139" s="81" t="str">
        <f>IFERROR(__xludf.DUMMYFUNCTION("""COMPUTED_VALUE"""),"S3: Student Internships")</f>
        <v>S3: Student Internships</v>
      </c>
      <c r="M139" s="81" t="str">
        <f>IFERROR(__xludf.DUMMYFUNCTION("""COMPUTED_VALUE"""),"kolipakadinesh2003@gmail.com")</f>
        <v>kolipakadinesh2003@gmail.com</v>
      </c>
      <c r="N139" s="81" t="str">
        <f>IFERROR(__xludf.DUMMYFUNCTION("""COMPUTED_VALUE"""),"SEM-4")</f>
        <v>SEM-4</v>
      </c>
      <c r="O139" s="81"/>
      <c r="P139" s="81"/>
      <c r="Q139" s="81"/>
      <c r="R139" s="81"/>
      <c r="S139" s="81"/>
      <c r="T139" s="81"/>
      <c r="U139" s="81"/>
      <c r="V139" s="81"/>
      <c r="W139" s="81"/>
      <c r="X139" s="81"/>
    </row>
    <row r="140" ht="33.0" customHeight="1">
      <c r="A140" s="74" t="str">
        <f>IFERROR(__xludf.DUMMYFUNCTION("""COMPUTED_VALUE"""),"Bevara Venkatesh ")</f>
        <v>Bevara Venkatesh </v>
      </c>
      <c r="B140" s="74" t="str">
        <f>IFERROR(__xludf.DUMMYFUNCTION("""COMPUTED_VALUE"""),"18331A0513")</f>
        <v>18331A0513</v>
      </c>
      <c r="C140" s="74" t="str">
        <f>IFERROR(__xludf.DUMMYFUNCTION("""COMPUTED_VALUE"""),"Mindtree")</f>
        <v>Mindtree</v>
      </c>
      <c r="D140" s="74" t="str">
        <f>IFERROR(__xludf.DUMMYFUNCTION("""COMPUTED_VALUE"""),"3months")</f>
        <v>3months</v>
      </c>
      <c r="E140" s="79">
        <f>IFERROR(__xludf.DUMMYFUNCTION("""COMPUTED_VALUE"""),44642.0)</f>
        <v>44642</v>
      </c>
      <c r="F140" s="79">
        <f>IFERROR(__xludf.DUMMYFUNCTION("""COMPUTED_VALUE"""),44713.0)</f>
        <v>44713</v>
      </c>
      <c r="G140" s="74" t="str">
        <f>IFERROR(__xludf.DUMMYFUNCTION("""COMPUTED_VALUE"""),"Yes")</f>
        <v>Yes</v>
      </c>
      <c r="H140" s="74" t="str">
        <f>IFERROR(__xludf.DUMMYFUNCTION("""COMPUTED_VALUE"""),"No")</f>
        <v>No</v>
      </c>
      <c r="I140" s="74">
        <f>IFERROR(__xludf.DUMMYFUNCTION("""COMPUTED_VALUE"""),10000.0)</f>
        <v>10000</v>
      </c>
      <c r="J140" s="80" t="str">
        <f>IFERROR(__xludf.DUMMYFUNCTION("""COMPUTED_VALUE"""),"https://drive.google.com/open?id=1F7iTjzsHnuIodbVpb33cwJfk7_1LM-9l")</f>
        <v>https://drive.google.com/open?id=1F7iTjzsHnuIodbVpb33cwJfk7_1LM-9l</v>
      </c>
      <c r="K140" s="74" t="str">
        <f>IFERROR(__xludf.DUMMYFUNCTION("""COMPUTED_VALUE"""),"2018-2022")</f>
        <v>2018-2022</v>
      </c>
      <c r="L140" s="74" t="str">
        <f>IFERROR(__xludf.DUMMYFUNCTION("""COMPUTED_VALUE"""),"S3: Student Internships")</f>
        <v>S3: Student Internships</v>
      </c>
      <c r="M140" s="74" t="str">
        <f>IFERROR(__xludf.DUMMYFUNCTION("""COMPUTED_VALUE"""),"sachinvenkyindian@gmail.com")</f>
        <v>sachinvenkyindian@gmail.com</v>
      </c>
      <c r="N140" s="74" t="str">
        <f>IFERROR(__xludf.DUMMYFUNCTION("""COMPUTED_VALUE"""),"SEM-8")</f>
        <v>SEM-8</v>
      </c>
      <c r="O140" s="74"/>
      <c r="P140" s="74"/>
      <c r="Q140" s="74"/>
      <c r="R140" s="74"/>
      <c r="S140" s="74"/>
      <c r="T140" s="74"/>
      <c r="U140" s="74"/>
      <c r="V140" s="74"/>
      <c r="W140" s="74"/>
      <c r="X140" s="74"/>
    </row>
    <row r="141" ht="33.0" customHeight="1">
      <c r="A141" s="74" t="str">
        <f>IFERROR(__xludf.DUMMYFUNCTION("""COMPUTED_VALUE"""),"Rithvik Reddy Chantigari")</f>
        <v>Rithvik Reddy Chantigari</v>
      </c>
      <c r="B141" s="74" t="str">
        <f>IFERROR(__xludf.DUMMYFUNCTION("""COMPUTED_VALUE"""),"18331A0525")</f>
        <v>18331A0525</v>
      </c>
      <c r="C141" s="74" t="str">
        <f>IFERROR(__xludf.DUMMYFUNCTION("""COMPUTED_VALUE"""),"Wiley-mthree")</f>
        <v>Wiley-mthree</v>
      </c>
      <c r="D141" s="74" t="str">
        <f>IFERROR(__xludf.DUMMYFUNCTION("""COMPUTED_VALUE"""),"3 months")</f>
        <v>3 months</v>
      </c>
      <c r="E141" s="79">
        <f>IFERROR(__xludf.DUMMYFUNCTION("""COMPUTED_VALUE"""),44650.0)</f>
        <v>44650</v>
      </c>
      <c r="F141" s="79">
        <f>IFERROR(__xludf.DUMMYFUNCTION("""COMPUTED_VALUE"""),44742.0)</f>
        <v>44742</v>
      </c>
      <c r="G141" s="74" t="str">
        <f>IFERROR(__xludf.DUMMYFUNCTION("""COMPUTED_VALUE"""),"Yes")</f>
        <v>Yes</v>
      </c>
      <c r="H141" s="74" t="str">
        <f>IFERROR(__xludf.DUMMYFUNCTION("""COMPUTED_VALUE"""),"No")</f>
        <v>No</v>
      </c>
      <c r="I141" s="74">
        <f>IFERROR(__xludf.DUMMYFUNCTION("""COMPUTED_VALUE"""),20000.0)</f>
        <v>20000</v>
      </c>
      <c r="J141" s="80" t="str">
        <f>IFERROR(__xludf.DUMMYFUNCTION("""COMPUTED_VALUE"""),"https://drive.google.com/open?id=13J5UeAwZr8LZBFvHLWWmLBzpzuvdaHp2")</f>
        <v>https://drive.google.com/open?id=13J5UeAwZr8LZBFvHLWWmLBzpzuvdaHp2</v>
      </c>
      <c r="K141" s="74" t="str">
        <f>IFERROR(__xludf.DUMMYFUNCTION("""COMPUTED_VALUE"""),"2018-2022")</f>
        <v>2018-2022</v>
      </c>
      <c r="L141" s="74" t="str">
        <f>IFERROR(__xludf.DUMMYFUNCTION("""COMPUTED_VALUE"""),"S3: Student Internships")</f>
        <v>S3: Student Internships</v>
      </c>
      <c r="M141" s="74" t="str">
        <f>IFERROR(__xludf.DUMMYFUNCTION("""COMPUTED_VALUE"""),"rithvikreddychantigari@gmail.com")</f>
        <v>rithvikreddychantigari@gmail.com</v>
      </c>
      <c r="N141" s="74" t="str">
        <f>IFERROR(__xludf.DUMMYFUNCTION("""COMPUTED_VALUE"""),"SEM-8")</f>
        <v>SEM-8</v>
      </c>
      <c r="O141" s="74"/>
      <c r="P141" s="74"/>
      <c r="Q141" s="74"/>
      <c r="R141" s="74"/>
      <c r="S141" s="74"/>
      <c r="T141" s="74"/>
      <c r="U141" s="74"/>
      <c r="V141" s="74"/>
      <c r="W141" s="74"/>
      <c r="X141" s="74"/>
    </row>
    <row r="142" ht="33.0" customHeight="1">
      <c r="A142" s="81" t="str">
        <f>IFERROR(__xludf.DUMMYFUNCTION("""COMPUTED_VALUE"""),"Kolipaka Dinesh Venkata Mani Sai")</f>
        <v>Kolipaka Dinesh Venkata Mani Sai</v>
      </c>
      <c r="B142" s="81" t="str">
        <f>IFERROR(__xludf.DUMMYFUNCTION("""COMPUTED_VALUE"""),"20331A0586")</f>
        <v>20331A0586</v>
      </c>
      <c r="C142" s="81" t="str">
        <f>IFERROR(__xludf.DUMMYFUNCTION("""COMPUTED_VALUE"""),"National Institute of Technology Tiruchirapalli")</f>
        <v>National Institute of Technology Tiruchirapalli</v>
      </c>
      <c r="D142" s="81" t="str">
        <f>IFERROR(__xludf.DUMMYFUNCTION("""COMPUTED_VALUE"""),"1 day")</f>
        <v>1 day</v>
      </c>
      <c r="E142" s="82">
        <f>IFERROR(__xludf.DUMMYFUNCTION("""COMPUTED_VALUE"""),44626.0)</f>
        <v>44626</v>
      </c>
      <c r="F142" s="82">
        <f>IFERROR(__xludf.DUMMYFUNCTION("""COMPUTED_VALUE"""),44626.0)</f>
        <v>44626</v>
      </c>
      <c r="G142" s="81" t="str">
        <f>IFERROR(__xludf.DUMMYFUNCTION("""COMPUTED_VALUE"""),"No")</f>
        <v>No</v>
      </c>
      <c r="H142" s="81" t="str">
        <f>IFERROR(__xludf.DUMMYFUNCTION("""COMPUTED_VALUE"""),"Yes")</f>
        <v>Yes</v>
      </c>
      <c r="I142" s="81">
        <f>IFERROR(__xludf.DUMMYFUNCTION("""COMPUTED_VALUE"""),100.0)</f>
        <v>100</v>
      </c>
      <c r="J142" s="83" t="str">
        <f>IFERROR(__xludf.DUMMYFUNCTION("""COMPUTED_VALUE"""),"https://drive.google.com/open?id=1W3oP3DP3rBsp9RzvPebwIkHwjDigEuNA")</f>
        <v>https://drive.google.com/open?id=1W3oP3DP3rBsp9RzvPebwIkHwjDigEuNA</v>
      </c>
      <c r="K142" s="81" t="str">
        <f>IFERROR(__xludf.DUMMYFUNCTION("""COMPUTED_VALUE"""),"2020-2024")</f>
        <v>2020-2024</v>
      </c>
      <c r="L142" s="81" t="str">
        <f>IFERROR(__xludf.DUMMYFUNCTION("""COMPUTED_VALUE"""),"S3: Student Internships")</f>
        <v>S3: Student Internships</v>
      </c>
      <c r="M142" s="81" t="str">
        <f>IFERROR(__xludf.DUMMYFUNCTION("""COMPUTED_VALUE"""),"kolipakadinesh2003@gmail.com")</f>
        <v>kolipakadinesh2003@gmail.com</v>
      </c>
      <c r="N142" s="81" t="str">
        <f>IFERROR(__xludf.DUMMYFUNCTION("""COMPUTED_VALUE"""),"SEM-4")</f>
        <v>SEM-4</v>
      </c>
      <c r="O142" s="81"/>
      <c r="P142" s="81"/>
      <c r="Q142" s="81"/>
      <c r="R142" s="81"/>
      <c r="S142" s="81"/>
      <c r="T142" s="81"/>
      <c r="U142" s="81"/>
      <c r="V142" s="81"/>
      <c r="W142" s="81"/>
      <c r="X142" s="81"/>
    </row>
    <row r="143" ht="33.0" customHeight="1">
      <c r="A143" s="74" t="str">
        <f>IFERROR(__xludf.DUMMYFUNCTION("""COMPUTED_VALUE"""),"Prasad B")</f>
        <v>Prasad B</v>
      </c>
      <c r="B143" s="74" t="str">
        <f>IFERROR(__xludf.DUMMYFUNCTION("""COMPUTED_VALUE"""),"18331A0514")</f>
        <v>18331A0514</v>
      </c>
      <c r="C143" s="74" t="str">
        <f>IFERROR(__xludf.DUMMYFUNCTION("""COMPUTED_VALUE"""),"Virtusa")</f>
        <v>Virtusa</v>
      </c>
      <c r="D143" s="74" t="str">
        <f>IFERROR(__xludf.DUMMYFUNCTION("""COMPUTED_VALUE"""),"3 months")</f>
        <v>3 months</v>
      </c>
      <c r="E143" s="79">
        <f>IFERROR(__xludf.DUMMYFUNCTION("""COMPUTED_VALUE"""),44547.0)</f>
        <v>44547</v>
      </c>
      <c r="F143" s="79">
        <f>IFERROR(__xludf.DUMMYFUNCTION("""COMPUTED_VALUE"""),44286.0)</f>
        <v>44286</v>
      </c>
      <c r="G143" s="74" t="str">
        <f>IFERROR(__xludf.DUMMYFUNCTION("""COMPUTED_VALUE"""),"Yes")</f>
        <v>Yes</v>
      </c>
      <c r="H143" s="74" t="str">
        <f>IFERROR(__xludf.DUMMYFUNCTION("""COMPUTED_VALUE"""),"No")</f>
        <v>No</v>
      </c>
      <c r="I143" s="74">
        <f>IFERROR(__xludf.DUMMYFUNCTION("""COMPUTED_VALUE"""),6500.0)</f>
        <v>6500</v>
      </c>
      <c r="J143" s="80" t="str">
        <f>IFERROR(__xludf.DUMMYFUNCTION("""COMPUTED_VALUE"""),"https://drive.google.com/open?id=1rlyRDaJkOzJm8bRKFhsUN4GOZtLeTbfr")</f>
        <v>https://drive.google.com/open?id=1rlyRDaJkOzJm8bRKFhsUN4GOZtLeTbfr</v>
      </c>
      <c r="K143" s="74" t="str">
        <f>IFERROR(__xludf.DUMMYFUNCTION("""COMPUTED_VALUE"""),"2018-2022")</f>
        <v>2018-2022</v>
      </c>
      <c r="L143" s="74" t="str">
        <f>IFERROR(__xludf.DUMMYFUNCTION("""COMPUTED_VALUE"""),"S3: Student Internships")</f>
        <v>S3: Student Internships</v>
      </c>
      <c r="M143" s="74" t="str">
        <f>IFERROR(__xludf.DUMMYFUNCTION("""COMPUTED_VALUE"""),"nani.bhogapurapu1106@gmail.com")</f>
        <v>nani.bhogapurapu1106@gmail.com</v>
      </c>
      <c r="N143" s="74" t="str">
        <f>IFERROR(__xludf.DUMMYFUNCTION("""COMPUTED_VALUE"""),"SEM-8")</f>
        <v>SEM-8</v>
      </c>
      <c r="O143" s="74"/>
      <c r="P143" s="74"/>
      <c r="Q143" s="74"/>
      <c r="R143" s="74"/>
      <c r="S143" s="74"/>
      <c r="T143" s="74"/>
      <c r="U143" s="74"/>
      <c r="V143" s="74"/>
      <c r="W143" s="74"/>
      <c r="X143" s="74"/>
    </row>
    <row r="144" ht="33.0" customHeight="1">
      <c r="A144" s="74" t="str">
        <f>IFERROR(__xludf.DUMMYFUNCTION("""COMPUTED_VALUE"""),"Kavala jyothsna")</f>
        <v>Kavala jyothsna</v>
      </c>
      <c r="B144" s="74" t="str">
        <f>IFERROR(__xludf.DUMMYFUNCTION("""COMPUTED_VALUE"""),"20331A0582")</f>
        <v>20331A0582</v>
      </c>
      <c r="C144" s="74" t="str">
        <f>IFERROR(__xludf.DUMMYFUNCTION("""COMPUTED_VALUE"""),"Red hat ")</f>
        <v>Red hat </v>
      </c>
      <c r="D144" s="74" t="str">
        <f>IFERROR(__xludf.DUMMYFUNCTION("""COMPUTED_VALUE"""),"2 months")</f>
        <v>2 months</v>
      </c>
      <c r="E144" s="79">
        <f>IFERROR(__xludf.DUMMYFUNCTION("""COMPUTED_VALUE"""),44470.0)</f>
        <v>44470</v>
      </c>
      <c r="F144" s="79">
        <f>IFERROR(__xludf.DUMMYFUNCTION("""COMPUTED_VALUE"""),44531.0)</f>
        <v>44531</v>
      </c>
      <c r="G144" s="74" t="str">
        <f>IFERROR(__xludf.DUMMYFUNCTION("""COMPUTED_VALUE"""),"No")</f>
        <v>No</v>
      </c>
      <c r="H144" s="74" t="str">
        <f>IFERROR(__xludf.DUMMYFUNCTION("""COMPUTED_VALUE"""),"No")</f>
        <v>No</v>
      </c>
      <c r="I144" s="74">
        <f>IFERROR(__xludf.DUMMYFUNCTION("""COMPUTED_VALUE"""),0.0)</f>
        <v>0</v>
      </c>
      <c r="J144" s="80" t="str">
        <f>IFERROR(__xludf.DUMMYFUNCTION("""COMPUTED_VALUE"""),"https://drive.google.com/open?id=1Vxws7ZxDedUtYqFillrfxBzIEcuaxcWk")</f>
        <v>https://drive.google.com/open?id=1Vxws7ZxDedUtYqFillrfxBzIEcuaxcWk</v>
      </c>
      <c r="K144" s="74" t="str">
        <f>IFERROR(__xludf.DUMMYFUNCTION("""COMPUTED_VALUE"""),"2020-2024")</f>
        <v>2020-2024</v>
      </c>
      <c r="L144" s="74" t="str">
        <f>IFERROR(__xludf.DUMMYFUNCTION("""COMPUTED_VALUE"""),"S3: Student Internships")</f>
        <v>S3: Student Internships</v>
      </c>
      <c r="M144" s="74" t="str">
        <f>IFERROR(__xludf.DUMMYFUNCTION("""COMPUTED_VALUE"""),"jyothsnakavala2003@gmail.com")</f>
        <v>jyothsnakavala2003@gmail.com</v>
      </c>
      <c r="N144" s="74" t="str">
        <f>IFERROR(__xludf.DUMMYFUNCTION("""COMPUTED_VALUE"""),"SEM-4")</f>
        <v>SEM-4</v>
      </c>
      <c r="O144" s="74"/>
      <c r="P144" s="74"/>
      <c r="Q144" s="74"/>
      <c r="R144" s="74"/>
      <c r="S144" s="74"/>
      <c r="T144" s="74"/>
      <c r="U144" s="74"/>
      <c r="V144" s="74"/>
      <c r="W144" s="74"/>
      <c r="X144" s="74"/>
    </row>
    <row r="145" ht="33.0" customHeight="1">
      <c r="A145" s="74" t="str">
        <f>IFERROR(__xludf.DUMMYFUNCTION("""COMPUTED_VALUE"""),"Sumanth Varma Dandu")</f>
        <v>Sumanth Varma Dandu</v>
      </c>
      <c r="B145" s="74" t="str">
        <f>IFERROR(__xludf.DUMMYFUNCTION("""COMPUTED_VALUE"""),"18331A0530")</f>
        <v>18331A0530</v>
      </c>
      <c r="C145" s="74" t="str">
        <f>IFERROR(__xludf.DUMMYFUNCTION("""COMPUTED_VALUE"""),"Manac Infotech")</f>
        <v>Manac Infotech</v>
      </c>
      <c r="D145" s="74" t="str">
        <f>IFERROR(__xludf.DUMMYFUNCTION("""COMPUTED_VALUE"""),"3 months")</f>
        <v>3 months</v>
      </c>
      <c r="E145" s="79">
        <f>IFERROR(__xludf.DUMMYFUNCTION("""COMPUTED_VALUE"""),44271.0)</f>
        <v>44271</v>
      </c>
      <c r="F145" s="79">
        <f>IFERROR(__xludf.DUMMYFUNCTION("""COMPUTED_VALUE"""),44370.0)</f>
        <v>44370</v>
      </c>
      <c r="G145" s="74" t="str">
        <f>IFERROR(__xludf.DUMMYFUNCTION("""COMPUTED_VALUE"""),"No")</f>
        <v>No</v>
      </c>
      <c r="H145" s="74" t="str">
        <f>IFERROR(__xludf.DUMMYFUNCTION("""COMPUTED_VALUE"""),"No")</f>
        <v>No</v>
      </c>
      <c r="I145" s="74">
        <f>IFERROR(__xludf.DUMMYFUNCTION("""COMPUTED_VALUE"""),0.0)</f>
        <v>0</v>
      </c>
      <c r="J145" s="80" t="str">
        <f>IFERROR(__xludf.DUMMYFUNCTION("""COMPUTED_VALUE"""),"https://drive.google.com/open?id=1jHinSiZ9D-5a7iuvZ8of0MssCzGQHKS6")</f>
        <v>https://drive.google.com/open?id=1jHinSiZ9D-5a7iuvZ8of0MssCzGQHKS6</v>
      </c>
      <c r="K145" s="74" t="str">
        <f>IFERROR(__xludf.DUMMYFUNCTION("""COMPUTED_VALUE"""),"2018-2022")</f>
        <v>2018-2022</v>
      </c>
      <c r="L145" s="74" t="str">
        <f>IFERROR(__xludf.DUMMYFUNCTION("""COMPUTED_VALUE"""),"S3: Student Internships")</f>
        <v>S3: Student Internships</v>
      </c>
      <c r="M145" s="74" t="str">
        <f>IFERROR(__xludf.DUMMYFUNCTION("""COMPUTED_VALUE"""),"dsumanthvarma6@gmail.com")</f>
        <v>dsumanthvarma6@gmail.com</v>
      </c>
      <c r="N145" s="74" t="str">
        <f>IFERROR(__xludf.DUMMYFUNCTION("""COMPUTED_VALUE"""),"SEM-8")</f>
        <v>SEM-8</v>
      </c>
      <c r="O145" s="74"/>
      <c r="P145" s="74"/>
      <c r="Q145" s="74"/>
      <c r="R145" s="74"/>
      <c r="S145" s="74"/>
      <c r="T145" s="74"/>
      <c r="U145" s="74"/>
      <c r="V145" s="74"/>
      <c r="W145" s="74"/>
      <c r="X145" s="74"/>
    </row>
    <row r="146" ht="33.0" customHeight="1">
      <c r="A146" s="74" t="str">
        <f>IFERROR(__xludf.DUMMYFUNCTION("""COMPUTED_VALUE"""),"Rithvik Reddy Chantigari")</f>
        <v>Rithvik Reddy Chantigari</v>
      </c>
      <c r="B146" s="74" t="str">
        <f>IFERROR(__xludf.DUMMYFUNCTION("""COMPUTED_VALUE"""),"18331A0525")</f>
        <v>18331A0525</v>
      </c>
      <c r="C146" s="74" t="str">
        <f>IFERROR(__xludf.DUMMYFUNCTION("""COMPUTED_VALUE"""),"TCS")</f>
        <v>TCS</v>
      </c>
      <c r="D146" s="74" t="str">
        <f>IFERROR(__xludf.DUMMYFUNCTION("""COMPUTED_VALUE"""),"3 months")</f>
        <v>3 months</v>
      </c>
      <c r="E146" s="79">
        <f>IFERROR(__xludf.DUMMYFUNCTION("""COMPUTED_VALUE"""),44593.0)</f>
        <v>44593</v>
      </c>
      <c r="F146" s="79">
        <f>IFERROR(__xludf.DUMMYFUNCTION("""COMPUTED_VALUE"""),44673.0)</f>
        <v>44673</v>
      </c>
      <c r="G146" s="74" t="str">
        <f>IFERROR(__xludf.DUMMYFUNCTION("""COMPUTED_VALUE"""),"No")</f>
        <v>No</v>
      </c>
      <c r="H146" s="74" t="str">
        <f>IFERROR(__xludf.DUMMYFUNCTION("""COMPUTED_VALUE"""),"No")</f>
        <v>No</v>
      </c>
      <c r="I146" s="74">
        <f>IFERROR(__xludf.DUMMYFUNCTION("""COMPUTED_VALUE"""),0.0)</f>
        <v>0</v>
      </c>
      <c r="J146" s="80" t="str">
        <f>IFERROR(__xludf.DUMMYFUNCTION("""COMPUTED_VALUE"""),"https://drive.google.com/open?id=1Q7aSFHIxNaHu-8QlEtAsaIFUj0e-lslA")</f>
        <v>https://drive.google.com/open?id=1Q7aSFHIxNaHu-8QlEtAsaIFUj0e-lslA</v>
      </c>
      <c r="K146" s="74" t="str">
        <f>IFERROR(__xludf.DUMMYFUNCTION("""COMPUTED_VALUE"""),"2018-2022")</f>
        <v>2018-2022</v>
      </c>
      <c r="L146" s="74" t="str">
        <f>IFERROR(__xludf.DUMMYFUNCTION("""COMPUTED_VALUE"""),"S3: Student Internships")</f>
        <v>S3: Student Internships</v>
      </c>
      <c r="M146" s="74" t="str">
        <f>IFERROR(__xludf.DUMMYFUNCTION("""COMPUTED_VALUE"""),"rithvikreddychantigari@gmail.com")</f>
        <v>rithvikreddychantigari@gmail.com</v>
      </c>
      <c r="N146" s="74" t="str">
        <f>IFERROR(__xludf.DUMMYFUNCTION("""COMPUTED_VALUE"""),"SEM-8")</f>
        <v>SEM-8</v>
      </c>
      <c r="O146" s="74"/>
      <c r="P146" s="74"/>
      <c r="Q146" s="74"/>
      <c r="R146" s="74"/>
      <c r="S146" s="74"/>
      <c r="T146" s="74"/>
      <c r="U146" s="74"/>
      <c r="V146" s="74"/>
      <c r="W146" s="74"/>
      <c r="X146" s="74"/>
    </row>
    <row r="147" ht="33.0" customHeight="1">
      <c r="A147" s="74" t="str">
        <f>IFERROR(__xludf.DUMMYFUNCTION("""COMPUTED_VALUE"""),"Thrilochana Nakkella")</f>
        <v>Thrilochana Nakkella</v>
      </c>
      <c r="B147" s="74" t="str">
        <f>IFERROR(__xludf.DUMMYFUNCTION("""COMPUTED_VALUE"""),"20331A05C3")</f>
        <v>20331A05C3</v>
      </c>
      <c r="C147" s="74" t="str">
        <f>IFERROR(__xludf.DUMMYFUNCTION("""COMPUTED_VALUE"""),"Redhat")</f>
        <v>Redhat</v>
      </c>
      <c r="D147" s="74" t="str">
        <f>IFERROR(__xludf.DUMMYFUNCTION("""COMPUTED_VALUE"""),"2 months")</f>
        <v>2 months</v>
      </c>
      <c r="E147" s="79">
        <f>IFERROR(__xludf.DUMMYFUNCTION("""COMPUTED_VALUE"""),44470.0)</f>
        <v>44470</v>
      </c>
      <c r="F147" s="79">
        <f>IFERROR(__xludf.DUMMYFUNCTION("""COMPUTED_VALUE"""),44531.0)</f>
        <v>44531</v>
      </c>
      <c r="G147" s="74" t="str">
        <f>IFERROR(__xludf.DUMMYFUNCTION("""COMPUTED_VALUE"""),"No")</f>
        <v>No</v>
      </c>
      <c r="H147" s="74" t="str">
        <f>IFERROR(__xludf.DUMMYFUNCTION("""COMPUTED_VALUE"""),"No")</f>
        <v>No</v>
      </c>
      <c r="I147" s="74">
        <f>IFERROR(__xludf.DUMMYFUNCTION("""COMPUTED_VALUE"""),0.0)</f>
        <v>0</v>
      </c>
      <c r="J147" s="80" t="str">
        <f>IFERROR(__xludf.DUMMYFUNCTION("""COMPUTED_VALUE"""),"https://drive.google.com/open?id=1OdCqgTpFdMXyL2wGRwlzJQF7OcVDOTkQ")</f>
        <v>https://drive.google.com/open?id=1OdCqgTpFdMXyL2wGRwlzJQF7OcVDOTkQ</v>
      </c>
      <c r="K147" s="74" t="str">
        <f>IFERROR(__xludf.DUMMYFUNCTION("""COMPUTED_VALUE"""),"2020-2024")</f>
        <v>2020-2024</v>
      </c>
      <c r="L147" s="74" t="str">
        <f>IFERROR(__xludf.DUMMYFUNCTION("""COMPUTED_VALUE"""),"S3: Student Internships")</f>
        <v>S3: Student Internships</v>
      </c>
      <c r="M147" s="74" t="str">
        <f>IFERROR(__xludf.DUMMYFUNCTION("""COMPUTED_VALUE"""),"3lochana.nakkella@gmail.com")</f>
        <v>3lochana.nakkella@gmail.com</v>
      </c>
      <c r="N147" s="74" t="str">
        <f>IFERROR(__xludf.DUMMYFUNCTION("""COMPUTED_VALUE"""),"SEM-4")</f>
        <v>SEM-4</v>
      </c>
      <c r="O147" s="74"/>
      <c r="P147" s="74"/>
      <c r="Q147" s="74"/>
      <c r="R147" s="74"/>
      <c r="S147" s="74"/>
      <c r="T147" s="74"/>
      <c r="U147" s="74"/>
      <c r="V147" s="74"/>
      <c r="W147" s="74"/>
      <c r="X147" s="74"/>
    </row>
    <row r="148" ht="33.0" customHeight="1">
      <c r="A148" s="74" t="str">
        <f>IFERROR(__xludf.DUMMYFUNCTION("""COMPUTED_VALUE"""),"Rithvik Reddy Chantigari")</f>
        <v>Rithvik Reddy Chantigari</v>
      </c>
      <c r="B148" s="74" t="str">
        <f>IFERROR(__xludf.DUMMYFUNCTION("""COMPUTED_VALUE"""),"18331A0525")</f>
        <v>18331A0525</v>
      </c>
      <c r="C148" s="74" t="str">
        <f>IFERROR(__xludf.DUMMYFUNCTION("""COMPUTED_VALUE"""),"Verzeo")</f>
        <v>Verzeo</v>
      </c>
      <c r="D148" s="74" t="str">
        <f>IFERROR(__xludf.DUMMYFUNCTION("""COMPUTED_VALUE"""),"2 months")</f>
        <v>2 months</v>
      </c>
      <c r="E148" s="79">
        <f>IFERROR(__xludf.DUMMYFUNCTION("""COMPUTED_VALUE"""),43983.0)</f>
        <v>43983</v>
      </c>
      <c r="F148" s="79">
        <f>IFERROR(__xludf.DUMMYFUNCTION("""COMPUTED_VALUE"""),44044.0)</f>
        <v>44044</v>
      </c>
      <c r="G148" s="74" t="str">
        <f>IFERROR(__xludf.DUMMYFUNCTION("""COMPUTED_VALUE"""),"No")</f>
        <v>No</v>
      </c>
      <c r="H148" s="74" t="str">
        <f>IFERROR(__xludf.DUMMYFUNCTION("""COMPUTED_VALUE"""),"Yes")</f>
        <v>Yes</v>
      </c>
      <c r="I148" s="74">
        <f>IFERROR(__xludf.DUMMYFUNCTION("""COMPUTED_VALUE"""),4500.0)</f>
        <v>4500</v>
      </c>
      <c r="J148" s="80" t="str">
        <f>IFERROR(__xludf.DUMMYFUNCTION("""COMPUTED_VALUE"""),"https://drive.google.com/open?id=1HhDM8hSHUy6Hc125dGJEBpi8IbmayzsU")</f>
        <v>https://drive.google.com/open?id=1HhDM8hSHUy6Hc125dGJEBpi8IbmayzsU</v>
      </c>
      <c r="K148" s="74" t="str">
        <f>IFERROR(__xludf.DUMMYFUNCTION("""COMPUTED_VALUE"""),"2018-2022")</f>
        <v>2018-2022</v>
      </c>
      <c r="L148" s="74" t="str">
        <f>IFERROR(__xludf.DUMMYFUNCTION("""COMPUTED_VALUE"""),"S3: Student Internships")</f>
        <v>S3: Student Internships</v>
      </c>
      <c r="M148" s="74" t="str">
        <f>IFERROR(__xludf.DUMMYFUNCTION("""COMPUTED_VALUE"""),"rithvikreddychantigari@gmail.com")</f>
        <v>rithvikreddychantigari@gmail.com</v>
      </c>
      <c r="N148" s="74" t="str">
        <f>IFERROR(__xludf.DUMMYFUNCTION("""COMPUTED_VALUE"""),"SEM-8")</f>
        <v>SEM-8</v>
      </c>
      <c r="O148" s="74"/>
      <c r="P148" s="74"/>
      <c r="Q148" s="74"/>
      <c r="R148" s="74"/>
      <c r="S148" s="74"/>
      <c r="T148" s="74"/>
      <c r="U148" s="74"/>
      <c r="V148" s="74"/>
      <c r="W148" s="74"/>
      <c r="X148" s="74"/>
    </row>
    <row r="149" ht="33.0" customHeight="1">
      <c r="A149" s="74" t="str">
        <f>IFERROR(__xludf.DUMMYFUNCTION("""COMPUTED_VALUE"""),"Sumanth varma Dandu")</f>
        <v>Sumanth varma Dandu</v>
      </c>
      <c r="B149" s="74" t="str">
        <f>IFERROR(__xludf.DUMMYFUNCTION("""COMPUTED_VALUE"""),"18331A0530")</f>
        <v>18331A0530</v>
      </c>
      <c r="C149" s="74" t="str">
        <f>IFERROR(__xludf.DUMMYFUNCTION("""COMPUTED_VALUE"""),"Mindtree Limites")</f>
        <v>Mindtree Limites</v>
      </c>
      <c r="D149" s="74" t="str">
        <f>IFERROR(__xludf.DUMMYFUNCTION("""COMPUTED_VALUE"""),"14-16 weeks")</f>
        <v>14-16 weeks</v>
      </c>
      <c r="E149" s="79">
        <f>IFERROR(__xludf.DUMMYFUNCTION("""COMPUTED_VALUE"""),44620.0)</f>
        <v>44620</v>
      </c>
      <c r="F149" s="79">
        <f>IFERROR(__xludf.DUMMYFUNCTION("""COMPUTED_VALUE"""),44742.0)</f>
        <v>44742</v>
      </c>
      <c r="G149" s="74" t="str">
        <f>IFERROR(__xludf.DUMMYFUNCTION("""COMPUTED_VALUE"""),"Yes")</f>
        <v>Yes</v>
      </c>
      <c r="H149" s="74" t="str">
        <f>IFERROR(__xludf.DUMMYFUNCTION("""COMPUTED_VALUE"""),"No")</f>
        <v>No</v>
      </c>
      <c r="I149" s="74">
        <f>IFERROR(__xludf.DUMMYFUNCTION("""COMPUTED_VALUE"""),10000.0)</f>
        <v>10000</v>
      </c>
      <c r="J149" s="80" t="str">
        <f>IFERROR(__xludf.DUMMYFUNCTION("""COMPUTED_VALUE"""),"https://drive.google.com/open?id=1vLiS16Riy3Hj4jFCZrDTX0Cb76lK2kbJ")</f>
        <v>https://drive.google.com/open?id=1vLiS16Riy3Hj4jFCZrDTX0Cb76lK2kbJ</v>
      </c>
      <c r="K149" s="74" t="str">
        <f>IFERROR(__xludf.DUMMYFUNCTION("""COMPUTED_VALUE"""),"2018-2022")</f>
        <v>2018-2022</v>
      </c>
      <c r="L149" s="74" t="str">
        <f>IFERROR(__xludf.DUMMYFUNCTION("""COMPUTED_VALUE"""),"S3: Student Internships")</f>
        <v>S3: Student Internships</v>
      </c>
      <c r="M149" s="74" t="str">
        <f>IFERROR(__xludf.DUMMYFUNCTION("""COMPUTED_VALUE"""),"dsumanthvarma6@gmail.com")</f>
        <v>dsumanthvarma6@gmail.com</v>
      </c>
      <c r="N149" s="74" t="str">
        <f>IFERROR(__xludf.DUMMYFUNCTION("""COMPUTED_VALUE"""),"SEM-8")</f>
        <v>SEM-8</v>
      </c>
      <c r="O149" s="74"/>
      <c r="P149" s="74"/>
      <c r="Q149" s="74"/>
      <c r="R149" s="74"/>
      <c r="S149" s="74"/>
      <c r="T149" s="74"/>
      <c r="U149" s="74"/>
      <c r="V149" s="74"/>
      <c r="W149" s="74"/>
      <c r="X149" s="74"/>
    </row>
    <row r="150" ht="33.0" customHeight="1">
      <c r="A150" s="81" t="str">
        <f>IFERROR(__xludf.DUMMYFUNCTION("""COMPUTED_VALUE"""),"Nune.Veera Narayanamma")</f>
        <v>Nune.Veera Narayanamma</v>
      </c>
      <c r="B150" s="81" t="str">
        <f>IFERROR(__xludf.DUMMYFUNCTION("""COMPUTED_VALUE"""),"20331A05C9")</f>
        <v>20331A05C9</v>
      </c>
      <c r="C150" s="81" t="str">
        <f>IFERROR(__xludf.DUMMYFUNCTION("""COMPUTED_VALUE"""),"I.T Essentials")</f>
        <v>I.T Essentials</v>
      </c>
      <c r="D150" s="81" t="str">
        <f>IFERROR(__xludf.DUMMYFUNCTION("""COMPUTED_VALUE"""),"2months")</f>
        <v>2months</v>
      </c>
      <c r="E150" s="82">
        <f>IFERROR(__xludf.DUMMYFUNCTION("""COMPUTED_VALUE"""),44326.0)</f>
        <v>44326</v>
      </c>
      <c r="F150" s="82">
        <f>IFERROR(__xludf.DUMMYFUNCTION("""COMPUTED_VALUE"""),44387.0)</f>
        <v>44387</v>
      </c>
      <c r="G150" s="81" t="str">
        <f>IFERROR(__xludf.DUMMYFUNCTION("""COMPUTED_VALUE"""),"No")</f>
        <v>No</v>
      </c>
      <c r="H150" s="81" t="str">
        <f>IFERROR(__xludf.DUMMYFUNCTION("""COMPUTED_VALUE"""),"No")</f>
        <v>No</v>
      </c>
      <c r="I150" s="81">
        <f>IFERROR(__xludf.DUMMYFUNCTION("""COMPUTED_VALUE"""),0.0)</f>
        <v>0</v>
      </c>
      <c r="J150" s="83" t="str">
        <f>IFERROR(__xludf.DUMMYFUNCTION("""COMPUTED_VALUE"""),"https://drive.google.com/open?id=1AEoFVZCs9R_i8Uv2eghRNXDGCyuNGV0o")</f>
        <v>https://drive.google.com/open?id=1AEoFVZCs9R_i8Uv2eghRNXDGCyuNGV0o</v>
      </c>
      <c r="K150" s="81" t="str">
        <f>IFERROR(__xludf.DUMMYFUNCTION("""COMPUTED_VALUE"""),"2020-2024")</f>
        <v>2020-2024</v>
      </c>
      <c r="L150" s="81" t="str">
        <f>IFERROR(__xludf.DUMMYFUNCTION("""COMPUTED_VALUE"""),"S3: Student Internships")</f>
        <v>S3: Student Internships</v>
      </c>
      <c r="M150" s="81" t="str">
        <f>IFERROR(__xludf.DUMMYFUNCTION("""COMPUTED_VALUE"""),"vasavinune24@gmail.com")</f>
        <v>vasavinune24@gmail.com</v>
      </c>
      <c r="N150" s="81" t="str">
        <f>IFERROR(__xludf.DUMMYFUNCTION("""COMPUTED_VALUE"""),"SEM-4")</f>
        <v>SEM-4</v>
      </c>
      <c r="O150" s="81"/>
      <c r="P150" s="81"/>
      <c r="Q150" s="81"/>
      <c r="R150" s="81"/>
      <c r="S150" s="81"/>
      <c r="T150" s="81"/>
      <c r="U150" s="81"/>
      <c r="V150" s="81"/>
      <c r="W150" s="81"/>
      <c r="X150" s="81"/>
    </row>
    <row r="151" ht="33.0" customHeight="1">
      <c r="A151" s="81" t="str">
        <f>IFERROR(__xludf.DUMMYFUNCTION("""COMPUTED_VALUE"""),"Jammi Sri Sai Yeshwanth ")</f>
        <v>Jammi Sri Sai Yeshwanth </v>
      </c>
      <c r="B151" s="81" t="str">
        <f>IFERROR(__xludf.DUMMYFUNCTION("""COMPUTED_VALUE"""),"20331A0574")</f>
        <v>20331A0574</v>
      </c>
      <c r="C151" s="81" t="str">
        <f>IFERROR(__xludf.DUMMYFUNCTION("""COMPUTED_VALUE"""),"Redhat Enterprises ")</f>
        <v>Redhat Enterprises </v>
      </c>
      <c r="D151" s="81" t="str">
        <f>IFERROR(__xludf.DUMMYFUNCTION("""COMPUTED_VALUE"""),"10 Weeks")</f>
        <v>10 Weeks</v>
      </c>
      <c r="E151" s="82">
        <f>IFERROR(__xludf.DUMMYFUNCTION("""COMPUTED_VALUE"""),44522.0)</f>
        <v>44522</v>
      </c>
      <c r="F151" s="82">
        <f>IFERROR(__xludf.DUMMYFUNCTION("""COMPUTED_VALUE"""),44561.0)</f>
        <v>44561</v>
      </c>
      <c r="G151" s="81" t="str">
        <f>IFERROR(__xludf.DUMMYFUNCTION("""COMPUTED_VALUE"""),"No")</f>
        <v>No</v>
      </c>
      <c r="H151" s="81" t="str">
        <f>IFERROR(__xludf.DUMMYFUNCTION("""COMPUTED_VALUE"""),"No")</f>
        <v>No</v>
      </c>
      <c r="I151" s="81">
        <f>IFERROR(__xludf.DUMMYFUNCTION("""COMPUTED_VALUE"""),0.0)</f>
        <v>0</v>
      </c>
      <c r="J151" s="83" t="str">
        <f>IFERROR(__xludf.DUMMYFUNCTION("""COMPUTED_VALUE"""),"https://drive.google.com/open?id=1zIw39WOTbilnopqS8otfGZVLqjHOITzf")</f>
        <v>https://drive.google.com/open?id=1zIw39WOTbilnopqS8otfGZVLqjHOITzf</v>
      </c>
      <c r="K151" s="81" t="str">
        <f>IFERROR(__xludf.DUMMYFUNCTION("""COMPUTED_VALUE"""),"2020-2024")</f>
        <v>2020-2024</v>
      </c>
      <c r="L151" s="81" t="str">
        <f>IFERROR(__xludf.DUMMYFUNCTION("""COMPUTED_VALUE"""),"S3: Student Internships")</f>
        <v>S3: Student Internships</v>
      </c>
      <c r="M151" s="81" t="str">
        <f>IFERROR(__xludf.DUMMYFUNCTION("""COMPUTED_VALUE"""),"yeswanthjammi@gmail.com")</f>
        <v>yeswanthjammi@gmail.com</v>
      </c>
      <c r="N151" s="81" t="str">
        <f>IFERROR(__xludf.DUMMYFUNCTION("""COMPUTED_VALUE"""),"SEM-4")</f>
        <v>SEM-4</v>
      </c>
      <c r="O151" s="81"/>
      <c r="P151" s="81"/>
      <c r="Q151" s="81"/>
      <c r="R151" s="81"/>
      <c r="S151" s="81"/>
      <c r="T151" s="81"/>
      <c r="U151" s="81"/>
      <c r="V151" s="81"/>
      <c r="W151" s="81"/>
      <c r="X151" s="81"/>
    </row>
    <row r="152" ht="33.0" customHeight="1">
      <c r="A152" s="74" t="str">
        <f>IFERROR(__xludf.DUMMYFUNCTION("""COMPUTED_VALUE"""),"SAI RISHITHA GORANTLA")</f>
        <v>SAI RISHITHA GORANTLA</v>
      </c>
      <c r="B152" s="74" t="str">
        <f>IFERROR(__xludf.DUMMYFUNCTION("""COMPUTED_VALUE"""),"19331A0555")</f>
        <v>19331A0555</v>
      </c>
      <c r="C152" s="74" t="str">
        <f>IFERROR(__xludf.DUMMYFUNCTION("""COMPUTED_VALUE"""),"AICTE")</f>
        <v>AICTE</v>
      </c>
      <c r="D152" s="74" t="str">
        <f>IFERROR(__xludf.DUMMYFUNCTION("""COMPUTED_VALUE"""),"10 weeks")</f>
        <v>10 weeks</v>
      </c>
      <c r="E152" s="79">
        <f>IFERROR(__xludf.DUMMYFUNCTION("""COMPUTED_VALUE"""),44477.0)</f>
        <v>44477</v>
      </c>
      <c r="F152" s="79">
        <f>IFERROR(__xludf.DUMMYFUNCTION("""COMPUTED_VALUE"""),44547.0)</f>
        <v>44547</v>
      </c>
      <c r="G152" s="74" t="str">
        <f>IFERROR(__xludf.DUMMYFUNCTION("""COMPUTED_VALUE"""),"No")</f>
        <v>No</v>
      </c>
      <c r="H152" s="74" t="str">
        <f>IFERROR(__xludf.DUMMYFUNCTION("""COMPUTED_VALUE"""),"No")</f>
        <v>No</v>
      </c>
      <c r="I152" s="74">
        <f>IFERROR(__xludf.DUMMYFUNCTION("""COMPUTED_VALUE"""),0.0)</f>
        <v>0</v>
      </c>
      <c r="J152" s="80" t="str">
        <f>IFERROR(__xludf.DUMMYFUNCTION("""COMPUTED_VALUE"""),"https://drive.google.com/open?id=1hkVUsy0h-xVJYXHA9uKl-06xHAobIvjm")</f>
        <v>https://drive.google.com/open?id=1hkVUsy0h-xVJYXHA9uKl-06xHAobIvjm</v>
      </c>
      <c r="K152" s="74" t="str">
        <f>IFERROR(__xludf.DUMMYFUNCTION("""COMPUTED_VALUE"""),"2019-2023")</f>
        <v>2019-2023</v>
      </c>
      <c r="L152" s="74" t="str">
        <f>IFERROR(__xludf.DUMMYFUNCTION("""COMPUTED_VALUE"""),"S3: Student Internships")</f>
        <v>S3: Student Internships</v>
      </c>
      <c r="M152" s="74" t="str">
        <f>IFERROR(__xludf.DUMMYFUNCTION("""COMPUTED_VALUE"""),"rishithagorantla23@gmail.com")</f>
        <v>rishithagorantla23@gmail.com</v>
      </c>
      <c r="N152" s="74" t="str">
        <f>IFERROR(__xludf.DUMMYFUNCTION("""COMPUTED_VALUE"""),"SEM-6")</f>
        <v>SEM-6</v>
      </c>
      <c r="O152" s="74"/>
      <c r="P152" s="74"/>
      <c r="Q152" s="74"/>
      <c r="R152" s="74"/>
      <c r="S152" s="74"/>
      <c r="T152" s="74"/>
      <c r="U152" s="74"/>
      <c r="V152" s="74"/>
      <c r="W152" s="74"/>
      <c r="X152" s="74"/>
    </row>
    <row r="153" ht="33.0" customHeight="1">
      <c r="A153" s="74" t="str">
        <f>IFERROR(__xludf.DUMMYFUNCTION("""COMPUTED_VALUE"""),"Medisetti Ramya Sahithi")</f>
        <v>Medisetti Ramya Sahithi</v>
      </c>
      <c r="B153" s="74" t="str">
        <f>IFERROR(__xludf.DUMMYFUNCTION("""COMPUTED_VALUE"""),"20331A05A9")</f>
        <v>20331A05A9</v>
      </c>
      <c r="C153" s="74" t="str">
        <f>IFERROR(__xludf.DUMMYFUNCTION("""COMPUTED_VALUE"""),"CISCO")</f>
        <v>CISCO</v>
      </c>
      <c r="D153" s="74" t="str">
        <f>IFERROR(__xludf.DUMMYFUNCTION("""COMPUTED_VALUE"""),"2 months")</f>
        <v>2 months</v>
      </c>
      <c r="E153" s="79">
        <f>IFERROR(__xludf.DUMMYFUNCTION("""COMPUTED_VALUE"""),44357.0)</f>
        <v>44357</v>
      </c>
      <c r="F153" s="79">
        <f>IFERROR(__xludf.DUMMYFUNCTION("""COMPUTED_VALUE"""),44418.0)</f>
        <v>44418</v>
      </c>
      <c r="G153" s="74" t="str">
        <f>IFERROR(__xludf.DUMMYFUNCTION("""COMPUTED_VALUE"""),"No")</f>
        <v>No</v>
      </c>
      <c r="H153" s="74" t="str">
        <f>IFERROR(__xludf.DUMMYFUNCTION("""COMPUTED_VALUE"""),"No")</f>
        <v>No</v>
      </c>
      <c r="I153" s="74">
        <f>IFERROR(__xludf.DUMMYFUNCTION("""COMPUTED_VALUE"""),0.0)</f>
        <v>0</v>
      </c>
      <c r="J153" s="80" t="str">
        <f>IFERROR(__xludf.DUMMYFUNCTION("""COMPUTED_VALUE"""),"https://drive.google.com/open?id=1yglCYVQ199qx5k15o7caTfXUWiGv0Jfi")</f>
        <v>https://drive.google.com/open?id=1yglCYVQ199qx5k15o7caTfXUWiGv0Jfi</v>
      </c>
      <c r="K153" s="74" t="str">
        <f>IFERROR(__xludf.DUMMYFUNCTION("""COMPUTED_VALUE"""),"2020-2024")</f>
        <v>2020-2024</v>
      </c>
      <c r="L153" s="74" t="str">
        <f>IFERROR(__xludf.DUMMYFUNCTION("""COMPUTED_VALUE"""),"S3: Student Internships")</f>
        <v>S3: Student Internships</v>
      </c>
      <c r="M153" s="74" t="str">
        <f>IFERROR(__xludf.DUMMYFUNCTION("""COMPUTED_VALUE"""),"medisettiramyasahithi@gmail.com")</f>
        <v>medisettiramyasahithi@gmail.com</v>
      </c>
      <c r="N153" s="74" t="str">
        <f>IFERROR(__xludf.DUMMYFUNCTION("""COMPUTED_VALUE"""),"SEM-4")</f>
        <v>SEM-4</v>
      </c>
      <c r="O153" s="74"/>
      <c r="P153" s="74"/>
      <c r="Q153" s="74"/>
      <c r="R153" s="74"/>
      <c r="S153" s="74"/>
      <c r="T153" s="74"/>
      <c r="U153" s="74"/>
      <c r="V153" s="74"/>
      <c r="W153" s="74"/>
      <c r="X153" s="74"/>
    </row>
    <row r="154" ht="33.0" customHeight="1">
      <c r="A154" s="74" t="str">
        <f>IFERROR(__xludf.DUMMYFUNCTION("""COMPUTED_VALUE"""),"Medisetti Ramya Sahithi")</f>
        <v>Medisetti Ramya Sahithi</v>
      </c>
      <c r="B154" s="74" t="str">
        <f>IFERROR(__xludf.DUMMYFUNCTION("""COMPUTED_VALUE"""),"20331A05A9")</f>
        <v>20331A05A9</v>
      </c>
      <c r="C154" s="74" t="str">
        <f>IFERROR(__xludf.DUMMYFUNCTION("""COMPUTED_VALUE"""),"EDUSKILLS")</f>
        <v>EDUSKILLS</v>
      </c>
      <c r="D154" s="74" t="str">
        <f>IFERROR(__xludf.DUMMYFUNCTION("""COMPUTED_VALUE"""),"3 months")</f>
        <v>3 months</v>
      </c>
      <c r="E154" s="79">
        <f>IFERROR(__xludf.DUMMYFUNCTION("""COMPUTED_VALUE"""),44835.0)</f>
        <v>44835</v>
      </c>
      <c r="F154" s="79">
        <f>IFERROR(__xludf.DUMMYFUNCTION("""COMPUTED_VALUE"""),44926.0)</f>
        <v>44926</v>
      </c>
      <c r="G154" s="74" t="str">
        <f>IFERROR(__xludf.DUMMYFUNCTION("""COMPUTED_VALUE"""),"No")</f>
        <v>No</v>
      </c>
      <c r="H154" s="74" t="str">
        <f>IFERROR(__xludf.DUMMYFUNCTION("""COMPUTED_VALUE"""),"No")</f>
        <v>No</v>
      </c>
      <c r="I154" s="74">
        <f>IFERROR(__xludf.DUMMYFUNCTION("""COMPUTED_VALUE"""),0.0)</f>
        <v>0</v>
      </c>
      <c r="J154" s="80" t="str">
        <f>IFERROR(__xludf.DUMMYFUNCTION("""COMPUTED_VALUE"""),"https://drive.google.com/open?id=1Wd9ZHAz5yyCDZGziuamZ_KhEPJWFqAfM")</f>
        <v>https://drive.google.com/open?id=1Wd9ZHAz5yyCDZGziuamZ_KhEPJWFqAfM</v>
      </c>
      <c r="K154" s="74" t="str">
        <f>IFERROR(__xludf.DUMMYFUNCTION("""COMPUTED_VALUE"""),"2020-2024")</f>
        <v>2020-2024</v>
      </c>
      <c r="L154" s="74" t="str">
        <f>IFERROR(__xludf.DUMMYFUNCTION("""COMPUTED_VALUE"""),"S3: Student Internships")</f>
        <v>S3: Student Internships</v>
      </c>
      <c r="M154" s="74" t="str">
        <f>IFERROR(__xludf.DUMMYFUNCTION("""COMPUTED_VALUE"""),"medisettiramyasahithi@gmail.com")</f>
        <v>medisettiramyasahithi@gmail.com</v>
      </c>
      <c r="N154" s="74" t="str">
        <f>IFERROR(__xludf.DUMMYFUNCTION("""COMPUTED_VALUE"""),"SEM-4")</f>
        <v>SEM-4</v>
      </c>
      <c r="O154" s="74"/>
      <c r="P154" s="74"/>
      <c r="Q154" s="74"/>
      <c r="R154" s="74"/>
      <c r="S154" s="74"/>
      <c r="T154" s="74"/>
      <c r="U154" s="74"/>
      <c r="V154" s="74"/>
      <c r="W154" s="74"/>
      <c r="X154" s="74"/>
    </row>
    <row r="155" ht="33.0" customHeight="1">
      <c r="A155" s="81" t="str">
        <f>IFERROR(__xludf.DUMMYFUNCTION("""COMPUTED_VALUE"""),"GRANDHI.VASAVI")</f>
        <v>GRANDHI.VASAVI</v>
      </c>
      <c r="B155" s="81" t="str">
        <f>IFERROR(__xludf.DUMMYFUNCTION("""COMPUTED_VALUE"""),"19331A0558")</f>
        <v>19331A0558</v>
      </c>
      <c r="C155" s="81" t="str">
        <f>IFERROR(__xludf.DUMMYFUNCTION("""COMPUTED_VALUE"""),"AICTE")</f>
        <v>AICTE</v>
      </c>
      <c r="D155" s="81" t="str">
        <f>IFERROR(__xludf.DUMMYFUNCTION("""COMPUTED_VALUE"""),"10 weeks")</f>
        <v>10 weeks</v>
      </c>
      <c r="E155" s="82">
        <f>IFERROR(__xludf.DUMMYFUNCTION("""COMPUTED_VALUE"""),44487.0)</f>
        <v>44487</v>
      </c>
      <c r="F155" s="82">
        <f>IFERROR(__xludf.DUMMYFUNCTION("""COMPUTED_VALUE"""),44541.0)</f>
        <v>44541</v>
      </c>
      <c r="G155" s="81" t="str">
        <f>IFERROR(__xludf.DUMMYFUNCTION("""COMPUTED_VALUE"""),"No")</f>
        <v>No</v>
      </c>
      <c r="H155" s="81" t="str">
        <f>IFERROR(__xludf.DUMMYFUNCTION("""COMPUTED_VALUE"""),"No")</f>
        <v>No</v>
      </c>
      <c r="I155" s="81">
        <f>IFERROR(__xludf.DUMMYFUNCTION("""COMPUTED_VALUE"""),0.0)</f>
        <v>0</v>
      </c>
      <c r="J155" s="83" t="str">
        <f>IFERROR(__xludf.DUMMYFUNCTION("""COMPUTED_VALUE"""),"https://drive.google.com/open?id=18seBZorcjr3O70OKP_3pPmnzYScR3v6i")</f>
        <v>https://drive.google.com/open?id=18seBZorcjr3O70OKP_3pPmnzYScR3v6i</v>
      </c>
      <c r="K155" s="81" t="str">
        <f>IFERROR(__xludf.DUMMYFUNCTION("""COMPUTED_VALUE"""),"2019-2023")</f>
        <v>2019-2023</v>
      </c>
      <c r="L155" s="81" t="str">
        <f>IFERROR(__xludf.DUMMYFUNCTION("""COMPUTED_VALUE"""),"S3: Student Internships")</f>
        <v>S3: Student Internships</v>
      </c>
      <c r="M155" s="81" t="str">
        <f>IFERROR(__xludf.DUMMYFUNCTION("""COMPUTED_VALUE"""),"vasavigrandhi02@gmail.com")</f>
        <v>vasavigrandhi02@gmail.com</v>
      </c>
      <c r="N155" s="81" t="str">
        <f>IFERROR(__xludf.DUMMYFUNCTION("""COMPUTED_VALUE"""),"SEM-5")</f>
        <v>SEM-5</v>
      </c>
      <c r="O155" s="81"/>
      <c r="P155" s="81"/>
      <c r="Q155" s="81"/>
      <c r="R155" s="81"/>
      <c r="S155" s="81"/>
      <c r="T155" s="81"/>
      <c r="U155" s="81"/>
      <c r="V155" s="81"/>
      <c r="W155" s="81"/>
      <c r="X155" s="81"/>
    </row>
    <row r="156" ht="33.0" customHeight="1">
      <c r="A156" s="74" t="str">
        <f>IFERROR(__xludf.DUMMYFUNCTION("""COMPUTED_VALUE"""),"BHOOMIREDDY KAVYA")</f>
        <v>BHOOMIREDDY KAVYA</v>
      </c>
      <c r="B156" s="74" t="str">
        <f>IFERROR(__xludf.DUMMYFUNCTION("""COMPUTED_VALUE"""),"19331A0517")</f>
        <v>19331A0517</v>
      </c>
      <c r="C156" s="74" t="str">
        <f>IFERROR(__xludf.DUMMYFUNCTION("""COMPUTED_VALUE"""),"AICTE")</f>
        <v>AICTE</v>
      </c>
      <c r="D156" s="74" t="str">
        <f>IFERROR(__xludf.DUMMYFUNCTION("""COMPUTED_VALUE"""),"10 weeks")</f>
        <v>10 weeks</v>
      </c>
      <c r="E156" s="79">
        <f>IFERROR(__xludf.DUMMYFUNCTION("""COMPUTED_VALUE"""),44487.0)</f>
        <v>44487</v>
      </c>
      <c r="F156" s="79">
        <f>IFERROR(__xludf.DUMMYFUNCTION("""COMPUTED_VALUE"""),44541.0)</f>
        <v>44541</v>
      </c>
      <c r="G156" s="74" t="str">
        <f>IFERROR(__xludf.DUMMYFUNCTION("""COMPUTED_VALUE"""),"No")</f>
        <v>No</v>
      </c>
      <c r="H156" s="74" t="str">
        <f>IFERROR(__xludf.DUMMYFUNCTION("""COMPUTED_VALUE"""),"No")</f>
        <v>No</v>
      </c>
      <c r="I156" s="74">
        <f>IFERROR(__xludf.DUMMYFUNCTION("""COMPUTED_VALUE"""),0.0)</f>
        <v>0</v>
      </c>
      <c r="J156" s="80" t="str">
        <f>IFERROR(__xludf.DUMMYFUNCTION("""COMPUTED_VALUE"""),"https://drive.google.com/open?id=16c7c1M1MusHqa3fgQVXKq9D00j0pivXc")</f>
        <v>https://drive.google.com/open?id=16c7c1M1MusHqa3fgQVXKq9D00j0pivXc</v>
      </c>
      <c r="K156" s="74" t="str">
        <f>IFERROR(__xludf.DUMMYFUNCTION("""COMPUTED_VALUE"""),"2019-2023")</f>
        <v>2019-2023</v>
      </c>
      <c r="L156" s="74" t="str">
        <f>IFERROR(__xludf.DUMMYFUNCTION("""COMPUTED_VALUE"""),"S3: Student Internships")</f>
        <v>S3: Student Internships</v>
      </c>
      <c r="M156" s="74" t="str">
        <f>IFERROR(__xludf.DUMMYFUNCTION("""COMPUTED_VALUE"""),"kavyabhoomireddy@gmail.com")</f>
        <v>kavyabhoomireddy@gmail.com</v>
      </c>
      <c r="N156" s="74" t="str">
        <f>IFERROR(__xludf.DUMMYFUNCTION("""COMPUTED_VALUE"""),"SEM-6")</f>
        <v>SEM-6</v>
      </c>
      <c r="O156" s="74"/>
      <c r="P156" s="74"/>
      <c r="Q156" s="74"/>
      <c r="R156" s="74"/>
      <c r="S156" s="74"/>
      <c r="T156" s="74"/>
      <c r="U156" s="74"/>
      <c r="V156" s="74"/>
      <c r="W156" s="74"/>
      <c r="X156" s="74"/>
    </row>
    <row r="157" ht="33.0" customHeight="1">
      <c r="A157" s="74" t="str">
        <f>IFERROR(__xludf.DUMMYFUNCTION("""COMPUTED_VALUE"""),"Chikkala Sowmya Deepika")</f>
        <v>Chikkala Sowmya Deepika</v>
      </c>
      <c r="B157" s="74" t="str">
        <f>IFERROR(__xludf.DUMMYFUNCTION("""COMPUTED_VALUE"""),"19331A0535")</f>
        <v>19331A0535</v>
      </c>
      <c r="C157" s="74" t="str">
        <f>IFERROR(__xludf.DUMMYFUNCTION("""COMPUTED_VALUE"""),"AICTE")</f>
        <v>AICTE</v>
      </c>
      <c r="D157" s="74" t="str">
        <f>IFERROR(__xludf.DUMMYFUNCTION("""COMPUTED_VALUE"""),"10 weeks")</f>
        <v>10 weeks</v>
      </c>
      <c r="E157" s="79">
        <f>IFERROR(__xludf.DUMMYFUNCTION("""COMPUTED_VALUE"""),44487.0)</f>
        <v>44487</v>
      </c>
      <c r="F157" s="79">
        <f>IFERROR(__xludf.DUMMYFUNCTION("""COMPUTED_VALUE"""),44541.0)</f>
        <v>44541</v>
      </c>
      <c r="G157" s="74" t="str">
        <f>IFERROR(__xludf.DUMMYFUNCTION("""COMPUTED_VALUE"""),"No")</f>
        <v>No</v>
      </c>
      <c r="H157" s="74" t="str">
        <f>IFERROR(__xludf.DUMMYFUNCTION("""COMPUTED_VALUE"""),"No")</f>
        <v>No</v>
      </c>
      <c r="I157" s="74">
        <f>IFERROR(__xludf.DUMMYFUNCTION("""COMPUTED_VALUE"""),0.0)</f>
        <v>0</v>
      </c>
      <c r="J157" s="80" t="str">
        <f>IFERROR(__xludf.DUMMYFUNCTION("""COMPUTED_VALUE"""),"https://drive.google.com/open?id=1Np-pIt1IdoqAq_K8OBZRls1Bm7DjtjSq")</f>
        <v>https://drive.google.com/open?id=1Np-pIt1IdoqAq_K8OBZRls1Bm7DjtjSq</v>
      </c>
      <c r="K157" s="74" t="str">
        <f>IFERROR(__xludf.DUMMYFUNCTION("""COMPUTED_VALUE"""),"2019-2023")</f>
        <v>2019-2023</v>
      </c>
      <c r="L157" s="74" t="str">
        <f>IFERROR(__xludf.DUMMYFUNCTION("""COMPUTED_VALUE"""),"S3: Student Internships")</f>
        <v>S3: Student Internships</v>
      </c>
      <c r="M157" s="74" t="str">
        <f>IFERROR(__xludf.DUMMYFUNCTION("""COMPUTED_VALUE"""),"sowmyadeepika2810@gmail.com")</f>
        <v>sowmyadeepika2810@gmail.com</v>
      </c>
      <c r="N157" s="74" t="str">
        <f>IFERROR(__xludf.DUMMYFUNCTION("""COMPUTED_VALUE"""),"SEM-6")</f>
        <v>SEM-6</v>
      </c>
      <c r="O157" s="74"/>
      <c r="P157" s="74"/>
      <c r="Q157" s="74"/>
      <c r="R157" s="74"/>
      <c r="S157" s="74"/>
      <c r="T157" s="74"/>
      <c r="U157" s="74"/>
      <c r="V157" s="74"/>
      <c r="W157" s="74"/>
      <c r="X157" s="74"/>
    </row>
    <row r="158" ht="33.0" customHeight="1">
      <c r="A158" s="74" t="str">
        <f>IFERROR(__xludf.DUMMYFUNCTION("""COMPUTED_VALUE"""),"Datla V Subhadra Kumari ")</f>
        <v>Datla V Subhadra Kumari </v>
      </c>
      <c r="B158" s="74" t="str">
        <f>IFERROR(__xludf.DUMMYFUNCTION("""COMPUTED_VALUE"""),"19331A0541 ")</f>
        <v>19331A0541 </v>
      </c>
      <c r="C158" s="74" t="str">
        <f>IFERROR(__xludf.DUMMYFUNCTION("""COMPUTED_VALUE"""),"AICTE")</f>
        <v>AICTE</v>
      </c>
      <c r="D158" s="74" t="str">
        <f>IFERROR(__xludf.DUMMYFUNCTION("""COMPUTED_VALUE"""),"10 weeks")</f>
        <v>10 weeks</v>
      </c>
      <c r="E158" s="79">
        <f>IFERROR(__xludf.DUMMYFUNCTION("""COMPUTED_VALUE"""),44492.0)</f>
        <v>44492</v>
      </c>
      <c r="F158" s="79">
        <f>IFERROR(__xludf.DUMMYFUNCTION("""COMPUTED_VALUE"""),44545.0)</f>
        <v>44545</v>
      </c>
      <c r="G158" s="74" t="str">
        <f>IFERROR(__xludf.DUMMYFUNCTION("""COMPUTED_VALUE"""),"No")</f>
        <v>No</v>
      </c>
      <c r="H158" s="74" t="str">
        <f>IFERROR(__xludf.DUMMYFUNCTION("""COMPUTED_VALUE"""),"No")</f>
        <v>No</v>
      </c>
      <c r="I158" s="74">
        <f>IFERROR(__xludf.DUMMYFUNCTION("""COMPUTED_VALUE"""),0.0)</f>
        <v>0</v>
      </c>
      <c r="J158" s="80" t="str">
        <f>IFERROR(__xludf.DUMMYFUNCTION("""COMPUTED_VALUE"""),"https://drive.google.com/open?id=1JN1omyDFwhZ6DQdL14ffHMt9A0htX21g")</f>
        <v>https://drive.google.com/open?id=1JN1omyDFwhZ6DQdL14ffHMt9A0htX21g</v>
      </c>
      <c r="K158" s="74" t="str">
        <f>IFERROR(__xludf.DUMMYFUNCTION("""COMPUTED_VALUE"""),"2019-2023")</f>
        <v>2019-2023</v>
      </c>
      <c r="L158" s="74" t="str">
        <f>IFERROR(__xludf.DUMMYFUNCTION("""COMPUTED_VALUE"""),"S3: Student Internships")</f>
        <v>S3: Student Internships</v>
      </c>
      <c r="M158" s="74" t="str">
        <f>IFERROR(__xludf.DUMMYFUNCTION("""COMPUTED_VALUE"""),"amritha.datla@gmail.com")</f>
        <v>amritha.datla@gmail.com</v>
      </c>
      <c r="N158" s="74" t="str">
        <f>IFERROR(__xludf.DUMMYFUNCTION("""COMPUTED_VALUE"""),"SEM-6")</f>
        <v>SEM-6</v>
      </c>
      <c r="O158" s="74"/>
      <c r="P158" s="74"/>
      <c r="Q158" s="74"/>
      <c r="R158" s="74"/>
      <c r="S158" s="74"/>
      <c r="T158" s="74"/>
      <c r="U158" s="74"/>
      <c r="V158" s="74"/>
      <c r="W158" s="74"/>
      <c r="X158" s="74"/>
    </row>
    <row r="159" ht="33.0" customHeight="1">
      <c r="A159" s="74" t="str">
        <f>IFERROR(__xludf.DUMMYFUNCTION("""COMPUTED_VALUE"""),"Thatimalla Niveditha")</f>
        <v>Thatimalla Niveditha</v>
      </c>
      <c r="B159" s="74" t="str">
        <f>IFERROR(__xludf.DUMMYFUNCTION("""COMPUTED_VALUE"""),"19331A05H1")</f>
        <v>19331A05H1</v>
      </c>
      <c r="C159" s="74" t="str">
        <f>IFERROR(__xludf.DUMMYFUNCTION("""COMPUTED_VALUE"""),"AICTE")</f>
        <v>AICTE</v>
      </c>
      <c r="D159" s="74" t="str">
        <f>IFERROR(__xludf.DUMMYFUNCTION("""COMPUTED_VALUE"""),"10 weeks")</f>
        <v>10 weeks</v>
      </c>
      <c r="E159" s="79">
        <f>IFERROR(__xludf.DUMMYFUNCTION("""COMPUTED_VALUE"""),44635.0)</f>
        <v>44635</v>
      </c>
      <c r="F159" s="79">
        <f>IFERROR(__xludf.DUMMYFUNCTION("""COMPUTED_VALUE"""),44545.0)</f>
        <v>44545</v>
      </c>
      <c r="G159" s="74" t="str">
        <f>IFERROR(__xludf.DUMMYFUNCTION("""COMPUTED_VALUE"""),"No")</f>
        <v>No</v>
      </c>
      <c r="H159" s="74" t="str">
        <f>IFERROR(__xludf.DUMMYFUNCTION("""COMPUTED_VALUE"""),"No")</f>
        <v>No</v>
      </c>
      <c r="I159" s="74">
        <f>IFERROR(__xludf.DUMMYFUNCTION("""COMPUTED_VALUE"""),0.0)</f>
        <v>0</v>
      </c>
      <c r="J159" s="80" t="str">
        <f>IFERROR(__xludf.DUMMYFUNCTION("""COMPUTED_VALUE"""),"https://drive.google.com/open?id=1fkfNt3Enmx67ukXQijvhGeQwlv7OqiGp")</f>
        <v>https://drive.google.com/open?id=1fkfNt3Enmx67ukXQijvhGeQwlv7OqiGp</v>
      </c>
      <c r="K159" s="74" t="str">
        <f>IFERROR(__xludf.DUMMYFUNCTION("""COMPUTED_VALUE"""),"2019-2023")</f>
        <v>2019-2023</v>
      </c>
      <c r="L159" s="74" t="str">
        <f>IFERROR(__xludf.DUMMYFUNCTION("""COMPUTED_VALUE"""),"S3: Student Internships")</f>
        <v>S3: Student Internships</v>
      </c>
      <c r="M159" s="74" t="str">
        <f>IFERROR(__xludf.DUMMYFUNCTION("""COMPUTED_VALUE"""),"thatimallaniveditha@gmail.com")</f>
        <v>thatimallaniveditha@gmail.com</v>
      </c>
      <c r="N159" s="74" t="str">
        <f>IFERROR(__xludf.DUMMYFUNCTION("""COMPUTED_VALUE"""),"SEM-6")</f>
        <v>SEM-6</v>
      </c>
      <c r="O159" s="74"/>
      <c r="P159" s="74"/>
      <c r="Q159" s="74"/>
      <c r="R159" s="74"/>
      <c r="S159" s="74"/>
      <c r="T159" s="74"/>
      <c r="U159" s="74"/>
      <c r="V159" s="74"/>
      <c r="W159" s="74"/>
      <c r="X159" s="74"/>
    </row>
    <row r="160" ht="33.0" customHeight="1">
      <c r="A160" s="74" t="str">
        <f>IFERROR(__xludf.DUMMYFUNCTION("""COMPUTED_VALUE"""),"A A S N NISHANTH VARMA PUSAPATI")</f>
        <v>A A S N NISHANTH VARMA PUSAPATI</v>
      </c>
      <c r="B160" s="74" t="str">
        <f>IFERROR(__xludf.DUMMYFUNCTION("""COMPUTED_VALUE"""),"19331A0501")</f>
        <v>19331A0501</v>
      </c>
      <c r="C160" s="74" t="str">
        <f>IFERROR(__xludf.DUMMYFUNCTION("""COMPUTED_VALUE"""),"AICTE")</f>
        <v>AICTE</v>
      </c>
      <c r="D160" s="74" t="str">
        <f>IFERROR(__xludf.DUMMYFUNCTION("""COMPUTED_VALUE"""),"10 weeks")</f>
        <v>10 weeks</v>
      </c>
      <c r="E160" s="79">
        <f>IFERROR(__xludf.DUMMYFUNCTION("""COMPUTED_VALUE"""),44477.0)</f>
        <v>44477</v>
      </c>
      <c r="F160" s="79">
        <f>IFERROR(__xludf.DUMMYFUNCTION("""COMPUTED_VALUE"""),44547.0)</f>
        <v>44547</v>
      </c>
      <c r="G160" s="74" t="str">
        <f>IFERROR(__xludf.DUMMYFUNCTION("""COMPUTED_VALUE"""),"No")</f>
        <v>No</v>
      </c>
      <c r="H160" s="74" t="str">
        <f>IFERROR(__xludf.DUMMYFUNCTION("""COMPUTED_VALUE"""),"No")</f>
        <v>No</v>
      </c>
      <c r="I160" s="74">
        <f>IFERROR(__xludf.DUMMYFUNCTION("""COMPUTED_VALUE"""),0.0)</f>
        <v>0</v>
      </c>
      <c r="J160" s="80" t="str">
        <f>IFERROR(__xludf.DUMMYFUNCTION("""COMPUTED_VALUE"""),"https://drive.google.com/open?id=11tvcZC2B6NAxoyFWA5BgpbovXc-a3Nv7")</f>
        <v>https://drive.google.com/open?id=11tvcZC2B6NAxoyFWA5BgpbovXc-a3Nv7</v>
      </c>
      <c r="K160" s="74" t="str">
        <f>IFERROR(__xludf.DUMMYFUNCTION("""COMPUTED_VALUE"""),"2019-2023")</f>
        <v>2019-2023</v>
      </c>
      <c r="L160" s="74" t="str">
        <f>IFERROR(__xludf.DUMMYFUNCTION("""COMPUTED_VALUE"""),"S3: Student Internships")</f>
        <v>S3: Student Internships</v>
      </c>
      <c r="M160" s="74" t="str">
        <f>IFERROR(__xludf.DUMMYFUNCTION("""COMPUTED_VALUE"""),"nishanthvarma14819@gmail.com")</f>
        <v>nishanthvarma14819@gmail.com</v>
      </c>
      <c r="N160" s="74" t="str">
        <f>IFERROR(__xludf.DUMMYFUNCTION("""COMPUTED_VALUE"""),"SEM-6")</f>
        <v>SEM-6</v>
      </c>
      <c r="O160" s="74"/>
      <c r="P160" s="74"/>
      <c r="Q160" s="74"/>
      <c r="R160" s="74"/>
      <c r="S160" s="74"/>
      <c r="T160" s="74"/>
      <c r="U160" s="74"/>
      <c r="V160" s="74"/>
      <c r="W160" s="74"/>
      <c r="X160" s="74"/>
    </row>
    <row r="161" ht="33.0" customHeight="1">
      <c r="A161" s="74" t="str">
        <f>IFERROR(__xludf.DUMMYFUNCTION("""COMPUTED_VALUE"""),"Varada Naga Praneetha")</f>
        <v>Varada Naga Praneetha</v>
      </c>
      <c r="B161" s="74" t="str">
        <f>IFERROR(__xludf.DUMMYFUNCTION("""COMPUTED_VALUE"""),"19331A05I1 ")</f>
        <v>19331A05I1 </v>
      </c>
      <c r="C161" s="74" t="str">
        <f>IFERROR(__xludf.DUMMYFUNCTION("""COMPUTED_VALUE"""),"AICTE")</f>
        <v>AICTE</v>
      </c>
      <c r="D161" s="74" t="str">
        <f>IFERROR(__xludf.DUMMYFUNCTION("""COMPUTED_VALUE"""),"10 weeks")</f>
        <v>10 weeks</v>
      </c>
      <c r="E161" s="79">
        <f>IFERROR(__xludf.DUMMYFUNCTION("""COMPUTED_VALUE"""),44470.0)</f>
        <v>44470</v>
      </c>
      <c r="F161" s="79">
        <f>IFERROR(__xludf.DUMMYFUNCTION("""COMPUTED_VALUE"""),44561.0)</f>
        <v>44561</v>
      </c>
      <c r="G161" s="74" t="str">
        <f>IFERROR(__xludf.DUMMYFUNCTION("""COMPUTED_VALUE"""),"No")</f>
        <v>No</v>
      </c>
      <c r="H161" s="74" t="str">
        <f>IFERROR(__xludf.DUMMYFUNCTION("""COMPUTED_VALUE"""),"No")</f>
        <v>No</v>
      </c>
      <c r="I161" s="74">
        <f>IFERROR(__xludf.DUMMYFUNCTION("""COMPUTED_VALUE"""),0.0)</f>
        <v>0</v>
      </c>
      <c r="J161" s="80" t="str">
        <f>IFERROR(__xludf.DUMMYFUNCTION("""COMPUTED_VALUE"""),"https://drive.google.com/open?id=1iebwTBXwTYrugaMqKMKl6bj1uGidMTeG")</f>
        <v>https://drive.google.com/open?id=1iebwTBXwTYrugaMqKMKl6bj1uGidMTeG</v>
      </c>
      <c r="K161" s="74" t="str">
        <f>IFERROR(__xludf.DUMMYFUNCTION("""COMPUTED_VALUE"""),"2019-2023")</f>
        <v>2019-2023</v>
      </c>
      <c r="L161" s="74" t="str">
        <f>IFERROR(__xludf.DUMMYFUNCTION("""COMPUTED_VALUE"""),"S3: Student Internships")</f>
        <v>S3: Student Internships</v>
      </c>
      <c r="M161" s="74" t="str">
        <f>IFERROR(__xludf.DUMMYFUNCTION("""COMPUTED_VALUE"""),"praneetha.varada@gmail.com")</f>
        <v>praneetha.varada@gmail.com</v>
      </c>
      <c r="N161" s="74" t="str">
        <f>IFERROR(__xludf.DUMMYFUNCTION("""COMPUTED_VALUE"""),"SEM-6")</f>
        <v>SEM-6</v>
      </c>
      <c r="O161" s="74"/>
      <c r="P161" s="74"/>
      <c r="Q161" s="74"/>
      <c r="R161" s="74"/>
      <c r="S161" s="74"/>
      <c r="T161" s="74"/>
      <c r="U161" s="74"/>
      <c r="V161" s="74"/>
      <c r="W161" s="74"/>
      <c r="X161" s="74"/>
    </row>
    <row r="162" ht="33.0" customHeight="1">
      <c r="A162" s="74" t="str">
        <f>IFERROR(__xludf.DUMMYFUNCTION("""COMPUTED_VALUE"""),"Sammingi Anju Sai Neha Bhuvya ")</f>
        <v>Sammingi Anju Sai Neha Bhuvya </v>
      </c>
      <c r="B162" s="74" t="str">
        <f>IFERROR(__xludf.DUMMYFUNCTION("""COMPUTED_VALUE"""),"19331A05E7 ")</f>
        <v>19331A05E7 </v>
      </c>
      <c r="C162" s="74" t="str">
        <f>IFERROR(__xludf.DUMMYFUNCTION("""COMPUTED_VALUE"""),"AICTE")</f>
        <v>AICTE</v>
      </c>
      <c r="D162" s="74" t="str">
        <f>IFERROR(__xludf.DUMMYFUNCTION("""COMPUTED_VALUE"""),"10 weeks")</f>
        <v>10 weeks</v>
      </c>
      <c r="E162" s="79">
        <f>IFERROR(__xludf.DUMMYFUNCTION("""COMPUTED_VALUE"""),44470.0)</f>
        <v>44470</v>
      </c>
      <c r="F162" s="79">
        <f>IFERROR(__xludf.DUMMYFUNCTION("""COMPUTED_VALUE"""),44542.0)</f>
        <v>44542</v>
      </c>
      <c r="G162" s="74" t="str">
        <f>IFERROR(__xludf.DUMMYFUNCTION("""COMPUTED_VALUE"""),"No")</f>
        <v>No</v>
      </c>
      <c r="H162" s="74" t="str">
        <f>IFERROR(__xludf.DUMMYFUNCTION("""COMPUTED_VALUE"""),"No")</f>
        <v>No</v>
      </c>
      <c r="I162" s="74">
        <f>IFERROR(__xludf.DUMMYFUNCTION("""COMPUTED_VALUE"""),0.0)</f>
        <v>0</v>
      </c>
      <c r="J162" s="80" t="str">
        <f>IFERROR(__xludf.DUMMYFUNCTION("""COMPUTED_VALUE"""),"https://drive.google.com/open?id=1zG2hfJx1FiAxx-aMGpfLompju4QVYhBE")</f>
        <v>https://drive.google.com/open?id=1zG2hfJx1FiAxx-aMGpfLompju4QVYhBE</v>
      </c>
      <c r="K162" s="74" t="str">
        <f>IFERROR(__xludf.DUMMYFUNCTION("""COMPUTED_VALUE"""),"2019-2023")</f>
        <v>2019-2023</v>
      </c>
      <c r="L162" s="74" t="str">
        <f>IFERROR(__xludf.DUMMYFUNCTION("""COMPUTED_VALUE"""),"S3: Student Internships")</f>
        <v>S3: Student Internships</v>
      </c>
      <c r="M162" s="74" t="str">
        <f>IFERROR(__xludf.DUMMYFUNCTION("""COMPUTED_VALUE"""),"nehabhuvya@gmail.com")</f>
        <v>nehabhuvya@gmail.com</v>
      </c>
      <c r="N162" s="74" t="str">
        <f>IFERROR(__xludf.DUMMYFUNCTION("""COMPUTED_VALUE"""),"SEM-6")</f>
        <v>SEM-6</v>
      </c>
      <c r="O162" s="74"/>
      <c r="P162" s="74"/>
      <c r="Q162" s="74"/>
      <c r="R162" s="74"/>
      <c r="S162" s="74"/>
      <c r="T162" s="74"/>
      <c r="U162" s="74"/>
      <c r="V162" s="74"/>
      <c r="W162" s="74"/>
      <c r="X162" s="74"/>
    </row>
    <row r="163" ht="33.0" customHeight="1">
      <c r="A163" s="74" t="str">
        <f>IFERROR(__xludf.DUMMYFUNCTION("""COMPUTED_VALUE"""),"Sai Akshaya Kasireddi")</f>
        <v>Sai Akshaya Kasireddi</v>
      </c>
      <c r="B163" s="74" t="str">
        <f>IFERROR(__xludf.DUMMYFUNCTION("""COMPUTED_VALUE"""),"19331A05E6")</f>
        <v>19331A05E6</v>
      </c>
      <c r="C163" s="74" t="str">
        <f>IFERROR(__xludf.DUMMYFUNCTION("""COMPUTED_VALUE"""),"AICTE")</f>
        <v>AICTE</v>
      </c>
      <c r="D163" s="74" t="str">
        <f>IFERROR(__xludf.DUMMYFUNCTION("""COMPUTED_VALUE"""),"10 weeks")</f>
        <v>10 weeks</v>
      </c>
      <c r="E163" s="79">
        <f>IFERROR(__xludf.DUMMYFUNCTION("""COMPUTED_VALUE"""),44470.0)</f>
        <v>44470</v>
      </c>
      <c r="F163" s="79">
        <f>IFERROR(__xludf.DUMMYFUNCTION("""COMPUTED_VALUE"""),44542.0)</f>
        <v>44542</v>
      </c>
      <c r="G163" s="74" t="str">
        <f>IFERROR(__xludf.DUMMYFUNCTION("""COMPUTED_VALUE"""),"No")</f>
        <v>No</v>
      </c>
      <c r="H163" s="74" t="str">
        <f>IFERROR(__xludf.DUMMYFUNCTION("""COMPUTED_VALUE"""),"No")</f>
        <v>No</v>
      </c>
      <c r="I163" s="74">
        <f>IFERROR(__xludf.DUMMYFUNCTION("""COMPUTED_VALUE"""),0.0)</f>
        <v>0</v>
      </c>
      <c r="J163" s="80" t="str">
        <f>IFERROR(__xludf.DUMMYFUNCTION("""COMPUTED_VALUE"""),"https://drive.google.com/open?id=1S0p5CNARv6AIh0jkY2b963wPxgWr77iY")</f>
        <v>https://drive.google.com/open?id=1S0p5CNARv6AIh0jkY2b963wPxgWr77iY</v>
      </c>
      <c r="K163" s="74" t="str">
        <f>IFERROR(__xludf.DUMMYFUNCTION("""COMPUTED_VALUE"""),"2019-2023")</f>
        <v>2019-2023</v>
      </c>
      <c r="L163" s="74" t="str">
        <f>IFERROR(__xludf.DUMMYFUNCTION("""COMPUTED_VALUE"""),"S3: Student Internships")</f>
        <v>S3: Student Internships</v>
      </c>
      <c r="M163" s="74" t="str">
        <f>IFERROR(__xludf.DUMMYFUNCTION("""COMPUTED_VALUE"""),"saiakshaya3042@gmail.com")</f>
        <v>saiakshaya3042@gmail.com</v>
      </c>
      <c r="N163" s="74" t="str">
        <f>IFERROR(__xludf.DUMMYFUNCTION("""COMPUTED_VALUE"""),"SEM-6")</f>
        <v>SEM-6</v>
      </c>
      <c r="O163" s="74"/>
      <c r="P163" s="74"/>
      <c r="Q163" s="74"/>
      <c r="R163" s="74"/>
      <c r="S163" s="74"/>
      <c r="T163" s="74"/>
      <c r="U163" s="74"/>
      <c r="V163" s="74"/>
      <c r="W163" s="74"/>
      <c r="X163" s="74"/>
    </row>
    <row r="164" ht="33.0" customHeight="1">
      <c r="A164" s="74" t="str">
        <f>IFERROR(__xludf.DUMMYFUNCTION("""COMPUTED_VALUE"""),"BORRA BHAVYA")</f>
        <v>BORRA BHAVYA</v>
      </c>
      <c r="B164" s="74" t="str">
        <f>IFERROR(__xludf.DUMMYFUNCTION("""COMPUTED_VALUE"""),"19331A0525")</f>
        <v>19331A0525</v>
      </c>
      <c r="C164" s="74" t="str">
        <f>IFERROR(__xludf.DUMMYFUNCTION("""COMPUTED_VALUE"""),"AICTE")</f>
        <v>AICTE</v>
      </c>
      <c r="D164" s="74" t="str">
        <f>IFERROR(__xludf.DUMMYFUNCTION("""COMPUTED_VALUE"""),"10 weeks")</f>
        <v>10 weeks</v>
      </c>
      <c r="E164" s="79">
        <f>IFERROR(__xludf.DUMMYFUNCTION("""COMPUTED_VALUE"""),44492.0)</f>
        <v>44492</v>
      </c>
      <c r="F164" s="79">
        <f>IFERROR(__xludf.DUMMYFUNCTION("""COMPUTED_VALUE"""),44548.0)</f>
        <v>44548</v>
      </c>
      <c r="G164" s="74" t="str">
        <f>IFERROR(__xludf.DUMMYFUNCTION("""COMPUTED_VALUE"""),"No")</f>
        <v>No</v>
      </c>
      <c r="H164" s="74" t="str">
        <f>IFERROR(__xludf.DUMMYFUNCTION("""COMPUTED_VALUE"""),"No")</f>
        <v>No</v>
      </c>
      <c r="I164" s="74">
        <f>IFERROR(__xludf.DUMMYFUNCTION("""COMPUTED_VALUE"""),0.0)</f>
        <v>0</v>
      </c>
      <c r="J164" s="80" t="str">
        <f>IFERROR(__xludf.DUMMYFUNCTION("""COMPUTED_VALUE"""),"https://drive.google.com/open?id=1eAZkMaFzM15aJQj0CiTTAt64qhQxtlMe")</f>
        <v>https://drive.google.com/open?id=1eAZkMaFzM15aJQj0CiTTAt64qhQxtlMe</v>
      </c>
      <c r="K164" s="74" t="str">
        <f>IFERROR(__xludf.DUMMYFUNCTION("""COMPUTED_VALUE"""),"2019-2023")</f>
        <v>2019-2023</v>
      </c>
      <c r="L164" s="74" t="str">
        <f>IFERROR(__xludf.DUMMYFUNCTION("""COMPUTED_VALUE"""),"S3: Student Internships")</f>
        <v>S3: Student Internships</v>
      </c>
      <c r="M164" s="74" t="str">
        <f>IFERROR(__xludf.DUMMYFUNCTION("""COMPUTED_VALUE"""),"bhavyaborra2002@gmail.com")</f>
        <v>bhavyaborra2002@gmail.com</v>
      </c>
      <c r="N164" s="74" t="str">
        <f>IFERROR(__xludf.DUMMYFUNCTION("""COMPUTED_VALUE"""),"SEM-6")</f>
        <v>SEM-6</v>
      </c>
      <c r="O164" s="74"/>
      <c r="P164" s="74"/>
      <c r="Q164" s="74"/>
      <c r="R164" s="74"/>
      <c r="S164" s="74"/>
      <c r="T164" s="74"/>
      <c r="U164" s="74"/>
      <c r="V164" s="74"/>
      <c r="W164" s="74"/>
      <c r="X164" s="74"/>
    </row>
    <row r="165" ht="33.0" customHeight="1">
      <c r="A165" s="74" t="str">
        <f>IFERROR(__xludf.DUMMYFUNCTION("""COMPUTED_VALUE"""),"Bondapalli Priyanka")</f>
        <v>Bondapalli Priyanka</v>
      </c>
      <c r="B165" s="74" t="str">
        <f>IFERROR(__xludf.DUMMYFUNCTION("""COMPUTED_VALUE"""),"19331A0523")</f>
        <v>19331A0523</v>
      </c>
      <c r="C165" s="74" t="str">
        <f>IFERROR(__xludf.DUMMYFUNCTION("""COMPUTED_VALUE"""),"AICTE")</f>
        <v>AICTE</v>
      </c>
      <c r="D165" s="74" t="str">
        <f>IFERROR(__xludf.DUMMYFUNCTION("""COMPUTED_VALUE"""),"10 weeks")</f>
        <v>10 weeks</v>
      </c>
      <c r="E165" s="79">
        <f>IFERROR(__xludf.DUMMYFUNCTION("""COMPUTED_VALUE"""),44470.0)</f>
        <v>44470</v>
      </c>
      <c r="F165" s="79">
        <f>IFERROR(__xludf.DUMMYFUNCTION("""COMPUTED_VALUE"""),44542.0)</f>
        <v>44542</v>
      </c>
      <c r="G165" s="74" t="str">
        <f>IFERROR(__xludf.DUMMYFUNCTION("""COMPUTED_VALUE"""),"No")</f>
        <v>No</v>
      </c>
      <c r="H165" s="74" t="str">
        <f>IFERROR(__xludf.DUMMYFUNCTION("""COMPUTED_VALUE"""),"No")</f>
        <v>No</v>
      </c>
      <c r="I165" s="74">
        <f>IFERROR(__xludf.DUMMYFUNCTION("""COMPUTED_VALUE"""),0.0)</f>
        <v>0</v>
      </c>
      <c r="J165" s="80" t="str">
        <f>IFERROR(__xludf.DUMMYFUNCTION("""COMPUTED_VALUE"""),"https://drive.google.com/open?id=1xgzZEYjYgnECYBJzQfcqwASeVfjyLZC-")</f>
        <v>https://drive.google.com/open?id=1xgzZEYjYgnECYBJzQfcqwASeVfjyLZC-</v>
      </c>
      <c r="K165" s="74" t="str">
        <f>IFERROR(__xludf.DUMMYFUNCTION("""COMPUTED_VALUE"""),"2019-2023")</f>
        <v>2019-2023</v>
      </c>
      <c r="L165" s="74" t="str">
        <f>IFERROR(__xludf.DUMMYFUNCTION("""COMPUTED_VALUE"""),"S3: Student Internships")</f>
        <v>S3: Student Internships</v>
      </c>
      <c r="M165" s="74" t="str">
        <f>IFERROR(__xludf.DUMMYFUNCTION("""COMPUTED_VALUE"""),"priyankapriya0416@gmail.com")</f>
        <v>priyankapriya0416@gmail.com</v>
      </c>
      <c r="N165" s="74" t="str">
        <f>IFERROR(__xludf.DUMMYFUNCTION("""COMPUTED_VALUE"""),"SEM-6")</f>
        <v>SEM-6</v>
      </c>
      <c r="O165" s="74"/>
      <c r="P165" s="74"/>
      <c r="Q165" s="74"/>
      <c r="R165" s="74"/>
      <c r="S165" s="74"/>
      <c r="T165" s="74"/>
      <c r="U165" s="74"/>
      <c r="V165" s="74"/>
      <c r="W165" s="74"/>
      <c r="X165" s="74"/>
    </row>
    <row r="166" ht="33.0" customHeight="1">
      <c r="A166" s="74" t="str">
        <f>IFERROR(__xludf.DUMMYFUNCTION("""COMPUTED_VALUE"""),"MOTAMARRI AKSHAYA")</f>
        <v>MOTAMARRI AKSHAYA</v>
      </c>
      <c r="B166" s="74" t="str">
        <f>IFERROR(__xludf.DUMMYFUNCTION("""COMPUTED_VALUE"""),"19331A05A9")</f>
        <v>19331A05A9</v>
      </c>
      <c r="C166" s="74" t="str">
        <f>IFERROR(__xludf.DUMMYFUNCTION("""COMPUTED_VALUE"""),"Blue Prism")</f>
        <v>Blue Prism</v>
      </c>
      <c r="D166" s="74" t="str">
        <f>IFERROR(__xludf.DUMMYFUNCTION("""COMPUTED_VALUE"""),"10 weeks")</f>
        <v>10 weeks</v>
      </c>
      <c r="E166" s="79">
        <f>IFERROR(__xludf.DUMMYFUNCTION("""COMPUTED_VALUE"""),44492.0)</f>
        <v>44492</v>
      </c>
      <c r="F166" s="79">
        <f>IFERROR(__xludf.DUMMYFUNCTION("""COMPUTED_VALUE"""),44548.0)</f>
        <v>44548</v>
      </c>
      <c r="G166" s="74" t="str">
        <f>IFERROR(__xludf.DUMMYFUNCTION("""COMPUTED_VALUE"""),"No")</f>
        <v>No</v>
      </c>
      <c r="H166" s="74" t="str">
        <f>IFERROR(__xludf.DUMMYFUNCTION("""COMPUTED_VALUE"""),"No")</f>
        <v>No</v>
      </c>
      <c r="I166" s="74">
        <f>IFERROR(__xludf.DUMMYFUNCTION("""COMPUTED_VALUE"""),0.0)</f>
        <v>0</v>
      </c>
      <c r="J166" s="80" t="str">
        <f>IFERROR(__xludf.DUMMYFUNCTION("""COMPUTED_VALUE"""),"https://drive.google.com/open?id=1JyesfyG9sdretzSNeYQ2p7xsGi1Vlmbs")</f>
        <v>https://drive.google.com/open?id=1JyesfyG9sdretzSNeYQ2p7xsGi1Vlmbs</v>
      </c>
      <c r="K166" s="74" t="str">
        <f>IFERROR(__xludf.DUMMYFUNCTION("""COMPUTED_VALUE"""),"2019-2023")</f>
        <v>2019-2023</v>
      </c>
      <c r="L166" s="74" t="str">
        <f>IFERROR(__xludf.DUMMYFUNCTION("""COMPUTED_VALUE"""),"S3: Student Internships")</f>
        <v>S3: Student Internships</v>
      </c>
      <c r="M166" s="74" t="str">
        <f>IFERROR(__xludf.DUMMYFUNCTION("""COMPUTED_VALUE"""),"akshayamotamarri2108@gmail.com")</f>
        <v>akshayamotamarri2108@gmail.com</v>
      </c>
      <c r="N166" s="74" t="str">
        <f>IFERROR(__xludf.DUMMYFUNCTION("""COMPUTED_VALUE"""),"SEM-6")</f>
        <v>SEM-6</v>
      </c>
      <c r="O166" s="74"/>
      <c r="P166" s="74"/>
      <c r="Q166" s="74"/>
      <c r="R166" s="74"/>
      <c r="S166" s="74"/>
      <c r="T166" s="74"/>
      <c r="U166" s="74"/>
      <c r="V166" s="74"/>
      <c r="W166" s="74"/>
      <c r="X166" s="74"/>
    </row>
    <row r="167" ht="33.0" customHeight="1">
      <c r="A167" s="74" t="str">
        <f>IFERROR(__xludf.DUMMYFUNCTION("""COMPUTED_VALUE"""),"LAKKIMSETTI CHANDRA SIRISHA")</f>
        <v>LAKKIMSETTI CHANDRA SIRISHA</v>
      </c>
      <c r="B167" s="74" t="str">
        <f>IFERROR(__xludf.DUMMYFUNCTION("""COMPUTED_VALUE"""),"19331A0594")</f>
        <v>19331A0594</v>
      </c>
      <c r="C167" s="74" t="str">
        <f>IFERROR(__xludf.DUMMYFUNCTION("""COMPUTED_VALUE"""),"AICTE")</f>
        <v>AICTE</v>
      </c>
      <c r="D167" s="74" t="str">
        <f>IFERROR(__xludf.DUMMYFUNCTION("""COMPUTED_VALUE"""),"10 weeks")</f>
        <v>10 weeks</v>
      </c>
      <c r="E167" s="79">
        <f>IFERROR(__xludf.DUMMYFUNCTION("""COMPUTED_VALUE"""),44492.0)</f>
        <v>44492</v>
      </c>
      <c r="F167" s="79">
        <f>IFERROR(__xludf.DUMMYFUNCTION("""COMPUTED_VALUE"""),44548.0)</f>
        <v>44548</v>
      </c>
      <c r="G167" s="74" t="str">
        <f>IFERROR(__xludf.DUMMYFUNCTION("""COMPUTED_VALUE"""),"No")</f>
        <v>No</v>
      </c>
      <c r="H167" s="74" t="str">
        <f>IFERROR(__xludf.DUMMYFUNCTION("""COMPUTED_VALUE"""),"No")</f>
        <v>No</v>
      </c>
      <c r="I167" s="74">
        <f>IFERROR(__xludf.DUMMYFUNCTION("""COMPUTED_VALUE"""),0.0)</f>
        <v>0</v>
      </c>
      <c r="J167" s="80" t="str">
        <f>IFERROR(__xludf.DUMMYFUNCTION("""COMPUTED_VALUE"""),"https://drive.google.com/open?id=1Yom3pKy4Tkgt9RrqNFbH2LIJ7nyblof1")</f>
        <v>https://drive.google.com/open?id=1Yom3pKy4Tkgt9RrqNFbH2LIJ7nyblof1</v>
      </c>
      <c r="K167" s="74" t="str">
        <f>IFERROR(__xludf.DUMMYFUNCTION("""COMPUTED_VALUE"""),"2019-2023")</f>
        <v>2019-2023</v>
      </c>
      <c r="L167" s="74" t="str">
        <f>IFERROR(__xludf.DUMMYFUNCTION("""COMPUTED_VALUE"""),"S3: Student Internships")</f>
        <v>S3: Student Internships</v>
      </c>
      <c r="M167" s="74" t="str">
        <f>IFERROR(__xludf.DUMMYFUNCTION("""COMPUTED_VALUE"""),"sirishalakkimsetti1729@gmail.com")</f>
        <v>sirishalakkimsetti1729@gmail.com</v>
      </c>
      <c r="N167" s="74" t="str">
        <f>IFERROR(__xludf.DUMMYFUNCTION("""COMPUTED_VALUE"""),"SEM-6")</f>
        <v>SEM-6</v>
      </c>
      <c r="O167" s="74"/>
      <c r="P167" s="74"/>
      <c r="Q167" s="74"/>
      <c r="R167" s="74"/>
      <c r="S167" s="74"/>
      <c r="T167" s="74"/>
      <c r="U167" s="74"/>
      <c r="V167" s="74"/>
      <c r="W167" s="74"/>
      <c r="X167" s="74"/>
    </row>
    <row r="168" ht="33.0" customHeight="1">
      <c r="A168" s="81" t="str">
        <f>IFERROR(__xludf.DUMMYFUNCTION("""COMPUTED_VALUE"""),"N CHANDRA SEKHAR REDDY ")</f>
        <v>N CHANDRA SEKHAR REDDY </v>
      </c>
      <c r="B168" s="81" t="str">
        <f>IFERROR(__xludf.DUMMYFUNCTION("""COMPUTED_VALUE"""),"19331A05B7")</f>
        <v>19331A05B7</v>
      </c>
      <c r="C168" s="81" t="str">
        <f>IFERROR(__xludf.DUMMYFUNCTION("""COMPUTED_VALUE"""),"AICTE")</f>
        <v>AICTE</v>
      </c>
      <c r="D168" s="81" t="str">
        <f>IFERROR(__xludf.DUMMYFUNCTION("""COMPUTED_VALUE"""),"10 Weeks")</f>
        <v>10 Weeks</v>
      </c>
      <c r="E168" s="82">
        <f>IFERROR(__xludf.DUMMYFUNCTION("""COMPUTED_VALUE"""),44492.0)</f>
        <v>44492</v>
      </c>
      <c r="F168" s="82">
        <f>IFERROR(__xludf.DUMMYFUNCTION("""COMPUTED_VALUE"""),44548.0)</f>
        <v>44548</v>
      </c>
      <c r="G168" s="81" t="str">
        <f>IFERROR(__xludf.DUMMYFUNCTION("""COMPUTED_VALUE"""),"No")</f>
        <v>No</v>
      </c>
      <c r="H168" s="81" t="str">
        <f>IFERROR(__xludf.DUMMYFUNCTION("""COMPUTED_VALUE"""),"No")</f>
        <v>No</v>
      </c>
      <c r="I168" s="81">
        <f>IFERROR(__xludf.DUMMYFUNCTION("""COMPUTED_VALUE"""),0.0)</f>
        <v>0</v>
      </c>
      <c r="J168" s="83" t="str">
        <f>IFERROR(__xludf.DUMMYFUNCTION("""COMPUTED_VALUE"""),"https://drive.google.com/open?id=1D9VJrTOe4CseoWGyhcXBEAT02CSp62P6")</f>
        <v>https://drive.google.com/open?id=1D9VJrTOe4CseoWGyhcXBEAT02CSp62P6</v>
      </c>
      <c r="K168" s="81" t="str">
        <f>IFERROR(__xludf.DUMMYFUNCTION("""COMPUTED_VALUE"""),"2019-2023")</f>
        <v>2019-2023</v>
      </c>
      <c r="L168" s="81" t="str">
        <f>IFERROR(__xludf.DUMMYFUNCTION("""COMPUTED_VALUE"""),"S3: Student Internships")</f>
        <v>S3: Student Internships</v>
      </c>
      <c r="M168" s="81" t="str">
        <f>IFERROR(__xludf.DUMMYFUNCTION("""COMPUTED_VALUE"""),"ncsreddy143@gmail.com")</f>
        <v>ncsreddy143@gmail.com</v>
      </c>
      <c r="N168" s="81" t="str">
        <f>IFERROR(__xludf.DUMMYFUNCTION("""COMPUTED_VALUE"""),"SEM-6")</f>
        <v>SEM-6</v>
      </c>
      <c r="O168" s="81"/>
      <c r="P168" s="81"/>
      <c r="Q168" s="81"/>
      <c r="R168" s="81"/>
      <c r="S168" s="81"/>
      <c r="T168" s="81"/>
      <c r="U168" s="81"/>
      <c r="V168" s="81"/>
      <c r="W168" s="81"/>
      <c r="X168" s="81"/>
    </row>
    <row r="169" ht="33.0" customHeight="1">
      <c r="A169" s="74" t="str">
        <f>IFERROR(__xludf.DUMMYFUNCTION("""COMPUTED_VALUE"""),"Tammineni Rajasree Indira priyadarshini ")</f>
        <v>Tammineni Rajasree Indira priyadarshini </v>
      </c>
      <c r="B169" s="74" t="str">
        <f>IFERROR(__xludf.DUMMYFUNCTION("""COMPUTED_VALUE"""),"19331A05H0 ")</f>
        <v>19331A05H0 </v>
      </c>
      <c r="C169" s="74" t="str">
        <f>IFERROR(__xludf.DUMMYFUNCTION("""COMPUTED_VALUE"""),"AICTE")</f>
        <v>AICTE</v>
      </c>
      <c r="D169" s="74" t="str">
        <f>IFERROR(__xludf.DUMMYFUNCTION("""COMPUTED_VALUE"""),"10 weeks")</f>
        <v>10 weeks</v>
      </c>
      <c r="E169" s="79">
        <f>IFERROR(__xludf.DUMMYFUNCTION("""COMPUTED_VALUE"""),44485.0)</f>
        <v>44485</v>
      </c>
      <c r="F169" s="79">
        <f>IFERROR(__xludf.DUMMYFUNCTION("""COMPUTED_VALUE"""),44548.0)</f>
        <v>44548</v>
      </c>
      <c r="G169" s="74" t="str">
        <f>IFERROR(__xludf.DUMMYFUNCTION("""COMPUTED_VALUE"""),"No")</f>
        <v>No</v>
      </c>
      <c r="H169" s="74" t="str">
        <f>IFERROR(__xludf.DUMMYFUNCTION("""COMPUTED_VALUE"""),"No")</f>
        <v>No</v>
      </c>
      <c r="I169" s="74">
        <f>IFERROR(__xludf.DUMMYFUNCTION("""COMPUTED_VALUE"""),0.0)</f>
        <v>0</v>
      </c>
      <c r="J169" s="80" t="str">
        <f>IFERROR(__xludf.DUMMYFUNCTION("""COMPUTED_VALUE"""),"https://drive.google.com/open?id=12_srua-2bN288erbcYac-deqxTpCBmIW")</f>
        <v>https://drive.google.com/open?id=12_srua-2bN288erbcYac-deqxTpCBmIW</v>
      </c>
      <c r="K169" s="74" t="str">
        <f>IFERROR(__xludf.DUMMYFUNCTION("""COMPUTED_VALUE"""),"2019-2023")</f>
        <v>2019-2023</v>
      </c>
      <c r="L169" s="74" t="str">
        <f>IFERROR(__xludf.DUMMYFUNCTION("""COMPUTED_VALUE"""),"S3: Student Internships")</f>
        <v>S3: Student Internships</v>
      </c>
      <c r="M169" s="74" t="str">
        <f>IFERROR(__xludf.DUMMYFUNCTION("""COMPUTED_VALUE"""),"indiradarshini126@gmail.com")</f>
        <v>indiradarshini126@gmail.com</v>
      </c>
      <c r="N169" s="74" t="str">
        <f>IFERROR(__xludf.DUMMYFUNCTION("""COMPUTED_VALUE"""),"SEM-6")</f>
        <v>SEM-6</v>
      </c>
      <c r="O169" s="74"/>
      <c r="P169" s="74"/>
      <c r="Q169" s="74"/>
      <c r="R169" s="74"/>
      <c r="S169" s="74"/>
      <c r="T169" s="74"/>
      <c r="U169" s="74"/>
      <c r="V169" s="74"/>
      <c r="W169" s="74"/>
      <c r="X169" s="74"/>
    </row>
    <row r="170" ht="33.0" customHeight="1">
      <c r="A170" s="74" t="str">
        <f>IFERROR(__xludf.DUMMYFUNCTION("""COMPUTED_VALUE"""),"BUDDHARAJU  SANJANA ")</f>
        <v>BUDDHARAJU  SANJANA </v>
      </c>
      <c r="B170" s="74" t="str">
        <f>IFERROR(__xludf.DUMMYFUNCTION("""COMPUTED_VALUE"""),"19331A0526 ")</f>
        <v>19331A0526 </v>
      </c>
      <c r="C170" s="74" t="str">
        <f>IFERROR(__xludf.DUMMYFUNCTION("""COMPUTED_VALUE"""),"AICTE")</f>
        <v>AICTE</v>
      </c>
      <c r="D170" s="74" t="str">
        <f>IFERROR(__xludf.DUMMYFUNCTION("""COMPUTED_VALUE"""),"3 months")</f>
        <v>3 months</v>
      </c>
      <c r="E170" s="79">
        <f>IFERROR(__xludf.DUMMYFUNCTION("""COMPUTED_VALUE"""),44492.0)</f>
        <v>44492</v>
      </c>
      <c r="F170" s="79">
        <f>IFERROR(__xludf.DUMMYFUNCTION("""COMPUTED_VALUE"""),44548.0)</f>
        <v>44548</v>
      </c>
      <c r="G170" s="74" t="str">
        <f>IFERROR(__xludf.DUMMYFUNCTION("""COMPUTED_VALUE"""),"No")</f>
        <v>No</v>
      </c>
      <c r="H170" s="74" t="str">
        <f>IFERROR(__xludf.DUMMYFUNCTION("""COMPUTED_VALUE"""),"No")</f>
        <v>No</v>
      </c>
      <c r="I170" s="74">
        <f>IFERROR(__xludf.DUMMYFUNCTION("""COMPUTED_VALUE"""),0.0)</f>
        <v>0</v>
      </c>
      <c r="J170" s="80" t="str">
        <f>IFERROR(__xludf.DUMMYFUNCTION("""COMPUTED_VALUE"""),"https://drive.google.com/open?id=1q70iM5ZuSozWqArmkj9LmZgssRwVJcUV")</f>
        <v>https://drive.google.com/open?id=1q70iM5ZuSozWqArmkj9LmZgssRwVJcUV</v>
      </c>
      <c r="K170" s="74" t="str">
        <f>IFERROR(__xludf.DUMMYFUNCTION("""COMPUTED_VALUE"""),"2019-2023")</f>
        <v>2019-2023</v>
      </c>
      <c r="L170" s="74" t="str">
        <f>IFERROR(__xludf.DUMMYFUNCTION("""COMPUTED_VALUE"""),"S3: Student Internships")</f>
        <v>S3: Student Internships</v>
      </c>
      <c r="M170" s="74" t="str">
        <f>IFERROR(__xludf.DUMMYFUNCTION("""COMPUTED_VALUE"""),"sanjanab5j@gmail.com")</f>
        <v>sanjanab5j@gmail.com</v>
      </c>
      <c r="N170" s="74" t="str">
        <f>IFERROR(__xludf.DUMMYFUNCTION("""COMPUTED_VALUE"""),"SEM-6")</f>
        <v>SEM-6</v>
      </c>
      <c r="O170" s="74"/>
      <c r="P170" s="74"/>
      <c r="Q170" s="74"/>
      <c r="R170" s="74"/>
      <c r="S170" s="74"/>
      <c r="T170" s="74"/>
      <c r="U170" s="74"/>
      <c r="V170" s="74"/>
      <c r="W170" s="74"/>
      <c r="X170" s="74"/>
    </row>
    <row r="171" ht="33.0" customHeight="1">
      <c r="A171" s="74" t="str">
        <f>IFERROR(__xludf.DUMMYFUNCTION("""COMPUTED_VALUE"""),"Tammineni Rajasree Indira priyadarshini ")</f>
        <v>Tammineni Rajasree Indira priyadarshini </v>
      </c>
      <c r="B171" s="74" t="str">
        <f>IFERROR(__xludf.DUMMYFUNCTION("""COMPUTED_VALUE"""),"19331A05H0 ")</f>
        <v>19331A05H0 </v>
      </c>
      <c r="C171" s="74" t="str">
        <f>IFERROR(__xludf.DUMMYFUNCTION("""COMPUTED_VALUE"""),"MVGR college of engineering ")</f>
        <v>MVGR college of engineering </v>
      </c>
      <c r="D171" s="74" t="str">
        <f>IFERROR(__xludf.DUMMYFUNCTION("""COMPUTED_VALUE"""),"4 weeks")</f>
        <v>4 weeks</v>
      </c>
      <c r="E171" s="79">
        <f>IFERROR(__xludf.DUMMYFUNCTION("""COMPUTED_VALUE"""),44338.0)</f>
        <v>44338</v>
      </c>
      <c r="F171" s="79">
        <f>IFERROR(__xludf.DUMMYFUNCTION("""COMPUTED_VALUE"""),44367.0)</f>
        <v>44367</v>
      </c>
      <c r="G171" s="74" t="str">
        <f>IFERROR(__xludf.DUMMYFUNCTION("""COMPUTED_VALUE"""),"No")</f>
        <v>No</v>
      </c>
      <c r="H171" s="74" t="str">
        <f>IFERROR(__xludf.DUMMYFUNCTION("""COMPUTED_VALUE"""),"No")</f>
        <v>No</v>
      </c>
      <c r="I171" s="74">
        <f>IFERROR(__xludf.DUMMYFUNCTION("""COMPUTED_VALUE"""),0.0)</f>
        <v>0</v>
      </c>
      <c r="J171" s="80" t="str">
        <f>IFERROR(__xludf.DUMMYFUNCTION("""COMPUTED_VALUE"""),"https://drive.google.com/open?id=1W-GEi_AHJJKbI5qy-Xka1C4tkYjzijrv")</f>
        <v>https://drive.google.com/open?id=1W-GEi_AHJJKbI5qy-Xka1C4tkYjzijrv</v>
      </c>
      <c r="K171" s="74" t="str">
        <f>IFERROR(__xludf.DUMMYFUNCTION("""COMPUTED_VALUE"""),"2019-2023")</f>
        <v>2019-2023</v>
      </c>
      <c r="L171" s="74" t="str">
        <f>IFERROR(__xludf.DUMMYFUNCTION("""COMPUTED_VALUE"""),"S3: Student Internships")</f>
        <v>S3: Student Internships</v>
      </c>
      <c r="M171" s="74" t="str">
        <f>IFERROR(__xludf.DUMMYFUNCTION("""COMPUTED_VALUE"""),"indiradarshini126@gmail.com")</f>
        <v>indiradarshini126@gmail.com</v>
      </c>
      <c r="N171" s="74" t="str">
        <f>IFERROR(__xludf.DUMMYFUNCTION("""COMPUTED_VALUE"""),"SEM-6")</f>
        <v>SEM-6</v>
      </c>
      <c r="O171" s="74"/>
      <c r="P171" s="74"/>
      <c r="Q171" s="74"/>
      <c r="R171" s="74"/>
      <c r="S171" s="74"/>
      <c r="T171" s="74"/>
      <c r="U171" s="74"/>
      <c r="V171" s="74"/>
      <c r="W171" s="74"/>
      <c r="X171" s="74"/>
    </row>
    <row r="172" ht="33.0" customHeight="1">
      <c r="A172" s="74" t="str">
        <f>IFERROR(__xludf.DUMMYFUNCTION("""COMPUTED_VALUE"""),"Kalyampudi Sravani")</f>
        <v>Kalyampudi Sravani</v>
      </c>
      <c r="B172" s="74" t="str">
        <f>IFERROR(__xludf.DUMMYFUNCTION("""COMPUTED_VALUE"""),"20331A0579")</f>
        <v>20331A0579</v>
      </c>
      <c r="C172" s="74" t="str">
        <f>IFERROR(__xludf.DUMMYFUNCTION("""COMPUTED_VALUE"""),"Red Hat")</f>
        <v>Red Hat</v>
      </c>
      <c r="D172" s="74" t="str">
        <f>IFERROR(__xludf.DUMMYFUNCTION("""COMPUTED_VALUE"""),"2 months")</f>
        <v>2 months</v>
      </c>
      <c r="E172" s="79">
        <f>IFERROR(__xludf.DUMMYFUNCTION("""COMPUTED_VALUE"""),44470.0)</f>
        <v>44470</v>
      </c>
      <c r="F172" s="79">
        <f>IFERROR(__xludf.DUMMYFUNCTION("""COMPUTED_VALUE"""),44531.0)</f>
        <v>44531</v>
      </c>
      <c r="G172" s="74" t="str">
        <f>IFERROR(__xludf.DUMMYFUNCTION("""COMPUTED_VALUE"""),"No")</f>
        <v>No</v>
      </c>
      <c r="H172" s="74" t="str">
        <f>IFERROR(__xludf.DUMMYFUNCTION("""COMPUTED_VALUE"""),"No")</f>
        <v>No</v>
      </c>
      <c r="I172" s="74">
        <f>IFERROR(__xludf.DUMMYFUNCTION("""COMPUTED_VALUE"""),0.0)</f>
        <v>0</v>
      </c>
      <c r="J172" s="80" t="str">
        <f>IFERROR(__xludf.DUMMYFUNCTION("""COMPUTED_VALUE"""),"https://drive.google.com/open?id=1w7Nn7fnaelGzhVWNrJIoFAwtxc99uNTN")</f>
        <v>https://drive.google.com/open?id=1w7Nn7fnaelGzhVWNrJIoFAwtxc99uNTN</v>
      </c>
      <c r="K172" s="74" t="str">
        <f>IFERROR(__xludf.DUMMYFUNCTION("""COMPUTED_VALUE"""),"2020-2024")</f>
        <v>2020-2024</v>
      </c>
      <c r="L172" s="74" t="str">
        <f>IFERROR(__xludf.DUMMYFUNCTION("""COMPUTED_VALUE"""),"S3: Student Internships")</f>
        <v>S3: Student Internships</v>
      </c>
      <c r="M172" s="74" t="str">
        <f>IFERROR(__xludf.DUMMYFUNCTION("""COMPUTED_VALUE"""),"sravanikalyampudi@gmail.com")</f>
        <v>sravanikalyampudi@gmail.com</v>
      </c>
      <c r="N172" s="74" t="str">
        <f>IFERROR(__xludf.DUMMYFUNCTION("""COMPUTED_VALUE"""),"SEM-4")</f>
        <v>SEM-4</v>
      </c>
      <c r="O172" s="74"/>
      <c r="P172" s="74"/>
      <c r="Q172" s="74"/>
      <c r="R172" s="74"/>
      <c r="S172" s="74"/>
      <c r="T172" s="74"/>
      <c r="U172" s="74"/>
      <c r="V172" s="74"/>
      <c r="W172" s="74"/>
      <c r="X172" s="74"/>
    </row>
    <row r="173" ht="33.0" customHeight="1">
      <c r="A173" s="81" t="str">
        <f>IFERROR(__xludf.DUMMYFUNCTION("""COMPUTED_VALUE"""),"KANDULA VARSHINI")</f>
        <v>KANDULA VARSHINI</v>
      </c>
      <c r="B173" s="81" t="str">
        <f>IFERROR(__xludf.DUMMYFUNCTION("""COMPUTED_VALUE"""),"19331A0572")</f>
        <v>19331A0572</v>
      </c>
      <c r="C173" s="81" t="str">
        <f>IFERROR(__xludf.DUMMYFUNCTION("""COMPUTED_VALUE"""),"AICTE")</f>
        <v>AICTE</v>
      </c>
      <c r="D173" s="81" t="str">
        <f>IFERROR(__xludf.DUMMYFUNCTION("""COMPUTED_VALUE"""),"10 weeks")</f>
        <v>10 weeks</v>
      </c>
      <c r="E173" s="82">
        <f>IFERROR(__xludf.DUMMYFUNCTION("""COMPUTED_VALUE"""),44492.0)</f>
        <v>44492</v>
      </c>
      <c r="F173" s="82">
        <f>IFERROR(__xludf.DUMMYFUNCTION("""COMPUTED_VALUE"""),44548.0)</f>
        <v>44548</v>
      </c>
      <c r="G173" s="81" t="str">
        <f>IFERROR(__xludf.DUMMYFUNCTION("""COMPUTED_VALUE"""),"No")</f>
        <v>No</v>
      </c>
      <c r="H173" s="81" t="str">
        <f>IFERROR(__xludf.DUMMYFUNCTION("""COMPUTED_VALUE"""),"No")</f>
        <v>No</v>
      </c>
      <c r="I173" s="81">
        <f>IFERROR(__xludf.DUMMYFUNCTION("""COMPUTED_VALUE"""),0.0)</f>
        <v>0</v>
      </c>
      <c r="J173" s="83" t="str">
        <f>IFERROR(__xludf.DUMMYFUNCTION("""COMPUTED_VALUE"""),"https://drive.google.com/open?id=1RiYNFJLyXRcHF4OU9iWJ_kKYyQDAByBf")</f>
        <v>https://drive.google.com/open?id=1RiYNFJLyXRcHF4OU9iWJ_kKYyQDAByBf</v>
      </c>
      <c r="K173" s="81" t="str">
        <f>IFERROR(__xludf.DUMMYFUNCTION("""COMPUTED_VALUE"""),"2019-2023")</f>
        <v>2019-2023</v>
      </c>
      <c r="L173" s="81" t="str">
        <f>IFERROR(__xludf.DUMMYFUNCTION("""COMPUTED_VALUE"""),"S3: Student Internships")</f>
        <v>S3: Student Internships</v>
      </c>
      <c r="M173" s="81" t="str">
        <f>IFERROR(__xludf.DUMMYFUNCTION("""COMPUTED_VALUE"""),"kandhulavarshini@gmail.com")</f>
        <v>kandhulavarshini@gmail.com</v>
      </c>
      <c r="N173" s="81" t="str">
        <f>IFERROR(__xludf.DUMMYFUNCTION("""COMPUTED_VALUE"""),"SEM-6")</f>
        <v>SEM-6</v>
      </c>
      <c r="O173" s="81"/>
      <c r="P173" s="81"/>
      <c r="Q173" s="81"/>
      <c r="R173" s="81"/>
      <c r="S173" s="81"/>
      <c r="T173" s="81"/>
      <c r="U173" s="81"/>
      <c r="V173" s="81"/>
      <c r="W173" s="81"/>
      <c r="X173" s="81"/>
    </row>
    <row r="174" ht="33.0" customHeight="1">
      <c r="A174" s="74" t="str">
        <f>IFERROR(__xludf.DUMMYFUNCTION("""COMPUTED_VALUE"""),"Lekkala Pavani ")</f>
        <v>Lekkala Pavani </v>
      </c>
      <c r="B174" s="74" t="str">
        <f>IFERROR(__xludf.DUMMYFUNCTION("""COMPUTED_VALUE"""),"20331A05A2 ")</f>
        <v>20331A05A2 </v>
      </c>
      <c r="C174" s="74" t="str">
        <f>IFERROR(__xludf.DUMMYFUNCTION("""COMPUTED_VALUE"""),"Red Hat")</f>
        <v>Red Hat</v>
      </c>
      <c r="D174" s="74" t="str">
        <f>IFERROR(__xludf.DUMMYFUNCTION("""COMPUTED_VALUE"""),"2 months")</f>
        <v>2 months</v>
      </c>
      <c r="E174" s="79">
        <f>IFERROR(__xludf.DUMMYFUNCTION("""COMPUTED_VALUE"""),44470.0)</f>
        <v>44470</v>
      </c>
      <c r="F174" s="79">
        <f>IFERROR(__xludf.DUMMYFUNCTION("""COMPUTED_VALUE"""),44531.0)</f>
        <v>44531</v>
      </c>
      <c r="G174" s="74" t="str">
        <f>IFERROR(__xludf.DUMMYFUNCTION("""COMPUTED_VALUE"""),"No")</f>
        <v>No</v>
      </c>
      <c r="H174" s="74" t="str">
        <f>IFERROR(__xludf.DUMMYFUNCTION("""COMPUTED_VALUE"""),"No")</f>
        <v>No</v>
      </c>
      <c r="I174" s="74">
        <f>IFERROR(__xludf.DUMMYFUNCTION("""COMPUTED_VALUE"""),0.0)</f>
        <v>0</v>
      </c>
      <c r="J174" s="80" t="str">
        <f>IFERROR(__xludf.DUMMYFUNCTION("""COMPUTED_VALUE"""),"https://drive.google.com/open?id=1d53Z83IH6uTnP6_e1rTc7B2rYFvzwbgs")</f>
        <v>https://drive.google.com/open?id=1d53Z83IH6uTnP6_e1rTc7B2rYFvzwbgs</v>
      </c>
      <c r="K174" s="74" t="str">
        <f>IFERROR(__xludf.DUMMYFUNCTION("""COMPUTED_VALUE"""),"2020-2024")</f>
        <v>2020-2024</v>
      </c>
      <c r="L174" s="74" t="str">
        <f>IFERROR(__xludf.DUMMYFUNCTION("""COMPUTED_VALUE"""),"S3: Student Internships")</f>
        <v>S3: Student Internships</v>
      </c>
      <c r="M174" s="74" t="str">
        <f>IFERROR(__xludf.DUMMYFUNCTION("""COMPUTED_VALUE"""),"pavani.leela15@gmail.com")</f>
        <v>pavani.leela15@gmail.com</v>
      </c>
      <c r="N174" s="74" t="str">
        <f>IFERROR(__xludf.DUMMYFUNCTION("""COMPUTED_VALUE"""),"SEM-4")</f>
        <v>SEM-4</v>
      </c>
      <c r="O174" s="74"/>
      <c r="P174" s="74"/>
      <c r="Q174" s="74"/>
      <c r="R174" s="74"/>
      <c r="S174" s="74"/>
      <c r="T174" s="74"/>
      <c r="U174" s="74"/>
      <c r="V174" s="74"/>
      <c r="W174" s="74"/>
      <c r="X174" s="74"/>
    </row>
    <row r="175" ht="33.0" customHeight="1">
      <c r="A175" s="74" t="str">
        <f>IFERROR(__xludf.DUMMYFUNCTION("""COMPUTED_VALUE"""),"Jaswanth Vajrapu")</f>
        <v>Jaswanth Vajrapu</v>
      </c>
      <c r="B175" s="74" t="str">
        <f>IFERROR(__xludf.DUMMYFUNCTION("""COMPUTED_VALUE"""),"18331A05G5")</f>
        <v>18331A05G5</v>
      </c>
      <c r="C175" s="74" t="str">
        <f>IFERROR(__xludf.DUMMYFUNCTION("""COMPUTED_VALUE"""),"Virtusa")</f>
        <v>Virtusa</v>
      </c>
      <c r="D175" s="74" t="str">
        <f>IFERROR(__xludf.DUMMYFUNCTION("""COMPUTED_VALUE"""),"3 Months")</f>
        <v>3 Months</v>
      </c>
      <c r="E175" s="79">
        <f>IFERROR(__xludf.DUMMYFUNCTION("""COMPUTED_VALUE"""),44547.0)</f>
        <v>44547</v>
      </c>
      <c r="F175" s="79">
        <f>IFERROR(__xludf.DUMMYFUNCTION("""COMPUTED_VALUE"""),44651.0)</f>
        <v>44651</v>
      </c>
      <c r="G175" s="74" t="str">
        <f>IFERROR(__xludf.DUMMYFUNCTION("""COMPUTED_VALUE"""),"Yes")</f>
        <v>Yes</v>
      </c>
      <c r="H175" s="74" t="str">
        <f>IFERROR(__xludf.DUMMYFUNCTION("""COMPUTED_VALUE"""),"No")</f>
        <v>No</v>
      </c>
      <c r="I175" s="74">
        <f>IFERROR(__xludf.DUMMYFUNCTION("""COMPUTED_VALUE"""),5000.0)</f>
        <v>5000</v>
      </c>
      <c r="J175" s="80" t="str">
        <f>IFERROR(__xludf.DUMMYFUNCTION("""COMPUTED_VALUE"""),"https://drive.google.com/open?id=1f94s200c2aJ8-D01M1jsKM_f5UVJQI4P")</f>
        <v>https://drive.google.com/open?id=1f94s200c2aJ8-D01M1jsKM_f5UVJQI4P</v>
      </c>
      <c r="K175" s="74" t="str">
        <f>IFERROR(__xludf.DUMMYFUNCTION("""COMPUTED_VALUE"""),"2018-2022")</f>
        <v>2018-2022</v>
      </c>
      <c r="L175" s="74" t="str">
        <f>IFERROR(__xludf.DUMMYFUNCTION("""COMPUTED_VALUE"""),"S3: Student Internships")</f>
        <v>S3: Student Internships</v>
      </c>
      <c r="M175" s="74" t="str">
        <f>IFERROR(__xludf.DUMMYFUNCTION("""COMPUTED_VALUE"""),"jaswanth.vjp13@gmail.com")</f>
        <v>jaswanth.vjp13@gmail.com</v>
      </c>
      <c r="N175" s="74" t="str">
        <f>IFERROR(__xludf.DUMMYFUNCTION("""COMPUTED_VALUE"""),"SEM-7")</f>
        <v>SEM-7</v>
      </c>
      <c r="O175" s="74"/>
      <c r="P175" s="74"/>
      <c r="Q175" s="74"/>
      <c r="R175" s="74"/>
      <c r="S175" s="74"/>
      <c r="T175" s="74"/>
      <c r="U175" s="74"/>
      <c r="V175" s="74"/>
      <c r="W175" s="74"/>
      <c r="X175" s="74"/>
    </row>
    <row r="176" ht="33.0" customHeight="1">
      <c r="A176" s="74" t="str">
        <f>IFERROR(__xludf.DUMMYFUNCTION("""COMPUTED_VALUE"""),"Harshit Dhanuka")</f>
        <v>Harshit Dhanuka</v>
      </c>
      <c r="B176" s="74" t="str">
        <f>IFERROR(__xludf.DUMMYFUNCTION("""COMPUTED_VALUE"""),"20331A0571")</f>
        <v>20331A0571</v>
      </c>
      <c r="C176" s="74" t="str">
        <f>IFERROR(__xludf.DUMMYFUNCTION("""COMPUTED_VALUE"""),"Red Hat Enterprise")</f>
        <v>Red Hat Enterprise</v>
      </c>
      <c r="D176" s="74" t="str">
        <f>IFERROR(__xludf.DUMMYFUNCTION("""COMPUTED_VALUE"""),"10 weeks")</f>
        <v>10 weeks</v>
      </c>
      <c r="E176" s="79">
        <f>IFERROR(__xludf.DUMMYFUNCTION("""COMPUTED_VALUE"""),44483.0)</f>
        <v>44483</v>
      </c>
      <c r="F176" s="79">
        <f>IFERROR(__xludf.DUMMYFUNCTION("""COMPUTED_VALUE"""),44561.0)</f>
        <v>44561</v>
      </c>
      <c r="G176" s="74" t="str">
        <f>IFERROR(__xludf.DUMMYFUNCTION("""COMPUTED_VALUE"""),"No")</f>
        <v>No</v>
      </c>
      <c r="H176" s="74" t="str">
        <f>IFERROR(__xludf.DUMMYFUNCTION("""COMPUTED_VALUE"""),"No")</f>
        <v>No</v>
      </c>
      <c r="I176" s="74">
        <f>IFERROR(__xludf.DUMMYFUNCTION("""COMPUTED_VALUE"""),0.0)</f>
        <v>0</v>
      </c>
      <c r="J176" s="80" t="str">
        <f>IFERROR(__xludf.DUMMYFUNCTION("""COMPUTED_VALUE"""),"https://drive.google.com/open?id=1KKGtaq5GZLret3IA_PBGmysy9nnWrfqb")</f>
        <v>https://drive.google.com/open?id=1KKGtaq5GZLret3IA_PBGmysy9nnWrfqb</v>
      </c>
      <c r="K176" s="74" t="str">
        <f>IFERROR(__xludf.DUMMYFUNCTION("""COMPUTED_VALUE"""),"2020-2024")</f>
        <v>2020-2024</v>
      </c>
      <c r="L176" s="74" t="str">
        <f>IFERROR(__xludf.DUMMYFUNCTION("""COMPUTED_VALUE"""),"S3: Student Internships")</f>
        <v>S3: Student Internships</v>
      </c>
      <c r="M176" s="74" t="str">
        <f>IFERROR(__xludf.DUMMYFUNCTION("""COMPUTED_VALUE"""),"harshitdhanuka92@gmail.com")</f>
        <v>harshitdhanuka92@gmail.com</v>
      </c>
      <c r="N176" s="74" t="str">
        <f>IFERROR(__xludf.DUMMYFUNCTION("""COMPUTED_VALUE"""),"SEM-4")</f>
        <v>SEM-4</v>
      </c>
      <c r="O176" s="74"/>
      <c r="P176" s="74"/>
      <c r="Q176" s="74"/>
      <c r="R176" s="74"/>
      <c r="S176" s="74"/>
      <c r="T176" s="74"/>
      <c r="U176" s="74"/>
      <c r="V176" s="74"/>
      <c r="W176" s="74"/>
      <c r="X176" s="74"/>
    </row>
    <row r="177" ht="33.0" customHeight="1">
      <c r="A177" s="81" t="str">
        <f>IFERROR(__xludf.DUMMYFUNCTION("""COMPUTED_VALUE"""),"KARRI SUBBARAO VINEETH")</f>
        <v>KARRI SUBBARAO VINEETH</v>
      </c>
      <c r="B177" s="81" t="str">
        <f>IFERROR(__xludf.DUMMYFUNCTION("""COMPUTED_VALUE"""),"19331A0575")</f>
        <v>19331A0575</v>
      </c>
      <c r="C177" s="81" t="str">
        <f>IFERROR(__xludf.DUMMYFUNCTION("""COMPUTED_VALUE"""),"Robotic process automation virtual internship")</f>
        <v>Robotic process automation virtual internship</v>
      </c>
      <c r="D177" s="81" t="str">
        <f>IFERROR(__xludf.DUMMYFUNCTION("""COMPUTED_VALUE"""),"2 months")</f>
        <v>2 months</v>
      </c>
      <c r="E177" s="82">
        <f>IFERROR(__xludf.DUMMYFUNCTION("""COMPUTED_VALUE"""),44470.0)</f>
        <v>44470</v>
      </c>
      <c r="F177" s="82">
        <f>IFERROR(__xludf.DUMMYFUNCTION("""COMPUTED_VALUE"""),44539.0)</f>
        <v>44539</v>
      </c>
      <c r="G177" s="81" t="str">
        <f>IFERROR(__xludf.DUMMYFUNCTION("""COMPUTED_VALUE"""),"No")</f>
        <v>No</v>
      </c>
      <c r="H177" s="81" t="str">
        <f>IFERROR(__xludf.DUMMYFUNCTION("""COMPUTED_VALUE"""),"No")</f>
        <v>No</v>
      </c>
      <c r="I177" s="81">
        <f>IFERROR(__xludf.DUMMYFUNCTION("""COMPUTED_VALUE"""),0.0)</f>
        <v>0</v>
      </c>
      <c r="J177" s="83" t="str">
        <f>IFERROR(__xludf.DUMMYFUNCTION("""COMPUTED_VALUE"""),"https://drive.google.com/open?id=1X5-dMidjBHdOyo90FwgFkdU_7hTrD6iR")</f>
        <v>https://drive.google.com/open?id=1X5-dMidjBHdOyo90FwgFkdU_7hTrD6iR</v>
      </c>
      <c r="K177" s="81" t="str">
        <f>IFERROR(__xludf.DUMMYFUNCTION("""COMPUTED_VALUE"""),"2019-2023")</f>
        <v>2019-2023</v>
      </c>
      <c r="L177" s="81" t="str">
        <f>IFERROR(__xludf.DUMMYFUNCTION("""COMPUTED_VALUE"""),"S3: Student Internships")</f>
        <v>S3: Student Internships</v>
      </c>
      <c r="M177" s="81" t="str">
        <f>IFERROR(__xludf.DUMMYFUNCTION("""COMPUTED_VALUE"""),"karri.vineeth24@gmail.com")</f>
        <v>karri.vineeth24@gmail.com</v>
      </c>
      <c r="N177" s="81" t="str">
        <f>IFERROR(__xludf.DUMMYFUNCTION("""COMPUTED_VALUE"""),"SEM-6")</f>
        <v>SEM-6</v>
      </c>
      <c r="O177" s="81"/>
      <c r="P177" s="81"/>
      <c r="Q177" s="81"/>
      <c r="R177" s="81"/>
      <c r="S177" s="81"/>
      <c r="T177" s="81"/>
      <c r="U177" s="81"/>
      <c r="V177" s="81"/>
      <c r="W177" s="81"/>
      <c r="X177" s="81"/>
    </row>
    <row r="178" ht="33.0" customHeight="1">
      <c r="A178" s="74" t="str">
        <f>IFERROR(__xludf.DUMMYFUNCTION("""COMPUTED_VALUE"""),"NAIK SAMPATH SRINATH")</f>
        <v>NAIK SAMPATH SRINATH</v>
      </c>
      <c r="B178" s="74" t="str">
        <f>IFERROR(__xludf.DUMMYFUNCTION("""COMPUTED_VALUE"""),"19331A05B5")</f>
        <v>19331A05B5</v>
      </c>
      <c r="C178" s="74" t="str">
        <f>IFERROR(__xludf.DUMMYFUNCTION("""COMPUTED_VALUE"""),"ROBOTIC PROCESS AUTOMATION VIRTUAL INTERNSHIP")</f>
        <v>ROBOTIC PROCESS AUTOMATION VIRTUAL INTERNSHIP</v>
      </c>
      <c r="D178" s="74" t="str">
        <f>IFERROR(__xludf.DUMMYFUNCTION("""COMPUTED_VALUE"""),"2 months")</f>
        <v>2 months</v>
      </c>
      <c r="E178" s="79">
        <f>IFERROR(__xludf.DUMMYFUNCTION("""COMPUTED_VALUE"""),44470.0)</f>
        <v>44470</v>
      </c>
      <c r="F178" s="79">
        <f>IFERROR(__xludf.DUMMYFUNCTION("""COMPUTED_VALUE"""),44539.0)</f>
        <v>44539</v>
      </c>
      <c r="G178" s="74" t="str">
        <f>IFERROR(__xludf.DUMMYFUNCTION("""COMPUTED_VALUE"""),"No")</f>
        <v>No</v>
      </c>
      <c r="H178" s="74" t="str">
        <f>IFERROR(__xludf.DUMMYFUNCTION("""COMPUTED_VALUE"""),"No")</f>
        <v>No</v>
      </c>
      <c r="I178" s="74">
        <f>IFERROR(__xludf.DUMMYFUNCTION("""COMPUTED_VALUE"""),0.0)</f>
        <v>0</v>
      </c>
      <c r="J178" s="80" t="str">
        <f>IFERROR(__xludf.DUMMYFUNCTION("""COMPUTED_VALUE"""),"https://drive.google.com/open?id=191m4Py2VmJsLXOuKESJH2Y4SC417zdZa")</f>
        <v>https://drive.google.com/open?id=191m4Py2VmJsLXOuKESJH2Y4SC417zdZa</v>
      </c>
      <c r="K178" s="74" t="str">
        <f>IFERROR(__xludf.DUMMYFUNCTION("""COMPUTED_VALUE"""),"2019-2023")</f>
        <v>2019-2023</v>
      </c>
      <c r="L178" s="74" t="str">
        <f>IFERROR(__xludf.DUMMYFUNCTION("""COMPUTED_VALUE"""),"S3: Student Internships")</f>
        <v>S3: Student Internships</v>
      </c>
      <c r="M178" s="74" t="str">
        <f>IFERROR(__xludf.DUMMYFUNCTION("""COMPUTED_VALUE"""),"dubla1503@gmail.com")</f>
        <v>dubla1503@gmail.com</v>
      </c>
      <c r="N178" s="74" t="str">
        <f>IFERROR(__xludf.DUMMYFUNCTION("""COMPUTED_VALUE"""),"SEM-6")</f>
        <v>SEM-6</v>
      </c>
      <c r="O178" s="74"/>
      <c r="P178" s="74"/>
      <c r="Q178" s="74"/>
      <c r="R178" s="74"/>
      <c r="S178" s="74"/>
      <c r="T178" s="74"/>
      <c r="U178" s="74"/>
      <c r="V178" s="74"/>
      <c r="W178" s="74"/>
      <c r="X178" s="74"/>
    </row>
    <row r="179" ht="33.0" customHeight="1">
      <c r="A179" s="74" t="str">
        <f>IFERROR(__xludf.DUMMYFUNCTION("""COMPUTED_VALUE"""),"Gorsa Uma Mahesh")</f>
        <v>Gorsa Uma Mahesh</v>
      </c>
      <c r="B179" s="74" t="str">
        <f>IFERROR(__xludf.DUMMYFUNCTION("""COMPUTED_VALUE"""),"18331A0550")</f>
        <v>18331A0550</v>
      </c>
      <c r="C179" s="74" t="str">
        <f>IFERROR(__xludf.DUMMYFUNCTION("""COMPUTED_VALUE"""),"Capgemini")</f>
        <v>Capgemini</v>
      </c>
      <c r="D179" s="74" t="str">
        <f>IFERROR(__xludf.DUMMYFUNCTION("""COMPUTED_VALUE"""),"3 Months")</f>
        <v>3 Months</v>
      </c>
      <c r="E179" s="79">
        <f>IFERROR(__xludf.DUMMYFUNCTION("""COMPUTED_VALUE"""),44622.0)</f>
        <v>44622</v>
      </c>
      <c r="F179" s="79">
        <f>IFERROR(__xludf.DUMMYFUNCTION("""COMPUTED_VALUE"""),44708.0)</f>
        <v>44708</v>
      </c>
      <c r="G179" s="74" t="str">
        <f>IFERROR(__xludf.DUMMYFUNCTION("""COMPUTED_VALUE"""),"No")</f>
        <v>No</v>
      </c>
      <c r="H179" s="74" t="str">
        <f>IFERROR(__xludf.DUMMYFUNCTION("""COMPUTED_VALUE"""),"No")</f>
        <v>No</v>
      </c>
      <c r="I179" s="74">
        <f>IFERROR(__xludf.DUMMYFUNCTION("""COMPUTED_VALUE"""),0.0)</f>
        <v>0</v>
      </c>
      <c r="J179" s="80" t="str">
        <f>IFERROR(__xludf.DUMMYFUNCTION("""COMPUTED_VALUE"""),"https://drive.google.com/open?id=1dum9P0ybRNMtzfRuAqmPvSgnf5YbCylF")</f>
        <v>https://drive.google.com/open?id=1dum9P0ybRNMtzfRuAqmPvSgnf5YbCylF</v>
      </c>
      <c r="K179" s="74" t="str">
        <f>IFERROR(__xludf.DUMMYFUNCTION("""COMPUTED_VALUE"""),"2018-2022")</f>
        <v>2018-2022</v>
      </c>
      <c r="L179" s="74" t="str">
        <f>IFERROR(__xludf.DUMMYFUNCTION("""COMPUTED_VALUE"""),"S3: Student Internships")</f>
        <v>S3: Student Internships</v>
      </c>
      <c r="M179" s="74" t="str">
        <f>IFERROR(__xludf.DUMMYFUNCTION("""COMPUTED_VALUE"""),"gorsaumamahesh@gmail.com")</f>
        <v>gorsaumamahesh@gmail.com</v>
      </c>
      <c r="N179" s="74" t="str">
        <f>IFERROR(__xludf.DUMMYFUNCTION("""COMPUTED_VALUE"""),"SEM-8")</f>
        <v>SEM-8</v>
      </c>
      <c r="O179" s="74"/>
      <c r="P179" s="74"/>
      <c r="Q179" s="74"/>
      <c r="R179" s="74"/>
      <c r="S179" s="74"/>
      <c r="T179" s="74"/>
      <c r="U179" s="74"/>
      <c r="V179" s="74"/>
      <c r="W179" s="74"/>
      <c r="X179" s="74"/>
    </row>
    <row r="180" ht="33.0" customHeight="1">
      <c r="A180" s="74" t="str">
        <f>IFERROR(__xludf.DUMMYFUNCTION("""COMPUTED_VALUE"""),"Mohammed Salman")</f>
        <v>Mohammed Salman</v>
      </c>
      <c r="B180" s="74" t="str">
        <f>IFERROR(__xludf.DUMMYFUNCTION("""COMPUTED_VALUE"""),"19331A05A8")</f>
        <v>19331A05A8</v>
      </c>
      <c r="C180" s="74" t="str">
        <f>IFERROR(__xludf.DUMMYFUNCTION("""COMPUTED_VALUE"""),"AICTE")</f>
        <v>AICTE</v>
      </c>
      <c r="D180" s="74" t="str">
        <f>IFERROR(__xludf.DUMMYFUNCTION("""COMPUTED_VALUE"""),"2 months")</f>
        <v>2 months</v>
      </c>
      <c r="E180" s="79">
        <f>IFERROR(__xludf.DUMMYFUNCTION("""COMPUTED_VALUE"""),44470.0)</f>
        <v>44470</v>
      </c>
      <c r="F180" s="79">
        <f>IFERROR(__xludf.DUMMYFUNCTION("""COMPUTED_VALUE"""),44561.0)</f>
        <v>44561</v>
      </c>
      <c r="G180" s="74" t="str">
        <f>IFERROR(__xludf.DUMMYFUNCTION("""COMPUTED_VALUE"""),"No")</f>
        <v>No</v>
      </c>
      <c r="H180" s="74" t="str">
        <f>IFERROR(__xludf.DUMMYFUNCTION("""COMPUTED_VALUE"""),"No")</f>
        <v>No</v>
      </c>
      <c r="I180" s="74">
        <f>IFERROR(__xludf.DUMMYFUNCTION("""COMPUTED_VALUE"""),0.0)</f>
        <v>0</v>
      </c>
      <c r="J180" s="80" t="str">
        <f>IFERROR(__xludf.DUMMYFUNCTION("""COMPUTED_VALUE"""),"https://drive.google.com/open?id=1zGU_nScoebuJRKY58U95WF0gjYoSO5rU")</f>
        <v>https://drive.google.com/open?id=1zGU_nScoebuJRKY58U95WF0gjYoSO5rU</v>
      </c>
      <c r="K180" s="74" t="str">
        <f>IFERROR(__xludf.DUMMYFUNCTION("""COMPUTED_VALUE"""),"2019-2023")</f>
        <v>2019-2023</v>
      </c>
      <c r="L180" s="74" t="str">
        <f>IFERROR(__xludf.DUMMYFUNCTION("""COMPUTED_VALUE"""),"S3: Student Internships")</f>
        <v>S3: Student Internships</v>
      </c>
      <c r="M180" s="74" t="str">
        <f>IFERROR(__xludf.DUMMYFUNCTION("""COMPUTED_VALUE"""),"wolverinemds7@gmail.com")</f>
        <v>wolverinemds7@gmail.com</v>
      </c>
      <c r="N180" s="74" t="str">
        <f>IFERROR(__xludf.DUMMYFUNCTION("""COMPUTED_VALUE"""),"SEM-5")</f>
        <v>SEM-5</v>
      </c>
      <c r="O180" s="74"/>
      <c r="P180" s="74"/>
      <c r="Q180" s="74"/>
      <c r="R180" s="74"/>
      <c r="S180" s="74"/>
      <c r="T180" s="74"/>
      <c r="U180" s="74"/>
      <c r="V180" s="74"/>
      <c r="W180" s="74"/>
      <c r="X180" s="74"/>
    </row>
    <row r="181" ht="33.0" customHeight="1">
      <c r="A181" s="74" t="str">
        <f>IFERROR(__xludf.DUMMYFUNCTION("""COMPUTED_VALUE"""),"Mandhapati Jagannadha Rohit Varma")</f>
        <v>Mandhapati Jagannadha Rohit Varma</v>
      </c>
      <c r="B181" s="74" t="str">
        <f>IFERROR(__xludf.DUMMYFUNCTION("""COMPUTED_VALUE"""),"19331A05A3")</f>
        <v>19331A05A3</v>
      </c>
      <c r="C181" s="74" t="str">
        <f>IFERROR(__xludf.DUMMYFUNCTION("""COMPUTED_VALUE"""),"AICTE")</f>
        <v>AICTE</v>
      </c>
      <c r="D181" s="74" t="str">
        <f>IFERROR(__xludf.DUMMYFUNCTION("""COMPUTED_VALUE"""),"2 months")</f>
        <v>2 months</v>
      </c>
      <c r="E181" s="79">
        <f>IFERROR(__xludf.DUMMYFUNCTION("""COMPUTED_VALUE"""),44470.0)</f>
        <v>44470</v>
      </c>
      <c r="F181" s="79">
        <f>IFERROR(__xludf.DUMMYFUNCTION("""COMPUTED_VALUE"""),44550.0)</f>
        <v>44550</v>
      </c>
      <c r="G181" s="74" t="str">
        <f>IFERROR(__xludf.DUMMYFUNCTION("""COMPUTED_VALUE"""),"No")</f>
        <v>No</v>
      </c>
      <c r="H181" s="74" t="str">
        <f>IFERROR(__xludf.DUMMYFUNCTION("""COMPUTED_VALUE"""),"No")</f>
        <v>No</v>
      </c>
      <c r="I181" s="74">
        <f>IFERROR(__xludf.DUMMYFUNCTION("""COMPUTED_VALUE"""),0.0)</f>
        <v>0</v>
      </c>
      <c r="J181" s="80" t="str">
        <f>IFERROR(__xludf.DUMMYFUNCTION("""COMPUTED_VALUE"""),"https://drive.google.com/open?id=1RitpCA1NL59Cr98CXpUkHL0g0_OdEVqI")</f>
        <v>https://drive.google.com/open?id=1RitpCA1NL59Cr98CXpUkHL0g0_OdEVqI</v>
      </c>
      <c r="K181" s="74" t="str">
        <f>IFERROR(__xludf.DUMMYFUNCTION("""COMPUTED_VALUE"""),"2019-2023")</f>
        <v>2019-2023</v>
      </c>
      <c r="L181" s="74" t="str">
        <f>IFERROR(__xludf.DUMMYFUNCTION("""COMPUTED_VALUE"""),"S3: Student Internships")</f>
        <v>S3: Student Internships</v>
      </c>
      <c r="M181" s="74" t="str">
        <f>IFERROR(__xludf.DUMMYFUNCTION("""COMPUTED_VALUE"""),"rohitvarmaanrk@gmail.com")</f>
        <v>rohitvarmaanrk@gmail.com</v>
      </c>
      <c r="N181" s="74" t="str">
        <f>IFERROR(__xludf.DUMMYFUNCTION("""COMPUTED_VALUE"""),"SEM-6")</f>
        <v>SEM-6</v>
      </c>
      <c r="O181" s="74"/>
      <c r="P181" s="74"/>
      <c r="Q181" s="74"/>
      <c r="R181" s="74"/>
      <c r="S181" s="74"/>
      <c r="T181" s="74"/>
      <c r="U181" s="74"/>
      <c r="V181" s="74"/>
      <c r="W181" s="74"/>
      <c r="X181" s="74"/>
    </row>
    <row r="182" ht="33.0" customHeight="1">
      <c r="A182" s="74" t="str">
        <f>IFERROR(__xludf.DUMMYFUNCTION("""COMPUTED_VALUE"""),"Manchukonda Gopala krishna ")</f>
        <v>Manchukonda Gopala krishna </v>
      </c>
      <c r="B182" s="74" t="str">
        <f>IFERROR(__xludf.DUMMYFUNCTION("""COMPUTED_VALUE"""),"19331A05A2")</f>
        <v>19331A05A2</v>
      </c>
      <c r="C182" s="74" t="str">
        <f>IFERROR(__xludf.DUMMYFUNCTION("""COMPUTED_VALUE"""),"AICTE")</f>
        <v>AICTE</v>
      </c>
      <c r="D182" s="74" t="str">
        <f>IFERROR(__xludf.DUMMYFUNCTION("""COMPUTED_VALUE"""),"2 months ")</f>
        <v>2 months </v>
      </c>
      <c r="E182" s="79">
        <f>IFERROR(__xludf.DUMMYFUNCTION("""COMPUTED_VALUE"""),44470.0)</f>
        <v>44470</v>
      </c>
      <c r="F182" s="79">
        <f>IFERROR(__xludf.DUMMYFUNCTION("""COMPUTED_VALUE"""),44561.0)</f>
        <v>44561</v>
      </c>
      <c r="G182" s="74" t="str">
        <f>IFERROR(__xludf.DUMMYFUNCTION("""COMPUTED_VALUE"""),"No")</f>
        <v>No</v>
      </c>
      <c r="H182" s="74" t="str">
        <f>IFERROR(__xludf.DUMMYFUNCTION("""COMPUTED_VALUE"""),"No")</f>
        <v>No</v>
      </c>
      <c r="I182" s="74">
        <f>IFERROR(__xludf.DUMMYFUNCTION("""COMPUTED_VALUE"""),0.0)</f>
        <v>0</v>
      </c>
      <c r="J182" s="80" t="str">
        <f>IFERROR(__xludf.DUMMYFUNCTION("""COMPUTED_VALUE"""),"https://drive.google.com/open?id=1yyjxs7slZUtmGPGTAvILaie_xjyJu5v0")</f>
        <v>https://drive.google.com/open?id=1yyjxs7slZUtmGPGTAvILaie_xjyJu5v0</v>
      </c>
      <c r="K182" s="74" t="str">
        <f>IFERROR(__xludf.DUMMYFUNCTION("""COMPUTED_VALUE"""),"2019-2023")</f>
        <v>2019-2023</v>
      </c>
      <c r="L182" s="74" t="str">
        <f>IFERROR(__xludf.DUMMYFUNCTION("""COMPUTED_VALUE"""),"S3: Student Internships")</f>
        <v>S3: Student Internships</v>
      </c>
      <c r="M182" s="74" t="str">
        <f>IFERROR(__xludf.DUMMYFUNCTION("""COMPUTED_VALUE"""),"gkrishna6932@gmail.com")</f>
        <v>gkrishna6932@gmail.com</v>
      </c>
      <c r="N182" s="74" t="str">
        <f>IFERROR(__xludf.DUMMYFUNCTION("""COMPUTED_VALUE"""),"SEM-6")</f>
        <v>SEM-6</v>
      </c>
      <c r="O182" s="74"/>
      <c r="P182" s="74"/>
      <c r="Q182" s="74"/>
      <c r="R182" s="74"/>
      <c r="S182" s="74"/>
      <c r="T182" s="74"/>
      <c r="U182" s="74"/>
      <c r="V182" s="74"/>
      <c r="W182" s="74"/>
      <c r="X182" s="74"/>
    </row>
    <row r="183" ht="33.0" customHeight="1">
      <c r="A183" s="74" t="str">
        <f>IFERROR(__xludf.DUMMYFUNCTION("""COMPUTED_VALUE"""),"KANTUBHUKTA HEMANTH")</f>
        <v>KANTUBHUKTA HEMANTH</v>
      </c>
      <c r="B183" s="74" t="str">
        <f>IFERROR(__xludf.DUMMYFUNCTION("""COMPUTED_VALUE"""),"19331A0573")</f>
        <v>19331A0573</v>
      </c>
      <c r="C183" s="74" t="str">
        <f>IFERROR(__xludf.DUMMYFUNCTION("""COMPUTED_VALUE"""),"AICTE")</f>
        <v>AICTE</v>
      </c>
      <c r="D183" s="74" t="str">
        <f>IFERROR(__xludf.DUMMYFUNCTION("""COMPUTED_VALUE"""),"10 Weeks")</f>
        <v>10 Weeks</v>
      </c>
      <c r="E183" s="79">
        <f>IFERROR(__xludf.DUMMYFUNCTION("""COMPUTED_VALUE"""),44470.0)</f>
        <v>44470</v>
      </c>
      <c r="F183" s="79">
        <f>IFERROR(__xludf.DUMMYFUNCTION("""COMPUTED_VALUE"""),44561.0)</f>
        <v>44561</v>
      </c>
      <c r="G183" s="74" t="str">
        <f>IFERROR(__xludf.DUMMYFUNCTION("""COMPUTED_VALUE"""),"No")</f>
        <v>No</v>
      </c>
      <c r="H183" s="74" t="str">
        <f>IFERROR(__xludf.DUMMYFUNCTION("""COMPUTED_VALUE"""),"No")</f>
        <v>No</v>
      </c>
      <c r="I183" s="74">
        <f>IFERROR(__xludf.DUMMYFUNCTION("""COMPUTED_VALUE"""),0.0)</f>
        <v>0</v>
      </c>
      <c r="J183" s="80" t="str">
        <f>IFERROR(__xludf.DUMMYFUNCTION("""COMPUTED_VALUE"""),"https://drive.google.com/open?id=17iKZtZHoNF9lo8JjU7KDmXE4178ozFA8")</f>
        <v>https://drive.google.com/open?id=17iKZtZHoNF9lo8JjU7KDmXE4178ozFA8</v>
      </c>
      <c r="K183" s="74" t="str">
        <f>IFERROR(__xludf.DUMMYFUNCTION("""COMPUTED_VALUE"""),"2019-2023")</f>
        <v>2019-2023</v>
      </c>
      <c r="L183" s="74" t="str">
        <f>IFERROR(__xludf.DUMMYFUNCTION("""COMPUTED_VALUE"""),"S3: Student Internships")</f>
        <v>S3: Student Internships</v>
      </c>
      <c r="M183" s="74" t="str">
        <f>IFERROR(__xludf.DUMMYFUNCTION("""COMPUTED_VALUE"""),"hemanthkantubhukta2232@gmail.com")</f>
        <v>hemanthkantubhukta2232@gmail.com</v>
      </c>
      <c r="N183" s="74" t="str">
        <f>IFERROR(__xludf.DUMMYFUNCTION("""COMPUTED_VALUE"""),"SEM-6")</f>
        <v>SEM-6</v>
      </c>
      <c r="O183" s="74"/>
      <c r="P183" s="74"/>
      <c r="Q183" s="74"/>
      <c r="R183" s="74"/>
      <c r="S183" s="74"/>
      <c r="T183" s="74"/>
      <c r="U183" s="74"/>
      <c r="V183" s="74"/>
      <c r="W183" s="74"/>
      <c r="X183" s="74"/>
    </row>
    <row r="184" ht="33.0" customHeight="1">
      <c r="A184" s="74" t="str">
        <f>IFERROR(__xludf.DUMMYFUNCTION("""COMPUTED_VALUE"""),"TARAKESWARA THATU NAIDU MADDALA ")</f>
        <v>TARAKESWARA THATU NAIDU MADDALA </v>
      </c>
      <c r="B184" s="74" t="str">
        <f>IFERROR(__xludf.DUMMYFUNCTION("""COMPUTED_VALUE"""),"19331A0597")</f>
        <v>19331A0597</v>
      </c>
      <c r="C184" s="74" t="str">
        <f>IFERROR(__xludf.DUMMYFUNCTION("""COMPUTED_VALUE"""),"AICTE")</f>
        <v>AICTE</v>
      </c>
      <c r="D184" s="74" t="str">
        <f>IFERROR(__xludf.DUMMYFUNCTION("""COMPUTED_VALUE"""),"2 months")</f>
        <v>2 months</v>
      </c>
      <c r="E184" s="79">
        <f>IFERROR(__xludf.DUMMYFUNCTION("""COMPUTED_VALUE"""),44470.0)</f>
        <v>44470</v>
      </c>
      <c r="F184" s="79">
        <f>IFERROR(__xludf.DUMMYFUNCTION("""COMPUTED_VALUE"""),44550.0)</f>
        <v>44550</v>
      </c>
      <c r="G184" s="74" t="str">
        <f>IFERROR(__xludf.DUMMYFUNCTION("""COMPUTED_VALUE"""),"No")</f>
        <v>No</v>
      </c>
      <c r="H184" s="74" t="str">
        <f>IFERROR(__xludf.DUMMYFUNCTION("""COMPUTED_VALUE"""),"No")</f>
        <v>No</v>
      </c>
      <c r="I184" s="74">
        <f>IFERROR(__xludf.DUMMYFUNCTION("""COMPUTED_VALUE"""),0.0)</f>
        <v>0</v>
      </c>
      <c r="J184" s="80" t="str">
        <f>IFERROR(__xludf.DUMMYFUNCTION("""COMPUTED_VALUE"""),"https://drive.google.com/open?id=1TPECwCKNhGQy2a6nSAQeDdhd6N0lrh9U")</f>
        <v>https://drive.google.com/open?id=1TPECwCKNhGQy2a6nSAQeDdhd6N0lrh9U</v>
      </c>
      <c r="K184" s="74" t="str">
        <f>IFERROR(__xludf.DUMMYFUNCTION("""COMPUTED_VALUE"""),"2019-2023")</f>
        <v>2019-2023</v>
      </c>
      <c r="L184" s="74" t="str">
        <f>IFERROR(__xludf.DUMMYFUNCTION("""COMPUTED_VALUE"""),"S3: Student Internships")</f>
        <v>S3: Student Internships</v>
      </c>
      <c r="M184" s="74" t="str">
        <f>IFERROR(__xludf.DUMMYFUNCTION("""COMPUTED_VALUE"""),"maddalatharakesh@gmail.com")</f>
        <v>maddalatharakesh@gmail.com</v>
      </c>
      <c r="N184" s="74" t="str">
        <f>IFERROR(__xludf.DUMMYFUNCTION("""COMPUTED_VALUE"""),"SEM-6")</f>
        <v>SEM-6</v>
      </c>
      <c r="O184" s="74"/>
      <c r="P184" s="74"/>
      <c r="Q184" s="74"/>
      <c r="R184" s="74"/>
      <c r="S184" s="74"/>
      <c r="T184" s="74"/>
      <c r="U184" s="74"/>
      <c r="V184" s="74"/>
      <c r="W184" s="74"/>
      <c r="X184" s="74"/>
    </row>
    <row r="185" ht="33.0" customHeight="1">
      <c r="A185" s="74" t="str">
        <f>IFERROR(__xludf.DUMMYFUNCTION("""COMPUTED_VALUE"""),"Varsha Mamidipaka")</f>
        <v>Varsha Mamidipaka</v>
      </c>
      <c r="B185" s="74" t="str">
        <f>IFERROR(__xludf.DUMMYFUNCTION("""COMPUTED_VALUE"""),"18331A0592")</f>
        <v>18331A0592</v>
      </c>
      <c r="C185" s="74" t="str">
        <f>IFERROR(__xludf.DUMMYFUNCTION("""COMPUTED_VALUE"""),"Wipro")</f>
        <v>Wipro</v>
      </c>
      <c r="D185" s="74" t="str">
        <f>IFERROR(__xludf.DUMMYFUNCTION("""COMPUTED_VALUE"""),"3 months")</f>
        <v>3 months</v>
      </c>
      <c r="E185" s="79">
        <f>IFERROR(__xludf.DUMMYFUNCTION("""COMPUTED_VALUE"""),44642.0)</f>
        <v>44642</v>
      </c>
      <c r="F185" s="79">
        <f>IFERROR(__xludf.DUMMYFUNCTION("""COMPUTED_VALUE"""),44735.0)</f>
        <v>44735</v>
      </c>
      <c r="G185" s="74" t="str">
        <f>IFERROR(__xludf.DUMMYFUNCTION("""COMPUTED_VALUE"""),"No")</f>
        <v>No</v>
      </c>
      <c r="H185" s="74" t="str">
        <f>IFERROR(__xludf.DUMMYFUNCTION("""COMPUTED_VALUE"""),"No")</f>
        <v>No</v>
      </c>
      <c r="I185" s="74">
        <f>IFERROR(__xludf.DUMMYFUNCTION("""COMPUTED_VALUE"""),0.0)</f>
        <v>0</v>
      </c>
      <c r="J185" s="80" t="str">
        <f>IFERROR(__xludf.DUMMYFUNCTION("""COMPUTED_VALUE"""),"https://drive.google.com/open?id=1oHtKKhDC4KQnMG3E3JF_YFX-BuInEMDt")</f>
        <v>https://drive.google.com/open?id=1oHtKKhDC4KQnMG3E3JF_YFX-BuInEMDt</v>
      </c>
      <c r="K185" s="74" t="str">
        <f>IFERROR(__xludf.DUMMYFUNCTION("""COMPUTED_VALUE"""),"2018-2022")</f>
        <v>2018-2022</v>
      </c>
      <c r="L185" s="74" t="str">
        <f>IFERROR(__xludf.DUMMYFUNCTION("""COMPUTED_VALUE"""),"S3: Student Internships")</f>
        <v>S3: Student Internships</v>
      </c>
      <c r="M185" s="74" t="str">
        <f>IFERROR(__xludf.DUMMYFUNCTION("""COMPUTED_VALUE"""),"bhuvanavarsha7701@gmail.com")</f>
        <v>bhuvanavarsha7701@gmail.com</v>
      </c>
      <c r="N185" s="74" t="str">
        <f>IFERROR(__xludf.DUMMYFUNCTION("""COMPUTED_VALUE"""),"SEM-8")</f>
        <v>SEM-8</v>
      </c>
      <c r="O185" s="74"/>
      <c r="P185" s="74"/>
      <c r="Q185" s="74"/>
      <c r="R185" s="74"/>
      <c r="S185" s="74"/>
      <c r="T185" s="74"/>
      <c r="U185" s="74"/>
      <c r="V185" s="74"/>
      <c r="W185" s="74"/>
      <c r="X185" s="74"/>
    </row>
    <row r="186" ht="33.0" customHeight="1">
      <c r="A186" s="74" t="str">
        <f>IFERROR(__xludf.DUMMYFUNCTION("""COMPUTED_VALUE"""),"MAHESH KUCHETTI ")</f>
        <v>MAHESH KUCHETTI </v>
      </c>
      <c r="B186" s="74" t="str">
        <f>IFERROR(__xludf.DUMMYFUNCTION("""COMPUTED_VALUE"""),"19331A0588")</f>
        <v>19331A0588</v>
      </c>
      <c r="C186" s="74" t="str">
        <f>IFERROR(__xludf.DUMMYFUNCTION("""COMPUTED_VALUE"""),"AICTE")</f>
        <v>AICTE</v>
      </c>
      <c r="D186" s="74" t="str">
        <f>IFERROR(__xludf.DUMMYFUNCTION("""COMPUTED_VALUE"""),"2 months")</f>
        <v>2 months</v>
      </c>
      <c r="E186" s="79">
        <f>IFERROR(__xludf.DUMMYFUNCTION("""COMPUTED_VALUE"""),44470.0)</f>
        <v>44470</v>
      </c>
      <c r="F186" s="79">
        <f>IFERROR(__xludf.DUMMYFUNCTION("""COMPUTED_VALUE"""),44550.0)</f>
        <v>44550</v>
      </c>
      <c r="G186" s="74" t="str">
        <f>IFERROR(__xludf.DUMMYFUNCTION("""COMPUTED_VALUE"""),"No")</f>
        <v>No</v>
      </c>
      <c r="H186" s="74" t="str">
        <f>IFERROR(__xludf.DUMMYFUNCTION("""COMPUTED_VALUE"""),"No")</f>
        <v>No</v>
      </c>
      <c r="I186" s="74">
        <f>IFERROR(__xludf.DUMMYFUNCTION("""COMPUTED_VALUE"""),0.0)</f>
        <v>0</v>
      </c>
      <c r="J186" s="80" t="str">
        <f>IFERROR(__xludf.DUMMYFUNCTION("""COMPUTED_VALUE"""),"https://drive.google.com/open?id=1gELbIpdDUVgmmrD4wFp7AgfsDpkZGuio")</f>
        <v>https://drive.google.com/open?id=1gELbIpdDUVgmmrD4wFp7AgfsDpkZGuio</v>
      </c>
      <c r="K186" s="74" t="str">
        <f>IFERROR(__xludf.DUMMYFUNCTION("""COMPUTED_VALUE"""),"2019-2023")</f>
        <v>2019-2023</v>
      </c>
      <c r="L186" s="74" t="str">
        <f>IFERROR(__xludf.DUMMYFUNCTION("""COMPUTED_VALUE"""),"S3: Student Internships")</f>
        <v>S3: Student Internships</v>
      </c>
      <c r="M186" s="74" t="str">
        <f>IFERROR(__xludf.DUMMYFUNCTION("""COMPUTED_VALUE"""),"maheshkuchetti01@gmail.com")</f>
        <v>maheshkuchetti01@gmail.com</v>
      </c>
      <c r="N186" s="74" t="str">
        <f>IFERROR(__xludf.DUMMYFUNCTION("""COMPUTED_VALUE"""),"SEM-6")</f>
        <v>SEM-6</v>
      </c>
      <c r="O186" s="74"/>
      <c r="P186" s="74"/>
      <c r="Q186" s="74"/>
      <c r="R186" s="74"/>
      <c r="S186" s="74"/>
      <c r="T186" s="74"/>
      <c r="U186" s="74"/>
      <c r="V186" s="74"/>
      <c r="W186" s="74"/>
      <c r="X186" s="74"/>
    </row>
    <row r="187" ht="33.0" customHeight="1">
      <c r="A187" s="74" t="str">
        <f>IFERROR(__xludf.DUMMYFUNCTION("""COMPUTED_VALUE"""),"Kurella venkata surya sailesh ")</f>
        <v>Kurella venkata surya sailesh </v>
      </c>
      <c r="B187" s="74" t="str">
        <f>IFERROR(__xludf.DUMMYFUNCTION("""COMPUTED_VALUE"""),"19331A0593")</f>
        <v>19331A0593</v>
      </c>
      <c r="C187" s="74" t="str">
        <f>IFERROR(__xludf.DUMMYFUNCTION("""COMPUTED_VALUE"""),"AICTE")</f>
        <v>AICTE</v>
      </c>
      <c r="D187" s="74" t="str">
        <f>IFERROR(__xludf.DUMMYFUNCTION("""COMPUTED_VALUE"""),"2 months")</f>
        <v>2 months</v>
      </c>
      <c r="E187" s="79">
        <f>IFERROR(__xludf.DUMMYFUNCTION("""COMPUTED_VALUE"""),44470.0)</f>
        <v>44470</v>
      </c>
      <c r="F187" s="79">
        <f>IFERROR(__xludf.DUMMYFUNCTION("""COMPUTED_VALUE"""),44550.0)</f>
        <v>44550</v>
      </c>
      <c r="G187" s="74" t="str">
        <f>IFERROR(__xludf.DUMMYFUNCTION("""COMPUTED_VALUE"""),"No")</f>
        <v>No</v>
      </c>
      <c r="H187" s="74" t="str">
        <f>IFERROR(__xludf.DUMMYFUNCTION("""COMPUTED_VALUE"""),"No")</f>
        <v>No</v>
      </c>
      <c r="I187" s="74">
        <f>IFERROR(__xludf.DUMMYFUNCTION("""COMPUTED_VALUE"""),0.0)</f>
        <v>0</v>
      </c>
      <c r="J187" s="80" t="str">
        <f>IFERROR(__xludf.DUMMYFUNCTION("""COMPUTED_VALUE"""),"https://drive.google.com/open?id=1qID5BX52jnZtKx535FHOvcM-YdZpLWUB")</f>
        <v>https://drive.google.com/open?id=1qID5BX52jnZtKx535FHOvcM-YdZpLWUB</v>
      </c>
      <c r="K187" s="74" t="str">
        <f>IFERROR(__xludf.DUMMYFUNCTION("""COMPUTED_VALUE"""),"2019-2023")</f>
        <v>2019-2023</v>
      </c>
      <c r="L187" s="74" t="str">
        <f>IFERROR(__xludf.DUMMYFUNCTION("""COMPUTED_VALUE"""),"S3: Student Internships")</f>
        <v>S3: Student Internships</v>
      </c>
      <c r="M187" s="74" t="str">
        <f>IFERROR(__xludf.DUMMYFUNCTION("""COMPUTED_VALUE"""),"suryasailesh422@gmail.com")</f>
        <v>suryasailesh422@gmail.com</v>
      </c>
      <c r="N187" s="74" t="str">
        <f>IFERROR(__xludf.DUMMYFUNCTION("""COMPUTED_VALUE"""),"SEM-6")</f>
        <v>SEM-6</v>
      </c>
      <c r="O187" s="74"/>
      <c r="P187" s="74"/>
      <c r="Q187" s="74"/>
      <c r="R187" s="74"/>
      <c r="S187" s="74"/>
      <c r="T187" s="74"/>
      <c r="U187" s="74"/>
      <c r="V187" s="74"/>
      <c r="W187" s="74"/>
      <c r="X187" s="74"/>
    </row>
    <row r="188" ht="33.0" customHeight="1">
      <c r="A188" s="74" t="str">
        <f>IFERROR(__xludf.DUMMYFUNCTION("""COMPUTED_VALUE"""),"Nandella Pranavi Prathyusha")</f>
        <v>Nandella Pranavi Prathyusha</v>
      </c>
      <c r="B188" s="74" t="str">
        <f>IFERROR(__xludf.DUMMYFUNCTION("""COMPUTED_VALUE"""),"18331A05A8")</f>
        <v>18331A05A8</v>
      </c>
      <c r="C188" s="74" t="str">
        <f>IFERROR(__xludf.DUMMYFUNCTION("""COMPUTED_VALUE"""),"AICTE")</f>
        <v>AICTE</v>
      </c>
      <c r="D188" s="74" t="str">
        <f>IFERROR(__xludf.DUMMYFUNCTION("""COMPUTED_VALUE"""),"10 weeks")</f>
        <v>10 weeks</v>
      </c>
      <c r="E188" s="79">
        <f>IFERROR(__xludf.DUMMYFUNCTION("""COMPUTED_VALUE"""),44470.0)</f>
        <v>44470</v>
      </c>
      <c r="F188" s="79">
        <f>IFERROR(__xludf.DUMMYFUNCTION("""COMPUTED_VALUE"""),44561.0)</f>
        <v>44561</v>
      </c>
      <c r="G188" s="74" t="str">
        <f>IFERROR(__xludf.DUMMYFUNCTION("""COMPUTED_VALUE"""),"No")</f>
        <v>No</v>
      </c>
      <c r="H188" s="74" t="str">
        <f>IFERROR(__xludf.DUMMYFUNCTION("""COMPUTED_VALUE"""),"No")</f>
        <v>No</v>
      </c>
      <c r="I188" s="74">
        <f>IFERROR(__xludf.DUMMYFUNCTION("""COMPUTED_VALUE"""),0.0)</f>
        <v>0</v>
      </c>
      <c r="J188" s="80" t="str">
        <f>IFERROR(__xludf.DUMMYFUNCTION("""COMPUTED_VALUE"""),"https://drive.google.com/open?id=1Z921VLVGL4V-DzPO2qWrsy_sJnIhsHaG")</f>
        <v>https://drive.google.com/open?id=1Z921VLVGL4V-DzPO2qWrsy_sJnIhsHaG</v>
      </c>
      <c r="K188" s="74" t="str">
        <f>IFERROR(__xludf.DUMMYFUNCTION("""COMPUTED_VALUE"""),"2018-2022")</f>
        <v>2018-2022</v>
      </c>
      <c r="L188" s="74" t="str">
        <f>IFERROR(__xludf.DUMMYFUNCTION("""COMPUTED_VALUE"""),"S3: Student Internships")</f>
        <v>S3: Student Internships</v>
      </c>
      <c r="M188" s="74" t="str">
        <f>IFERROR(__xludf.DUMMYFUNCTION("""COMPUTED_VALUE"""),"pranaviprathyusha1@gmail.com")</f>
        <v>pranaviprathyusha1@gmail.com</v>
      </c>
      <c r="N188" s="74" t="str">
        <f>IFERROR(__xludf.DUMMYFUNCTION("""COMPUTED_VALUE"""),"SEM-7")</f>
        <v>SEM-7</v>
      </c>
      <c r="O188" s="74"/>
      <c r="P188" s="74"/>
      <c r="Q188" s="74"/>
      <c r="R188" s="74"/>
      <c r="S188" s="74"/>
      <c r="T188" s="74"/>
      <c r="U188" s="74"/>
      <c r="V188" s="74"/>
      <c r="W188" s="74"/>
      <c r="X188" s="74"/>
    </row>
    <row r="189" ht="33.0" customHeight="1">
      <c r="A189" s="81" t="str">
        <f>IFERROR(__xludf.DUMMYFUNCTION("""COMPUTED_VALUE"""),"Nalluri sai kiran")</f>
        <v>Nalluri sai kiran</v>
      </c>
      <c r="B189" s="81" t="str">
        <f>IFERROR(__xludf.DUMMYFUNCTION("""COMPUTED_VALUE"""),"19331A05B8")</f>
        <v>19331A05B8</v>
      </c>
      <c r="C189" s="81" t="str">
        <f>IFERROR(__xludf.DUMMYFUNCTION("""COMPUTED_VALUE"""),"Blue Prism")</f>
        <v>Blue Prism</v>
      </c>
      <c r="D189" s="81" t="str">
        <f>IFERROR(__xludf.DUMMYFUNCTION("""COMPUTED_VALUE"""),"2 months")</f>
        <v>2 months</v>
      </c>
      <c r="E189" s="82">
        <f>IFERROR(__xludf.DUMMYFUNCTION("""COMPUTED_VALUE"""),44470.0)</f>
        <v>44470</v>
      </c>
      <c r="F189" s="82">
        <f>IFERROR(__xludf.DUMMYFUNCTION("""COMPUTED_VALUE"""),44550.0)</f>
        <v>44550</v>
      </c>
      <c r="G189" s="81" t="str">
        <f>IFERROR(__xludf.DUMMYFUNCTION("""COMPUTED_VALUE"""),"No")</f>
        <v>No</v>
      </c>
      <c r="H189" s="81" t="str">
        <f>IFERROR(__xludf.DUMMYFUNCTION("""COMPUTED_VALUE"""),"No")</f>
        <v>No</v>
      </c>
      <c r="I189" s="81">
        <f>IFERROR(__xludf.DUMMYFUNCTION("""COMPUTED_VALUE"""),0.0)</f>
        <v>0</v>
      </c>
      <c r="J189" s="83" t="str">
        <f>IFERROR(__xludf.DUMMYFUNCTION("""COMPUTED_VALUE"""),"https://drive.google.com/open?id=10l0klJaXRSSdkEThk-FQbIrJc2ryY74D")</f>
        <v>https://drive.google.com/open?id=10l0klJaXRSSdkEThk-FQbIrJc2ryY74D</v>
      </c>
      <c r="K189" s="81" t="str">
        <f>IFERROR(__xludf.DUMMYFUNCTION("""COMPUTED_VALUE"""),"2019-2023")</f>
        <v>2019-2023</v>
      </c>
      <c r="L189" s="81" t="str">
        <f>IFERROR(__xludf.DUMMYFUNCTION("""COMPUTED_VALUE"""),"S3: Student Internships")</f>
        <v>S3: Student Internships</v>
      </c>
      <c r="M189" s="81" t="str">
        <f>IFERROR(__xludf.DUMMYFUNCTION("""COMPUTED_VALUE"""),"nsaikiran2411@gmail.com")</f>
        <v>nsaikiran2411@gmail.com</v>
      </c>
      <c r="N189" s="81" t="str">
        <f>IFERROR(__xludf.DUMMYFUNCTION("""COMPUTED_VALUE"""),"SEM-6")</f>
        <v>SEM-6</v>
      </c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ht="33.0" customHeight="1">
      <c r="A190" s="74" t="str">
        <f>IFERROR(__xludf.DUMMYFUNCTION("""COMPUTED_VALUE"""),"Nadimpalli Lakshmi Jyothsna ")</f>
        <v>Nadimpalli Lakshmi Jyothsna </v>
      </c>
      <c r="B190" s="74" t="str">
        <f>IFERROR(__xludf.DUMMYFUNCTION("""COMPUTED_VALUE"""),"20331A05C1 ")</f>
        <v>20331A05C1 </v>
      </c>
      <c r="C190" s="74" t="str">
        <f>IFERROR(__xludf.DUMMYFUNCTION("""COMPUTED_VALUE"""),"Linux")</f>
        <v>Linux</v>
      </c>
      <c r="D190" s="74" t="str">
        <f>IFERROR(__xludf.DUMMYFUNCTION("""COMPUTED_VALUE"""),"3 months")</f>
        <v>3 months</v>
      </c>
      <c r="E190" s="79">
        <f>IFERROR(__xludf.DUMMYFUNCTION("""COMPUTED_VALUE"""),44470.0)</f>
        <v>44470</v>
      </c>
      <c r="F190" s="79">
        <f>IFERROR(__xludf.DUMMYFUNCTION("""COMPUTED_VALUE"""),44561.0)</f>
        <v>44561</v>
      </c>
      <c r="G190" s="74" t="str">
        <f>IFERROR(__xludf.DUMMYFUNCTION("""COMPUTED_VALUE"""),"No")</f>
        <v>No</v>
      </c>
      <c r="H190" s="74" t="str">
        <f>IFERROR(__xludf.DUMMYFUNCTION("""COMPUTED_VALUE"""),"No")</f>
        <v>No</v>
      </c>
      <c r="I190" s="74">
        <f>IFERROR(__xludf.DUMMYFUNCTION("""COMPUTED_VALUE"""),0.0)</f>
        <v>0</v>
      </c>
      <c r="J190" s="80" t="str">
        <f>IFERROR(__xludf.DUMMYFUNCTION("""COMPUTED_VALUE"""),"https://drive.google.com/open?id=1-aRoU-1z9hogdqcWkPsTaYGqXpYYH-WD")</f>
        <v>https://drive.google.com/open?id=1-aRoU-1z9hogdqcWkPsTaYGqXpYYH-WD</v>
      </c>
      <c r="K190" s="74" t="str">
        <f>IFERROR(__xludf.DUMMYFUNCTION("""COMPUTED_VALUE"""),"2020-2024")</f>
        <v>2020-2024</v>
      </c>
      <c r="L190" s="74" t="str">
        <f>IFERROR(__xludf.DUMMYFUNCTION("""COMPUTED_VALUE"""),"S3: Student Internships")</f>
        <v>S3: Student Internships</v>
      </c>
      <c r="M190" s="74" t="str">
        <f>IFERROR(__xludf.DUMMYFUNCTION("""COMPUTED_VALUE"""),"nljyothsna828@gmail.com")</f>
        <v>nljyothsna828@gmail.com</v>
      </c>
      <c r="N190" s="74" t="str">
        <f>IFERROR(__xludf.DUMMYFUNCTION("""COMPUTED_VALUE"""),"SEM-4")</f>
        <v>SEM-4</v>
      </c>
      <c r="O190" s="74"/>
      <c r="P190" s="74"/>
      <c r="Q190" s="74"/>
      <c r="R190" s="74"/>
      <c r="S190" s="74"/>
      <c r="T190" s="74"/>
      <c r="U190" s="74"/>
      <c r="V190" s="74"/>
      <c r="W190" s="74"/>
      <c r="X190" s="74"/>
    </row>
    <row r="191" ht="33.0" customHeight="1">
      <c r="A191" s="74" t="str">
        <f>IFERROR(__xludf.DUMMYFUNCTION("""COMPUTED_VALUE"""),"Sai Gayathri Latchipatula")</f>
        <v>Sai Gayathri Latchipatula</v>
      </c>
      <c r="B191" s="74" t="str">
        <f>IFERROR(__xludf.DUMMYFUNCTION("""COMPUTED_VALUE"""),"18331A0587")</f>
        <v>18331A0587</v>
      </c>
      <c r="C191" s="74" t="str">
        <f>IFERROR(__xludf.DUMMYFUNCTION("""COMPUTED_VALUE"""),"Eduskills")</f>
        <v>Eduskills</v>
      </c>
      <c r="D191" s="74" t="str">
        <f>IFERROR(__xludf.DUMMYFUNCTION("""COMPUTED_VALUE"""),"3 months")</f>
        <v>3 months</v>
      </c>
      <c r="E191" s="79">
        <f>IFERROR(__xludf.DUMMYFUNCTION("""COMPUTED_VALUE"""),44476.0)</f>
        <v>44476</v>
      </c>
      <c r="F191" s="79">
        <f>IFERROR(__xludf.DUMMYFUNCTION("""COMPUTED_VALUE"""),44557.0)</f>
        <v>44557</v>
      </c>
      <c r="G191" s="74" t="str">
        <f>IFERROR(__xludf.DUMMYFUNCTION("""COMPUTED_VALUE"""),"No")</f>
        <v>No</v>
      </c>
      <c r="H191" s="74" t="str">
        <f>IFERROR(__xludf.DUMMYFUNCTION("""COMPUTED_VALUE"""),"No")</f>
        <v>No</v>
      </c>
      <c r="I191" s="74">
        <f>IFERROR(__xludf.DUMMYFUNCTION("""COMPUTED_VALUE"""),0.0)</f>
        <v>0</v>
      </c>
      <c r="J191" s="80" t="str">
        <f>IFERROR(__xludf.DUMMYFUNCTION("""COMPUTED_VALUE"""),"https://drive.google.com/open?id=1FxVftOJQbMTy39xSDZVUrPs4_qt5jlpM")</f>
        <v>https://drive.google.com/open?id=1FxVftOJQbMTy39xSDZVUrPs4_qt5jlpM</v>
      </c>
      <c r="K191" s="74" t="str">
        <f>IFERROR(__xludf.DUMMYFUNCTION("""COMPUTED_VALUE"""),"2018-2022")</f>
        <v>2018-2022</v>
      </c>
      <c r="L191" s="74" t="str">
        <f>IFERROR(__xludf.DUMMYFUNCTION("""COMPUTED_VALUE"""),"S3: Student Internships")</f>
        <v>S3: Student Internships</v>
      </c>
      <c r="M191" s="74" t="str">
        <f>IFERROR(__xludf.DUMMYFUNCTION("""COMPUTED_VALUE"""),"latchipatulasaigayathri@gmail.com")</f>
        <v>latchipatulasaigayathri@gmail.com</v>
      </c>
      <c r="N191" s="74" t="str">
        <f>IFERROR(__xludf.DUMMYFUNCTION("""COMPUTED_VALUE"""),"SEM-8")</f>
        <v>SEM-8</v>
      </c>
      <c r="O191" s="74"/>
      <c r="P191" s="74"/>
      <c r="Q191" s="74"/>
      <c r="R191" s="74"/>
      <c r="S191" s="74"/>
      <c r="T191" s="74"/>
      <c r="U191" s="74"/>
      <c r="V191" s="74"/>
      <c r="W191" s="74"/>
      <c r="X191" s="74"/>
    </row>
    <row r="192" ht="33.0" customHeight="1">
      <c r="A192" s="74" t="str">
        <f>IFERROR(__xludf.DUMMYFUNCTION("""COMPUTED_VALUE"""),"KANTUBHUKTA HEMANTH")</f>
        <v>KANTUBHUKTA HEMANTH</v>
      </c>
      <c r="B192" s="74" t="str">
        <f>IFERROR(__xludf.DUMMYFUNCTION("""COMPUTED_VALUE"""),"19331A0573")</f>
        <v>19331A0573</v>
      </c>
      <c r="C192" s="74" t="str">
        <f>IFERROR(__xludf.DUMMYFUNCTION("""COMPUTED_VALUE"""),"AICTE")</f>
        <v>AICTE</v>
      </c>
      <c r="D192" s="74" t="str">
        <f>IFERROR(__xludf.DUMMYFUNCTION("""COMPUTED_VALUE"""),"10 Weeks")</f>
        <v>10 Weeks</v>
      </c>
      <c r="E192" s="79">
        <f>IFERROR(__xludf.DUMMYFUNCTION("""COMPUTED_VALUE"""),44470.0)</f>
        <v>44470</v>
      </c>
      <c r="F192" s="79">
        <f>IFERROR(__xludf.DUMMYFUNCTION("""COMPUTED_VALUE"""),44550.0)</f>
        <v>44550</v>
      </c>
      <c r="G192" s="74" t="str">
        <f>IFERROR(__xludf.DUMMYFUNCTION("""COMPUTED_VALUE"""),"No")</f>
        <v>No</v>
      </c>
      <c r="H192" s="74" t="str">
        <f>IFERROR(__xludf.DUMMYFUNCTION("""COMPUTED_VALUE"""),"No")</f>
        <v>No</v>
      </c>
      <c r="I192" s="74">
        <f>IFERROR(__xludf.DUMMYFUNCTION("""COMPUTED_VALUE"""),0.0)</f>
        <v>0</v>
      </c>
      <c r="J192" s="80" t="str">
        <f>IFERROR(__xludf.DUMMYFUNCTION("""COMPUTED_VALUE"""),"https://drive.google.com/open?id=1AuluL-_XdGuyZR-nuyyqwaokcyu_55gy")</f>
        <v>https://drive.google.com/open?id=1AuluL-_XdGuyZR-nuyyqwaokcyu_55gy</v>
      </c>
      <c r="K192" s="74" t="str">
        <f>IFERROR(__xludf.DUMMYFUNCTION("""COMPUTED_VALUE"""),"2019-2023")</f>
        <v>2019-2023</v>
      </c>
      <c r="L192" s="74" t="str">
        <f>IFERROR(__xludf.DUMMYFUNCTION("""COMPUTED_VALUE"""),"S3: Student Internships")</f>
        <v>S3: Student Internships</v>
      </c>
      <c r="M192" s="74" t="str">
        <f>IFERROR(__xludf.DUMMYFUNCTION("""COMPUTED_VALUE"""),"hemanthkantubhukta2232@gmail.com")</f>
        <v>hemanthkantubhukta2232@gmail.com</v>
      </c>
      <c r="N192" s="74" t="str">
        <f>IFERROR(__xludf.DUMMYFUNCTION("""COMPUTED_VALUE"""),"SEM-6")</f>
        <v>SEM-6</v>
      </c>
      <c r="O192" s="74"/>
      <c r="P192" s="74"/>
      <c r="Q192" s="74"/>
      <c r="R192" s="74"/>
      <c r="S192" s="74"/>
      <c r="T192" s="74"/>
      <c r="U192" s="74"/>
      <c r="V192" s="74"/>
      <c r="W192" s="74"/>
      <c r="X192" s="74"/>
    </row>
    <row r="193" ht="33.0" customHeight="1">
      <c r="A193" s="81" t="str">
        <f>IFERROR(__xludf.DUMMYFUNCTION("""COMPUTED_VALUE"""),"MACHARLA VAMSI ")</f>
        <v>MACHARLA VAMSI </v>
      </c>
      <c r="B193" s="81" t="str">
        <f>IFERROR(__xludf.DUMMYFUNCTION("""COMPUTED_VALUE"""),"19331A0596")</f>
        <v>19331A0596</v>
      </c>
      <c r="C193" s="81" t="str">
        <f>IFERROR(__xludf.DUMMYFUNCTION("""COMPUTED_VALUE"""),"AICTE")</f>
        <v>AICTE</v>
      </c>
      <c r="D193" s="81" t="str">
        <f>IFERROR(__xludf.DUMMYFUNCTION("""COMPUTED_VALUE"""),"10 weeks")</f>
        <v>10 weeks</v>
      </c>
      <c r="E193" s="82">
        <f>IFERROR(__xludf.DUMMYFUNCTION("""COMPUTED_VALUE"""),44470.0)</f>
        <v>44470</v>
      </c>
      <c r="F193" s="82">
        <f>IFERROR(__xludf.DUMMYFUNCTION("""COMPUTED_VALUE"""),44550.0)</f>
        <v>44550</v>
      </c>
      <c r="G193" s="81" t="str">
        <f>IFERROR(__xludf.DUMMYFUNCTION("""COMPUTED_VALUE"""),"No")</f>
        <v>No</v>
      </c>
      <c r="H193" s="81" t="str">
        <f>IFERROR(__xludf.DUMMYFUNCTION("""COMPUTED_VALUE"""),"No")</f>
        <v>No</v>
      </c>
      <c r="I193" s="81">
        <f>IFERROR(__xludf.DUMMYFUNCTION("""COMPUTED_VALUE"""),0.0)</f>
        <v>0</v>
      </c>
      <c r="J193" s="83" t="str">
        <f>IFERROR(__xludf.DUMMYFUNCTION("""COMPUTED_VALUE"""),"https://drive.google.com/open?id=1kMBBH923ckK6I3mfH4KL2LV9ffHlHMRm")</f>
        <v>https://drive.google.com/open?id=1kMBBH923ckK6I3mfH4KL2LV9ffHlHMRm</v>
      </c>
      <c r="K193" s="81" t="str">
        <f>IFERROR(__xludf.DUMMYFUNCTION("""COMPUTED_VALUE"""),"2019-2023")</f>
        <v>2019-2023</v>
      </c>
      <c r="L193" s="81" t="str">
        <f>IFERROR(__xludf.DUMMYFUNCTION("""COMPUTED_VALUE"""),"S3: Student Internships")</f>
        <v>S3: Student Internships</v>
      </c>
      <c r="M193" s="81" t="str">
        <f>IFERROR(__xludf.DUMMYFUNCTION("""COMPUTED_VALUE"""),"vamsimacharla143@gmail.com")</f>
        <v>vamsimacharla143@gmail.com</v>
      </c>
      <c r="N193" s="81" t="str">
        <f>IFERROR(__xludf.DUMMYFUNCTION("""COMPUTED_VALUE"""),"SEM-6")</f>
        <v>SEM-6</v>
      </c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ht="33.0" customHeight="1">
      <c r="A194" s="74" t="str">
        <f>IFERROR(__xludf.DUMMYFUNCTION("""COMPUTED_VALUE"""),"Manchukonda Gopala krishna ")</f>
        <v>Manchukonda Gopala krishna </v>
      </c>
      <c r="B194" s="74" t="str">
        <f>IFERROR(__xludf.DUMMYFUNCTION("""COMPUTED_VALUE"""),"19331A05A2")</f>
        <v>19331A05A2</v>
      </c>
      <c r="C194" s="74" t="str">
        <f>IFERROR(__xludf.DUMMYFUNCTION("""COMPUTED_VALUE"""),"AICTE")</f>
        <v>AICTE</v>
      </c>
      <c r="D194" s="74" t="str">
        <f>IFERROR(__xludf.DUMMYFUNCTION("""COMPUTED_VALUE"""),"10 weeks")</f>
        <v>10 weeks</v>
      </c>
      <c r="E194" s="79">
        <f>IFERROR(__xludf.DUMMYFUNCTION("""COMPUTED_VALUE"""),44470.0)</f>
        <v>44470</v>
      </c>
      <c r="F194" s="79">
        <f>IFERROR(__xludf.DUMMYFUNCTION("""COMPUTED_VALUE"""),44550.0)</f>
        <v>44550</v>
      </c>
      <c r="G194" s="74" t="str">
        <f>IFERROR(__xludf.DUMMYFUNCTION("""COMPUTED_VALUE"""),"No")</f>
        <v>No</v>
      </c>
      <c r="H194" s="74" t="str">
        <f>IFERROR(__xludf.DUMMYFUNCTION("""COMPUTED_VALUE"""),"No")</f>
        <v>No</v>
      </c>
      <c r="I194" s="74">
        <f>IFERROR(__xludf.DUMMYFUNCTION("""COMPUTED_VALUE"""),0.0)</f>
        <v>0</v>
      </c>
      <c r="J194" s="80" t="str">
        <f>IFERROR(__xludf.DUMMYFUNCTION("""COMPUTED_VALUE"""),"https://drive.google.com/open?id=1Z3BeLu5D2jBEhJqICjk59kRy88moBjh9")</f>
        <v>https://drive.google.com/open?id=1Z3BeLu5D2jBEhJqICjk59kRy88moBjh9</v>
      </c>
      <c r="K194" s="74" t="str">
        <f>IFERROR(__xludf.DUMMYFUNCTION("""COMPUTED_VALUE"""),"2019-2023")</f>
        <v>2019-2023</v>
      </c>
      <c r="L194" s="74" t="str">
        <f>IFERROR(__xludf.DUMMYFUNCTION("""COMPUTED_VALUE"""),"S3: Student Internships")</f>
        <v>S3: Student Internships</v>
      </c>
      <c r="M194" s="74" t="str">
        <f>IFERROR(__xludf.DUMMYFUNCTION("""COMPUTED_VALUE"""),"gkrishna6932@gmail.com")</f>
        <v>gkrishna6932@gmail.com</v>
      </c>
      <c r="N194" s="74" t="str">
        <f>IFERROR(__xludf.DUMMYFUNCTION("""COMPUTED_VALUE"""),"SEM-6")</f>
        <v>SEM-6</v>
      </c>
      <c r="O194" s="74"/>
      <c r="P194" s="74"/>
      <c r="Q194" s="74"/>
      <c r="R194" s="74"/>
      <c r="S194" s="74"/>
      <c r="T194" s="74"/>
      <c r="U194" s="74"/>
      <c r="V194" s="74"/>
      <c r="W194" s="74"/>
      <c r="X194" s="74"/>
    </row>
    <row r="195" ht="33.0" customHeight="1">
      <c r="A195" s="74" t="str">
        <f>IFERROR(__xludf.DUMMYFUNCTION("""COMPUTED_VALUE"""),"NALLURI SAI KIRAN")</f>
        <v>NALLURI SAI KIRAN</v>
      </c>
      <c r="B195" s="74" t="str">
        <f>IFERROR(__xludf.DUMMYFUNCTION("""COMPUTED_VALUE"""),"19331A05B8")</f>
        <v>19331A05B8</v>
      </c>
      <c r="C195" s="74" t="str">
        <f>IFERROR(__xludf.DUMMYFUNCTION("""COMPUTED_VALUE"""),"AICTE")</f>
        <v>AICTE</v>
      </c>
      <c r="D195" s="74" t="str">
        <f>IFERROR(__xludf.DUMMYFUNCTION("""COMPUTED_VALUE"""),"2 months")</f>
        <v>2 months</v>
      </c>
      <c r="E195" s="79">
        <f>IFERROR(__xludf.DUMMYFUNCTION("""COMPUTED_VALUE"""),44470.0)</f>
        <v>44470</v>
      </c>
      <c r="F195" s="79">
        <f>IFERROR(__xludf.DUMMYFUNCTION("""COMPUTED_VALUE"""),44550.0)</f>
        <v>44550</v>
      </c>
      <c r="G195" s="74" t="str">
        <f>IFERROR(__xludf.DUMMYFUNCTION("""COMPUTED_VALUE"""),"No")</f>
        <v>No</v>
      </c>
      <c r="H195" s="74" t="str">
        <f>IFERROR(__xludf.DUMMYFUNCTION("""COMPUTED_VALUE"""),"No")</f>
        <v>No</v>
      </c>
      <c r="I195" s="74">
        <f>IFERROR(__xludf.DUMMYFUNCTION("""COMPUTED_VALUE"""),0.0)</f>
        <v>0</v>
      </c>
      <c r="J195" s="80" t="str">
        <f>IFERROR(__xludf.DUMMYFUNCTION("""COMPUTED_VALUE"""),"https://drive.google.com/open?id=1QLYz4aGs7sF9ZA1Q_5cIvbLOJuHeUZf1")</f>
        <v>https://drive.google.com/open?id=1QLYz4aGs7sF9ZA1Q_5cIvbLOJuHeUZf1</v>
      </c>
      <c r="K195" s="74" t="str">
        <f>IFERROR(__xludf.DUMMYFUNCTION("""COMPUTED_VALUE"""),"2019-2023")</f>
        <v>2019-2023</v>
      </c>
      <c r="L195" s="74" t="str">
        <f>IFERROR(__xludf.DUMMYFUNCTION("""COMPUTED_VALUE"""),"S3: Student Internships")</f>
        <v>S3: Student Internships</v>
      </c>
      <c r="M195" s="74" t="str">
        <f>IFERROR(__xludf.DUMMYFUNCTION("""COMPUTED_VALUE"""),"nsaikiran2411@gmail.com")</f>
        <v>nsaikiran2411@gmail.com</v>
      </c>
      <c r="N195" s="74" t="str">
        <f>IFERROR(__xludf.DUMMYFUNCTION("""COMPUTED_VALUE"""),"SEM-6")</f>
        <v>SEM-6</v>
      </c>
      <c r="O195" s="74"/>
      <c r="P195" s="74"/>
      <c r="Q195" s="74"/>
      <c r="R195" s="74"/>
      <c r="S195" s="74"/>
      <c r="T195" s="74"/>
      <c r="U195" s="74"/>
      <c r="V195" s="74"/>
      <c r="W195" s="74"/>
      <c r="X195" s="74"/>
    </row>
    <row r="196" ht="33.0" customHeight="1">
      <c r="A196" s="74" t="str">
        <f>IFERROR(__xludf.DUMMYFUNCTION("""COMPUTED_VALUE"""),"Mohammed Aquib Akthar ")</f>
        <v>Mohammed Aquib Akthar </v>
      </c>
      <c r="B196" s="74" t="str">
        <f>IFERROR(__xludf.DUMMYFUNCTION("""COMPUTED_VALUE"""),"19331A05A6")</f>
        <v>19331A05A6</v>
      </c>
      <c r="C196" s="74" t="str">
        <f>IFERROR(__xludf.DUMMYFUNCTION("""COMPUTED_VALUE"""),"AICTE")</f>
        <v>AICTE</v>
      </c>
      <c r="D196" s="74" t="str">
        <f>IFERROR(__xludf.DUMMYFUNCTION("""COMPUTED_VALUE"""),"10 weeks ")</f>
        <v>10 weeks </v>
      </c>
      <c r="E196" s="79">
        <f>IFERROR(__xludf.DUMMYFUNCTION("""COMPUTED_VALUE"""),44470.0)</f>
        <v>44470</v>
      </c>
      <c r="F196" s="79">
        <f>IFERROR(__xludf.DUMMYFUNCTION("""COMPUTED_VALUE"""),44550.0)</f>
        <v>44550</v>
      </c>
      <c r="G196" s="74" t="str">
        <f>IFERROR(__xludf.DUMMYFUNCTION("""COMPUTED_VALUE"""),"No")</f>
        <v>No</v>
      </c>
      <c r="H196" s="74" t="str">
        <f>IFERROR(__xludf.DUMMYFUNCTION("""COMPUTED_VALUE"""),"No")</f>
        <v>No</v>
      </c>
      <c r="I196" s="74">
        <f>IFERROR(__xludf.DUMMYFUNCTION("""COMPUTED_VALUE"""),0.0)</f>
        <v>0</v>
      </c>
      <c r="J196" s="80" t="str">
        <f>IFERROR(__xludf.DUMMYFUNCTION("""COMPUTED_VALUE"""),"https://drive.google.com/open?id=1WoNqhsPCw6CpuDo8tV4jbAOng5RVqDp9")</f>
        <v>https://drive.google.com/open?id=1WoNqhsPCw6CpuDo8tV4jbAOng5RVqDp9</v>
      </c>
      <c r="K196" s="74" t="str">
        <f>IFERROR(__xludf.DUMMYFUNCTION("""COMPUTED_VALUE"""),"2019-2023")</f>
        <v>2019-2023</v>
      </c>
      <c r="L196" s="74" t="str">
        <f>IFERROR(__xludf.DUMMYFUNCTION("""COMPUTED_VALUE"""),"S3: Student Internships")</f>
        <v>S3: Student Internships</v>
      </c>
      <c r="M196" s="74" t="str">
        <f>IFERROR(__xludf.DUMMYFUNCTION("""COMPUTED_VALUE"""),"aquibakthar14@gmail.com")</f>
        <v>aquibakthar14@gmail.com</v>
      </c>
      <c r="N196" s="74" t="str">
        <f>IFERROR(__xludf.DUMMYFUNCTION("""COMPUTED_VALUE"""),"SEM-6")</f>
        <v>SEM-6</v>
      </c>
      <c r="O196" s="74"/>
      <c r="P196" s="74"/>
      <c r="Q196" s="74"/>
      <c r="R196" s="74"/>
      <c r="S196" s="74"/>
      <c r="T196" s="74"/>
      <c r="U196" s="74"/>
      <c r="V196" s="74"/>
      <c r="W196" s="74"/>
      <c r="X196" s="74"/>
    </row>
    <row r="197" ht="33.0" customHeight="1">
      <c r="A197" s="74" t="str">
        <f>IFERROR(__xludf.DUMMYFUNCTION("""COMPUTED_VALUE"""),"PALAVALASA DEEPAK")</f>
        <v>PALAVALASA DEEPAK</v>
      </c>
      <c r="B197" s="74" t="str">
        <f>IFERROR(__xludf.DUMMYFUNCTION("""COMPUTED_VALUE"""),"19331A05C4")</f>
        <v>19331A05C4</v>
      </c>
      <c r="C197" s="74" t="str">
        <f>IFERROR(__xludf.DUMMYFUNCTION("""COMPUTED_VALUE"""),"AICTE")</f>
        <v>AICTE</v>
      </c>
      <c r="D197" s="74" t="str">
        <f>IFERROR(__xludf.DUMMYFUNCTION("""COMPUTED_VALUE"""),"10 weeks")</f>
        <v>10 weeks</v>
      </c>
      <c r="E197" s="79">
        <f>IFERROR(__xludf.DUMMYFUNCTION("""COMPUTED_VALUE"""),44470.0)</f>
        <v>44470</v>
      </c>
      <c r="F197" s="79">
        <f>IFERROR(__xludf.DUMMYFUNCTION("""COMPUTED_VALUE"""),44548.0)</f>
        <v>44548</v>
      </c>
      <c r="G197" s="74" t="str">
        <f>IFERROR(__xludf.DUMMYFUNCTION("""COMPUTED_VALUE"""),"No")</f>
        <v>No</v>
      </c>
      <c r="H197" s="74" t="str">
        <f>IFERROR(__xludf.DUMMYFUNCTION("""COMPUTED_VALUE"""),"No")</f>
        <v>No</v>
      </c>
      <c r="I197" s="74">
        <f>IFERROR(__xludf.DUMMYFUNCTION("""COMPUTED_VALUE"""),0.0)</f>
        <v>0</v>
      </c>
      <c r="J197" s="80" t="str">
        <f>IFERROR(__xludf.DUMMYFUNCTION("""COMPUTED_VALUE"""),"https://drive.google.com/open?id=15mXcrJWvc_Bt4LtGjORyDGzgxM4EsoY4")</f>
        <v>https://drive.google.com/open?id=15mXcrJWvc_Bt4LtGjORyDGzgxM4EsoY4</v>
      </c>
      <c r="K197" s="74" t="str">
        <f>IFERROR(__xludf.DUMMYFUNCTION("""COMPUTED_VALUE"""),"2019-2023")</f>
        <v>2019-2023</v>
      </c>
      <c r="L197" s="74" t="str">
        <f>IFERROR(__xludf.DUMMYFUNCTION("""COMPUTED_VALUE"""),"S3: Student Internships")</f>
        <v>S3: Student Internships</v>
      </c>
      <c r="M197" s="74" t="str">
        <f>IFERROR(__xludf.DUMMYFUNCTION("""COMPUTED_VALUE"""),"palavalasadeepak@gmail.com")</f>
        <v>palavalasadeepak@gmail.com</v>
      </c>
      <c r="N197" s="74" t="str">
        <f>IFERROR(__xludf.DUMMYFUNCTION("""COMPUTED_VALUE"""),"SEM-6")</f>
        <v>SEM-6</v>
      </c>
      <c r="O197" s="74"/>
      <c r="P197" s="74"/>
      <c r="Q197" s="74"/>
      <c r="R197" s="74"/>
      <c r="S197" s="74"/>
      <c r="T197" s="74"/>
      <c r="U197" s="74"/>
      <c r="V197" s="74"/>
      <c r="W197" s="74"/>
      <c r="X197" s="74"/>
    </row>
    <row r="198" ht="33.0" customHeight="1">
      <c r="A198" s="81" t="str">
        <f>IFERROR(__xludf.DUMMYFUNCTION("""COMPUTED_VALUE"""),"Mandhapati Jagannadha Rohit Varma")</f>
        <v>Mandhapati Jagannadha Rohit Varma</v>
      </c>
      <c r="B198" s="81" t="str">
        <f>IFERROR(__xludf.DUMMYFUNCTION("""COMPUTED_VALUE"""),"19331A05A3")</f>
        <v>19331A05A3</v>
      </c>
      <c r="C198" s="81" t="str">
        <f>IFERROR(__xludf.DUMMYFUNCTION("""COMPUTED_VALUE"""),"AICTE")</f>
        <v>AICTE</v>
      </c>
      <c r="D198" s="81" t="str">
        <f>IFERROR(__xludf.DUMMYFUNCTION("""COMPUTED_VALUE"""),"10 weeks")</f>
        <v>10 weeks</v>
      </c>
      <c r="E198" s="82">
        <f>IFERROR(__xludf.DUMMYFUNCTION("""COMPUTED_VALUE"""),44470.0)</f>
        <v>44470</v>
      </c>
      <c r="F198" s="82">
        <f>IFERROR(__xludf.DUMMYFUNCTION("""COMPUTED_VALUE"""),44550.0)</f>
        <v>44550</v>
      </c>
      <c r="G198" s="81" t="str">
        <f>IFERROR(__xludf.DUMMYFUNCTION("""COMPUTED_VALUE"""),"No")</f>
        <v>No</v>
      </c>
      <c r="H198" s="81" t="str">
        <f>IFERROR(__xludf.DUMMYFUNCTION("""COMPUTED_VALUE"""),"No")</f>
        <v>No</v>
      </c>
      <c r="I198" s="81">
        <f>IFERROR(__xludf.DUMMYFUNCTION("""COMPUTED_VALUE"""),0.0)</f>
        <v>0</v>
      </c>
      <c r="J198" s="83" t="str">
        <f>IFERROR(__xludf.DUMMYFUNCTION("""COMPUTED_VALUE"""),"https://drive.google.com/open?id=16EfPgRXMhvxftfQn2lOB95XlCGLdnHj1")</f>
        <v>https://drive.google.com/open?id=16EfPgRXMhvxftfQn2lOB95XlCGLdnHj1</v>
      </c>
      <c r="K198" s="81" t="str">
        <f>IFERROR(__xludf.DUMMYFUNCTION("""COMPUTED_VALUE"""),"2019-2023")</f>
        <v>2019-2023</v>
      </c>
      <c r="L198" s="81" t="str">
        <f>IFERROR(__xludf.DUMMYFUNCTION("""COMPUTED_VALUE"""),"S3: Student Internships")</f>
        <v>S3: Student Internships</v>
      </c>
      <c r="M198" s="81" t="str">
        <f>IFERROR(__xludf.DUMMYFUNCTION("""COMPUTED_VALUE"""),"rohitvarmaanrk@gmail.com")</f>
        <v>rohitvarmaanrk@gmail.com</v>
      </c>
      <c r="N198" s="81" t="str">
        <f>IFERROR(__xludf.DUMMYFUNCTION("""COMPUTED_VALUE"""),"SEM-6")</f>
        <v>SEM-6</v>
      </c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ht="33.0" customHeight="1">
      <c r="A199" s="74" t="str">
        <f>IFERROR(__xludf.DUMMYFUNCTION("""COMPUTED_VALUE"""),"Nettimi Keerthi ")</f>
        <v>Nettimi Keerthi </v>
      </c>
      <c r="B199" s="74" t="str">
        <f>IFERROR(__xludf.DUMMYFUNCTION("""COMPUTED_VALUE"""),"20335A0511")</f>
        <v>20335A0511</v>
      </c>
      <c r="C199" s="74" t="str">
        <f>IFERROR(__xludf.DUMMYFUNCTION("""COMPUTED_VALUE"""),"Aicte")</f>
        <v>Aicte</v>
      </c>
      <c r="D199" s="74" t="str">
        <f>IFERROR(__xludf.DUMMYFUNCTION("""COMPUTED_VALUE"""),"10 weeks")</f>
        <v>10 weeks</v>
      </c>
      <c r="E199" s="79">
        <f>IFERROR(__xludf.DUMMYFUNCTION("""COMPUTED_VALUE"""),44482.0)</f>
        <v>44482</v>
      </c>
      <c r="F199" s="79">
        <f>IFERROR(__xludf.DUMMYFUNCTION("""COMPUTED_VALUE"""),44561.0)</f>
        <v>44561</v>
      </c>
      <c r="G199" s="74" t="str">
        <f>IFERROR(__xludf.DUMMYFUNCTION("""COMPUTED_VALUE"""),"No")</f>
        <v>No</v>
      </c>
      <c r="H199" s="74" t="str">
        <f>IFERROR(__xludf.DUMMYFUNCTION("""COMPUTED_VALUE"""),"No")</f>
        <v>No</v>
      </c>
      <c r="I199" s="74">
        <f>IFERROR(__xludf.DUMMYFUNCTION("""COMPUTED_VALUE"""),0.0)</f>
        <v>0</v>
      </c>
      <c r="J199" s="80" t="str">
        <f>IFERROR(__xludf.DUMMYFUNCTION("""COMPUTED_VALUE"""),"https://drive.google.com/open?id=1z5qoRRucviC5eUfLACdXTrCC2XiPEf43")</f>
        <v>https://drive.google.com/open?id=1z5qoRRucviC5eUfLACdXTrCC2XiPEf43</v>
      </c>
      <c r="K199" s="74" t="str">
        <f>IFERROR(__xludf.DUMMYFUNCTION("""COMPUTED_VALUE"""),"2019-2023")</f>
        <v>2019-2023</v>
      </c>
      <c r="L199" s="74" t="str">
        <f>IFERROR(__xludf.DUMMYFUNCTION("""COMPUTED_VALUE"""),"S3: Student Internships")</f>
        <v>S3: Student Internships</v>
      </c>
      <c r="M199" s="74" t="str">
        <f>IFERROR(__xludf.DUMMYFUNCTION("""COMPUTED_VALUE"""),"keerthiu9133@gmail.com")</f>
        <v>keerthiu9133@gmail.com</v>
      </c>
      <c r="N199" s="74" t="str">
        <f>IFERROR(__xludf.DUMMYFUNCTION("""COMPUTED_VALUE"""),"SEM-6")</f>
        <v>SEM-6</v>
      </c>
      <c r="O199" s="74"/>
      <c r="P199" s="74"/>
      <c r="Q199" s="74"/>
      <c r="R199" s="74"/>
      <c r="S199" s="74"/>
      <c r="T199" s="74"/>
      <c r="U199" s="74"/>
      <c r="V199" s="74"/>
      <c r="W199" s="74"/>
      <c r="X199" s="74"/>
    </row>
    <row r="200" ht="33.0" customHeight="1">
      <c r="A200" s="74" t="str">
        <f>IFERROR(__xludf.DUMMYFUNCTION("""COMPUTED_VALUE"""),"PACHIGOLLA BALAJI")</f>
        <v>PACHIGOLLA BALAJI</v>
      </c>
      <c r="B200" s="74" t="str">
        <f>IFERROR(__xludf.DUMMYFUNCTION("""COMPUTED_VALUE"""),"19331A05C3")</f>
        <v>19331A05C3</v>
      </c>
      <c r="C200" s="74" t="str">
        <f>IFERROR(__xludf.DUMMYFUNCTION("""COMPUTED_VALUE"""),"SWECHA  ANDHRAPRADESH")</f>
        <v>SWECHA  ANDHRAPRADESH</v>
      </c>
      <c r="D200" s="74" t="str">
        <f>IFERROR(__xludf.DUMMYFUNCTION("""COMPUTED_VALUE"""),"4 WEEKS")</f>
        <v>4 WEEKS</v>
      </c>
      <c r="E200" s="79">
        <f>IFERROR(__xludf.DUMMYFUNCTION("""COMPUTED_VALUE"""),44338.0)</f>
        <v>44338</v>
      </c>
      <c r="F200" s="79">
        <f>IFERROR(__xludf.DUMMYFUNCTION("""COMPUTED_VALUE"""),44367.0)</f>
        <v>44367</v>
      </c>
      <c r="G200" s="74" t="str">
        <f>IFERROR(__xludf.DUMMYFUNCTION("""COMPUTED_VALUE"""),"No")</f>
        <v>No</v>
      </c>
      <c r="H200" s="74" t="str">
        <f>IFERROR(__xludf.DUMMYFUNCTION("""COMPUTED_VALUE"""),"No")</f>
        <v>No</v>
      </c>
      <c r="I200" s="74"/>
      <c r="J200" s="80" t="str">
        <f>IFERROR(__xludf.DUMMYFUNCTION("""COMPUTED_VALUE"""),"https://drive.google.com/open?id=1x_BIXTfnRCH2PgNshJvtshZ-vF1cnHZB")</f>
        <v>https://drive.google.com/open?id=1x_BIXTfnRCH2PgNshJvtshZ-vF1cnHZB</v>
      </c>
      <c r="K200" s="74" t="str">
        <f>IFERROR(__xludf.DUMMYFUNCTION("""COMPUTED_VALUE"""),"2019-2023")</f>
        <v>2019-2023</v>
      </c>
      <c r="L200" s="74" t="str">
        <f>IFERROR(__xludf.DUMMYFUNCTION("""COMPUTED_VALUE"""),"S3: Student Internships")</f>
        <v>S3: Student Internships</v>
      </c>
      <c r="M200" s="74" t="str">
        <f>IFERROR(__xludf.DUMMYFUNCTION("""COMPUTED_VALUE"""),"balajipachigolla2430@gmail.com")</f>
        <v>balajipachigolla2430@gmail.com</v>
      </c>
      <c r="N200" s="74" t="str">
        <f>IFERROR(__xludf.DUMMYFUNCTION("""COMPUTED_VALUE"""),"SEM-6")</f>
        <v>SEM-6</v>
      </c>
      <c r="O200" s="74"/>
      <c r="P200" s="74"/>
      <c r="Q200" s="74"/>
      <c r="R200" s="74"/>
      <c r="S200" s="74"/>
      <c r="T200" s="74"/>
      <c r="U200" s="74"/>
      <c r="V200" s="74"/>
      <c r="W200" s="74"/>
      <c r="X200" s="74"/>
    </row>
    <row r="201" ht="33.0" customHeight="1">
      <c r="A201" s="74" t="str">
        <f>IFERROR(__xludf.DUMMYFUNCTION("""COMPUTED_VALUE"""),"PACHIGOLLA BALAJI")</f>
        <v>PACHIGOLLA BALAJI</v>
      </c>
      <c r="B201" s="74" t="str">
        <f>IFERROR(__xludf.DUMMYFUNCTION("""COMPUTED_VALUE"""),"19331A05C3")</f>
        <v>19331A05C3</v>
      </c>
      <c r="C201" s="74" t="str">
        <f>IFERROR(__xludf.DUMMYFUNCTION("""COMPUTED_VALUE"""),"A.I.C.T.E")</f>
        <v>A.I.C.T.E</v>
      </c>
      <c r="D201" s="74" t="str">
        <f>IFERROR(__xludf.DUMMYFUNCTION("""COMPUTED_VALUE"""),"2 MONTHS")</f>
        <v>2 MONTHS</v>
      </c>
      <c r="E201" s="79">
        <f>IFERROR(__xludf.DUMMYFUNCTION("""COMPUTED_VALUE"""),44481.0)</f>
        <v>44481</v>
      </c>
      <c r="F201" s="79">
        <f>IFERROR(__xludf.DUMMYFUNCTION("""COMPUTED_VALUE"""),44546.0)</f>
        <v>44546</v>
      </c>
      <c r="G201" s="74" t="str">
        <f>IFERROR(__xludf.DUMMYFUNCTION("""COMPUTED_VALUE"""),"No")</f>
        <v>No</v>
      </c>
      <c r="H201" s="74" t="str">
        <f>IFERROR(__xludf.DUMMYFUNCTION("""COMPUTED_VALUE"""),"No")</f>
        <v>No</v>
      </c>
      <c r="I201" s="74"/>
      <c r="J201" s="80" t="str">
        <f>IFERROR(__xludf.DUMMYFUNCTION("""COMPUTED_VALUE"""),"https://drive.google.com/open?id=1DPKlngYtFBv-gn6PewUNWPkdHUVNdAf2")</f>
        <v>https://drive.google.com/open?id=1DPKlngYtFBv-gn6PewUNWPkdHUVNdAf2</v>
      </c>
      <c r="K201" s="74" t="str">
        <f>IFERROR(__xludf.DUMMYFUNCTION("""COMPUTED_VALUE"""),"2019-2023")</f>
        <v>2019-2023</v>
      </c>
      <c r="L201" s="74" t="str">
        <f>IFERROR(__xludf.DUMMYFUNCTION("""COMPUTED_VALUE"""),"S3: Student Internships")</f>
        <v>S3: Student Internships</v>
      </c>
      <c r="M201" s="74" t="str">
        <f>IFERROR(__xludf.DUMMYFUNCTION("""COMPUTED_VALUE"""),"balajipachigolla2430@gmail.com")</f>
        <v>balajipachigolla2430@gmail.com</v>
      </c>
      <c r="N201" s="74" t="str">
        <f>IFERROR(__xludf.DUMMYFUNCTION("""COMPUTED_VALUE"""),"SEM-6")</f>
        <v>SEM-6</v>
      </c>
      <c r="O201" s="74"/>
      <c r="P201" s="74"/>
      <c r="Q201" s="74"/>
      <c r="R201" s="74"/>
      <c r="S201" s="74"/>
      <c r="T201" s="74"/>
      <c r="U201" s="74"/>
      <c r="V201" s="74"/>
      <c r="W201" s="74"/>
      <c r="X201" s="74"/>
    </row>
    <row r="202" ht="33.0" customHeight="1">
      <c r="A202" s="81" t="str">
        <f>IFERROR(__xludf.DUMMYFUNCTION("""COMPUTED_VALUE"""),"KALIPINDI SAI MITHILESH")</f>
        <v>KALIPINDI SAI MITHILESH</v>
      </c>
      <c r="B202" s="81" t="str">
        <f>IFERROR(__xludf.DUMMYFUNCTION("""COMPUTED_VALUE"""),"19331A0569")</f>
        <v>19331A0569</v>
      </c>
      <c r="C202" s="81" t="str">
        <f>IFERROR(__xludf.DUMMYFUNCTION("""COMPUTED_VALUE"""),"AICTE")</f>
        <v>AICTE</v>
      </c>
      <c r="D202" s="81" t="str">
        <f>IFERROR(__xludf.DUMMYFUNCTION("""COMPUTED_VALUE"""),"10 weeks")</f>
        <v>10 weeks</v>
      </c>
      <c r="E202" s="82">
        <f>IFERROR(__xludf.DUMMYFUNCTION("""COMPUTED_VALUE"""),44470.0)</f>
        <v>44470</v>
      </c>
      <c r="F202" s="82">
        <f>IFERROR(__xludf.DUMMYFUNCTION("""COMPUTED_VALUE"""),44550.0)</f>
        <v>44550</v>
      </c>
      <c r="G202" s="81" t="str">
        <f>IFERROR(__xludf.DUMMYFUNCTION("""COMPUTED_VALUE"""),"No")</f>
        <v>No</v>
      </c>
      <c r="H202" s="81" t="str">
        <f>IFERROR(__xludf.DUMMYFUNCTION("""COMPUTED_VALUE"""),"No")</f>
        <v>No</v>
      </c>
      <c r="I202" s="81">
        <f>IFERROR(__xludf.DUMMYFUNCTION("""COMPUTED_VALUE"""),0.0)</f>
        <v>0</v>
      </c>
      <c r="J202" s="83" t="str">
        <f>IFERROR(__xludf.DUMMYFUNCTION("""COMPUTED_VALUE"""),"https://drive.google.com/open?id=1GxEiAhwlH7M4WPN8nPjG2jL38OmW-Aip")</f>
        <v>https://drive.google.com/open?id=1GxEiAhwlH7M4WPN8nPjG2jL38OmW-Aip</v>
      </c>
      <c r="K202" s="81" t="str">
        <f>IFERROR(__xludf.DUMMYFUNCTION("""COMPUTED_VALUE"""),"2019-2023")</f>
        <v>2019-2023</v>
      </c>
      <c r="L202" s="81" t="str">
        <f>IFERROR(__xludf.DUMMYFUNCTION("""COMPUTED_VALUE"""),"S3: Student Internships")</f>
        <v>S3: Student Internships</v>
      </c>
      <c r="M202" s="81" t="str">
        <f>IFERROR(__xludf.DUMMYFUNCTION("""COMPUTED_VALUE"""),"akhilmithilesh@gmail.com")</f>
        <v>akhilmithilesh@gmail.com</v>
      </c>
      <c r="N202" s="81" t="str">
        <f>IFERROR(__xludf.DUMMYFUNCTION("""COMPUTED_VALUE"""),"SEM-6")</f>
        <v>SEM-6</v>
      </c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ht="33.0" customHeight="1">
      <c r="A203" s="74" t="str">
        <f>IFERROR(__xludf.DUMMYFUNCTION("""COMPUTED_VALUE"""),"Naik Sampath Srinath")</f>
        <v>Naik Sampath Srinath</v>
      </c>
      <c r="B203" s="74" t="str">
        <f>IFERROR(__xludf.DUMMYFUNCTION("""COMPUTED_VALUE"""),"19331A05B5")</f>
        <v>19331A05B5</v>
      </c>
      <c r="C203" s="74" t="str">
        <f>IFERROR(__xludf.DUMMYFUNCTION("""COMPUTED_VALUE"""),"Robotic Process Automation Virtual Internship")</f>
        <v>Robotic Process Automation Virtual Internship</v>
      </c>
      <c r="D203" s="74" t="str">
        <f>IFERROR(__xludf.DUMMYFUNCTION("""COMPUTED_VALUE"""),"3 months")</f>
        <v>3 months</v>
      </c>
      <c r="E203" s="79">
        <f>IFERROR(__xludf.DUMMYFUNCTION("""COMPUTED_VALUE"""),44478.0)</f>
        <v>44478</v>
      </c>
      <c r="F203" s="79">
        <f>IFERROR(__xludf.DUMMYFUNCTION("""COMPUTED_VALUE"""),44560.0)</f>
        <v>44560</v>
      </c>
      <c r="G203" s="74" t="str">
        <f>IFERROR(__xludf.DUMMYFUNCTION("""COMPUTED_VALUE"""),"No")</f>
        <v>No</v>
      </c>
      <c r="H203" s="74" t="str">
        <f>IFERROR(__xludf.DUMMYFUNCTION("""COMPUTED_VALUE"""),"No")</f>
        <v>No</v>
      </c>
      <c r="I203" s="74">
        <f>IFERROR(__xludf.DUMMYFUNCTION("""COMPUTED_VALUE"""),0.0)</f>
        <v>0</v>
      </c>
      <c r="J203" s="80" t="str">
        <f>IFERROR(__xludf.DUMMYFUNCTION("""COMPUTED_VALUE"""),"https://drive.google.com/open?id=1fb1kZUsxwv_gjIzVnJtm_GRu7jWNed_G")</f>
        <v>https://drive.google.com/open?id=1fb1kZUsxwv_gjIzVnJtm_GRu7jWNed_G</v>
      </c>
      <c r="K203" s="74" t="str">
        <f>IFERROR(__xludf.DUMMYFUNCTION("""COMPUTED_VALUE"""),"2019-2023")</f>
        <v>2019-2023</v>
      </c>
      <c r="L203" s="74" t="str">
        <f>IFERROR(__xludf.DUMMYFUNCTION("""COMPUTED_VALUE"""),"S3: Student Internships")</f>
        <v>S3: Student Internships</v>
      </c>
      <c r="M203" s="74" t="str">
        <f>IFERROR(__xludf.DUMMYFUNCTION("""COMPUTED_VALUE"""),"dubla1503@gmail.com")</f>
        <v>dubla1503@gmail.com</v>
      </c>
      <c r="N203" s="74" t="str">
        <f>IFERROR(__xludf.DUMMYFUNCTION("""COMPUTED_VALUE"""),"SEM-6")</f>
        <v>SEM-6</v>
      </c>
      <c r="O203" s="74"/>
      <c r="P203" s="74"/>
      <c r="Q203" s="74"/>
      <c r="R203" s="74"/>
      <c r="S203" s="74"/>
      <c r="T203" s="74"/>
      <c r="U203" s="74"/>
      <c r="V203" s="74"/>
      <c r="W203" s="74"/>
      <c r="X203" s="74"/>
    </row>
    <row r="204" ht="33.0" customHeight="1">
      <c r="A204" s="81" t="str">
        <f>IFERROR(__xludf.DUMMYFUNCTION("""COMPUTED_VALUE"""),"N CHANDRA SEKHAR REDDY ")</f>
        <v>N CHANDRA SEKHAR REDDY </v>
      </c>
      <c r="B204" s="81" t="str">
        <f>IFERROR(__xludf.DUMMYFUNCTION("""COMPUTED_VALUE"""),"19331A05B7")</f>
        <v>19331A05B7</v>
      </c>
      <c r="C204" s="81" t="str">
        <f>IFERROR(__xludf.DUMMYFUNCTION("""COMPUTED_VALUE"""),"Robotic Process Automation (RPA) Virtual Internship")</f>
        <v>Robotic Process Automation (RPA) Virtual Internship</v>
      </c>
      <c r="D204" s="81" t="str">
        <f>IFERROR(__xludf.DUMMYFUNCTION("""COMPUTED_VALUE"""),"3 months")</f>
        <v>3 months</v>
      </c>
      <c r="E204" s="82">
        <f>IFERROR(__xludf.DUMMYFUNCTION("""COMPUTED_VALUE"""),44482.0)</f>
        <v>44482</v>
      </c>
      <c r="F204" s="82">
        <f>IFERROR(__xludf.DUMMYFUNCTION("""COMPUTED_VALUE"""),44551.0)</f>
        <v>44551</v>
      </c>
      <c r="G204" s="81" t="str">
        <f>IFERROR(__xludf.DUMMYFUNCTION("""COMPUTED_VALUE"""),"No")</f>
        <v>No</v>
      </c>
      <c r="H204" s="81" t="str">
        <f>IFERROR(__xludf.DUMMYFUNCTION("""COMPUTED_VALUE"""),"No")</f>
        <v>No</v>
      </c>
      <c r="I204" s="81">
        <f>IFERROR(__xludf.DUMMYFUNCTION("""COMPUTED_VALUE"""),0.0)</f>
        <v>0</v>
      </c>
      <c r="J204" s="83" t="str">
        <f>IFERROR(__xludf.DUMMYFUNCTION("""COMPUTED_VALUE"""),"https://drive.google.com/open?id=1S4Em5z-nMBzFWKlFskuJ-_nPet5m_M4S")</f>
        <v>https://drive.google.com/open?id=1S4Em5z-nMBzFWKlFskuJ-_nPet5m_M4S</v>
      </c>
      <c r="K204" s="81" t="str">
        <f>IFERROR(__xludf.DUMMYFUNCTION("""COMPUTED_VALUE"""),"2019-2023")</f>
        <v>2019-2023</v>
      </c>
      <c r="L204" s="81" t="str">
        <f>IFERROR(__xludf.DUMMYFUNCTION("""COMPUTED_VALUE"""),"S3: Student Internships")</f>
        <v>S3: Student Internships</v>
      </c>
      <c r="M204" s="81" t="str">
        <f>IFERROR(__xludf.DUMMYFUNCTION("""COMPUTED_VALUE"""),"ncsreddy143@gmail.com")</f>
        <v>ncsreddy143@gmail.com</v>
      </c>
      <c r="N204" s="81" t="str">
        <f>IFERROR(__xludf.DUMMYFUNCTION("""COMPUTED_VALUE"""),"SEM-6")</f>
        <v>SEM-6</v>
      </c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ht="33.0" customHeight="1">
      <c r="A205" s="74" t="str">
        <f>IFERROR(__xludf.DUMMYFUNCTION("""COMPUTED_VALUE"""),"INDRANI KOTTEDA")</f>
        <v>INDRANI KOTTEDA</v>
      </c>
      <c r="B205" s="74" t="str">
        <f>IFERROR(__xludf.DUMMYFUNCTION("""COMPUTED_VALUE"""),"19331A0586")</f>
        <v>19331A0586</v>
      </c>
      <c r="C205" s="74" t="str">
        <f>IFERROR(__xludf.DUMMYFUNCTION("""COMPUTED_VALUE"""),"AICTE")</f>
        <v>AICTE</v>
      </c>
      <c r="D205" s="74" t="str">
        <f>IFERROR(__xludf.DUMMYFUNCTION("""COMPUTED_VALUE"""),"10 WEEKS")</f>
        <v>10 WEEKS</v>
      </c>
      <c r="E205" s="79">
        <f>IFERROR(__xludf.DUMMYFUNCTION("""COMPUTED_VALUE"""),44482.0)</f>
        <v>44482</v>
      </c>
      <c r="F205" s="79">
        <f>IFERROR(__xludf.DUMMYFUNCTION("""COMPUTED_VALUE"""),44542.0)</f>
        <v>44542</v>
      </c>
      <c r="G205" s="74" t="str">
        <f>IFERROR(__xludf.DUMMYFUNCTION("""COMPUTED_VALUE"""),"No")</f>
        <v>No</v>
      </c>
      <c r="H205" s="74" t="str">
        <f>IFERROR(__xludf.DUMMYFUNCTION("""COMPUTED_VALUE"""),"No")</f>
        <v>No</v>
      </c>
      <c r="I205" s="74">
        <f>IFERROR(__xludf.DUMMYFUNCTION("""COMPUTED_VALUE"""),0.0)</f>
        <v>0</v>
      </c>
      <c r="J205" s="80" t="str">
        <f>IFERROR(__xludf.DUMMYFUNCTION("""COMPUTED_VALUE"""),"https://drive.google.com/open?id=1-Ha61281VtYuV0U9RABnOwwuxVxhaiUy")</f>
        <v>https://drive.google.com/open?id=1-Ha61281VtYuV0U9RABnOwwuxVxhaiUy</v>
      </c>
      <c r="K205" s="74" t="str">
        <f>IFERROR(__xludf.DUMMYFUNCTION("""COMPUTED_VALUE"""),"2019-2023")</f>
        <v>2019-2023</v>
      </c>
      <c r="L205" s="74" t="str">
        <f>IFERROR(__xludf.DUMMYFUNCTION("""COMPUTED_VALUE"""),"S3: Student Internships")</f>
        <v>S3: Student Internships</v>
      </c>
      <c r="M205" s="74" t="str">
        <f>IFERROR(__xludf.DUMMYFUNCTION("""COMPUTED_VALUE"""),"indranikotteda@gmail.com")</f>
        <v>indranikotteda@gmail.com</v>
      </c>
      <c r="N205" s="74" t="str">
        <f>IFERROR(__xludf.DUMMYFUNCTION("""COMPUTED_VALUE"""),"SEM-6")</f>
        <v>SEM-6</v>
      </c>
      <c r="O205" s="74"/>
      <c r="P205" s="74"/>
      <c r="Q205" s="74"/>
      <c r="R205" s="74"/>
      <c r="S205" s="74"/>
      <c r="T205" s="74"/>
      <c r="U205" s="74"/>
      <c r="V205" s="74"/>
      <c r="W205" s="74"/>
      <c r="X205" s="74"/>
    </row>
    <row r="206" ht="33.0" customHeight="1">
      <c r="A206" s="74" t="str">
        <f>IFERROR(__xludf.DUMMYFUNCTION("""COMPUTED_VALUE"""),"KARRI SUBBARAO VINEETH")</f>
        <v>KARRI SUBBARAO VINEETH</v>
      </c>
      <c r="B206" s="74" t="str">
        <f>IFERROR(__xludf.DUMMYFUNCTION("""COMPUTED_VALUE"""),"19331A0575")</f>
        <v>19331A0575</v>
      </c>
      <c r="C206" s="74" t="str">
        <f>IFERROR(__xludf.DUMMYFUNCTION("""COMPUTED_VALUE"""),"RPA: ROBOTIC PROCESS AND AUTOMATION ")</f>
        <v>RPA: ROBOTIC PROCESS AND AUTOMATION </v>
      </c>
      <c r="D206" s="74" t="str">
        <f>IFERROR(__xludf.DUMMYFUNCTION("""COMPUTED_VALUE"""),"3 montha")</f>
        <v>3 montha</v>
      </c>
      <c r="E206" s="79">
        <f>IFERROR(__xludf.DUMMYFUNCTION("""COMPUTED_VALUE"""),44470.0)</f>
        <v>44470</v>
      </c>
      <c r="F206" s="79">
        <f>IFERROR(__xludf.DUMMYFUNCTION("""COMPUTED_VALUE"""),44539.0)</f>
        <v>44539</v>
      </c>
      <c r="G206" s="74" t="str">
        <f>IFERROR(__xludf.DUMMYFUNCTION("""COMPUTED_VALUE"""),"No")</f>
        <v>No</v>
      </c>
      <c r="H206" s="74" t="str">
        <f>IFERROR(__xludf.DUMMYFUNCTION("""COMPUTED_VALUE"""),"No")</f>
        <v>No</v>
      </c>
      <c r="I206" s="74">
        <f>IFERROR(__xludf.DUMMYFUNCTION("""COMPUTED_VALUE"""),0.0)</f>
        <v>0</v>
      </c>
      <c r="J206" s="80" t="str">
        <f>IFERROR(__xludf.DUMMYFUNCTION("""COMPUTED_VALUE"""),"https://drive.google.com/open?id=1XgvJ51Pkeyws4fvV5FhfV7xzcMjyJ3QH")</f>
        <v>https://drive.google.com/open?id=1XgvJ51Pkeyws4fvV5FhfV7xzcMjyJ3QH</v>
      </c>
      <c r="K206" s="74" t="str">
        <f>IFERROR(__xludf.DUMMYFUNCTION("""COMPUTED_VALUE"""),"2019-2023")</f>
        <v>2019-2023</v>
      </c>
      <c r="L206" s="74" t="str">
        <f>IFERROR(__xludf.DUMMYFUNCTION("""COMPUTED_VALUE"""),"S3: Student Internships")</f>
        <v>S3: Student Internships</v>
      </c>
      <c r="M206" s="74" t="str">
        <f>IFERROR(__xludf.DUMMYFUNCTION("""COMPUTED_VALUE"""),"karri.vineeth24@gmail.com")</f>
        <v>karri.vineeth24@gmail.com</v>
      </c>
      <c r="N206" s="74" t="str">
        <f>IFERROR(__xludf.DUMMYFUNCTION("""COMPUTED_VALUE"""),"SEM-6")</f>
        <v>SEM-6</v>
      </c>
      <c r="O206" s="74"/>
      <c r="P206" s="74"/>
      <c r="Q206" s="74"/>
      <c r="R206" s="74"/>
      <c r="S206" s="74"/>
      <c r="T206" s="74"/>
      <c r="U206" s="74"/>
      <c r="V206" s="74"/>
      <c r="W206" s="74"/>
      <c r="X206" s="74"/>
    </row>
    <row r="207" ht="33.0" customHeight="1">
      <c r="A207" s="74" t="str">
        <f>IFERROR(__xludf.DUMMYFUNCTION("""COMPUTED_VALUE"""),"Neelam Pavani Lakshmi")</f>
        <v>Neelam Pavani Lakshmi</v>
      </c>
      <c r="B207" s="74" t="str">
        <f>IFERROR(__xludf.DUMMYFUNCTION("""COMPUTED_VALUE"""),"19331A05C1")</f>
        <v>19331A05C1</v>
      </c>
      <c r="C207" s="74" t="str">
        <f>IFERROR(__xludf.DUMMYFUNCTION("""COMPUTED_VALUE"""),"AICTE RPA Blueprism university")</f>
        <v>AICTE RPA Blueprism university</v>
      </c>
      <c r="D207" s="74" t="str">
        <f>IFERROR(__xludf.DUMMYFUNCTION("""COMPUTED_VALUE"""),"2")</f>
        <v>2</v>
      </c>
      <c r="E207" s="79">
        <f>IFERROR(__xludf.DUMMYFUNCTION("""COMPUTED_VALUE"""),44491.0)</f>
        <v>44491</v>
      </c>
      <c r="F207" s="79">
        <f>IFERROR(__xludf.DUMMYFUNCTION("""COMPUTED_VALUE"""),44560.0)</f>
        <v>44560</v>
      </c>
      <c r="G207" s="74" t="str">
        <f>IFERROR(__xludf.DUMMYFUNCTION("""COMPUTED_VALUE"""),"No")</f>
        <v>No</v>
      </c>
      <c r="H207" s="74" t="str">
        <f>IFERROR(__xludf.DUMMYFUNCTION("""COMPUTED_VALUE"""),"No")</f>
        <v>No</v>
      </c>
      <c r="I207" s="74">
        <f>IFERROR(__xludf.DUMMYFUNCTION("""COMPUTED_VALUE"""),0.0)</f>
        <v>0</v>
      </c>
      <c r="J207" s="80" t="str">
        <f>IFERROR(__xludf.DUMMYFUNCTION("""COMPUTED_VALUE"""),"https://drive.google.com/open?id=1ZzOJB7gPzVFItugqFdfXUyyoEf5kS1iM")</f>
        <v>https://drive.google.com/open?id=1ZzOJB7gPzVFItugqFdfXUyyoEf5kS1iM</v>
      </c>
      <c r="K207" s="74" t="str">
        <f>IFERROR(__xludf.DUMMYFUNCTION("""COMPUTED_VALUE"""),"2019-2023")</f>
        <v>2019-2023</v>
      </c>
      <c r="L207" s="74" t="str">
        <f>IFERROR(__xludf.DUMMYFUNCTION("""COMPUTED_VALUE"""),"S3: Student Internships")</f>
        <v>S3: Student Internships</v>
      </c>
      <c r="M207" s="74" t="str">
        <f>IFERROR(__xludf.DUMMYFUNCTION("""COMPUTED_VALUE"""),"npavanilaxmi@gmail.com")</f>
        <v>npavanilaxmi@gmail.com</v>
      </c>
      <c r="N207" s="74" t="str">
        <f>IFERROR(__xludf.DUMMYFUNCTION("""COMPUTED_VALUE"""),"SEM-6")</f>
        <v>SEM-6</v>
      </c>
      <c r="O207" s="74"/>
      <c r="P207" s="74"/>
      <c r="Q207" s="74"/>
      <c r="R207" s="74"/>
      <c r="S207" s="74"/>
      <c r="T207" s="74"/>
      <c r="U207" s="74"/>
      <c r="V207" s="74"/>
      <c r="W207" s="74"/>
      <c r="X207" s="74"/>
    </row>
    <row r="208" ht="33.0" customHeight="1">
      <c r="A208" s="74" t="str">
        <f>IFERROR(__xludf.DUMMYFUNCTION("""COMPUTED_VALUE"""),"Neelam Pavani Lakshmi")</f>
        <v>Neelam Pavani Lakshmi</v>
      </c>
      <c r="B208" s="74" t="str">
        <f>IFERROR(__xludf.DUMMYFUNCTION("""COMPUTED_VALUE"""),"19331A05C1")</f>
        <v>19331A05C1</v>
      </c>
      <c r="C208" s="74" t="str">
        <f>IFERROR(__xludf.DUMMYFUNCTION("""COMPUTED_VALUE"""),"Swecha Andhra Pradesh")</f>
        <v>Swecha Andhra Pradesh</v>
      </c>
      <c r="D208" s="74" t="str">
        <f>IFERROR(__xludf.DUMMYFUNCTION("""COMPUTED_VALUE"""),"1")</f>
        <v>1</v>
      </c>
      <c r="E208" s="79">
        <f>IFERROR(__xludf.DUMMYFUNCTION("""COMPUTED_VALUE"""),44338.0)</f>
        <v>44338</v>
      </c>
      <c r="F208" s="79">
        <f>IFERROR(__xludf.DUMMYFUNCTION("""COMPUTED_VALUE"""),44367.0)</f>
        <v>44367</v>
      </c>
      <c r="G208" s="74" t="str">
        <f>IFERROR(__xludf.DUMMYFUNCTION("""COMPUTED_VALUE"""),"No")</f>
        <v>No</v>
      </c>
      <c r="H208" s="74" t="str">
        <f>IFERROR(__xludf.DUMMYFUNCTION("""COMPUTED_VALUE"""),"No")</f>
        <v>No</v>
      </c>
      <c r="I208" s="74">
        <f>IFERROR(__xludf.DUMMYFUNCTION("""COMPUTED_VALUE"""),0.0)</f>
        <v>0</v>
      </c>
      <c r="J208" s="80" t="str">
        <f>IFERROR(__xludf.DUMMYFUNCTION("""COMPUTED_VALUE"""),"https://drive.google.com/open?id=1ue-ux8Cpjtu4KvYKQh2r03W6M6lNHp9b")</f>
        <v>https://drive.google.com/open?id=1ue-ux8Cpjtu4KvYKQh2r03W6M6lNHp9b</v>
      </c>
      <c r="K208" s="74" t="str">
        <f>IFERROR(__xludf.DUMMYFUNCTION("""COMPUTED_VALUE"""),"2019-2023")</f>
        <v>2019-2023</v>
      </c>
      <c r="L208" s="74" t="str">
        <f>IFERROR(__xludf.DUMMYFUNCTION("""COMPUTED_VALUE"""),"S3: Student Internships")</f>
        <v>S3: Student Internships</v>
      </c>
      <c r="M208" s="74" t="str">
        <f>IFERROR(__xludf.DUMMYFUNCTION("""COMPUTED_VALUE"""),"npavanilaxmi@gmail.com")</f>
        <v>npavanilaxmi@gmail.com</v>
      </c>
      <c r="N208" s="74" t="str">
        <f>IFERROR(__xludf.DUMMYFUNCTION("""COMPUTED_VALUE"""),"SEM-6")</f>
        <v>SEM-6</v>
      </c>
      <c r="O208" s="74"/>
      <c r="P208" s="74"/>
      <c r="Q208" s="74"/>
      <c r="R208" s="74"/>
      <c r="S208" s="74"/>
      <c r="T208" s="74"/>
      <c r="U208" s="74"/>
      <c r="V208" s="74"/>
      <c r="W208" s="74"/>
      <c r="X208" s="74"/>
    </row>
    <row r="209" ht="33.0" customHeight="1">
      <c r="A209" s="81" t="str">
        <f>IFERROR(__xludf.DUMMYFUNCTION("""COMPUTED_VALUE"""),"YUVA KISHORE KOLLI")</f>
        <v>YUVA KISHORE KOLLI</v>
      </c>
      <c r="B209" s="81" t="str">
        <f>IFERROR(__xludf.DUMMYFUNCTION("""COMPUTED_VALUE"""),"19331A0581")</f>
        <v>19331A0581</v>
      </c>
      <c r="C209" s="81" t="str">
        <f>IFERROR(__xludf.DUMMYFUNCTION("""COMPUTED_VALUE"""),"AICTE")</f>
        <v>AICTE</v>
      </c>
      <c r="D209" s="81" t="str">
        <f>IFERROR(__xludf.DUMMYFUNCTION("""COMPUTED_VALUE"""),"3 MONTHS")</f>
        <v>3 MONTHS</v>
      </c>
      <c r="E209" s="82">
        <f>IFERROR(__xludf.DUMMYFUNCTION("""COMPUTED_VALUE"""),44491.0)</f>
        <v>44491</v>
      </c>
      <c r="F209" s="82">
        <f>IFERROR(__xludf.DUMMYFUNCTION("""COMPUTED_VALUE"""),44545.0)</f>
        <v>44545</v>
      </c>
      <c r="G209" s="81" t="str">
        <f>IFERROR(__xludf.DUMMYFUNCTION("""COMPUTED_VALUE"""),"No")</f>
        <v>No</v>
      </c>
      <c r="H209" s="81" t="str">
        <f>IFERROR(__xludf.DUMMYFUNCTION("""COMPUTED_VALUE"""),"No")</f>
        <v>No</v>
      </c>
      <c r="I209" s="81">
        <f>IFERROR(__xludf.DUMMYFUNCTION("""COMPUTED_VALUE"""),0.0)</f>
        <v>0</v>
      </c>
      <c r="J209" s="83" t="str">
        <f>IFERROR(__xludf.DUMMYFUNCTION("""COMPUTED_VALUE"""),"https://drive.google.com/open?id=11QhyvruSzCeSLgqVqS5k-y5T050SAqNf")</f>
        <v>https://drive.google.com/open?id=11QhyvruSzCeSLgqVqS5k-y5T050SAqNf</v>
      </c>
      <c r="K209" s="81" t="str">
        <f>IFERROR(__xludf.DUMMYFUNCTION("""COMPUTED_VALUE"""),"2019-2023")</f>
        <v>2019-2023</v>
      </c>
      <c r="L209" s="81" t="str">
        <f>IFERROR(__xludf.DUMMYFUNCTION("""COMPUTED_VALUE"""),"S3: Student Internships")</f>
        <v>S3: Student Internships</v>
      </c>
      <c r="M209" s="81" t="str">
        <f>IFERROR(__xludf.DUMMYFUNCTION("""COMPUTED_VALUE"""),"yuvakishorekolli@gmail.com")</f>
        <v>yuvakishorekolli@gmail.com</v>
      </c>
      <c r="N209" s="81" t="str">
        <f>IFERROR(__xludf.DUMMYFUNCTION("""COMPUTED_VALUE"""),"SEM-6")</f>
        <v>SEM-6</v>
      </c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ht="33.0" customHeight="1">
      <c r="A210" s="74" t="str">
        <f>IFERROR(__xludf.DUMMYFUNCTION("""COMPUTED_VALUE"""),"PECHETTI MOHAN SUBHA VARSHITH")</f>
        <v>PECHETTI MOHAN SUBHA VARSHITH</v>
      </c>
      <c r="B210" s="74" t="str">
        <f>IFERROR(__xludf.DUMMYFUNCTION("""COMPUTED_VALUE"""),"19331A05C7")</f>
        <v>19331A05C7</v>
      </c>
      <c r="C210" s="74" t="str">
        <f>IFERROR(__xludf.DUMMYFUNCTION("""COMPUTED_VALUE"""),"INMOVIDU")</f>
        <v>INMOVIDU</v>
      </c>
      <c r="D210" s="74" t="str">
        <f>IFERROR(__xludf.DUMMYFUNCTION("""COMPUTED_VALUE"""),"1 month")</f>
        <v>1 month</v>
      </c>
      <c r="E210" s="79">
        <f>IFERROR(__xludf.DUMMYFUNCTION("""COMPUTED_VALUE"""),44008.0)</f>
        <v>44008</v>
      </c>
      <c r="F210" s="79">
        <f>IFERROR(__xludf.DUMMYFUNCTION("""COMPUTED_VALUE"""),44038.0)</f>
        <v>44038</v>
      </c>
      <c r="G210" s="74" t="str">
        <f>IFERROR(__xludf.DUMMYFUNCTION("""COMPUTED_VALUE"""),"No")</f>
        <v>No</v>
      </c>
      <c r="H210" s="74" t="str">
        <f>IFERROR(__xludf.DUMMYFUNCTION("""COMPUTED_VALUE"""),"Yes")</f>
        <v>Yes</v>
      </c>
      <c r="I210" s="74">
        <f>IFERROR(__xludf.DUMMYFUNCTION("""COMPUTED_VALUE"""),1500.0)</f>
        <v>1500</v>
      </c>
      <c r="J210" s="80" t="str">
        <f>IFERROR(__xludf.DUMMYFUNCTION("""COMPUTED_VALUE"""),"https://drive.google.com/open?id=1XYELkk9hhc-ZUcVhi1i7iXuEDI80zcoG")</f>
        <v>https://drive.google.com/open?id=1XYELkk9hhc-ZUcVhi1i7iXuEDI80zcoG</v>
      </c>
      <c r="K210" s="74" t="str">
        <f>IFERROR(__xludf.DUMMYFUNCTION("""COMPUTED_VALUE"""),"2019-2023")</f>
        <v>2019-2023</v>
      </c>
      <c r="L210" s="74" t="str">
        <f>IFERROR(__xludf.DUMMYFUNCTION("""COMPUTED_VALUE"""),"S3: Student Internships")</f>
        <v>S3: Student Internships</v>
      </c>
      <c r="M210" s="74" t="str">
        <f>IFERROR(__xludf.DUMMYFUNCTION("""COMPUTED_VALUE"""),"subhavarshith@gmail.com")</f>
        <v>subhavarshith@gmail.com</v>
      </c>
      <c r="N210" s="74" t="str">
        <f>IFERROR(__xludf.DUMMYFUNCTION("""COMPUTED_VALUE"""),"SEM-6")</f>
        <v>SEM-6</v>
      </c>
      <c r="O210" s="74"/>
      <c r="P210" s="74"/>
      <c r="Q210" s="74"/>
      <c r="R210" s="74"/>
      <c r="S210" s="74"/>
      <c r="T210" s="74"/>
      <c r="U210" s="74"/>
      <c r="V210" s="74"/>
      <c r="W210" s="74"/>
      <c r="X210" s="74"/>
    </row>
    <row r="211" ht="33.0" customHeight="1">
      <c r="A211" s="74" t="str">
        <f>IFERROR(__xludf.DUMMYFUNCTION("""COMPUTED_VALUE"""),"Neelam Pavani Lakshmi")</f>
        <v>Neelam Pavani Lakshmi</v>
      </c>
      <c r="B211" s="74" t="str">
        <f>IFERROR(__xludf.DUMMYFUNCTION("""COMPUTED_VALUE"""),"19331A05C1")</f>
        <v>19331A05C1</v>
      </c>
      <c r="C211" s="74" t="str">
        <f>IFERROR(__xludf.DUMMYFUNCTION("""COMPUTED_VALUE"""),"Pantech Solutions")</f>
        <v>Pantech Solutions</v>
      </c>
      <c r="D211" s="74" t="str">
        <f>IFERROR(__xludf.DUMMYFUNCTION("""COMPUTED_VALUE"""),"15 days")</f>
        <v>15 days</v>
      </c>
      <c r="E211" s="79">
        <f>IFERROR(__xludf.DUMMYFUNCTION("""COMPUTED_VALUE"""),44484.0)</f>
        <v>44484</v>
      </c>
      <c r="F211" s="79">
        <f>IFERROR(__xludf.DUMMYFUNCTION("""COMPUTED_VALUE"""),44500.0)</f>
        <v>44500</v>
      </c>
      <c r="G211" s="74" t="str">
        <f>IFERROR(__xludf.DUMMYFUNCTION("""COMPUTED_VALUE"""),"No")</f>
        <v>No</v>
      </c>
      <c r="H211" s="74" t="str">
        <f>IFERROR(__xludf.DUMMYFUNCTION("""COMPUTED_VALUE"""),"Yes")</f>
        <v>Yes</v>
      </c>
      <c r="I211" s="74">
        <f>IFERROR(__xludf.DUMMYFUNCTION("""COMPUTED_VALUE"""),1000.0)</f>
        <v>1000</v>
      </c>
      <c r="J211" s="80" t="str">
        <f>IFERROR(__xludf.DUMMYFUNCTION("""COMPUTED_VALUE"""),"https://drive.google.com/open?id=1hJwllbyWVtiJd0_j6718VVsiFLuqJUgO")</f>
        <v>https://drive.google.com/open?id=1hJwllbyWVtiJd0_j6718VVsiFLuqJUgO</v>
      </c>
      <c r="K211" s="74" t="str">
        <f>IFERROR(__xludf.DUMMYFUNCTION("""COMPUTED_VALUE"""),"2019-2023")</f>
        <v>2019-2023</v>
      </c>
      <c r="L211" s="74" t="str">
        <f>IFERROR(__xludf.DUMMYFUNCTION("""COMPUTED_VALUE"""),"S3: Student Internships")</f>
        <v>S3: Student Internships</v>
      </c>
      <c r="M211" s="74" t="str">
        <f>IFERROR(__xludf.DUMMYFUNCTION("""COMPUTED_VALUE"""),"npavanilaxmi@gmail.com")</f>
        <v>npavanilaxmi@gmail.com</v>
      </c>
      <c r="N211" s="74" t="str">
        <f>IFERROR(__xludf.DUMMYFUNCTION("""COMPUTED_VALUE"""),"SEM-6")</f>
        <v>SEM-6</v>
      </c>
      <c r="O211" s="74"/>
      <c r="P211" s="74"/>
      <c r="Q211" s="74"/>
      <c r="R211" s="74"/>
      <c r="S211" s="74"/>
      <c r="T211" s="74"/>
      <c r="U211" s="74"/>
      <c r="V211" s="74"/>
      <c r="W211" s="74"/>
      <c r="X211" s="74"/>
    </row>
    <row r="212" ht="33.0" customHeight="1">
      <c r="A212" s="74" t="str">
        <f>IFERROR(__xludf.DUMMYFUNCTION("""COMPUTED_VALUE"""),"Neelam Pavani Lakshmi")</f>
        <v>Neelam Pavani Lakshmi</v>
      </c>
      <c r="B212" s="74" t="str">
        <f>IFERROR(__xludf.DUMMYFUNCTION("""COMPUTED_VALUE"""),"19331A05C1")</f>
        <v>19331A05C1</v>
      </c>
      <c r="C212" s="74" t="str">
        <f>IFERROR(__xludf.DUMMYFUNCTION("""COMPUTED_VALUE"""),"Pantech Solutions")</f>
        <v>Pantech Solutions</v>
      </c>
      <c r="D212" s="74" t="str">
        <f>IFERROR(__xludf.DUMMYFUNCTION("""COMPUTED_VALUE"""),"1 month")</f>
        <v>1 month</v>
      </c>
      <c r="E212" s="79">
        <f>IFERROR(__xludf.DUMMYFUNCTION("""COMPUTED_VALUE"""),44614.0)</f>
        <v>44614</v>
      </c>
      <c r="F212" s="79">
        <f>IFERROR(__xludf.DUMMYFUNCTION("""COMPUTED_VALUE"""),44642.0)</f>
        <v>44642</v>
      </c>
      <c r="G212" s="74" t="str">
        <f>IFERROR(__xludf.DUMMYFUNCTION("""COMPUTED_VALUE"""),"No")</f>
        <v>No</v>
      </c>
      <c r="H212" s="74" t="str">
        <f>IFERROR(__xludf.DUMMYFUNCTION("""COMPUTED_VALUE"""),"Yes")</f>
        <v>Yes</v>
      </c>
      <c r="I212" s="74">
        <f>IFERROR(__xludf.DUMMYFUNCTION("""COMPUTED_VALUE"""),1000.0)</f>
        <v>1000</v>
      </c>
      <c r="J212" s="80" t="str">
        <f>IFERROR(__xludf.DUMMYFUNCTION("""COMPUTED_VALUE"""),"https://drive.google.com/open?id=1RLbBR3-ZYduKSq4enoYaoAVpOOa2vTio")</f>
        <v>https://drive.google.com/open?id=1RLbBR3-ZYduKSq4enoYaoAVpOOa2vTio</v>
      </c>
      <c r="K212" s="74" t="str">
        <f>IFERROR(__xludf.DUMMYFUNCTION("""COMPUTED_VALUE"""),"2019-2023")</f>
        <v>2019-2023</v>
      </c>
      <c r="L212" s="74" t="str">
        <f>IFERROR(__xludf.DUMMYFUNCTION("""COMPUTED_VALUE"""),"S3: Student Internships")</f>
        <v>S3: Student Internships</v>
      </c>
      <c r="M212" s="74" t="str">
        <f>IFERROR(__xludf.DUMMYFUNCTION("""COMPUTED_VALUE"""),"npavanilaxmi@gmail.com")</f>
        <v>npavanilaxmi@gmail.com</v>
      </c>
      <c r="N212" s="74" t="str">
        <f>IFERROR(__xludf.DUMMYFUNCTION("""COMPUTED_VALUE"""),"SEM-6")</f>
        <v>SEM-6</v>
      </c>
      <c r="O212" s="74"/>
      <c r="P212" s="74"/>
      <c r="Q212" s="74"/>
      <c r="R212" s="74"/>
      <c r="S212" s="74"/>
      <c r="T212" s="74"/>
      <c r="U212" s="74"/>
      <c r="V212" s="74"/>
      <c r="W212" s="74"/>
      <c r="X212" s="74"/>
    </row>
    <row r="213" ht="33.0" customHeight="1">
      <c r="A213" s="74" t="str">
        <f>IFERROR(__xludf.DUMMYFUNCTION("""COMPUTED_VALUE"""),"KARUMOJU NEHAL PRAVEEN")</f>
        <v>KARUMOJU NEHAL PRAVEEN</v>
      </c>
      <c r="B213" s="74" t="str">
        <f>IFERROR(__xludf.DUMMYFUNCTION("""COMPUTED_VALUE"""),"19331A0576")</f>
        <v>19331A0576</v>
      </c>
      <c r="C213" s="74" t="str">
        <f>IFERROR(__xludf.DUMMYFUNCTION("""COMPUTED_VALUE"""),"INMOVIDU")</f>
        <v>INMOVIDU</v>
      </c>
      <c r="D213" s="74" t="str">
        <f>IFERROR(__xludf.DUMMYFUNCTION("""COMPUTED_VALUE"""),"2 MONTHS")</f>
        <v>2 MONTHS</v>
      </c>
      <c r="E213" s="79">
        <f>IFERROR(__xludf.DUMMYFUNCTION("""COMPUTED_VALUE"""),44004.0)</f>
        <v>44004</v>
      </c>
      <c r="F213" s="79">
        <f>IFERROR(__xludf.DUMMYFUNCTION("""COMPUTED_VALUE"""),44054.0)</f>
        <v>44054</v>
      </c>
      <c r="G213" s="74" t="str">
        <f>IFERROR(__xludf.DUMMYFUNCTION("""COMPUTED_VALUE"""),"No")</f>
        <v>No</v>
      </c>
      <c r="H213" s="74" t="str">
        <f>IFERROR(__xludf.DUMMYFUNCTION("""COMPUTED_VALUE"""),"Yes")</f>
        <v>Yes</v>
      </c>
      <c r="I213" s="74">
        <f>IFERROR(__xludf.DUMMYFUNCTION("""COMPUTED_VALUE"""),1500.0)</f>
        <v>1500</v>
      </c>
      <c r="J213" s="80" t="str">
        <f>IFERROR(__xludf.DUMMYFUNCTION("""COMPUTED_VALUE"""),"https://drive.google.com/open?id=1MIAnbFe51yE4WqB_nOdiK7pMMQE5bTe7")</f>
        <v>https://drive.google.com/open?id=1MIAnbFe51yE4WqB_nOdiK7pMMQE5bTe7</v>
      </c>
      <c r="K213" s="74" t="str">
        <f>IFERROR(__xludf.DUMMYFUNCTION("""COMPUTED_VALUE"""),"2019-2023")</f>
        <v>2019-2023</v>
      </c>
      <c r="L213" s="74" t="str">
        <f>IFERROR(__xludf.DUMMYFUNCTION("""COMPUTED_VALUE"""),"S3: Student Internships")</f>
        <v>S3: Student Internships</v>
      </c>
      <c r="M213" s="74" t="str">
        <f>IFERROR(__xludf.DUMMYFUNCTION("""COMPUTED_VALUE"""),"nehalpraveen@gmail.com")</f>
        <v>nehalpraveen@gmail.com</v>
      </c>
      <c r="N213" s="74" t="str">
        <f>IFERROR(__xludf.DUMMYFUNCTION("""COMPUTED_VALUE"""),"SEM-6")</f>
        <v>SEM-6</v>
      </c>
      <c r="O213" s="74"/>
      <c r="P213" s="74"/>
      <c r="Q213" s="74"/>
      <c r="R213" s="74"/>
      <c r="S213" s="74"/>
      <c r="T213" s="74"/>
      <c r="U213" s="74"/>
      <c r="V213" s="74"/>
      <c r="W213" s="74"/>
      <c r="X213" s="74"/>
    </row>
    <row r="214" ht="33.0" customHeight="1">
      <c r="A214" s="74" t="str">
        <f>IFERROR(__xludf.DUMMYFUNCTION("""COMPUTED_VALUE"""),"MOHAN SUBHA VARSHITH PECHETTI")</f>
        <v>MOHAN SUBHA VARSHITH PECHETTI</v>
      </c>
      <c r="B214" s="74" t="str">
        <f>IFERROR(__xludf.DUMMYFUNCTION("""COMPUTED_VALUE"""),"19331A05C7")</f>
        <v>19331A05C7</v>
      </c>
      <c r="C214" s="74" t="str">
        <f>IFERROR(__xludf.DUMMYFUNCTION("""COMPUTED_VALUE"""),"AICTE")</f>
        <v>AICTE</v>
      </c>
      <c r="D214" s="74" t="str">
        <f>IFERROR(__xludf.DUMMYFUNCTION("""COMPUTED_VALUE"""),"3months")</f>
        <v>3months</v>
      </c>
      <c r="E214" s="79">
        <f>IFERROR(__xludf.DUMMYFUNCTION("""COMPUTED_VALUE"""),44489.0)</f>
        <v>44489</v>
      </c>
      <c r="F214" s="79">
        <f>IFERROR(__xludf.DUMMYFUNCTION("""COMPUTED_VALUE"""),44556.0)</f>
        <v>44556</v>
      </c>
      <c r="G214" s="74" t="str">
        <f>IFERROR(__xludf.DUMMYFUNCTION("""COMPUTED_VALUE"""),"No")</f>
        <v>No</v>
      </c>
      <c r="H214" s="74" t="str">
        <f>IFERROR(__xludf.DUMMYFUNCTION("""COMPUTED_VALUE"""),"No")</f>
        <v>No</v>
      </c>
      <c r="I214" s="74">
        <f>IFERROR(__xludf.DUMMYFUNCTION("""COMPUTED_VALUE"""),0.0)</f>
        <v>0</v>
      </c>
      <c r="J214" s="80" t="str">
        <f>IFERROR(__xludf.DUMMYFUNCTION("""COMPUTED_VALUE"""),"https://drive.google.com/open?id=1n0A9ubqNSuB3pXv1q2zM5wRxedFkhCv0")</f>
        <v>https://drive.google.com/open?id=1n0A9ubqNSuB3pXv1q2zM5wRxedFkhCv0</v>
      </c>
      <c r="K214" s="74" t="str">
        <f>IFERROR(__xludf.DUMMYFUNCTION("""COMPUTED_VALUE"""),"2019-2023")</f>
        <v>2019-2023</v>
      </c>
      <c r="L214" s="74" t="str">
        <f>IFERROR(__xludf.DUMMYFUNCTION("""COMPUTED_VALUE"""),"S3: Student Internships")</f>
        <v>S3: Student Internships</v>
      </c>
      <c r="M214" s="74" t="str">
        <f>IFERROR(__xludf.DUMMYFUNCTION("""COMPUTED_VALUE"""),"subhavarshith@gmail.com")</f>
        <v>subhavarshith@gmail.com</v>
      </c>
      <c r="N214" s="74" t="str">
        <f>IFERROR(__xludf.DUMMYFUNCTION("""COMPUTED_VALUE"""),"SEM-6")</f>
        <v>SEM-6</v>
      </c>
      <c r="O214" s="74"/>
      <c r="P214" s="74"/>
      <c r="Q214" s="74"/>
      <c r="R214" s="74"/>
      <c r="S214" s="74"/>
      <c r="T214" s="74"/>
      <c r="U214" s="74"/>
      <c r="V214" s="74"/>
      <c r="W214" s="74"/>
      <c r="X214" s="74"/>
    </row>
    <row r="215" ht="33.0" customHeight="1">
      <c r="A215" s="81" t="str">
        <f>IFERROR(__xludf.DUMMYFUNCTION("""COMPUTED_VALUE"""),"Nagaraboina kirite")</f>
        <v>Nagaraboina kirite</v>
      </c>
      <c r="B215" s="81" t="str">
        <f>IFERROR(__xludf.DUMMYFUNCTION("""COMPUTED_VALUE"""),"19331A05B3")</f>
        <v>19331A05B3</v>
      </c>
      <c r="C215" s="81" t="str">
        <f>IFERROR(__xludf.DUMMYFUNCTION("""COMPUTED_VALUE"""),"Blue Prism Foundation Training")</f>
        <v>Blue Prism Foundation Training</v>
      </c>
      <c r="D215" s="81" t="str">
        <f>IFERROR(__xludf.DUMMYFUNCTION("""COMPUTED_VALUE"""),"1month")</f>
        <v>1month</v>
      </c>
      <c r="E215" s="82">
        <f>IFERROR(__xludf.DUMMYFUNCTION("""COMPUTED_VALUE"""),44485.0)</f>
        <v>44485</v>
      </c>
      <c r="F215" s="82">
        <f>IFERROR(__xludf.DUMMYFUNCTION("""COMPUTED_VALUE"""),44516.0)</f>
        <v>44516</v>
      </c>
      <c r="G215" s="81" t="str">
        <f>IFERROR(__xludf.DUMMYFUNCTION("""COMPUTED_VALUE"""),"No")</f>
        <v>No</v>
      </c>
      <c r="H215" s="81" t="str">
        <f>IFERROR(__xludf.DUMMYFUNCTION("""COMPUTED_VALUE"""),"No")</f>
        <v>No</v>
      </c>
      <c r="I215" s="81">
        <f>IFERROR(__xludf.DUMMYFUNCTION("""COMPUTED_VALUE"""),0.0)</f>
        <v>0</v>
      </c>
      <c r="J215" s="83" t="str">
        <f>IFERROR(__xludf.DUMMYFUNCTION("""COMPUTED_VALUE"""),"https://drive.google.com/open?id=1DAt7Xk8BpKFTvgjMvZTSIaRNCrx61bzf")</f>
        <v>https://drive.google.com/open?id=1DAt7Xk8BpKFTvgjMvZTSIaRNCrx61bzf</v>
      </c>
      <c r="K215" s="81" t="str">
        <f>IFERROR(__xludf.DUMMYFUNCTION("""COMPUTED_VALUE"""),"2019-2023")</f>
        <v>2019-2023</v>
      </c>
      <c r="L215" s="81" t="str">
        <f>IFERROR(__xludf.DUMMYFUNCTION("""COMPUTED_VALUE"""),"S3: Student Internships")</f>
        <v>S3: Student Internships</v>
      </c>
      <c r="M215" s="81" t="str">
        <f>IFERROR(__xludf.DUMMYFUNCTION("""COMPUTED_VALUE"""),"kiriteyashu@gmail.com")</f>
        <v>kiriteyashu@gmail.com</v>
      </c>
      <c r="N215" s="81" t="str">
        <f>IFERROR(__xludf.DUMMYFUNCTION("""COMPUTED_VALUE"""),"SEM-6")</f>
        <v>SEM-6</v>
      </c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ht="33.0" customHeight="1">
      <c r="A216" s="74" t="str">
        <f>IFERROR(__xludf.DUMMYFUNCTION("""COMPUTED_VALUE"""),"KARUMOJU NEHAL PRAVEEN")</f>
        <v>KARUMOJU NEHAL PRAVEEN</v>
      </c>
      <c r="B216" s="74" t="str">
        <f>IFERROR(__xludf.DUMMYFUNCTION("""COMPUTED_VALUE"""),"19331A0576")</f>
        <v>19331A0576</v>
      </c>
      <c r="C216" s="74" t="str">
        <f>IFERROR(__xludf.DUMMYFUNCTION("""COMPUTED_VALUE"""),"BLUE PRISM")</f>
        <v>BLUE PRISM</v>
      </c>
      <c r="D216" s="74" t="str">
        <f>IFERROR(__xludf.DUMMYFUNCTION("""COMPUTED_VALUE"""),"3 MONTHS")</f>
        <v>3 MONTHS</v>
      </c>
      <c r="E216" s="79">
        <f>IFERROR(__xludf.DUMMYFUNCTION("""COMPUTED_VALUE"""),44470.0)</f>
        <v>44470</v>
      </c>
      <c r="F216" s="79">
        <f>IFERROR(__xludf.DUMMYFUNCTION("""COMPUTED_VALUE"""),44560.0)</f>
        <v>44560</v>
      </c>
      <c r="G216" s="74" t="str">
        <f>IFERROR(__xludf.DUMMYFUNCTION("""COMPUTED_VALUE"""),"No")</f>
        <v>No</v>
      </c>
      <c r="H216" s="74" t="str">
        <f>IFERROR(__xludf.DUMMYFUNCTION("""COMPUTED_VALUE"""),"No")</f>
        <v>No</v>
      </c>
      <c r="I216" s="74">
        <f>IFERROR(__xludf.DUMMYFUNCTION("""COMPUTED_VALUE"""),0.0)</f>
        <v>0</v>
      </c>
      <c r="J216" s="80" t="str">
        <f>IFERROR(__xludf.DUMMYFUNCTION("""COMPUTED_VALUE"""),"https://drive.google.com/open?id=1_SwjQy6YJw3vx9hnyqK5iHdh6LblHU1E")</f>
        <v>https://drive.google.com/open?id=1_SwjQy6YJw3vx9hnyqK5iHdh6LblHU1E</v>
      </c>
      <c r="K216" s="74" t="str">
        <f>IFERROR(__xludf.DUMMYFUNCTION("""COMPUTED_VALUE"""),"2019-2023")</f>
        <v>2019-2023</v>
      </c>
      <c r="L216" s="74" t="str">
        <f>IFERROR(__xludf.DUMMYFUNCTION("""COMPUTED_VALUE"""),"S3: Student Internships")</f>
        <v>S3: Student Internships</v>
      </c>
      <c r="M216" s="74" t="str">
        <f>IFERROR(__xludf.DUMMYFUNCTION("""COMPUTED_VALUE"""),"nehalpraveen@gmail.com")</f>
        <v>nehalpraveen@gmail.com</v>
      </c>
      <c r="N216" s="74" t="str">
        <f>IFERROR(__xludf.DUMMYFUNCTION("""COMPUTED_VALUE"""),"SEM-6")</f>
        <v>SEM-6</v>
      </c>
      <c r="O216" s="74"/>
      <c r="P216" s="74"/>
      <c r="Q216" s="74"/>
      <c r="R216" s="74"/>
      <c r="S216" s="74"/>
      <c r="T216" s="74"/>
      <c r="U216" s="74"/>
      <c r="V216" s="74"/>
      <c r="W216" s="74"/>
      <c r="X216" s="74"/>
    </row>
    <row r="217" ht="33.0" customHeight="1">
      <c r="A217" s="81" t="str">
        <f>IFERROR(__xludf.DUMMYFUNCTION("""COMPUTED_VALUE"""),"BODDU NAGA KARTHIK")</f>
        <v>BODDU NAGA KARTHIK</v>
      </c>
      <c r="B217" s="81" t="str">
        <f>IFERROR(__xludf.DUMMYFUNCTION("""COMPUTED_VALUE"""),"19331A0521")</f>
        <v>19331A0521</v>
      </c>
      <c r="C217" s="81" t="str">
        <f>IFERROR(__xludf.DUMMYFUNCTION("""COMPUTED_VALUE"""),"BLUEPRISM")</f>
        <v>BLUEPRISM</v>
      </c>
      <c r="D217" s="81" t="str">
        <f>IFERROR(__xludf.DUMMYFUNCTION("""COMPUTED_VALUE"""),"10 weeks")</f>
        <v>10 weeks</v>
      </c>
      <c r="E217" s="82">
        <f>IFERROR(__xludf.DUMMYFUNCTION("""COMPUTED_VALUE"""),44470.0)</f>
        <v>44470</v>
      </c>
      <c r="F217" s="82">
        <f>IFERROR(__xludf.DUMMYFUNCTION("""COMPUTED_VALUE"""),44561.0)</f>
        <v>44561</v>
      </c>
      <c r="G217" s="81" t="str">
        <f>IFERROR(__xludf.DUMMYFUNCTION("""COMPUTED_VALUE"""),"No")</f>
        <v>No</v>
      </c>
      <c r="H217" s="81" t="str">
        <f>IFERROR(__xludf.DUMMYFUNCTION("""COMPUTED_VALUE"""),"No")</f>
        <v>No</v>
      </c>
      <c r="I217" s="81">
        <f>IFERROR(__xludf.DUMMYFUNCTION("""COMPUTED_VALUE"""),0.0)</f>
        <v>0</v>
      </c>
      <c r="J217" s="83" t="str">
        <f>IFERROR(__xludf.DUMMYFUNCTION("""COMPUTED_VALUE"""),"https://drive.google.com/open?id=1zlvEVLH_2mPBDTpuAweEV-SLJnBa-y4Q")</f>
        <v>https://drive.google.com/open?id=1zlvEVLH_2mPBDTpuAweEV-SLJnBa-y4Q</v>
      </c>
      <c r="K217" s="81" t="str">
        <f>IFERROR(__xludf.DUMMYFUNCTION("""COMPUTED_VALUE"""),"2019-2023")</f>
        <v>2019-2023</v>
      </c>
      <c r="L217" s="81" t="str">
        <f>IFERROR(__xludf.DUMMYFUNCTION("""COMPUTED_VALUE"""),"S3: Student Internships")</f>
        <v>S3: Student Internships</v>
      </c>
      <c r="M217" s="81" t="str">
        <f>IFERROR(__xludf.DUMMYFUNCTION("""COMPUTED_VALUE"""),"bnagakarthik33@gmail.com")</f>
        <v>bnagakarthik33@gmail.com</v>
      </c>
      <c r="N217" s="81" t="str">
        <f>IFERROR(__xludf.DUMMYFUNCTION("""COMPUTED_VALUE"""),"SEM-6")</f>
        <v>SEM-6</v>
      </c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ht="33.0" customHeight="1">
      <c r="A218" s="81" t="str">
        <f>IFERROR(__xludf.DUMMYFUNCTION("""COMPUTED_VALUE"""),"BURA. JANARDHAN YADAV")</f>
        <v>BURA. JANARDHAN YADAV</v>
      </c>
      <c r="B218" s="81" t="str">
        <f>IFERROR(__xludf.DUMMYFUNCTION("""COMPUTED_VALUE"""),"19331A0528")</f>
        <v>19331A0528</v>
      </c>
      <c r="C218" s="81" t="str">
        <f>IFERROR(__xludf.DUMMYFUNCTION("""COMPUTED_VALUE"""),"Blue prism")</f>
        <v>Blue prism</v>
      </c>
      <c r="D218" s="81" t="str">
        <f>IFERROR(__xludf.DUMMYFUNCTION("""COMPUTED_VALUE"""),"10 weeks")</f>
        <v>10 weeks</v>
      </c>
      <c r="E218" s="82">
        <f>IFERROR(__xludf.DUMMYFUNCTION("""COMPUTED_VALUE"""),44470.0)</f>
        <v>44470</v>
      </c>
      <c r="F218" s="82">
        <f>IFERROR(__xludf.DUMMYFUNCTION("""COMPUTED_VALUE"""),44561.0)</f>
        <v>44561</v>
      </c>
      <c r="G218" s="81" t="str">
        <f>IFERROR(__xludf.DUMMYFUNCTION("""COMPUTED_VALUE"""),"No")</f>
        <v>No</v>
      </c>
      <c r="H218" s="81" t="str">
        <f>IFERROR(__xludf.DUMMYFUNCTION("""COMPUTED_VALUE"""),"No")</f>
        <v>No</v>
      </c>
      <c r="I218" s="81">
        <f>IFERROR(__xludf.DUMMYFUNCTION("""COMPUTED_VALUE"""),0.0)</f>
        <v>0</v>
      </c>
      <c r="J218" s="83" t="str">
        <f>IFERROR(__xludf.DUMMYFUNCTION("""COMPUTED_VALUE"""),"https://drive.google.com/open?id=1vkRcM-QRFAko2NHrx6_eC4lsaIWkK3j8")</f>
        <v>https://drive.google.com/open?id=1vkRcM-QRFAko2NHrx6_eC4lsaIWkK3j8</v>
      </c>
      <c r="K218" s="81" t="str">
        <f>IFERROR(__xludf.DUMMYFUNCTION("""COMPUTED_VALUE"""),"2019-2023")</f>
        <v>2019-2023</v>
      </c>
      <c r="L218" s="81" t="str">
        <f>IFERROR(__xludf.DUMMYFUNCTION("""COMPUTED_VALUE"""),"S3: Student Internships")</f>
        <v>S3: Student Internships</v>
      </c>
      <c r="M218" s="81" t="str">
        <f>IFERROR(__xludf.DUMMYFUNCTION("""COMPUTED_VALUE"""),"janardhan.yadav5899@gmail.com")</f>
        <v>janardhan.yadav5899@gmail.com</v>
      </c>
      <c r="N218" s="81" t="str">
        <f>IFERROR(__xludf.DUMMYFUNCTION("""COMPUTED_VALUE"""),"SEM-6")</f>
        <v>SEM-6</v>
      </c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ht="33.0" customHeight="1">
      <c r="A219" s="81" t="str">
        <f>IFERROR(__xludf.DUMMYFUNCTION("""COMPUTED_VALUE"""),"CHAITANYA BHASKAR CHALAPAKA")</f>
        <v>CHAITANYA BHASKAR CHALAPAKA</v>
      </c>
      <c r="B219" s="81" t="str">
        <f>IFERROR(__xludf.DUMMYFUNCTION("""COMPUTED_VALUE"""),"19331A0529")</f>
        <v>19331A0529</v>
      </c>
      <c r="C219" s="81" t="str">
        <f>IFERROR(__xludf.DUMMYFUNCTION("""COMPUTED_VALUE"""),"Blueprism")</f>
        <v>Blueprism</v>
      </c>
      <c r="D219" s="81" t="str">
        <f>IFERROR(__xludf.DUMMYFUNCTION("""COMPUTED_VALUE"""),"10 weeks")</f>
        <v>10 weeks</v>
      </c>
      <c r="E219" s="82">
        <f>IFERROR(__xludf.DUMMYFUNCTION("""COMPUTED_VALUE"""),44470.0)</f>
        <v>44470</v>
      </c>
      <c r="F219" s="82">
        <f>IFERROR(__xludf.DUMMYFUNCTION("""COMPUTED_VALUE"""),44561.0)</f>
        <v>44561</v>
      </c>
      <c r="G219" s="81" t="str">
        <f>IFERROR(__xludf.DUMMYFUNCTION("""COMPUTED_VALUE"""),"No")</f>
        <v>No</v>
      </c>
      <c r="H219" s="81" t="str">
        <f>IFERROR(__xludf.DUMMYFUNCTION("""COMPUTED_VALUE"""),"No")</f>
        <v>No</v>
      </c>
      <c r="I219" s="81">
        <f>IFERROR(__xludf.DUMMYFUNCTION("""COMPUTED_VALUE"""),0.0)</f>
        <v>0</v>
      </c>
      <c r="J219" s="83" t="str">
        <f>IFERROR(__xludf.DUMMYFUNCTION("""COMPUTED_VALUE"""),"https://drive.google.com/open?id=1SJ9A0NDxmmOWkPKCc1throNcPkSYVdj_")</f>
        <v>https://drive.google.com/open?id=1SJ9A0NDxmmOWkPKCc1throNcPkSYVdj_</v>
      </c>
      <c r="K219" s="81" t="str">
        <f>IFERROR(__xludf.DUMMYFUNCTION("""COMPUTED_VALUE"""),"2019-2023")</f>
        <v>2019-2023</v>
      </c>
      <c r="L219" s="81" t="str">
        <f>IFERROR(__xludf.DUMMYFUNCTION("""COMPUTED_VALUE"""),"S3: Student Internships")</f>
        <v>S3: Student Internships</v>
      </c>
      <c r="M219" s="81" t="str">
        <f>IFERROR(__xludf.DUMMYFUNCTION("""COMPUTED_VALUE"""),"chalapakachaitanya20@gmail.com")</f>
        <v>chalapakachaitanya20@gmail.com</v>
      </c>
      <c r="N219" s="81" t="str">
        <f>IFERROR(__xludf.DUMMYFUNCTION("""COMPUTED_VALUE"""),"SEM-6")</f>
        <v>SEM-6</v>
      </c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ht="33.0" customHeight="1">
      <c r="A220" s="74" t="str">
        <f>IFERROR(__xludf.DUMMYFUNCTION("""COMPUTED_VALUE"""),"Kambala Sai Vamsi")</f>
        <v>Kambala Sai Vamsi</v>
      </c>
      <c r="B220" s="74" t="str">
        <f>IFERROR(__xludf.DUMMYFUNCTION("""COMPUTED_VALUE"""),"19331A0571")</f>
        <v>19331A0571</v>
      </c>
      <c r="C220" s="74" t="str">
        <f>IFERROR(__xludf.DUMMYFUNCTION("""COMPUTED_VALUE"""),"AICTE")</f>
        <v>AICTE</v>
      </c>
      <c r="D220" s="74" t="str">
        <f>IFERROR(__xludf.DUMMYFUNCTION("""COMPUTED_VALUE"""),"3 months")</f>
        <v>3 months</v>
      </c>
      <c r="E220" s="79">
        <f>IFERROR(__xludf.DUMMYFUNCTION("""COMPUTED_VALUE"""),44470.0)</f>
        <v>44470</v>
      </c>
      <c r="F220" s="79">
        <f>IFERROR(__xludf.DUMMYFUNCTION("""COMPUTED_VALUE"""),44544.0)</f>
        <v>44544</v>
      </c>
      <c r="G220" s="74" t="str">
        <f>IFERROR(__xludf.DUMMYFUNCTION("""COMPUTED_VALUE"""),"No")</f>
        <v>No</v>
      </c>
      <c r="H220" s="74" t="str">
        <f>IFERROR(__xludf.DUMMYFUNCTION("""COMPUTED_VALUE"""),"No")</f>
        <v>No</v>
      </c>
      <c r="I220" s="74">
        <f>IFERROR(__xludf.DUMMYFUNCTION("""COMPUTED_VALUE"""),0.0)</f>
        <v>0</v>
      </c>
      <c r="J220" s="80" t="str">
        <f>IFERROR(__xludf.DUMMYFUNCTION("""COMPUTED_VALUE"""),"https://drive.google.com/open?id=12fXXsfku9UdAKNCQML7Fn_5p4BblfZb7")</f>
        <v>https://drive.google.com/open?id=12fXXsfku9UdAKNCQML7Fn_5p4BblfZb7</v>
      </c>
      <c r="K220" s="74" t="str">
        <f>IFERROR(__xludf.DUMMYFUNCTION("""COMPUTED_VALUE"""),"2019-2023")</f>
        <v>2019-2023</v>
      </c>
      <c r="L220" s="74" t="str">
        <f>IFERROR(__xludf.DUMMYFUNCTION("""COMPUTED_VALUE"""),"S3: Student Internships")</f>
        <v>S3: Student Internships</v>
      </c>
      <c r="M220" s="74" t="str">
        <f>IFERROR(__xludf.DUMMYFUNCTION("""COMPUTED_VALUE"""),"svamsi215@gmail.com")</f>
        <v>svamsi215@gmail.com</v>
      </c>
      <c r="N220" s="74" t="str">
        <f>IFERROR(__xludf.DUMMYFUNCTION("""COMPUTED_VALUE"""),"SEM-6")</f>
        <v>SEM-6</v>
      </c>
      <c r="O220" s="74"/>
      <c r="P220" s="74"/>
      <c r="Q220" s="74"/>
      <c r="R220" s="74"/>
      <c r="S220" s="74"/>
      <c r="T220" s="74"/>
      <c r="U220" s="74"/>
      <c r="V220" s="74"/>
      <c r="W220" s="74"/>
      <c r="X220" s="74"/>
    </row>
    <row r="221" ht="33.0" customHeight="1">
      <c r="A221" s="74" t="str">
        <f>IFERROR(__xludf.DUMMYFUNCTION("""COMPUTED_VALUE"""),"Nitin Sampath Rohan Bheemavarapu")</f>
        <v>Nitin Sampath Rohan Bheemavarapu</v>
      </c>
      <c r="B221" s="74" t="str">
        <f>IFERROR(__xludf.DUMMYFUNCTION("""COMPUTED_VALUE"""),"19331A05C2")</f>
        <v>19331A05C2</v>
      </c>
      <c r="C221" s="74" t="str">
        <f>IFERROR(__xludf.DUMMYFUNCTION("""COMPUTED_VALUE"""),"AICTE")</f>
        <v>AICTE</v>
      </c>
      <c r="D221" s="74" t="str">
        <f>IFERROR(__xludf.DUMMYFUNCTION("""COMPUTED_VALUE"""),"3 months")</f>
        <v>3 months</v>
      </c>
      <c r="E221" s="79">
        <f>IFERROR(__xludf.DUMMYFUNCTION("""COMPUTED_VALUE"""),44470.0)</f>
        <v>44470</v>
      </c>
      <c r="F221" s="79">
        <f>IFERROR(__xludf.DUMMYFUNCTION("""COMPUTED_VALUE"""),44545.0)</f>
        <v>44545</v>
      </c>
      <c r="G221" s="74" t="str">
        <f>IFERROR(__xludf.DUMMYFUNCTION("""COMPUTED_VALUE"""),"No")</f>
        <v>No</v>
      </c>
      <c r="H221" s="74" t="str">
        <f>IFERROR(__xludf.DUMMYFUNCTION("""COMPUTED_VALUE"""),"No")</f>
        <v>No</v>
      </c>
      <c r="I221" s="74">
        <f>IFERROR(__xludf.DUMMYFUNCTION("""COMPUTED_VALUE"""),0.0)</f>
        <v>0</v>
      </c>
      <c r="J221" s="80" t="str">
        <f>IFERROR(__xludf.DUMMYFUNCTION("""COMPUTED_VALUE"""),"https://drive.google.com/open?id=1BCybOknEJvySE0t-MqPzPrrz4WwQyfn3")</f>
        <v>https://drive.google.com/open?id=1BCybOknEJvySE0t-MqPzPrrz4WwQyfn3</v>
      </c>
      <c r="K221" s="74" t="str">
        <f>IFERROR(__xludf.DUMMYFUNCTION("""COMPUTED_VALUE"""),"2019-2023")</f>
        <v>2019-2023</v>
      </c>
      <c r="L221" s="74" t="str">
        <f>IFERROR(__xludf.DUMMYFUNCTION("""COMPUTED_VALUE"""),"S3: Student Internships")</f>
        <v>S3: Student Internships</v>
      </c>
      <c r="M221" s="74" t="str">
        <f>IFERROR(__xludf.DUMMYFUNCTION("""COMPUTED_VALUE"""),"nitinrohan56@gmail.com")</f>
        <v>nitinrohan56@gmail.com</v>
      </c>
      <c r="N221" s="74" t="str">
        <f>IFERROR(__xludf.DUMMYFUNCTION("""COMPUTED_VALUE"""),"SEM-5")</f>
        <v>SEM-5</v>
      </c>
      <c r="O221" s="74"/>
      <c r="P221" s="74"/>
      <c r="Q221" s="74"/>
      <c r="R221" s="74"/>
      <c r="S221" s="74"/>
      <c r="T221" s="74"/>
      <c r="U221" s="74"/>
      <c r="V221" s="74"/>
      <c r="W221" s="74"/>
      <c r="X221" s="74"/>
    </row>
    <row r="222" ht="33.0" customHeight="1">
      <c r="A222" s="74" t="str">
        <f>IFERROR(__xludf.DUMMYFUNCTION("""COMPUTED_VALUE"""),"Saiprasanna Panthina ")</f>
        <v>Saiprasanna Panthina </v>
      </c>
      <c r="B222" s="74" t="str">
        <f>IFERROR(__xludf.DUMMYFUNCTION("""COMPUTED_VALUE"""),"20335A0512")</f>
        <v>20335A0512</v>
      </c>
      <c r="C222" s="74" t="str">
        <f>IFERROR(__xludf.DUMMYFUNCTION("""COMPUTED_VALUE"""),"MVGR college of engineering ")</f>
        <v>MVGR college of engineering </v>
      </c>
      <c r="D222" s="74" t="str">
        <f>IFERROR(__xludf.DUMMYFUNCTION("""COMPUTED_VALUE"""),"10 weeks")</f>
        <v>10 weeks</v>
      </c>
      <c r="E222" s="79">
        <f>IFERROR(__xludf.DUMMYFUNCTION("""COMPUTED_VALUE"""),44478.0)</f>
        <v>44478</v>
      </c>
      <c r="F222" s="79">
        <f>IFERROR(__xludf.DUMMYFUNCTION("""COMPUTED_VALUE"""),44548.0)</f>
        <v>44548</v>
      </c>
      <c r="G222" s="74" t="str">
        <f>IFERROR(__xludf.DUMMYFUNCTION("""COMPUTED_VALUE"""),"No")</f>
        <v>No</v>
      </c>
      <c r="H222" s="74" t="str">
        <f>IFERROR(__xludf.DUMMYFUNCTION("""COMPUTED_VALUE"""),"No")</f>
        <v>No</v>
      </c>
      <c r="I222" s="74">
        <f>IFERROR(__xludf.DUMMYFUNCTION("""COMPUTED_VALUE"""),0.0)</f>
        <v>0</v>
      </c>
      <c r="J222" s="80" t="str">
        <f>IFERROR(__xludf.DUMMYFUNCTION("""COMPUTED_VALUE"""),"https://drive.google.com/open?id=13vbAKJbvhDJ6pI6nKJRAmlH_tsahWg6w")</f>
        <v>https://drive.google.com/open?id=13vbAKJbvhDJ6pI6nKJRAmlH_tsahWg6w</v>
      </c>
      <c r="K222" s="74" t="str">
        <f>IFERROR(__xludf.DUMMYFUNCTION("""COMPUTED_VALUE"""),"2019-2023")</f>
        <v>2019-2023</v>
      </c>
      <c r="L222" s="74" t="str">
        <f>IFERROR(__xludf.DUMMYFUNCTION("""COMPUTED_VALUE"""),"S3: Student Internships")</f>
        <v>S3: Student Internships</v>
      </c>
      <c r="M222" s="74" t="str">
        <f>IFERROR(__xludf.DUMMYFUNCTION("""COMPUTED_VALUE"""),"saiprasanna.cme@gmail.com")</f>
        <v>saiprasanna.cme@gmail.com</v>
      </c>
      <c r="N222" s="74" t="str">
        <f>IFERROR(__xludf.DUMMYFUNCTION("""COMPUTED_VALUE"""),"SEM-6")</f>
        <v>SEM-6</v>
      </c>
      <c r="O222" s="74"/>
      <c r="P222" s="74"/>
      <c r="Q222" s="74"/>
      <c r="R222" s="74"/>
      <c r="S222" s="74"/>
      <c r="T222" s="74"/>
      <c r="U222" s="74"/>
      <c r="V222" s="74"/>
      <c r="W222" s="74"/>
      <c r="X222" s="74"/>
    </row>
    <row r="223" ht="33.0" customHeight="1">
      <c r="A223" s="74" t="str">
        <f>IFERROR(__xludf.DUMMYFUNCTION("""COMPUTED_VALUE"""),"Kunchala Vamsi")</f>
        <v>Kunchala Vamsi</v>
      </c>
      <c r="B223" s="74" t="str">
        <f>IFERROR(__xludf.DUMMYFUNCTION("""COMPUTED_VALUE"""),"19331A0591")</f>
        <v>19331A0591</v>
      </c>
      <c r="C223" s="74" t="str">
        <f>IFERROR(__xludf.DUMMYFUNCTION("""COMPUTED_VALUE"""),"Blue Prism")</f>
        <v>Blue Prism</v>
      </c>
      <c r="D223" s="74" t="str">
        <f>IFERROR(__xludf.DUMMYFUNCTION("""COMPUTED_VALUE"""),"10 weeks")</f>
        <v>10 weeks</v>
      </c>
      <c r="E223" s="79">
        <f>IFERROR(__xludf.DUMMYFUNCTION("""COMPUTED_VALUE"""),44480.0)</f>
        <v>44480</v>
      </c>
      <c r="F223" s="79">
        <f>IFERROR(__xludf.DUMMYFUNCTION("""COMPUTED_VALUE"""),44557.0)</f>
        <v>44557</v>
      </c>
      <c r="G223" s="74" t="str">
        <f>IFERROR(__xludf.DUMMYFUNCTION("""COMPUTED_VALUE"""),"No")</f>
        <v>No</v>
      </c>
      <c r="H223" s="74" t="str">
        <f>IFERROR(__xludf.DUMMYFUNCTION("""COMPUTED_VALUE"""),"No")</f>
        <v>No</v>
      </c>
      <c r="I223" s="74">
        <f>IFERROR(__xludf.DUMMYFUNCTION("""COMPUTED_VALUE"""),0.0)</f>
        <v>0</v>
      </c>
      <c r="J223" s="80" t="str">
        <f>IFERROR(__xludf.DUMMYFUNCTION("""COMPUTED_VALUE"""),"https://drive.google.com/open?id=1SZ7q6TCEa0VsKasa8wOV0mMbNZPpNCAc")</f>
        <v>https://drive.google.com/open?id=1SZ7q6TCEa0VsKasa8wOV0mMbNZPpNCAc</v>
      </c>
      <c r="K223" s="74" t="str">
        <f>IFERROR(__xludf.DUMMYFUNCTION("""COMPUTED_VALUE"""),"2019-2023")</f>
        <v>2019-2023</v>
      </c>
      <c r="L223" s="74" t="str">
        <f>IFERROR(__xludf.DUMMYFUNCTION("""COMPUTED_VALUE"""),"S3: Student Internships")</f>
        <v>S3: Student Internships</v>
      </c>
      <c r="M223" s="74" t="str">
        <f>IFERROR(__xludf.DUMMYFUNCTION("""COMPUTED_VALUE"""),"vamsikunchala7.2001@gmail.com")</f>
        <v>vamsikunchala7.2001@gmail.com</v>
      </c>
      <c r="N223" s="74" t="str">
        <f>IFERROR(__xludf.DUMMYFUNCTION("""COMPUTED_VALUE"""),"SEM-6")</f>
        <v>SEM-6</v>
      </c>
      <c r="O223" s="74"/>
      <c r="P223" s="74"/>
      <c r="Q223" s="74"/>
      <c r="R223" s="74"/>
      <c r="S223" s="74"/>
      <c r="T223" s="74"/>
      <c r="U223" s="74"/>
      <c r="V223" s="74"/>
      <c r="W223" s="74"/>
      <c r="X223" s="74"/>
    </row>
    <row r="224" ht="33.0" customHeight="1">
      <c r="A224" s="74" t="str">
        <f>IFERROR(__xludf.DUMMYFUNCTION("""COMPUTED_VALUE"""),"LAKKIMSETTI CHANDRA SIRISHA")</f>
        <v>LAKKIMSETTI CHANDRA SIRISHA</v>
      </c>
      <c r="B224" s="74" t="str">
        <f>IFERROR(__xludf.DUMMYFUNCTION("""COMPUTED_VALUE"""),"19331A0594")</f>
        <v>19331A0594</v>
      </c>
      <c r="C224" s="74" t="str">
        <f>IFERROR(__xludf.DUMMYFUNCTION("""COMPUTED_VALUE"""),"Blueprism")</f>
        <v>Blueprism</v>
      </c>
      <c r="D224" s="74" t="str">
        <f>IFERROR(__xludf.DUMMYFUNCTION("""COMPUTED_VALUE"""),"10 weeks")</f>
        <v>10 weeks</v>
      </c>
      <c r="E224" s="79">
        <f>IFERROR(__xludf.DUMMYFUNCTION("""COMPUTED_VALUE"""),44206.0)</f>
        <v>44206</v>
      </c>
      <c r="F224" s="79">
        <f>IFERROR(__xludf.DUMMYFUNCTION("""COMPUTED_VALUE"""),44208.0)</f>
        <v>44208</v>
      </c>
      <c r="G224" s="74" t="str">
        <f>IFERROR(__xludf.DUMMYFUNCTION("""COMPUTED_VALUE"""),"No")</f>
        <v>No</v>
      </c>
      <c r="H224" s="74" t="str">
        <f>IFERROR(__xludf.DUMMYFUNCTION("""COMPUTED_VALUE"""),"No")</f>
        <v>No</v>
      </c>
      <c r="I224" s="74">
        <f>IFERROR(__xludf.DUMMYFUNCTION("""COMPUTED_VALUE"""),0.0)</f>
        <v>0</v>
      </c>
      <c r="J224" s="80" t="str">
        <f>IFERROR(__xludf.DUMMYFUNCTION("""COMPUTED_VALUE"""),"https://drive.google.com/open?id=1r6NmrvkSajV7TPwAUetBluDAhQ8b7kTZ")</f>
        <v>https://drive.google.com/open?id=1r6NmrvkSajV7TPwAUetBluDAhQ8b7kTZ</v>
      </c>
      <c r="K224" s="74" t="str">
        <f>IFERROR(__xludf.DUMMYFUNCTION("""COMPUTED_VALUE"""),"2019-2023")</f>
        <v>2019-2023</v>
      </c>
      <c r="L224" s="74" t="str">
        <f>IFERROR(__xludf.DUMMYFUNCTION("""COMPUTED_VALUE"""),"S3: Student Internships")</f>
        <v>S3: Student Internships</v>
      </c>
      <c r="M224" s="74" t="str">
        <f>IFERROR(__xludf.DUMMYFUNCTION("""COMPUTED_VALUE"""),"sirishalakkimsetti1729@gmail.com")</f>
        <v>sirishalakkimsetti1729@gmail.com</v>
      </c>
      <c r="N224" s="74" t="str">
        <f>IFERROR(__xludf.DUMMYFUNCTION("""COMPUTED_VALUE"""),"SEM-6")</f>
        <v>SEM-6</v>
      </c>
      <c r="O224" s="74"/>
      <c r="P224" s="74"/>
      <c r="Q224" s="74"/>
      <c r="R224" s="74"/>
      <c r="S224" s="74"/>
      <c r="T224" s="74"/>
      <c r="U224" s="74"/>
      <c r="V224" s="74"/>
      <c r="W224" s="74"/>
      <c r="X224" s="74"/>
    </row>
    <row r="225" ht="33.0" customHeight="1">
      <c r="A225" s="74" t="str">
        <f>IFERROR(__xludf.DUMMYFUNCTION("""COMPUTED_VALUE"""),"LAKKIMSETTI CHANDRA SIRISHA")</f>
        <v>LAKKIMSETTI CHANDRA SIRISHA</v>
      </c>
      <c r="B225" s="74" t="str">
        <f>IFERROR(__xludf.DUMMYFUNCTION("""COMPUTED_VALUE"""),"19331A0594")</f>
        <v>19331A0594</v>
      </c>
      <c r="C225" s="74" t="str">
        <f>IFERROR(__xludf.DUMMYFUNCTION("""COMPUTED_VALUE"""),"SWECHA")</f>
        <v>SWECHA</v>
      </c>
      <c r="D225" s="74" t="str">
        <f>IFERROR(__xludf.DUMMYFUNCTION("""COMPUTED_VALUE"""),"4 WEEKS")</f>
        <v>4 WEEKS</v>
      </c>
      <c r="E225" s="79">
        <f>IFERROR(__xludf.DUMMYFUNCTION("""COMPUTED_VALUE"""),44338.0)</f>
        <v>44338</v>
      </c>
      <c r="F225" s="79">
        <f>IFERROR(__xludf.DUMMYFUNCTION("""COMPUTED_VALUE"""),44367.0)</f>
        <v>44367</v>
      </c>
      <c r="G225" s="74" t="str">
        <f>IFERROR(__xludf.DUMMYFUNCTION("""COMPUTED_VALUE"""),"No")</f>
        <v>No</v>
      </c>
      <c r="H225" s="74" t="str">
        <f>IFERROR(__xludf.DUMMYFUNCTION("""COMPUTED_VALUE"""),"No")</f>
        <v>No</v>
      </c>
      <c r="I225" s="74">
        <f>IFERROR(__xludf.DUMMYFUNCTION("""COMPUTED_VALUE"""),0.0)</f>
        <v>0</v>
      </c>
      <c r="J225" s="80" t="str">
        <f>IFERROR(__xludf.DUMMYFUNCTION("""COMPUTED_VALUE"""),"https://drive.google.com/open?id=167tgrvmCh3hEx8XaP2uVawLDnJXgjKzU")</f>
        <v>https://drive.google.com/open?id=167tgrvmCh3hEx8XaP2uVawLDnJXgjKzU</v>
      </c>
      <c r="K225" s="74" t="str">
        <f>IFERROR(__xludf.DUMMYFUNCTION("""COMPUTED_VALUE"""),"2019-2023")</f>
        <v>2019-2023</v>
      </c>
      <c r="L225" s="74" t="str">
        <f>IFERROR(__xludf.DUMMYFUNCTION("""COMPUTED_VALUE"""),"S3: Student Internships")</f>
        <v>S3: Student Internships</v>
      </c>
      <c r="M225" s="74" t="str">
        <f>IFERROR(__xludf.DUMMYFUNCTION("""COMPUTED_VALUE"""),"sirishalakkimsetti1729@gmail.com")</f>
        <v>sirishalakkimsetti1729@gmail.com</v>
      </c>
      <c r="N225" s="74" t="str">
        <f>IFERROR(__xludf.DUMMYFUNCTION("""COMPUTED_VALUE"""),"SEM-6")</f>
        <v>SEM-6</v>
      </c>
      <c r="O225" s="74"/>
      <c r="P225" s="74"/>
      <c r="Q225" s="74"/>
      <c r="R225" s="74"/>
      <c r="S225" s="74"/>
      <c r="T225" s="74"/>
      <c r="U225" s="74"/>
      <c r="V225" s="74"/>
      <c r="W225" s="74"/>
      <c r="X225" s="74"/>
    </row>
    <row r="226" ht="33.0" customHeight="1">
      <c r="A226" s="74" t="str">
        <f>IFERROR(__xludf.DUMMYFUNCTION("""COMPUTED_VALUE"""),"BHARATH RAMA CHANDRA KAKARLA ")</f>
        <v>BHARATH RAMA CHANDRA KAKARLA </v>
      </c>
      <c r="B226" s="74" t="str">
        <f>IFERROR(__xludf.DUMMYFUNCTION("""COMPUTED_VALUE"""),"19331A0567")</f>
        <v>19331A0567</v>
      </c>
      <c r="C226" s="74" t="str">
        <f>IFERROR(__xludf.DUMMYFUNCTION("""COMPUTED_VALUE"""),"AICTE")</f>
        <v>AICTE</v>
      </c>
      <c r="D226" s="74" t="str">
        <f>IFERROR(__xludf.DUMMYFUNCTION("""COMPUTED_VALUE"""),"3 months")</f>
        <v>3 months</v>
      </c>
      <c r="E226" s="79">
        <f>IFERROR(__xludf.DUMMYFUNCTION("""COMPUTED_VALUE"""),44489.0)</f>
        <v>44489</v>
      </c>
      <c r="F226" s="79">
        <f>IFERROR(__xludf.DUMMYFUNCTION("""COMPUTED_VALUE"""),44560.0)</f>
        <v>44560</v>
      </c>
      <c r="G226" s="74" t="str">
        <f>IFERROR(__xludf.DUMMYFUNCTION("""COMPUTED_VALUE"""),"No")</f>
        <v>No</v>
      </c>
      <c r="H226" s="74" t="str">
        <f>IFERROR(__xludf.DUMMYFUNCTION("""COMPUTED_VALUE"""),"No")</f>
        <v>No</v>
      </c>
      <c r="I226" s="74">
        <f>IFERROR(__xludf.DUMMYFUNCTION("""COMPUTED_VALUE"""),0.0)</f>
        <v>0</v>
      </c>
      <c r="J226" s="80" t="str">
        <f>IFERROR(__xludf.DUMMYFUNCTION("""COMPUTED_VALUE"""),"https://drive.google.com/open?id=1v1yUcMpygMbM9fjEZqO6HrE7Awotg5LP")</f>
        <v>https://drive.google.com/open?id=1v1yUcMpygMbM9fjEZqO6HrE7Awotg5LP</v>
      </c>
      <c r="K226" s="74" t="str">
        <f>IFERROR(__xludf.DUMMYFUNCTION("""COMPUTED_VALUE"""),"2019-2023")</f>
        <v>2019-2023</v>
      </c>
      <c r="L226" s="74" t="str">
        <f>IFERROR(__xludf.DUMMYFUNCTION("""COMPUTED_VALUE"""),"S3: Student Internships")</f>
        <v>S3: Student Internships</v>
      </c>
      <c r="M226" s="74" t="str">
        <f>IFERROR(__xludf.DUMMYFUNCTION("""COMPUTED_VALUE"""),"bharath007ram@gmail.com")</f>
        <v>bharath007ram@gmail.com</v>
      </c>
      <c r="N226" s="74" t="str">
        <f>IFERROR(__xludf.DUMMYFUNCTION("""COMPUTED_VALUE"""),"SEM-6")</f>
        <v>SEM-6</v>
      </c>
      <c r="O226" s="74"/>
      <c r="P226" s="74"/>
      <c r="Q226" s="74"/>
      <c r="R226" s="74"/>
      <c r="S226" s="74"/>
      <c r="T226" s="74"/>
      <c r="U226" s="74"/>
      <c r="V226" s="74"/>
      <c r="W226" s="74"/>
      <c r="X226" s="74"/>
    </row>
    <row r="227" ht="33.0" customHeight="1">
      <c r="A227" s="74" t="str">
        <f>IFERROR(__xludf.DUMMYFUNCTION("""COMPUTED_VALUE"""),"KOTARI SAHITHI ")</f>
        <v>KOTARI SAHITHI </v>
      </c>
      <c r="B227" s="74" t="str">
        <f>IFERROR(__xludf.DUMMYFUNCTION("""COMPUTED_VALUE"""),"19331A0583")</f>
        <v>19331A0583</v>
      </c>
      <c r="C227" s="74" t="str">
        <f>IFERROR(__xludf.DUMMYFUNCTION("""COMPUTED_VALUE"""),"AICTE")</f>
        <v>AICTE</v>
      </c>
      <c r="D227" s="74" t="str">
        <f>IFERROR(__xludf.DUMMYFUNCTION("""COMPUTED_VALUE"""),"10 weeks")</f>
        <v>10 weeks</v>
      </c>
      <c r="E227" s="79">
        <f>IFERROR(__xludf.DUMMYFUNCTION("""COMPUTED_VALUE"""),44481.0)</f>
        <v>44481</v>
      </c>
      <c r="F227" s="79">
        <f>IFERROR(__xludf.DUMMYFUNCTION("""COMPUTED_VALUE"""),44543.0)</f>
        <v>44543</v>
      </c>
      <c r="G227" s="74" t="str">
        <f>IFERROR(__xludf.DUMMYFUNCTION("""COMPUTED_VALUE"""),"No")</f>
        <v>No</v>
      </c>
      <c r="H227" s="74" t="str">
        <f>IFERROR(__xludf.DUMMYFUNCTION("""COMPUTED_VALUE"""),"No")</f>
        <v>No</v>
      </c>
      <c r="I227" s="74">
        <f>IFERROR(__xludf.DUMMYFUNCTION("""COMPUTED_VALUE"""),0.0)</f>
        <v>0</v>
      </c>
      <c r="J227" s="80" t="str">
        <f>IFERROR(__xludf.DUMMYFUNCTION("""COMPUTED_VALUE"""),"https://drive.google.com/open?id=1kwsseXwTrYdsbi_YGRdOdjW2_3V7G7ZU")</f>
        <v>https://drive.google.com/open?id=1kwsseXwTrYdsbi_YGRdOdjW2_3V7G7ZU</v>
      </c>
      <c r="K227" s="74" t="str">
        <f>IFERROR(__xludf.DUMMYFUNCTION("""COMPUTED_VALUE"""),"2019-2023")</f>
        <v>2019-2023</v>
      </c>
      <c r="L227" s="74" t="str">
        <f>IFERROR(__xludf.DUMMYFUNCTION("""COMPUTED_VALUE"""),"S3: Student Internships")</f>
        <v>S3: Student Internships</v>
      </c>
      <c r="M227" s="74" t="str">
        <f>IFERROR(__xludf.DUMMYFUNCTION("""COMPUTED_VALUE"""),"kotarisahithi@gmail.com")</f>
        <v>kotarisahithi@gmail.com</v>
      </c>
      <c r="N227" s="74" t="str">
        <f>IFERROR(__xludf.DUMMYFUNCTION("""COMPUTED_VALUE"""),"SEM-6")</f>
        <v>SEM-6</v>
      </c>
      <c r="O227" s="74"/>
      <c r="P227" s="74"/>
      <c r="Q227" s="74"/>
      <c r="R227" s="74"/>
      <c r="S227" s="74"/>
      <c r="T227" s="74"/>
      <c r="U227" s="74"/>
      <c r="V227" s="74"/>
      <c r="W227" s="74"/>
      <c r="X227" s="74"/>
    </row>
    <row r="228" ht="33.0" customHeight="1">
      <c r="A228" s="81" t="str">
        <f>IFERROR(__xludf.DUMMYFUNCTION("""COMPUTED_VALUE"""),"NAMBURI NAVYA GEETHIKA")</f>
        <v>NAMBURI NAVYA GEETHIKA</v>
      </c>
      <c r="B228" s="81" t="str">
        <f>IFERROR(__xludf.DUMMYFUNCTION("""COMPUTED_VALUE"""),"19331A05C0")</f>
        <v>19331A05C0</v>
      </c>
      <c r="C228" s="81" t="str">
        <f>IFERROR(__xludf.DUMMYFUNCTION("""COMPUTED_VALUE"""),"BLUE PRISM ")</f>
        <v>BLUE PRISM </v>
      </c>
      <c r="D228" s="81" t="str">
        <f>IFERROR(__xludf.DUMMYFUNCTION("""COMPUTED_VALUE"""),"10 WEEEKS")</f>
        <v>10 WEEEKS</v>
      </c>
      <c r="E228" s="82">
        <f>IFERROR(__xludf.DUMMYFUNCTION("""COMPUTED_VALUE"""),44470.0)</f>
        <v>44470</v>
      </c>
      <c r="F228" s="82">
        <f>IFERROR(__xludf.DUMMYFUNCTION("""COMPUTED_VALUE"""),44540.0)</f>
        <v>44540</v>
      </c>
      <c r="G228" s="81" t="str">
        <f>IFERROR(__xludf.DUMMYFUNCTION("""COMPUTED_VALUE"""),"No")</f>
        <v>No</v>
      </c>
      <c r="H228" s="81" t="str">
        <f>IFERROR(__xludf.DUMMYFUNCTION("""COMPUTED_VALUE"""),"No")</f>
        <v>No</v>
      </c>
      <c r="I228" s="81">
        <f>IFERROR(__xludf.DUMMYFUNCTION("""COMPUTED_VALUE"""),0.0)</f>
        <v>0</v>
      </c>
      <c r="J228" s="83" t="str">
        <f>IFERROR(__xludf.DUMMYFUNCTION("""COMPUTED_VALUE"""),"https://drive.google.com/open?id=1SlVcE8rGKFud2--_Yqh9LaVFqOwm0HQx")</f>
        <v>https://drive.google.com/open?id=1SlVcE8rGKFud2--_Yqh9LaVFqOwm0HQx</v>
      </c>
      <c r="K228" s="81" t="str">
        <f>IFERROR(__xludf.DUMMYFUNCTION("""COMPUTED_VALUE"""),"2019-2023")</f>
        <v>2019-2023</v>
      </c>
      <c r="L228" s="81" t="str">
        <f>IFERROR(__xludf.DUMMYFUNCTION("""COMPUTED_VALUE"""),"S3: Student Internships")</f>
        <v>S3: Student Internships</v>
      </c>
      <c r="M228" s="81" t="str">
        <f>IFERROR(__xludf.DUMMYFUNCTION("""COMPUTED_VALUE"""),"namburinavyageethika123@gmail.com")</f>
        <v>namburinavyageethika123@gmail.com</v>
      </c>
      <c r="N228" s="81" t="str">
        <f>IFERROR(__xludf.DUMMYFUNCTION("""COMPUTED_VALUE"""),"SEM-6")</f>
        <v>SEM-6</v>
      </c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ht="33.0" customHeight="1">
      <c r="A229" s="81" t="str">
        <f>IFERROR(__xludf.DUMMYFUNCTION("""COMPUTED_VALUE"""),"KOTARI SAHITHI ")</f>
        <v>KOTARI SAHITHI </v>
      </c>
      <c r="B229" s="81" t="str">
        <f>IFERROR(__xludf.DUMMYFUNCTION("""COMPUTED_VALUE"""),"19331A0583")</f>
        <v>19331A0583</v>
      </c>
      <c r="C229" s="81" t="str">
        <f>IFERROR(__xludf.DUMMYFUNCTION("""COMPUTED_VALUE"""),"AICTE")</f>
        <v>AICTE</v>
      </c>
      <c r="D229" s="81" t="str">
        <f>IFERROR(__xludf.DUMMYFUNCTION("""COMPUTED_VALUE"""),"10 weekz")</f>
        <v>10 weekz</v>
      </c>
      <c r="E229" s="82">
        <f>IFERROR(__xludf.DUMMYFUNCTION("""COMPUTED_VALUE"""),44482.0)</f>
        <v>44482</v>
      </c>
      <c r="F229" s="82">
        <f>IFERROR(__xludf.DUMMYFUNCTION("""COMPUTED_VALUE"""),44543.0)</f>
        <v>44543</v>
      </c>
      <c r="G229" s="81" t="str">
        <f>IFERROR(__xludf.DUMMYFUNCTION("""COMPUTED_VALUE"""),"No")</f>
        <v>No</v>
      </c>
      <c r="H229" s="81" t="str">
        <f>IFERROR(__xludf.DUMMYFUNCTION("""COMPUTED_VALUE"""),"No")</f>
        <v>No</v>
      </c>
      <c r="I229" s="81">
        <f>IFERROR(__xludf.DUMMYFUNCTION("""COMPUTED_VALUE"""),0.0)</f>
        <v>0</v>
      </c>
      <c r="J229" s="83" t="str">
        <f>IFERROR(__xludf.DUMMYFUNCTION("""COMPUTED_VALUE"""),"https://drive.google.com/open?id=1czkLH0A9hlYGxcPJ48_H4vKnkINQ2Gaq")</f>
        <v>https://drive.google.com/open?id=1czkLH0A9hlYGxcPJ48_H4vKnkINQ2Gaq</v>
      </c>
      <c r="K229" s="81" t="str">
        <f>IFERROR(__xludf.DUMMYFUNCTION("""COMPUTED_VALUE"""),"2019-2023")</f>
        <v>2019-2023</v>
      </c>
      <c r="L229" s="81" t="str">
        <f>IFERROR(__xludf.DUMMYFUNCTION("""COMPUTED_VALUE"""),"S3: Student Internships")</f>
        <v>S3: Student Internships</v>
      </c>
      <c r="M229" s="81" t="str">
        <f>IFERROR(__xludf.DUMMYFUNCTION("""COMPUTED_VALUE"""),"kotarisahithi@gmail.com")</f>
        <v>kotarisahithi@gmail.com</v>
      </c>
      <c r="N229" s="81" t="str">
        <f>IFERROR(__xludf.DUMMYFUNCTION("""COMPUTED_VALUE"""),"SEM-6")</f>
        <v>SEM-6</v>
      </c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ht="33.0" customHeight="1">
      <c r="A230" s="81" t="str">
        <f>IFERROR(__xludf.DUMMYFUNCTION("""COMPUTED_VALUE"""),"KOMMU ANKITHA")</f>
        <v>KOMMU ANKITHA</v>
      </c>
      <c r="B230" s="81" t="str">
        <f>IFERROR(__xludf.DUMMYFUNCTION("""COMPUTED_VALUE"""),"19331A0582")</f>
        <v>19331A0582</v>
      </c>
      <c r="C230" s="81" t="str">
        <f>IFERROR(__xludf.DUMMYFUNCTION("""COMPUTED_VALUE"""),"BLUE PRISM")</f>
        <v>BLUE PRISM</v>
      </c>
      <c r="D230" s="81" t="str">
        <f>IFERROR(__xludf.DUMMYFUNCTION("""COMPUTED_VALUE"""),"10 WEEKS")</f>
        <v>10 WEEKS</v>
      </c>
      <c r="E230" s="82">
        <f>IFERROR(__xludf.DUMMYFUNCTION("""COMPUTED_VALUE"""),44470.0)</f>
        <v>44470</v>
      </c>
      <c r="F230" s="82">
        <f>IFERROR(__xludf.DUMMYFUNCTION("""COMPUTED_VALUE"""),44540.0)</f>
        <v>44540</v>
      </c>
      <c r="G230" s="81" t="str">
        <f>IFERROR(__xludf.DUMMYFUNCTION("""COMPUTED_VALUE"""),"No")</f>
        <v>No</v>
      </c>
      <c r="H230" s="81" t="str">
        <f>IFERROR(__xludf.DUMMYFUNCTION("""COMPUTED_VALUE"""),"No")</f>
        <v>No</v>
      </c>
      <c r="I230" s="81">
        <f>IFERROR(__xludf.DUMMYFUNCTION("""COMPUTED_VALUE"""),0.0)</f>
        <v>0</v>
      </c>
      <c r="J230" s="83" t="str">
        <f>IFERROR(__xludf.DUMMYFUNCTION("""COMPUTED_VALUE"""),"https://drive.google.com/open?id=1mF47KtsFeQklbLGGpylAcXZy8L4ihMeu")</f>
        <v>https://drive.google.com/open?id=1mF47KtsFeQklbLGGpylAcXZy8L4ihMeu</v>
      </c>
      <c r="K230" s="81" t="str">
        <f>IFERROR(__xludf.DUMMYFUNCTION("""COMPUTED_VALUE"""),"2019-2023")</f>
        <v>2019-2023</v>
      </c>
      <c r="L230" s="81" t="str">
        <f>IFERROR(__xludf.DUMMYFUNCTION("""COMPUTED_VALUE"""),"S3: Student Internships")</f>
        <v>S3: Student Internships</v>
      </c>
      <c r="M230" s="81" t="str">
        <f>IFERROR(__xludf.DUMMYFUNCTION("""COMPUTED_VALUE"""),"kommublessy5@gmail.com")</f>
        <v>kommublessy5@gmail.com</v>
      </c>
      <c r="N230" s="81" t="str">
        <f>IFERROR(__xludf.DUMMYFUNCTION("""COMPUTED_VALUE"""),"SEM-6")</f>
        <v>SEM-6</v>
      </c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ht="33.0" customHeight="1">
      <c r="A231" s="74" t="str">
        <f>IFERROR(__xludf.DUMMYFUNCTION("""COMPUTED_VALUE"""),"MOTAMARRI AKSHAYA")</f>
        <v>MOTAMARRI AKSHAYA</v>
      </c>
      <c r="B231" s="74" t="str">
        <f>IFERROR(__xludf.DUMMYFUNCTION("""COMPUTED_VALUE"""),"19331A05A9")</f>
        <v>19331A05A9</v>
      </c>
      <c r="C231" s="74" t="str">
        <f>IFERROR(__xludf.DUMMYFUNCTION("""COMPUTED_VALUE"""),"AICTE")</f>
        <v>AICTE</v>
      </c>
      <c r="D231" s="74" t="str">
        <f>IFERROR(__xludf.DUMMYFUNCTION("""COMPUTED_VALUE"""),"10 weeks")</f>
        <v>10 weeks</v>
      </c>
      <c r="E231" s="79">
        <f>IFERROR(__xludf.DUMMYFUNCTION("""COMPUTED_VALUE"""),44492.0)</f>
        <v>44492</v>
      </c>
      <c r="F231" s="79">
        <f>IFERROR(__xludf.DUMMYFUNCTION("""COMPUTED_VALUE"""),44548.0)</f>
        <v>44548</v>
      </c>
      <c r="G231" s="74" t="str">
        <f>IFERROR(__xludf.DUMMYFUNCTION("""COMPUTED_VALUE"""),"No")</f>
        <v>No</v>
      </c>
      <c r="H231" s="74" t="str">
        <f>IFERROR(__xludf.DUMMYFUNCTION("""COMPUTED_VALUE"""),"No")</f>
        <v>No</v>
      </c>
      <c r="I231" s="74">
        <f>IFERROR(__xludf.DUMMYFUNCTION("""COMPUTED_VALUE"""),0.0)</f>
        <v>0</v>
      </c>
      <c r="J231" s="80" t="str">
        <f>IFERROR(__xludf.DUMMYFUNCTION("""COMPUTED_VALUE"""),"https://drive.google.com/open?id=1PR40Ymz_OmoQEPznfZeievxc0klmzyUm")</f>
        <v>https://drive.google.com/open?id=1PR40Ymz_OmoQEPznfZeievxc0klmzyUm</v>
      </c>
      <c r="K231" s="74" t="str">
        <f>IFERROR(__xludf.DUMMYFUNCTION("""COMPUTED_VALUE"""),"2019-2023")</f>
        <v>2019-2023</v>
      </c>
      <c r="L231" s="74" t="str">
        <f>IFERROR(__xludf.DUMMYFUNCTION("""COMPUTED_VALUE"""),"S3: Student Internships")</f>
        <v>S3: Student Internships</v>
      </c>
      <c r="M231" s="74" t="str">
        <f>IFERROR(__xludf.DUMMYFUNCTION("""COMPUTED_VALUE"""),"akshayamotamarri2108@gmail.com")</f>
        <v>akshayamotamarri2108@gmail.com</v>
      </c>
      <c r="N231" s="74" t="str">
        <f>IFERROR(__xludf.DUMMYFUNCTION("""COMPUTED_VALUE"""),"SEM-6")</f>
        <v>SEM-6</v>
      </c>
      <c r="O231" s="74"/>
      <c r="P231" s="74"/>
      <c r="Q231" s="74"/>
      <c r="R231" s="74"/>
      <c r="S231" s="74"/>
      <c r="T231" s="74"/>
      <c r="U231" s="74"/>
      <c r="V231" s="74"/>
      <c r="W231" s="74"/>
      <c r="X231" s="74"/>
    </row>
    <row r="232" ht="33.0" customHeight="1">
      <c r="A232" s="74" t="str">
        <f>IFERROR(__xludf.DUMMYFUNCTION("""COMPUTED_VALUE"""),"Sunkari Chitra Deepika")</f>
        <v>Sunkari Chitra Deepika</v>
      </c>
      <c r="B232" s="74" t="str">
        <f>IFERROR(__xludf.DUMMYFUNCTION("""COMPUTED_VALUE"""),"19331A05G5")</f>
        <v>19331A05G5</v>
      </c>
      <c r="C232" s="74" t="str">
        <f>IFERROR(__xludf.DUMMYFUNCTION("""COMPUTED_VALUE"""),"AICTE Eduskills")</f>
        <v>AICTE Eduskills</v>
      </c>
      <c r="D232" s="74" t="str">
        <f>IFERROR(__xludf.DUMMYFUNCTION("""COMPUTED_VALUE"""),"10 weeks")</f>
        <v>10 weeks</v>
      </c>
      <c r="E232" s="79">
        <f>IFERROR(__xludf.DUMMYFUNCTION("""COMPUTED_VALUE"""),44470.0)</f>
        <v>44470</v>
      </c>
      <c r="F232" s="79">
        <f>IFERROR(__xludf.DUMMYFUNCTION("""COMPUTED_VALUE"""),44531.0)</f>
        <v>44531</v>
      </c>
      <c r="G232" s="74" t="str">
        <f>IFERROR(__xludf.DUMMYFUNCTION("""COMPUTED_VALUE"""),"No")</f>
        <v>No</v>
      </c>
      <c r="H232" s="74" t="str">
        <f>IFERROR(__xludf.DUMMYFUNCTION("""COMPUTED_VALUE"""),"No")</f>
        <v>No</v>
      </c>
      <c r="I232" s="74">
        <f>IFERROR(__xludf.DUMMYFUNCTION("""COMPUTED_VALUE"""),0.0)</f>
        <v>0</v>
      </c>
      <c r="J232" s="80" t="str">
        <f>IFERROR(__xludf.DUMMYFUNCTION("""COMPUTED_VALUE"""),"https://drive.google.com/open?id=1sy3IXloS4hFU6XnPUXON0DFI5Xa-WEJ0")</f>
        <v>https://drive.google.com/open?id=1sy3IXloS4hFU6XnPUXON0DFI5Xa-WEJ0</v>
      </c>
      <c r="K232" s="74" t="str">
        <f>IFERROR(__xludf.DUMMYFUNCTION("""COMPUTED_VALUE"""),"2019-2023")</f>
        <v>2019-2023</v>
      </c>
      <c r="L232" s="74" t="str">
        <f>IFERROR(__xludf.DUMMYFUNCTION("""COMPUTED_VALUE"""),"S3: Student Internships")</f>
        <v>S3: Student Internships</v>
      </c>
      <c r="M232" s="74" t="str">
        <f>IFERROR(__xludf.DUMMYFUNCTION("""COMPUTED_VALUE"""),"chitradeepika3124@gmail.com")</f>
        <v>chitradeepika3124@gmail.com</v>
      </c>
      <c r="N232" s="74" t="str">
        <f>IFERROR(__xludf.DUMMYFUNCTION("""COMPUTED_VALUE"""),"SEM-6")</f>
        <v>SEM-6</v>
      </c>
      <c r="O232" s="74"/>
      <c r="P232" s="74"/>
      <c r="Q232" s="74"/>
      <c r="R232" s="74"/>
      <c r="S232" s="74"/>
      <c r="T232" s="74"/>
      <c r="U232" s="74"/>
      <c r="V232" s="74"/>
      <c r="W232" s="74"/>
      <c r="X232" s="74"/>
    </row>
    <row r="233" ht="33.0" customHeight="1">
      <c r="A233" s="81" t="str">
        <f>IFERROR(__xludf.DUMMYFUNCTION("""COMPUTED_VALUE"""),"Sahithi Kotari")</f>
        <v>Sahithi Kotari</v>
      </c>
      <c r="B233" s="81" t="str">
        <f>IFERROR(__xludf.DUMMYFUNCTION("""COMPUTED_VALUE"""),"19331A0583")</f>
        <v>19331A0583</v>
      </c>
      <c r="C233" s="81" t="str">
        <f>IFERROR(__xludf.DUMMYFUNCTION("""COMPUTED_VALUE"""),"AICTE")</f>
        <v>AICTE</v>
      </c>
      <c r="D233" s="81" t="str">
        <f>IFERROR(__xludf.DUMMYFUNCTION("""COMPUTED_VALUE"""),"3 months")</f>
        <v>3 months</v>
      </c>
      <c r="E233" s="82">
        <f>IFERROR(__xludf.DUMMYFUNCTION("""COMPUTED_VALUE"""),44470.0)</f>
        <v>44470</v>
      </c>
      <c r="F233" s="82">
        <f>IFERROR(__xludf.DUMMYFUNCTION("""COMPUTED_VALUE"""),44545.0)</f>
        <v>44545</v>
      </c>
      <c r="G233" s="81" t="str">
        <f>IFERROR(__xludf.DUMMYFUNCTION("""COMPUTED_VALUE"""),"No")</f>
        <v>No</v>
      </c>
      <c r="H233" s="81" t="str">
        <f>IFERROR(__xludf.DUMMYFUNCTION("""COMPUTED_VALUE"""),"No")</f>
        <v>No</v>
      </c>
      <c r="I233" s="81">
        <f>IFERROR(__xludf.DUMMYFUNCTION("""COMPUTED_VALUE"""),0.0)</f>
        <v>0</v>
      </c>
      <c r="J233" s="83" t="str">
        <f>IFERROR(__xludf.DUMMYFUNCTION("""COMPUTED_VALUE"""),"https://drive.google.com/open?id=1Sb1weKGCly4fo_dv66vvjRUopycy4Nw2")</f>
        <v>https://drive.google.com/open?id=1Sb1weKGCly4fo_dv66vvjRUopycy4Nw2</v>
      </c>
      <c r="K233" s="81" t="str">
        <f>IFERROR(__xludf.DUMMYFUNCTION("""COMPUTED_VALUE"""),"2019-2023")</f>
        <v>2019-2023</v>
      </c>
      <c r="L233" s="81" t="str">
        <f>IFERROR(__xludf.DUMMYFUNCTION("""COMPUTED_VALUE"""),"S3: Student Internships")</f>
        <v>S3: Student Internships</v>
      </c>
      <c r="M233" s="81" t="str">
        <f>IFERROR(__xludf.DUMMYFUNCTION("""COMPUTED_VALUE"""),"kotarisahithi@gmail.com")</f>
        <v>kotarisahithi@gmail.com</v>
      </c>
      <c r="N233" s="81" t="str">
        <f>IFERROR(__xludf.DUMMYFUNCTION("""COMPUTED_VALUE"""),"SEM-6")</f>
        <v>SEM-6</v>
      </c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ht="33.0" customHeight="1">
      <c r="A234" s="74" t="str">
        <f>IFERROR(__xludf.DUMMYFUNCTION("""COMPUTED_VALUE"""),"MODALAVALASA SAI PRASANNA")</f>
        <v>MODALAVALASA SAI PRASANNA</v>
      </c>
      <c r="B234" s="74" t="str">
        <f>IFERROR(__xludf.DUMMYFUNCTION("""COMPUTED_VALUE"""),"19331A05A5")</f>
        <v>19331A05A5</v>
      </c>
      <c r="C234" s="74" t="str">
        <f>IFERROR(__xludf.DUMMYFUNCTION("""COMPUTED_VALUE"""),"ALL INDIA COUNCIL FOR TECHNICAL EDUCATION(AICTE)")</f>
        <v>ALL INDIA COUNCIL FOR TECHNICAL EDUCATION(AICTE)</v>
      </c>
      <c r="D234" s="74" t="str">
        <f>IFERROR(__xludf.DUMMYFUNCTION("""COMPUTED_VALUE"""),"10 WEEKS")</f>
        <v>10 WEEKS</v>
      </c>
      <c r="E234" s="79">
        <f>IFERROR(__xludf.DUMMYFUNCTION("""COMPUTED_VALUE"""),44470.0)</f>
        <v>44470</v>
      </c>
      <c r="F234" s="79">
        <f>IFERROR(__xludf.DUMMYFUNCTION("""COMPUTED_VALUE"""),44536.0)</f>
        <v>44536</v>
      </c>
      <c r="G234" s="74" t="str">
        <f>IFERROR(__xludf.DUMMYFUNCTION("""COMPUTED_VALUE"""),"No")</f>
        <v>No</v>
      </c>
      <c r="H234" s="74" t="str">
        <f>IFERROR(__xludf.DUMMYFUNCTION("""COMPUTED_VALUE"""),"No")</f>
        <v>No</v>
      </c>
      <c r="I234" s="74">
        <f>IFERROR(__xludf.DUMMYFUNCTION("""COMPUTED_VALUE"""),0.0)</f>
        <v>0</v>
      </c>
      <c r="J234" s="80" t="str">
        <f>IFERROR(__xludf.DUMMYFUNCTION("""COMPUTED_VALUE"""),"https://drive.google.com/open?id=1NWzPObzKHYQ_0DokV9wtmaLGJJH8hjY8")</f>
        <v>https://drive.google.com/open?id=1NWzPObzKHYQ_0DokV9wtmaLGJJH8hjY8</v>
      </c>
      <c r="K234" s="74" t="str">
        <f>IFERROR(__xludf.DUMMYFUNCTION("""COMPUTED_VALUE"""),"2019-2023")</f>
        <v>2019-2023</v>
      </c>
      <c r="L234" s="74" t="str">
        <f>IFERROR(__xludf.DUMMYFUNCTION("""COMPUTED_VALUE"""),"S3: Student Internships")</f>
        <v>S3: Student Internships</v>
      </c>
      <c r="M234" s="74" t="str">
        <f>IFERROR(__xludf.DUMMYFUNCTION("""COMPUTED_VALUE"""),"prasanna260402@gmail.com")</f>
        <v>prasanna260402@gmail.com</v>
      </c>
      <c r="N234" s="74" t="str">
        <f>IFERROR(__xludf.DUMMYFUNCTION("""COMPUTED_VALUE"""),"SEM-6")</f>
        <v>SEM-6</v>
      </c>
      <c r="O234" s="74"/>
      <c r="P234" s="74"/>
      <c r="Q234" s="74"/>
      <c r="R234" s="74"/>
      <c r="S234" s="74"/>
      <c r="T234" s="74"/>
      <c r="U234" s="74"/>
      <c r="V234" s="74"/>
      <c r="W234" s="74"/>
      <c r="X234" s="74"/>
    </row>
    <row r="235" ht="33.0" customHeight="1">
      <c r="A235" s="81" t="str">
        <f>IFERROR(__xludf.DUMMYFUNCTION("""COMPUTED_VALUE"""),"Mohammed Daraksha Anjum")</f>
        <v>Mohammed Daraksha Anjum</v>
      </c>
      <c r="B235" s="81" t="str">
        <f>IFERROR(__xludf.DUMMYFUNCTION("""COMPUTED_VALUE"""),"19331A05A7")</f>
        <v>19331A05A7</v>
      </c>
      <c r="C235" s="81" t="str">
        <f>IFERROR(__xludf.DUMMYFUNCTION("""COMPUTED_VALUE"""),"AICTE")</f>
        <v>AICTE</v>
      </c>
      <c r="D235" s="81" t="str">
        <f>IFERROR(__xludf.DUMMYFUNCTION("""COMPUTED_VALUE"""),"10 Weeks ")</f>
        <v>10 Weeks </v>
      </c>
      <c r="E235" s="82">
        <f>IFERROR(__xludf.DUMMYFUNCTION("""COMPUTED_VALUE"""),44470.0)</f>
        <v>44470</v>
      </c>
      <c r="F235" s="82">
        <f>IFERROR(__xludf.DUMMYFUNCTION("""COMPUTED_VALUE"""),44551.0)</f>
        <v>44551</v>
      </c>
      <c r="G235" s="81" t="str">
        <f>IFERROR(__xludf.DUMMYFUNCTION("""COMPUTED_VALUE"""),"No")</f>
        <v>No</v>
      </c>
      <c r="H235" s="81" t="str">
        <f>IFERROR(__xludf.DUMMYFUNCTION("""COMPUTED_VALUE"""),"No")</f>
        <v>No</v>
      </c>
      <c r="I235" s="81">
        <f>IFERROR(__xludf.DUMMYFUNCTION("""COMPUTED_VALUE"""),0.0)</f>
        <v>0</v>
      </c>
      <c r="J235" s="83" t="str">
        <f>IFERROR(__xludf.DUMMYFUNCTION("""COMPUTED_VALUE"""),"https://drive.google.com/open?id=1Pe6DhHJnLX5NM3lyjJYfxv-dMh0EuIuB")</f>
        <v>https://drive.google.com/open?id=1Pe6DhHJnLX5NM3lyjJYfxv-dMh0EuIuB</v>
      </c>
      <c r="K235" s="81" t="str">
        <f>IFERROR(__xludf.DUMMYFUNCTION("""COMPUTED_VALUE"""),"2019-2023")</f>
        <v>2019-2023</v>
      </c>
      <c r="L235" s="81" t="str">
        <f>IFERROR(__xludf.DUMMYFUNCTION("""COMPUTED_VALUE"""),"S3: Student Internships")</f>
        <v>S3: Student Internships</v>
      </c>
      <c r="M235" s="81" t="str">
        <f>IFERROR(__xludf.DUMMYFUNCTION("""COMPUTED_VALUE"""),"darakshaanjummohammed@gmail.com")</f>
        <v>darakshaanjummohammed@gmail.com</v>
      </c>
      <c r="N235" s="81" t="str">
        <f>IFERROR(__xludf.DUMMYFUNCTION("""COMPUTED_VALUE"""),"SEM-6")</f>
        <v>SEM-6</v>
      </c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ht="33.0" customHeight="1">
      <c r="A236" s="78" t="str">
        <f>IFERROR(__xludf.DUMMYFUNCTION("""COMPUTED_VALUE"""),"Mohammed Daraksha Anjum")</f>
        <v>Mohammed Daraksha Anjum</v>
      </c>
      <c r="B236" s="78" t="str">
        <f>IFERROR(__xludf.DUMMYFUNCTION("""COMPUTED_VALUE"""),"19331A05A7")</f>
        <v>19331A05A7</v>
      </c>
      <c r="C236" s="78" t="str">
        <f>IFERROR(__xludf.DUMMYFUNCTION("""COMPUTED_VALUE"""),"AICTE")</f>
        <v>AICTE</v>
      </c>
      <c r="D236" s="78" t="str">
        <f>IFERROR(__xludf.DUMMYFUNCTION("""COMPUTED_VALUE"""),"4 months")</f>
        <v>4 months</v>
      </c>
      <c r="E236" s="84">
        <f>IFERROR(__xludf.DUMMYFUNCTION("""COMPUTED_VALUE"""),44244.0)</f>
        <v>44244</v>
      </c>
      <c r="F236" s="84">
        <f>IFERROR(__xludf.DUMMYFUNCTION("""COMPUTED_VALUE"""),44347.0)</f>
        <v>44347</v>
      </c>
      <c r="G236" s="78" t="str">
        <f>IFERROR(__xludf.DUMMYFUNCTION("""COMPUTED_VALUE"""),"No")</f>
        <v>No</v>
      </c>
      <c r="H236" s="78" t="str">
        <f>IFERROR(__xludf.DUMMYFUNCTION("""COMPUTED_VALUE"""),"No")</f>
        <v>No</v>
      </c>
      <c r="I236" s="78">
        <f>IFERROR(__xludf.DUMMYFUNCTION("""COMPUTED_VALUE"""),0.0)</f>
        <v>0</v>
      </c>
      <c r="J236" s="85" t="str">
        <f>IFERROR(__xludf.DUMMYFUNCTION("""COMPUTED_VALUE"""),"https://drive.google.com/open?id=1cDRa-RDmk-a87QUa6FM--jh3HEjHRYBd")</f>
        <v>https://drive.google.com/open?id=1cDRa-RDmk-a87QUa6FM--jh3HEjHRYBd</v>
      </c>
      <c r="K236" s="78" t="str">
        <f>IFERROR(__xludf.DUMMYFUNCTION("""COMPUTED_VALUE"""),"2019-2023")</f>
        <v>2019-2023</v>
      </c>
      <c r="L236" s="78" t="str">
        <f>IFERROR(__xludf.DUMMYFUNCTION("""COMPUTED_VALUE"""),"S3: Student Internships")</f>
        <v>S3: Student Internships</v>
      </c>
      <c r="M236" s="78" t="str">
        <f>IFERROR(__xludf.DUMMYFUNCTION("""COMPUTED_VALUE"""),"darakshaanjummohammed@gmail.com")</f>
        <v>darakshaanjummohammed@gmail.com</v>
      </c>
      <c r="N236" s="78" t="str">
        <f>IFERROR(__xludf.DUMMYFUNCTION("""COMPUTED_VALUE"""),"SEM-6")</f>
        <v>SEM-6</v>
      </c>
      <c r="O236" s="78"/>
      <c r="P236" s="78"/>
      <c r="Q236" s="78"/>
      <c r="R236" s="78"/>
      <c r="S236" s="78"/>
      <c r="T236" s="78"/>
      <c r="U236" s="78"/>
      <c r="V236" s="78"/>
      <c r="W236" s="78"/>
      <c r="X236" s="78"/>
    </row>
    <row r="237" ht="33.0" customHeight="1">
      <c r="A237" s="78" t="str">
        <f>IFERROR(__xludf.DUMMYFUNCTION("""COMPUTED_VALUE"""),"Mohammed Daraksha Anjum")</f>
        <v>Mohammed Daraksha Anjum</v>
      </c>
      <c r="B237" s="78" t="str">
        <f>IFERROR(__xludf.DUMMYFUNCTION("""COMPUTED_VALUE"""),"19331A05A7")</f>
        <v>19331A05A7</v>
      </c>
      <c r="C237" s="78" t="str">
        <f>IFERROR(__xludf.DUMMYFUNCTION("""COMPUTED_VALUE"""),"AICTE")</f>
        <v>AICTE</v>
      </c>
      <c r="D237" s="78" t="str">
        <f>IFERROR(__xludf.DUMMYFUNCTION("""COMPUTED_VALUE"""),"4 months")</f>
        <v>4 months</v>
      </c>
      <c r="E237" s="84">
        <f>IFERROR(__xludf.DUMMYFUNCTION("""COMPUTED_VALUE"""),44420.0)</f>
        <v>44420</v>
      </c>
      <c r="F237" s="84">
        <f>IFERROR(__xludf.DUMMYFUNCTION("""COMPUTED_VALUE"""),44501.0)</f>
        <v>44501</v>
      </c>
      <c r="G237" s="78" t="str">
        <f>IFERROR(__xludf.DUMMYFUNCTION("""COMPUTED_VALUE"""),"No")</f>
        <v>No</v>
      </c>
      <c r="H237" s="78" t="str">
        <f>IFERROR(__xludf.DUMMYFUNCTION("""COMPUTED_VALUE"""),"No")</f>
        <v>No</v>
      </c>
      <c r="I237" s="78">
        <f>IFERROR(__xludf.DUMMYFUNCTION("""COMPUTED_VALUE"""),0.0)</f>
        <v>0</v>
      </c>
      <c r="J237" s="85" t="str">
        <f>IFERROR(__xludf.DUMMYFUNCTION("""COMPUTED_VALUE"""),"https://drive.google.com/open?id=1STR97IF_Gw-P-HLd8Ried7hpAnPzmLM5")</f>
        <v>https://drive.google.com/open?id=1STR97IF_Gw-P-HLd8Ried7hpAnPzmLM5</v>
      </c>
      <c r="K237" s="78" t="str">
        <f>IFERROR(__xludf.DUMMYFUNCTION("""COMPUTED_VALUE"""),"2019-2023")</f>
        <v>2019-2023</v>
      </c>
      <c r="L237" s="78" t="str">
        <f>IFERROR(__xludf.DUMMYFUNCTION("""COMPUTED_VALUE"""),"S3: Student Internships")</f>
        <v>S3: Student Internships</v>
      </c>
      <c r="M237" s="78" t="str">
        <f>IFERROR(__xludf.DUMMYFUNCTION("""COMPUTED_VALUE"""),"darakshaanjummohammed@gmail.com")</f>
        <v>darakshaanjummohammed@gmail.com</v>
      </c>
      <c r="N237" s="78" t="str">
        <f>IFERROR(__xludf.DUMMYFUNCTION("""COMPUTED_VALUE"""),"SEM-6")</f>
        <v>SEM-6</v>
      </c>
      <c r="O237" s="78"/>
      <c r="P237" s="78"/>
      <c r="Q237" s="78"/>
      <c r="R237" s="78"/>
      <c r="S237" s="78"/>
      <c r="T237" s="78"/>
      <c r="U237" s="78"/>
      <c r="V237" s="78"/>
      <c r="W237" s="78"/>
      <c r="X237" s="78"/>
    </row>
    <row r="238" ht="33.0" customHeight="1">
      <c r="A238" s="78" t="str">
        <f>IFERROR(__xludf.DUMMYFUNCTION("""COMPUTED_VALUE"""),"Mohammed Daraksha Anjum")</f>
        <v>Mohammed Daraksha Anjum</v>
      </c>
      <c r="B238" s="78" t="str">
        <f>IFERROR(__xludf.DUMMYFUNCTION("""COMPUTED_VALUE"""),"19331A05A7")</f>
        <v>19331A05A7</v>
      </c>
      <c r="C238" s="78" t="str">
        <f>IFERROR(__xludf.DUMMYFUNCTION("""COMPUTED_VALUE"""),"AICTE")</f>
        <v>AICTE</v>
      </c>
      <c r="D238" s="78" t="str">
        <f>IFERROR(__xludf.DUMMYFUNCTION("""COMPUTED_VALUE"""),"4 months")</f>
        <v>4 months</v>
      </c>
      <c r="E238" s="84">
        <f>IFERROR(__xludf.DUMMYFUNCTION("""COMPUTED_VALUE"""),44533.0)</f>
        <v>44533</v>
      </c>
      <c r="F238" s="84">
        <f>IFERROR(__xludf.DUMMYFUNCTION("""COMPUTED_VALUE"""),44681.0)</f>
        <v>44681</v>
      </c>
      <c r="G238" s="78" t="str">
        <f>IFERROR(__xludf.DUMMYFUNCTION("""COMPUTED_VALUE"""),"No")</f>
        <v>No</v>
      </c>
      <c r="H238" s="78" t="str">
        <f>IFERROR(__xludf.DUMMYFUNCTION("""COMPUTED_VALUE"""),"No")</f>
        <v>No</v>
      </c>
      <c r="I238" s="78">
        <f>IFERROR(__xludf.DUMMYFUNCTION("""COMPUTED_VALUE"""),0.0)</f>
        <v>0</v>
      </c>
      <c r="J238" s="85" t="str">
        <f>IFERROR(__xludf.DUMMYFUNCTION("""COMPUTED_VALUE"""),"https://drive.google.com/open?id=1Dr5HXZiyUSo6GbKnLVw2OMAmLWCxUW5k")</f>
        <v>https://drive.google.com/open?id=1Dr5HXZiyUSo6GbKnLVw2OMAmLWCxUW5k</v>
      </c>
      <c r="K238" s="78" t="str">
        <f>IFERROR(__xludf.DUMMYFUNCTION("""COMPUTED_VALUE"""),"2019-2023")</f>
        <v>2019-2023</v>
      </c>
      <c r="L238" s="78" t="str">
        <f>IFERROR(__xludf.DUMMYFUNCTION("""COMPUTED_VALUE"""),"S3: Student Internships")</f>
        <v>S3: Student Internships</v>
      </c>
      <c r="M238" s="78" t="str">
        <f>IFERROR(__xludf.DUMMYFUNCTION("""COMPUTED_VALUE"""),"darakshaanjummohammed@gmail.com")</f>
        <v>darakshaanjummohammed@gmail.com</v>
      </c>
      <c r="N238" s="78" t="str">
        <f>IFERROR(__xludf.DUMMYFUNCTION("""COMPUTED_VALUE"""),"SEM-6")</f>
        <v>SEM-6</v>
      </c>
      <c r="O238" s="78"/>
      <c r="P238" s="78"/>
      <c r="Q238" s="78"/>
      <c r="R238" s="78"/>
      <c r="S238" s="78"/>
      <c r="T238" s="78"/>
      <c r="U238" s="78"/>
      <c r="V238" s="78"/>
      <c r="W238" s="78"/>
      <c r="X238" s="78"/>
    </row>
    <row r="239" ht="33.0" customHeight="1">
      <c r="A239" s="74" t="str">
        <f>IFERROR(__xludf.DUMMYFUNCTION("""COMPUTED_VALUE"""),"Surisetty Ekta Anusha")</f>
        <v>Surisetty Ekta Anusha</v>
      </c>
      <c r="B239" s="74" t="str">
        <f>IFERROR(__xludf.DUMMYFUNCTION("""COMPUTED_VALUE"""),"19331A05G8")</f>
        <v>19331A05G8</v>
      </c>
      <c r="C239" s="74" t="str">
        <f>IFERROR(__xludf.DUMMYFUNCTION("""COMPUTED_VALUE"""),"AICTE")</f>
        <v>AICTE</v>
      </c>
      <c r="D239" s="74" t="str">
        <f>IFERROR(__xludf.DUMMYFUNCTION("""COMPUTED_VALUE"""),"3")</f>
        <v>3</v>
      </c>
      <c r="E239" s="79">
        <f>IFERROR(__xludf.DUMMYFUNCTION("""COMPUTED_VALUE"""),44473.0)</f>
        <v>44473</v>
      </c>
      <c r="F239" s="79">
        <f>IFERROR(__xludf.DUMMYFUNCTION("""COMPUTED_VALUE"""),44561.0)</f>
        <v>44561</v>
      </c>
      <c r="G239" s="74" t="str">
        <f>IFERROR(__xludf.DUMMYFUNCTION("""COMPUTED_VALUE"""),"No")</f>
        <v>No</v>
      </c>
      <c r="H239" s="74" t="str">
        <f>IFERROR(__xludf.DUMMYFUNCTION("""COMPUTED_VALUE"""),"No")</f>
        <v>No</v>
      </c>
      <c r="I239" s="74">
        <f>IFERROR(__xludf.DUMMYFUNCTION("""COMPUTED_VALUE"""),0.0)</f>
        <v>0</v>
      </c>
      <c r="J239" s="80" t="str">
        <f>IFERROR(__xludf.DUMMYFUNCTION("""COMPUTED_VALUE"""),"https://drive.google.com/open?id=1-csxITqbpMe1SlKSzE2T59143PxK708Q")</f>
        <v>https://drive.google.com/open?id=1-csxITqbpMe1SlKSzE2T59143PxK708Q</v>
      </c>
      <c r="K239" s="74" t="str">
        <f>IFERROR(__xludf.DUMMYFUNCTION("""COMPUTED_VALUE"""),"2019-2023")</f>
        <v>2019-2023</v>
      </c>
      <c r="L239" s="74" t="str">
        <f>IFERROR(__xludf.DUMMYFUNCTION("""COMPUTED_VALUE"""),"S3: Student Internships")</f>
        <v>S3: Student Internships</v>
      </c>
      <c r="M239" s="74" t="str">
        <f>IFERROR(__xludf.DUMMYFUNCTION("""COMPUTED_VALUE"""),"ektaanusha16@gmail.com")</f>
        <v>ektaanusha16@gmail.com</v>
      </c>
      <c r="N239" s="74" t="str">
        <f>IFERROR(__xludf.DUMMYFUNCTION("""COMPUTED_VALUE"""),"SEM-5")</f>
        <v>SEM-5</v>
      </c>
      <c r="O239" s="74"/>
      <c r="P239" s="74"/>
      <c r="Q239" s="74"/>
      <c r="R239" s="74"/>
      <c r="S239" s="74"/>
      <c r="T239" s="74"/>
      <c r="U239" s="74"/>
      <c r="V239" s="74"/>
      <c r="W239" s="74"/>
      <c r="X239" s="74"/>
    </row>
    <row r="240" ht="33.0" customHeight="1">
      <c r="A240" s="74" t="str">
        <f>IFERROR(__xludf.DUMMYFUNCTION("""COMPUTED_VALUE"""),"Suchi Smita Mall")</f>
        <v>Suchi Smita Mall</v>
      </c>
      <c r="B240" s="74" t="str">
        <f>IFERROR(__xludf.DUMMYFUNCTION("""COMPUTED_VALUE"""),"19331A05G2")</f>
        <v>19331A05G2</v>
      </c>
      <c r="C240" s="74" t="str">
        <f>IFERROR(__xludf.DUMMYFUNCTION("""COMPUTED_VALUE"""),"EduSkills")</f>
        <v>EduSkills</v>
      </c>
      <c r="D240" s="74" t="str">
        <f>IFERROR(__xludf.DUMMYFUNCTION("""COMPUTED_VALUE"""),"2months")</f>
        <v>2months</v>
      </c>
      <c r="E240" s="79">
        <f>IFERROR(__xludf.DUMMYFUNCTION("""COMPUTED_VALUE"""),44491.0)</f>
        <v>44491</v>
      </c>
      <c r="F240" s="79">
        <f>IFERROR(__xludf.DUMMYFUNCTION("""COMPUTED_VALUE"""),44540.0)</f>
        <v>44540</v>
      </c>
      <c r="G240" s="74" t="str">
        <f>IFERROR(__xludf.DUMMYFUNCTION("""COMPUTED_VALUE"""),"No")</f>
        <v>No</v>
      </c>
      <c r="H240" s="74" t="str">
        <f>IFERROR(__xludf.DUMMYFUNCTION("""COMPUTED_VALUE"""),"No")</f>
        <v>No</v>
      </c>
      <c r="I240" s="74">
        <f>IFERROR(__xludf.DUMMYFUNCTION("""COMPUTED_VALUE"""),0.0)</f>
        <v>0</v>
      </c>
      <c r="J240" s="80" t="str">
        <f>IFERROR(__xludf.DUMMYFUNCTION("""COMPUTED_VALUE"""),"https://drive.google.com/open?id=1XwUCVjK4R5x_ZUD3keuijM3-ExCXePp4")</f>
        <v>https://drive.google.com/open?id=1XwUCVjK4R5x_ZUD3keuijM3-ExCXePp4</v>
      </c>
      <c r="K240" s="74" t="str">
        <f>IFERROR(__xludf.DUMMYFUNCTION("""COMPUTED_VALUE"""),"2019-2023")</f>
        <v>2019-2023</v>
      </c>
      <c r="L240" s="74" t="str">
        <f>IFERROR(__xludf.DUMMYFUNCTION("""COMPUTED_VALUE"""),"S3: Student Internships")</f>
        <v>S3: Student Internships</v>
      </c>
      <c r="M240" s="74" t="str">
        <f>IFERROR(__xludf.DUMMYFUNCTION("""COMPUTED_VALUE"""),"suchismita394@gmail.com")</f>
        <v>suchismita394@gmail.com</v>
      </c>
      <c r="N240" s="74" t="str">
        <f>IFERROR(__xludf.DUMMYFUNCTION("""COMPUTED_VALUE"""),"SEM-6")</f>
        <v>SEM-6</v>
      </c>
      <c r="O240" s="74"/>
      <c r="P240" s="74"/>
      <c r="Q240" s="74"/>
      <c r="R240" s="74"/>
      <c r="S240" s="74"/>
      <c r="T240" s="74"/>
      <c r="U240" s="74"/>
      <c r="V240" s="74"/>
      <c r="W240" s="74"/>
      <c r="X240" s="74"/>
    </row>
    <row r="241" ht="33.0" customHeight="1">
      <c r="A241" s="74" t="str">
        <f>IFERROR(__xludf.DUMMYFUNCTION("""COMPUTED_VALUE"""),"JARJANA SATHVIKA")</f>
        <v>JARJANA SATHVIKA</v>
      </c>
      <c r="B241" s="74" t="str">
        <f>IFERROR(__xludf.DUMMYFUNCTION("""COMPUTED_VALUE"""),"19331A0565")</f>
        <v>19331A0565</v>
      </c>
      <c r="C241" s="74" t="str">
        <f>IFERROR(__xludf.DUMMYFUNCTION("""COMPUTED_VALUE"""),"Eduskills")</f>
        <v>Eduskills</v>
      </c>
      <c r="D241" s="74" t="str">
        <f>IFERROR(__xludf.DUMMYFUNCTION("""COMPUTED_VALUE"""),"10 weeks")</f>
        <v>10 weeks</v>
      </c>
      <c r="E241" s="79">
        <f>IFERROR(__xludf.DUMMYFUNCTION("""COMPUTED_VALUE"""),44470.0)</f>
        <v>44470</v>
      </c>
      <c r="F241" s="79">
        <f>IFERROR(__xludf.DUMMYFUNCTION("""COMPUTED_VALUE"""),44560.0)</f>
        <v>44560</v>
      </c>
      <c r="G241" s="74" t="str">
        <f>IFERROR(__xludf.DUMMYFUNCTION("""COMPUTED_VALUE"""),"No")</f>
        <v>No</v>
      </c>
      <c r="H241" s="74" t="str">
        <f>IFERROR(__xludf.DUMMYFUNCTION("""COMPUTED_VALUE"""),"No")</f>
        <v>No</v>
      </c>
      <c r="I241" s="74">
        <f>IFERROR(__xludf.DUMMYFUNCTION("""COMPUTED_VALUE"""),0.0)</f>
        <v>0</v>
      </c>
      <c r="J241" s="80" t="str">
        <f>IFERROR(__xludf.DUMMYFUNCTION("""COMPUTED_VALUE"""),"https://drive.google.com/open?id=1f5wALKX5fp9UWpX5v_zWG6unCdmzi3Sh")</f>
        <v>https://drive.google.com/open?id=1f5wALKX5fp9UWpX5v_zWG6unCdmzi3Sh</v>
      </c>
      <c r="K241" s="74" t="str">
        <f>IFERROR(__xludf.DUMMYFUNCTION("""COMPUTED_VALUE"""),"2019-2023")</f>
        <v>2019-2023</v>
      </c>
      <c r="L241" s="74" t="str">
        <f>IFERROR(__xludf.DUMMYFUNCTION("""COMPUTED_VALUE"""),"S3: Student Internships")</f>
        <v>S3: Student Internships</v>
      </c>
      <c r="M241" s="74" t="str">
        <f>IFERROR(__xludf.DUMMYFUNCTION("""COMPUTED_VALUE"""),"sathvikaj777@gmail.com")</f>
        <v>sathvikaj777@gmail.com</v>
      </c>
      <c r="N241" s="74" t="str">
        <f>IFERROR(__xludf.DUMMYFUNCTION("""COMPUTED_VALUE"""),"SEM-6")</f>
        <v>SEM-6</v>
      </c>
      <c r="O241" s="74"/>
      <c r="P241" s="74"/>
      <c r="Q241" s="74"/>
      <c r="R241" s="74"/>
      <c r="S241" s="74"/>
      <c r="T241" s="74"/>
      <c r="U241" s="74"/>
      <c r="V241" s="74"/>
      <c r="W241" s="74"/>
      <c r="X241" s="74"/>
    </row>
    <row r="242" ht="33.0" customHeight="1">
      <c r="A242" s="81" t="str">
        <f>IFERROR(__xludf.DUMMYFUNCTION("""COMPUTED_VALUE"""),"Siripurapu Sandhya ")</f>
        <v>Siripurapu Sandhya </v>
      </c>
      <c r="B242" s="81" t="str">
        <f>IFERROR(__xludf.DUMMYFUNCTION("""COMPUTED_VALUE"""),"19331A05F9 ")</f>
        <v>19331A05F9 </v>
      </c>
      <c r="C242" s="81" t="str">
        <f>IFERROR(__xludf.DUMMYFUNCTION("""COMPUTED_VALUE"""),"Edu kills")</f>
        <v>Edu kills</v>
      </c>
      <c r="D242" s="81" t="str">
        <f>IFERROR(__xludf.DUMMYFUNCTION("""COMPUTED_VALUE"""),"10 weeks")</f>
        <v>10 weeks</v>
      </c>
      <c r="E242" s="82">
        <f>IFERROR(__xludf.DUMMYFUNCTION("""COMPUTED_VALUE"""),44477.0)</f>
        <v>44477</v>
      </c>
      <c r="F242" s="82">
        <f>IFERROR(__xludf.DUMMYFUNCTION("""COMPUTED_VALUE"""),44546.0)</f>
        <v>44546</v>
      </c>
      <c r="G242" s="81" t="str">
        <f>IFERROR(__xludf.DUMMYFUNCTION("""COMPUTED_VALUE"""),"No")</f>
        <v>No</v>
      </c>
      <c r="H242" s="81" t="str">
        <f>IFERROR(__xludf.DUMMYFUNCTION("""COMPUTED_VALUE"""),"No")</f>
        <v>No</v>
      </c>
      <c r="I242" s="81">
        <f>IFERROR(__xludf.DUMMYFUNCTION("""COMPUTED_VALUE"""),0.0)</f>
        <v>0</v>
      </c>
      <c r="J242" s="83" t="str">
        <f>IFERROR(__xludf.DUMMYFUNCTION("""COMPUTED_VALUE"""),"https://drive.google.com/open?id=1XoNcTTxwOjH8XCLcUydENC-8TTBDI7SR")</f>
        <v>https://drive.google.com/open?id=1XoNcTTxwOjH8XCLcUydENC-8TTBDI7SR</v>
      </c>
      <c r="K242" s="81" t="str">
        <f>IFERROR(__xludf.DUMMYFUNCTION("""COMPUTED_VALUE"""),"2019-2023")</f>
        <v>2019-2023</v>
      </c>
      <c r="L242" s="81" t="str">
        <f>IFERROR(__xludf.DUMMYFUNCTION("""COMPUTED_VALUE"""),"S3: Student Internships")</f>
        <v>S3: Student Internships</v>
      </c>
      <c r="M242" s="81" t="str">
        <f>IFERROR(__xludf.DUMMYFUNCTION("""COMPUTED_VALUE"""),"siripurapusandhya15@gmail.com")</f>
        <v>siripurapusandhya15@gmail.com</v>
      </c>
      <c r="N242" s="81" t="str">
        <f>IFERROR(__xludf.DUMMYFUNCTION("""COMPUTED_VALUE"""),"SEM-5")</f>
        <v>SEM-5</v>
      </c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ht="33.0" customHeight="1">
      <c r="A243" s="74" t="str">
        <f>IFERROR(__xludf.DUMMYFUNCTION("""COMPUTED_VALUE"""),"A A S N NISHANTH VARMA P")</f>
        <v>A A S N NISHANTH VARMA P</v>
      </c>
      <c r="B243" s="74" t="str">
        <f>IFERROR(__xludf.DUMMYFUNCTION("""COMPUTED_VALUE"""),"19331A0501")</f>
        <v>19331A0501</v>
      </c>
      <c r="C243" s="74" t="str">
        <f>IFERROR(__xludf.DUMMYFUNCTION("""COMPUTED_VALUE"""),"RAISE DIGITAL")</f>
        <v>RAISE DIGITAL</v>
      </c>
      <c r="D243" s="74" t="str">
        <f>IFERROR(__xludf.DUMMYFUNCTION("""COMPUTED_VALUE"""),"2 months")</f>
        <v>2 months</v>
      </c>
      <c r="E243" s="79">
        <f>IFERROR(__xludf.DUMMYFUNCTION("""COMPUTED_VALUE"""),44571.0)</f>
        <v>44571</v>
      </c>
      <c r="F243" s="79">
        <f>IFERROR(__xludf.DUMMYFUNCTION("""COMPUTED_VALUE"""),44630.0)</f>
        <v>44630</v>
      </c>
      <c r="G243" s="74" t="str">
        <f>IFERROR(__xludf.DUMMYFUNCTION("""COMPUTED_VALUE"""),"No")</f>
        <v>No</v>
      </c>
      <c r="H243" s="74" t="str">
        <f>IFERROR(__xludf.DUMMYFUNCTION("""COMPUTED_VALUE"""),"Yes")</f>
        <v>Yes</v>
      </c>
      <c r="I243" s="74">
        <f>IFERROR(__xludf.DUMMYFUNCTION("""COMPUTED_VALUE"""),1200.0)</f>
        <v>1200</v>
      </c>
      <c r="J243" s="80" t="str">
        <f>IFERROR(__xludf.DUMMYFUNCTION("""COMPUTED_VALUE"""),"https://drive.google.com/open?id=146hOyIIiLYzULXFjePNdLpHBeN0ZGuma")</f>
        <v>https://drive.google.com/open?id=146hOyIIiLYzULXFjePNdLpHBeN0ZGuma</v>
      </c>
      <c r="K243" s="74" t="str">
        <f>IFERROR(__xludf.DUMMYFUNCTION("""COMPUTED_VALUE"""),"2019-2023")</f>
        <v>2019-2023</v>
      </c>
      <c r="L243" s="74" t="str">
        <f>IFERROR(__xludf.DUMMYFUNCTION("""COMPUTED_VALUE"""),"S3: Student Internships")</f>
        <v>S3: Student Internships</v>
      </c>
      <c r="M243" s="74" t="str">
        <f>IFERROR(__xludf.DUMMYFUNCTION("""COMPUTED_VALUE"""),"nishanthvarma14819@gmail.com")</f>
        <v>nishanthvarma14819@gmail.com</v>
      </c>
      <c r="N243" s="74" t="str">
        <f>IFERROR(__xludf.DUMMYFUNCTION("""COMPUTED_VALUE"""),"SEM-6")</f>
        <v>SEM-6</v>
      </c>
      <c r="O243" s="74"/>
      <c r="P243" s="74"/>
      <c r="Q243" s="74"/>
      <c r="R243" s="74"/>
      <c r="S243" s="74"/>
      <c r="T243" s="74"/>
      <c r="U243" s="74"/>
      <c r="V243" s="74"/>
      <c r="W243" s="74"/>
      <c r="X243" s="74"/>
    </row>
    <row r="244" ht="33.0" customHeight="1">
      <c r="A244" s="74" t="str">
        <f>IFERROR(__xludf.DUMMYFUNCTION("""COMPUTED_VALUE"""),"A A S N NISHANTH VARMA PUSAPATI")</f>
        <v>A A S N NISHANTH VARMA PUSAPATI</v>
      </c>
      <c r="B244" s="74" t="str">
        <f>IFERROR(__xludf.DUMMYFUNCTION("""COMPUTED_VALUE"""),"19331A0501")</f>
        <v>19331A0501</v>
      </c>
      <c r="C244" s="74" t="str">
        <f>IFERROR(__xludf.DUMMYFUNCTION("""COMPUTED_VALUE"""),"BluePrism University")</f>
        <v>BluePrism University</v>
      </c>
      <c r="D244" s="74" t="str">
        <f>IFERROR(__xludf.DUMMYFUNCTION("""COMPUTED_VALUE"""),"10 weeks")</f>
        <v>10 weeks</v>
      </c>
      <c r="E244" s="79">
        <f>IFERROR(__xludf.DUMMYFUNCTION("""COMPUTED_VALUE"""),44485.0)</f>
        <v>44485</v>
      </c>
      <c r="F244" s="79">
        <f>IFERROR(__xludf.DUMMYFUNCTION("""COMPUTED_VALUE"""),44555.0)</f>
        <v>44555</v>
      </c>
      <c r="G244" s="74" t="str">
        <f>IFERROR(__xludf.DUMMYFUNCTION("""COMPUTED_VALUE"""),"No")</f>
        <v>No</v>
      </c>
      <c r="H244" s="74" t="str">
        <f>IFERROR(__xludf.DUMMYFUNCTION("""COMPUTED_VALUE"""),"No")</f>
        <v>No</v>
      </c>
      <c r="I244" s="74">
        <f>IFERROR(__xludf.DUMMYFUNCTION("""COMPUTED_VALUE"""),0.0)</f>
        <v>0</v>
      </c>
      <c r="J244" s="80" t="str">
        <f>IFERROR(__xludf.DUMMYFUNCTION("""COMPUTED_VALUE"""),"https://drive.google.com/open?id=1gFPRX37DpaRdjtmNh5oNVtI3Z07X2dTo")</f>
        <v>https://drive.google.com/open?id=1gFPRX37DpaRdjtmNh5oNVtI3Z07X2dTo</v>
      </c>
      <c r="K244" s="74" t="str">
        <f>IFERROR(__xludf.DUMMYFUNCTION("""COMPUTED_VALUE"""),"2019-2023")</f>
        <v>2019-2023</v>
      </c>
      <c r="L244" s="74" t="str">
        <f>IFERROR(__xludf.DUMMYFUNCTION("""COMPUTED_VALUE"""),"S3: Student Internships")</f>
        <v>S3: Student Internships</v>
      </c>
      <c r="M244" s="74" t="str">
        <f>IFERROR(__xludf.DUMMYFUNCTION("""COMPUTED_VALUE"""),"nishanthvarma14819@gmail.com")</f>
        <v>nishanthvarma14819@gmail.com</v>
      </c>
      <c r="N244" s="74" t="str">
        <f>IFERROR(__xludf.DUMMYFUNCTION("""COMPUTED_VALUE"""),"SEM-6")</f>
        <v>SEM-6</v>
      </c>
      <c r="O244" s="74"/>
      <c r="P244" s="74"/>
      <c r="Q244" s="74"/>
      <c r="R244" s="74"/>
      <c r="S244" s="74"/>
      <c r="T244" s="74"/>
      <c r="U244" s="74"/>
      <c r="V244" s="74"/>
      <c r="W244" s="74"/>
      <c r="X244" s="74"/>
    </row>
    <row r="245" ht="33.0" customHeight="1">
      <c r="A245" s="81" t="str">
        <f>IFERROR(__xludf.DUMMYFUNCTION("""COMPUTED_VALUE"""),"Arasavilli Eswara Satya Sundara Karthik")</f>
        <v>Arasavilli Eswara Satya Sundara Karthik</v>
      </c>
      <c r="B245" s="81" t="str">
        <f>IFERROR(__xludf.DUMMYFUNCTION("""COMPUTED_VALUE"""),"19331A0509")</f>
        <v>19331A0509</v>
      </c>
      <c r="C245" s="81" t="str">
        <f>IFERROR(__xludf.DUMMYFUNCTION("""COMPUTED_VALUE"""),"Raise Digital")</f>
        <v>Raise Digital</v>
      </c>
      <c r="D245" s="81" t="str">
        <f>IFERROR(__xludf.DUMMYFUNCTION("""COMPUTED_VALUE"""),"2 months")</f>
        <v>2 months</v>
      </c>
      <c r="E245" s="82">
        <f>IFERROR(__xludf.DUMMYFUNCTION("""COMPUTED_VALUE"""),44520.0)</f>
        <v>44520</v>
      </c>
      <c r="F245" s="82">
        <f>IFERROR(__xludf.DUMMYFUNCTION("""COMPUTED_VALUE"""),44581.0)</f>
        <v>44581</v>
      </c>
      <c r="G245" s="81" t="str">
        <f>IFERROR(__xludf.DUMMYFUNCTION("""COMPUTED_VALUE"""),"No")</f>
        <v>No</v>
      </c>
      <c r="H245" s="81" t="str">
        <f>IFERROR(__xludf.DUMMYFUNCTION("""COMPUTED_VALUE"""),"Yes")</f>
        <v>Yes</v>
      </c>
      <c r="I245" s="81">
        <f>IFERROR(__xludf.DUMMYFUNCTION("""COMPUTED_VALUE"""),1400.0)</f>
        <v>1400</v>
      </c>
      <c r="J245" s="83" t="str">
        <f>IFERROR(__xludf.DUMMYFUNCTION("""COMPUTED_VALUE"""),"https://drive.google.com/open?id=1cciF3FJR_cNr2iF5TPdeUb67dDUmq1jL")</f>
        <v>https://drive.google.com/open?id=1cciF3FJR_cNr2iF5TPdeUb67dDUmq1jL</v>
      </c>
      <c r="K245" s="81" t="str">
        <f>IFERROR(__xludf.DUMMYFUNCTION("""COMPUTED_VALUE"""),"2019-2023")</f>
        <v>2019-2023</v>
      </c>
      <c r="L245" s="81" t="str">
        <f>IFERROR(__xludf.DUMMYFUNCTION("""COMPUTED_VALUE"""),"S3: Student Internships")</f>
        <v>S3: Student Internships</v>
      </c>
      <c r="M245" s="81" t="str">
        <f>IFERROR(__xludf.DUMMYFUNCTION("""COMPUTED_VALUE"""),"aesskarthik09@gmail.com")</f>
        <v>aesskarthik09@gmail.com</v>
      </c>
      <c r="N245" s="81" t="str">
        <f>IFERROR(__xludf.DUMMYFUNCTION("""COMPUTED_VALUE"""),"SEM-6")</f>
        <v>SEM-6</v>
      </c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ht="33.0" customHeight="1">
      <c r="A246" s="81" t="str">
        <f>IFERROR(__xludf.DUMMYFUNCTION("""COMPUTED_VALUE"""),"Arasavilli Eswara Satya Sundara Karthik")</f>
        <v>Arasavilli Eswara Satya Sundara Karthik</v>
      </c>
      <c r="B246" s="81" t="str">
        <f>IFERROR(__xludf.DUMMYFUNCTION("""COMPUTED_VALUE"""),"19331A0509")</f>
        <v>19331A0509</v>
      </c>
      <c r="C246" s="81" t="str">
        <f>IFERROR(__xludf.DUMMYFUNCTION("""COMPUTED_VALUE"""),"Blue Prism University")</f>
        <v>Blue Prism University</v>
      </c>
      <c r="D246" s="81" t="str">
        <f>IFERROR(__xludf.DUMMYFUNCTION("""COMPUTED_VALUE"""),"10 weeks")</f>
        <v>10 weeks</v>
      </c>
      <c r="E246" s="82">
        <f>IFERROR(__xludf.DUMMYFUNCTION("""COMPUTED_VALUE"""),44470.0)</f>
        <v>44470</v>
      </c>
      <c r="F246" s="82">
        <f>IFERROR(__xludf.DUMMYFUNCTION("""COMPUTED_VALUE"""),44561.0)</f>
        <v>44561</v>
      </c>
      <c r="G246" s="81" t="str">
        <f>IFERROR(__xludf.DUMMYFUNCTION("""COMPUTED_VALUE"""),"No")</f>
        <v>No</v>
      </c>
      <c r="H246" s="81" t="str">
        <f>IFERROR(__xludf.DUMMYFUNCTION("""COMPUTED_VALUE"""),"No")</f>
        <v>No</v>
      </c>
      <c r="I246" s="81">
        <f>IFERROR(__xludf.DUMMYFUNCTION("""COMPUTED_VALUE"""),0.0)</f>
        <v>0</v>
      </c>
      <c r="J246" s="83" t="str">
        <f>IFERROR(__xludf.DUMMYFUNCTION("""COMPUTED_VALUE"""),"https://drive.google.com/open?id=1iSqNGW0Hv1rZ3v0PmTxAO0u7hE87Dq6c")</f>
        <v>https://drive.google.com/open?id=1iSqNGW0Hv1rZ3v0PmTxAO0u7hE87Dq6c</v>
      </c>
      <c r="K246" s="81" t="str">
        <f>IFERROR(__xludf.DUMMYFUNCTION("""COMPUTED_VALUE"""),"2019-2023")</f>
        <v>2019-2023</v>
      </c>
      <c r="L246" s="81" t="str">
        <f>IFERROR(__xludf.DUMMYFUNCTION("""COMPUTED_VALUE"""),"S3: Student Internships")</f>
        <v>S3: Student Internships</v>
      </c>
      <c r="M246" s="81" t="str">
        <f>IFERROR(__xludf.DUMMYFUNCTION("""COMPUTED_VALUE"""),"aesskarthik09@gmail.com")</f>
        <v>aesskarthik09@gmail.com</v>
      </c>
      <c r="N246" s="81" t="str">
        <f>IFERROR(__xludf.DUMMYFUNCTION("""COMPUTED_VALUE"""),"SEM-6")</f>
        <v>SEM-6</v>
      </c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ht="33.0" customHeight="1">
      <c r="A247" s="74" t="str">
        <f>IFERROR(__xludf.DUMMYFUNCTION("""COMPUTED_VALUE"""),"Chaitra Mudili")</f>
        <v>Chaitra Mudili</v>
      </c>
      <c r="B247" s="74" t="str">
        <f>IFERROR(__xludf.DUMMYFUNCTION("""COMPUTED_VALUE"""),"18331A05A0")</f>
        <v>18331A05A0</v>
      </c>
      <c r="C247" s="74" t="str">
        <f>IFERROR(__xludf.DUMMYFUNCTION("""COMPUTED_VALUE"""),"Eduskills")</f>
        <v>Eduskills</v>
      </c>
      <c r="D247" s="74" t="str">
        <f>IFERROR(__xludf.DUMMYFUNCTION("""COMPUTED_VALUE"""),"10 weeks")</f>
        <v>10 weeks</v>
      </c>
      <c r="E247" s="79">
        <f>IFERROR(__xludf.DUMMYFUNCTION("""COMPUTED_VALUE"""),44470.0)</f>
        <v>44470</v>
      </c>
      <c r="F247" s="79">
        <f>IFERROR(__xludf.DUMMYFUNCTION("""COMPUTED_VALUE"""),44531.0)</f>
        <v>44531</v>
      </c>
      <c r="G247" s="74" t="str">
        <f>IFERROR(__xludf.DUMMYFUNCTION("""COMPUTED_VALUE"""),"No")</f>
        <v>No</v>
      </c>
      <c r="H247" s="74" t="str">
        <f>IFERROR(__xludf.DUMMYFUNCTION("""COMPUTED_VALUE"""),"No")</f>
        <v>No</v>
      </c>
      <c r="I247" s="74">
        <f>IFERROR(__xludf.DUMMYFUNCTION("""COMPUTED_VALUE"""),0.0)</f>
        <v>0</v>
      </c>
      <c r="J247" s="80" t="str">
        <f>IFERROR(__xludf.DUMMYFUNCTION("""COMPUTED_VALUE"""),"https://drive.google.com/open?id=1aIru0IW75mtfbwNs1fp3x8mVOvf_pSGt")</f>
        <v>https://drive.google.com/open?id=1aIru0IW75mtfbwNs1fp3x8mVOvf_pSGt</v>
      </c>
      <c r="K247" s="74" t="str">
        <f>IFERROR(__xludf.DUMMYFUNCTION("""COMPUTED_VALUE"""),"2018-2022")</f>
        <v>2018-2022</v>
      </c>
      <c r="L247" s="74" t="str">
        <f>IFERROR(__xludf.DUMMYFUNCTION("""COMPUTED_VALUE"""),"S3: Student Internships")</f>
        <v>S3: Student Internships</v>
      </c>
      <c r="M247" s="74" t="str">
        <f>IFERROR(__xludf.DUMMYFUNCTION("""COMPUTED_VALUE"""),"chaitra2026@gmail.com")</f>
        <v>chaitra2026@gmail.com</v>
      </c>
      <c r="N247" s="74" t="str">
        <f>IFERROR(__xludf.DUMMYFUNCTION("""COMPUTED_VALUE"""),"SEM-7")</f>
        <v>SEM-7</v>
      </c>
      <c r="O247" s="74"/>
      <c r="P247" s="74"/>
      <c r="Q247" s="74"/>
      <c r="R247" s="74"/>
      <c r="S247" s="74"/>
      <c r="T247" s="74"/>
      <c r="U247" s="74"/>
      <c r="V247" s="74"/>
      <c r="W247" s="74"/>
      <c r="X247" s="74"/>
    </row>
    <row r="248" ht="33.0" customHeight="1">
      <c r="A248" s="74" t="str">
        <f>IFERROR(__xludf.DUMMYFUNCTION("""COMPUTED_VALUE"""),"Chaitra Mudili")</f>
        <v>Chaitra Mudili</v>
      </c>
      <c r="B248" s="74" t="str">
        <f>IFERROR(__xludf.DUMMYFUNCTION("""COMPUTED_VALUE"""),"18331A05A0")</f>
        <v>18331A05A0</v>
      </c>
      <c r="C248" s="74" t="str">
        <f>IFERROR(__xludf.DUMMYFUNCTION("""COMPUTED_VALUE"""),"EPAM")</f>
        <v>EPAM</v>
      </c>
      <c r="D248" s="74" t="str">
        <f>IFERROR(__xludf.DUMMYFUNCTION("""COMPUTED_VALUE"""),"2 months")</f>
        <v>2 months</v>
      </c>
      <c r="E248" s="79">
        <f>IFERROR(__xludf.DUMMYFUNCTION("""COMPUTED_VALUE"""),44564.0)</f>
        <v>44564</v>
      </c>
      <c r="F248" s="79">
        <f>IFERROR(__xludf.DUMMYFUNCTION("""COMPUTED_VALUE"""),44623.0)</f>
        <v>44623</v>
      </c>
      <c r="G248" s="74" t="str">
        <f>IFERROR(__xludf.DUMMYFUNCTION("""COMPUTED_VALUE"""),"Yes")</f>
        <v>Yes</v>
      </c>
      <c r="H248" s="74" t="str">
        <f>IFERROR(__xludf.DUMMYFUNCTION("""COMPUTED_VALUE"""),"No")</f>
        <v>No</v>
      </c>
      <c r="I248" s="74">
        <f>IFERROR(__xludf.DUMMYFUNCTION("""COMPUTED_VALUE"""),0.0)</f>
        <v>0</v>
      </c>
      <c r="J248" s="80" t="str">
        <f>IFERROR(__xludf.DUMMYFUNCTION("""COMPUTED_VALUE"""),"https://drive.google.com/open?id=1PLqH-vC7zDibCF97m8HnpDnKFgA-kfog")</f>
        <v>https://drive.google.com/open?id=1PLqH-vC7zDibCF97m8HnpDnKFgA-kfog</v>
      </c>
      <c r="K248" s="74" t="str">
        <f>IFERROR(__xludf.DUMMYFUNCTION("""COMPUTED_VALUE"""),"2018-2022")</f>
        <v>2018-2022</v>
      </c>
      <c r="L248" s="74" t="str">
        <f>IFERROR(__xludf.DUMMYFUNCTION("""COMPUTED_VALUE"""),"S3: Student Internships")</f>
        <v>S3: Student Internships</v>
      </c>
      <c r="M248" s="74" t="str">
        <f>IFERROR(__xludf.DUMMYFUNCTION("""COMPUTED_VALUE"""),"chaitra2026@gmail.com")</f>
        <v>chaitra2026@gmail.com</v>
      </c>
      <c r="N248" s="74" t="str">
        <f>IFERROR(__xludf.DUMMYFUNCTION("""COMPUTED_VALUE"""),"SEM-7")</f>
        <v>SEM-7</v>
      </c>
      <c r="O248" s="74"/>
      <c r="P248" s="74"/>
      <c r="Q248" s="74"/>
      <c r="R248" s="74"/>
      <c r="S248" s="74"/>
      <c r="T248" s="74"/>
      <c r="U248" s="74"/>
      <c r="V248" s="74"/>
      <c r="W248" s="74"/>
      <c r="X248" s="74"/>
    </row>
    <row r="249" ht="33.0" customHeight="1">
      <c r="A249" s="74" t="str">
        <f>IFERROR(__xludf.DUMMYFUNCTION("""COMPUTED_VALUE"""),"Chaitra Mudili")</f>
        <v>Chaitra Mudili</v>
      </c>
      <c r="B249" s="74" t="str">
        <f>IFERROR(__xludf.DUMMYFUNCTION("""COMPUTED_VALUE"""),"18331A05A0")</f>
        <v>18331A05A0</v>
      </c>
      <c r="C249" s="74" t="str">
        <f>IFERROR(__xludf.DUMMYFUNCTION("""COMPUTED_VALUE"""),"CoMakeIT")</f>
        <v>CoMakeIT</v>
      </c>
      <c r="D249" s="74" t="str">
        <f>IFERROR(__xludf.DUMMYFUNCTION("""COMPUTED_VALUE"""),"6 months")</f>
        <v>6 months</v>
      </c>
      <c r="E249" s="79">
        <f>IFERROR(__xludf.DUMMYFUNCTION("""COMPUTED_VALUE"""),44623.0)</f>
        <v>44623</v>
      </c>
      <c r="F249" s="79">
        <f>IFERROR(__xludf.DUMMYFUNCTION("""COMPUTED_VALUE"""),44807.0)</f>
        <v>44807</v>
      </c>
      <c r="G249" s="74" t="str">
        <f>IFERROR(__xludf.DUMMYFUNCTION("""COMPUTED_VALUE"""),"Yes")</f>
        <v>Yes</v>
      </c>
      <c r="H249" s="74" t="str">
        <f>IFERROR(__xludf.DUMMYFUNCTION("""COMPUTED_VALUE"""),"No")</f>
        <v>No</v>
      </c>
      <c r="I249" s="74">
        <f>IFERROR(__xludf.DUMMYFUNCTION("""COMPUTED_VALUE"""),0.0)</f>
        <v>0</v>
      </c>
      <c r="J249" s="80" t="str">
        <f>IFERROR(__xludf.DUMMYFUNCTION("""COMPUTED_VALUE"""),"https://drive.google.com/open?id=1NXvhriLr2hDNOFaLoySiBAWBE8A18cvs")</f>
        <v>https://drive.google.com/open?id=1NXvhriLr2hDNOFaLoySiBAWBE8A18cvs</v>
      </c>
      <c r="K249" s="74" t="str">
        <f>IFERROR(__xludf.DUMMYFUNCTION("""COMPUTED_VALUE"""),"2018-2022")</f>
        <v>2018-2022</v>
      </c>
      <c r="L249" s="74" t="str">
        <f>IFERROR(__xludf.DUMMYFUNCTION("""COMPUTED_VALUE"""),"S3: Student Internships")</f>
        <v>S3: Student Internships</v>
      </c>
      <c r="M249" s="74" t="str">
        <f>IFERROR(__xludf.DUMMYFUNCTION("""COMPUTED_VALUE"""),"chaitra2026@gmail.com")</f>
        <v>chaitra2026@gmail.com</v>
      </c>
      <c r="N249" s="74" t="str">
        <f>IFERROR(__xludf.DUMMYFUNCTION("""COMPUTED_VALUE"""),"SEM-8")</f>
        <v>SEM-8</v>
      </c>
      <c r="O249" s="74"/>
      <c r="P249" s="74"/>
      <c r="Q249" s="74"/>
      <c r="R249" s="74"/>
      <c r="S249" s="74"/>
      <c r="T249" s="74"/>
      <c r="U249" s="74"/>
      <c r="V249" s="74"/>
      <c r="W249" s="74"/>
      <c r="X249" s="74"/>
    </row>
    <row r="250" ht="33.0" customHeight="1">
      <c r="A250" s="81" t="str">
        <f>IFERROR(__xludf.DUMMYFUNCTION("""COMPUTED_VALUE"""),"SUREDDI DHANA SRI")</f>
        <v>SUREDDI DHANA SRI</v>
      </c>
      <c r="B250" s="81" t="str">
        <f>IFERROR(__xludf.DUMMYFUNCTION("""COMPUTED_VALUE"""),"19331A05G6")</f>
        <v>19331A05G6</v>
      </c>
      <c r="C250" s="81" t="str">
        <f>IFERROR(__xludf.DUMMYFUNCTION("""COMPUTED_VALUE"""),"Swecha AP")</f>
        <v>Swecha AP</v>
      </c>
      <c r="D250" s="81" t="str">
        <f>IFERROR(__xludf.DUMMYFUNCTION("""COMPUTED_VALUE"""),"4 weeks")</f>
        <v>4 weeks</v>
      </c>
      <c r="E250" s="82">
        <f>IFERROR(__xludf.DUMMYFUNCTION("""COMPUTED_VALUE"""),44338.0)</f>
        <v>44338</v>
      </c>
      <c r="F250" s="82">
        <f>IFERROR(__xludf.DUMMYFUNCTION("""COMPUTED_VALUE"""),44367.0)</f>
        <v>44367</v>
      </c>
      <c r="G250" s="81" t="str">
        <f>IFERROR(__xludf.DUMMYFUNCTION("""COMPUTED_VALUE"""),"No")</f>
        <v>No</v>
      </c>
      <c r="H250" s="81" t="str">
        <f>IFERROR(__xludf.DUMMYFUNCTION("""COMPUTED_VALUE"""),"No")</f>
        <v>No</v>
      </c>
      <c r="I250" s="81">
        <f>IFERROR(__xludf.DUMMYFUNCTION("""COMPUTED_VALUE"""),0.0)</f>
        <v>0</v>
      </c>
      <c r="J250" s="83" t="str">
        <f>IFERROR(__xludf.DUMMYFUNCTION("""COMPUTED_VALUE"""),"https://drive.google.com/open?id=1V6eaTLuWXbe0pKE9BWD-cBNNqL1PGyPj")</f>
        <v>https://drive.google.com/open?id=1V6eaTLuWXbe0pKE9BWD-cBNNqL1PGyPj</v>
      </c>
      <c r="K250" s="81" t="str">
        <f>IFERROR(__xludf.DUMMYFUNCTION("""COMPUTED_VALUE"""),"2019-2023")</f>
        <v>2019-2023</v>
      </c>
      <c r="L250" s="81" t="str">
        <f>IFERROR(__xludf.DUMMYFUNCTION("""COMPUTED_VALUE"""),"S3: Student Internships")</f>
        <v>S3: Student Internships</v>
      </c>
      <c r="M250" s="81" t="str">
        <f>IFERROR(__xludf.DUMMYFUNCTION("""COMPUTED_VALUE"""),"dhanasureddi08@gmail.com")</f>
        <v>dhanasureddi08@gmail.com</v>
      </c>
      <c r="N250" s="81" t="str">
        <f>IFERROR(__xludf.DUMMYFUNCTION("""COMPUTED_VALUE"""),"SEM-6")</f>
        <v>SEM-6</v>
      </c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ht="33.0" customHeight="1">
      <c r="A251" s="81" t="str">
        <f>IFERROR(__xludf.DUMMYFUNCTION("""COMPUTED_VALUE"""),"SUREDDI DHANA SRI")</f>
        <v>SUREDDI DHANA SRI</v>
      </c>
      <c r="B251" s="81" t="str">
        <f>IFERROR(__xludf.DUMMYFUNCTION("""COMPUTED_VALUE"""),"19331A05G6")</f>
        <v>19331A05G6</v>
      </c>
      <c r="C251" s="81" t="str">
        <f>IFERROR(__xludf.DUMMYFUNCTION("""COMPUTED_VALUE"""),"Blue prism University")</f>
        <v>Blue prism University</v>
      </c>
      <c r="D251" s="81" t="str">
        <f>IFERROR(__xludf.DUMMYFUNCTION("""COMPUTED_VALUE"""),"10 weeks")</f>
        <v>10 weeks</v>
      </c>
      <c r="E251" s="82">
        <f>IFERROR(__xludf.DUMMYFUNCTION("""COMPUTED_VALUE"""),44470.0)</f>
        <v>44470</v>
      </c>
      <c r="F251" s="82">
        <f>IFERROR(__xludf.DUMMYFUNCTION("""COMPUTED_VALUE"""),44539.0)</f>
        <v>44539</v>
      </c>
      <c r="G251" s="81" t="str">
        <f>IFERROR(__xludf.DUMMYFUNCTION("""COMPUTED_VALUE"""),"No")</f>
        <v>No</v>
      </c>
      <c r="H251" s="81" t="str">
        <f>IFERROR(__xludf.DUMMYFUNCTION("""COMPUTED_VALUE"""),"No")</f>
        <v>No</v>
      </c>
      <c r="I251" s="81">
        <f>IFERROR(__xludf.DUMMYFUNCTION("""COMPUTED_VALUE"""),0.0)</f>
        <v>0</v>
      </c>
      <c r="J251" s="83" t="str">
        <f>IFERROR(__xludf.DUMMYFUNCTION("""COMPUTED_VALUE"""),"https://drive.google.com/open?id=1wnEDmfkxQOipbytXSLzVnn6Au-utKXCN")</f>
        <v>https://drive.google.com/open?id=1wnEDmfkxQOipbytXSLzVnn6Au-utKXCN</v>
      </c>
      <c r="K251" s="81" t="str">
        <f>IFERROR(__xludf.DUMMYFUNCTION("""COMPUTED_VALUE"""),"2019-2023")</f>
        <v>2019-2023</v>
      </c>
      <c r="L251" s="81" t="str">
        <f>IFERROR(__xludf.DUMMYFUNCTION("""COMPUTED_VALUE"""),"S3: Student Internships")</f>
        <v>S3: Student Internships</v>
      </c>
      <c r="M251" s="81" t="str">
        <f>IFERROR(__xludf.DUMMYFUNCTION("""COMPUTED_VALUE"""),"dhanasureddi08@gmail.com")</f>
        <v>dhanasureddi08@gmail.com</v>
      </c>
      <c r="N251" s="81" t="str">
        <f>IFERROR(__xludf.DUMMYFUNCTION("""COMPUTED_VALUE"""),"SEM-6")</f>
        <v>SEM-6</v>
      </c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ht="33.0" customHeight="1">
      <c r="A252" s="81" t="str">
        <f>IFERROR(__xludf.DUMMYFUNCTION("""COMPUTED_VALUE"""),"BODDEPALLI AVINASH ")</f>
        <v>BODDEPALLI AVINASH </v>
      </c>
      <c r="B252" s="81" t="str">
        <f>IFERROR(__xludf.DUMMYFUNCTION("""COMPUTED_VALUE"""),"19331A0519")</f>
        <v>19331A0519</v>
      </c>
      <c r="C252" s="81" t="str">
        <f>IFERROR(__xludf.DUMMYFUNCTION("""COMPUTED_VALUE"""),"AICTE")</f>
        <v>AICTE</v>
      </c>
      <c r="D252" s="81" t="str">
        <f>IFERROR(__xludf.DUMMYFUNCTION("""COMPUTED_VALUE"""),"Oct - dec 2021")</f>
        <v>Oct - dec 2021</v>
      </c>
      <c r="E252" s="82">
        <f>IFERROR(__xludf.DUMMYFUNCTION("""COMPUTED_VALUE"""),44485.0)</f>
        <v>44485</v>
      </c>
      <c r="F252" s="82">
        <f>IFERROR(__xludf.DUMMYFUNCTION("""COMPUTED_VALUE"""),44531.0)</f>
        <v>44531</v>
      </c>
      <c r="G252" s="81" t="str">
        <f>IFERROR(__xludf.DUMMYFUNCTION("""COMPUTED_VALUE"""),"No")</f>
        <v>No</v>
      </c>
      <c r="H252" s="81" t="str">
        <f>IFERROR(__xludf.DUMMYFUNCTION("""COMPUTED_VALUE"""),"No")</f>
        <v>No</v>
      </c>
      <c r="I252" s="81">
        <f>IFERROR(__xludf.DUMMYFUNCTION("""COMPUTED_VALUE"""),0.0)</f>
        <v>0</v>
      </c>
      <c r="J252" s="83" t="str">
        <f>IFERROR(__xludf.DUMMYFUNCTION("""COMPUTED_VALUE"""),"https://drive.google.com/open?id=15xCcg97E8WrGLBaCJ5Gi5b0T02UzoFmB")</f>
        <v>https://drive.google.com/open?id=15xCcg97E8WrGLBaCJ5Gi5b0T02UzoFmB</v>
      </c>
      <c r="K252" s="81" t="str">
        <f>IFERROR(__xludf.DUMMYFUNCTION("""COMPUTED_VALUE"""),"2019-2023")</f>
        <v>2019-2023</v>
      </c>
      <c r="L252" s="81" t="str">
        <f>IFERROR(__xludf.DUMMYFUNCTION("""COMPUTED_VALUE"""),"S3: Student Internships")</f>
        <v>S3: Student Internships</v>
      </c>
      <c r="M252" s="81" t="str">
        <f>IFERROR(__xludf.DUMMYFUNCTION("""COMPUTED_VALUE"""),"sb8614464@gmail.com")</f>
        <v>sb8614464@gmail.com</v>
      </c>
      <c r="N252" s="81" t="str">
        <f>IFERROR(__xludf.DUMMYFUNCTION("""COMPUTED_VALUE"""),"SEM-6")</f>
        <v>SEM-6</v>
      </c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ht="33.0" customHeight="1">
      <c r="A253" s="81" t="str">
        <f>IFERROR(__xludf.DUMMYFUNCTION("""COMPUTED_VALUE"""),"S.Praveen Kumar")</f>
        <v>S.Praveen Kumar</v>
      </c>
      <c r="B253" s="81" t="str">
        <f>IFERROR(__xludf.DUMMYFUNCTION("""COMPUTED_VALUE"""),"19331A05F3")</f>
        <v>19331A05F3</v>
      </c>
      <c r="C253" s="81" t="str">
        <f>IFERROR(__xludf.DUMMYFUNCTION("""COMPUTED_VALUE"""),"Blue Prism University")</f>
        <v>Blue Prism University</v>
      </c>
      <c r="D253" s="81" t="str">
        <f>IFERROR(__xludf.DUMMYFUNCTION("""COMPUTED_VALUE"""),"10 weeks")</f>
        <v>10 weeks</v>
      </c>
      <c r="E253" s="82">
        <f>IFERROR(__xludf.DUMMYFUNCTION("""COMPUTED_VALUE"""),44470.0)</f>
        <v>44470</v>
      </c>
      <c r="F253" s="82">
        <f>IFERROR(__xludf.DUMMYFUNCTION("""COMPUTED_VALUE"""),44539.0)</f>
        <v>44539</v>
      </c>
      <c r="G253" s="81" t="str">
        <f>IFERROR(__xludf.DUMMYFUNCTION("""COMPUTED_VALUE"""),"No")</f>
        <v>No</v>
      </c>
      <c r="H253" s="81" t="str">
        <f>IFERROR(__xludf.DUMMYFUNCTION("""COMPUTED_VALUE"""),"No")</f>
        <v>No</v>
      </c>
      <c r="I253" s="81">
        <f>IFERROR(__xludf.DUMMYFUNCTION("""COMPUTED_VALUE"""),0.0)</f>
        <v>0</v>
      </c>
      <c r="J253" s="83" t="str">
        <f>IFERROR(__xludf.DUMMYFUNCTION("""COMPUTED_VALUE"""),"https://drive.google.com/open?id=11VE8EF2TcDupDFhdvVZ7egUAJyWq4fiz")</f>
        <v>https://drive.google.com/open?id=11VE8EF2TcDupDFhdvVZ7egUAJyWq4fiz</v>
      </c>
      <c r="K253" s="81" t="str">
        <f>IFERROR(__xludf.DUMMYFUNCTION("""COMPUTED_VALUE"""),"2019-2023")</f>
        <v>2019-2023</v>
      </c>
      <c r="L253" s="81" t="str">
        <f>IFERROR(__xludf.DUMMYFUNCTION("""COMPUTED_VALUE"""),"S3: Student Internships")</f>
        <v>S3: Student Internships</v>
      </c>
      <c r="M253" s="81" t="str">
        <f>IFERROR(__xludf.DUMMYFUNCTION("""COMPUTED_VALUE"""),"praveenkumarsavarala0000@gmail.com")</f>
        <v>praveenkumarsavarala0000@gmail.com</v>
      </c>
      <c r="N253" s="81" t="str">
        <f>IFERROR(__xludf.DUMMYFUNCTION("""COMPUTED_VALUE"""),"SEM-6")</f>
        <v>SEM-6</v>
      </c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ht="33.0" customHeight="1">
      <c r="A254" s="81" t="str">
        <f>IFERROR(__xludf.DUMMYFUNCTION("""COMPUTED_VALUE"""),"Sudha Ratan Kumar")</f>
        <v>Sudha Ratan Kumar</v>
      </c>
      <c r="B254" s="81" t="str">
        <f>IFERROR(__xludf.DUMMYFUNCTION("""COMPUTED_VALUE"""),"19331A05G3")</f>
        <v>19331A05G3</v>
      </c>
      <c r="C254" s="81" t="str">
        <f>IFERROR(__xludf.DUMMYFUNCTION("""COMPUTED_VALUE"""),"Blueprism")</f>
        <v>Blueprism</v>
      </c>
      <c r="D254" s="81" t="str">
        <f>IFERROR(__xludf.DUMMYFUNCTION("""COMPUTED_VALUE"""),"10 weeks")</f>
        <v>10 weeks</v>
      </c>
      <c r="E254" s="82">
        <f>IFERROR(__xludf.DUMMYFUNCTION("""COMPUTED_VALUE"""),44470.0)</f>
        <v>44470</v>
      </c>
      <c r="F254" s="82">
        <f>IFERROR(__xludf.DUMMYFUNCTION("""COMPUTED_VALUE"""),44539.0)</f>
        <v>44539</v>
      </c>
      <c r="G254" s="81" t="str">
        <f>IFERROR(__xludf.DUMMYFUNCTION("""COMPUTED_VALUE"""),"No")</f>
        <v>No</v>
      </c>
      <c r="H254" s="81" t="str">
        <f>IFERROR(__xludf.DUMMYFUNCTION("""COMPUTED_VALUE"""),"No")</f>
        <v>No</v>
      </c>
      <c r="I254" s="81">
        <f>IFERROR(__xludf.DUMMYFUNCTION("""COMPUTED_VALUE"""),0.0)</f>
        <v>0</v>
      </c>
      <c r="J254" s="83" t="str">
        <f>IFERROR(__xludf.DUMMYFUNCTION("""COMPUTED_VALUE"""),"https://drive.google.com/open?id=1os9lQ4H2mDYNu5xczR3JEBSoPtj-q1Ju")</f>
        <v>https://drive.google.com/open?id=1os9lQ4H2mDYNu5xczR3JEBSoPtj-q1Ju</v>
      </c>
      <c r="K254" s="81" t="str">
        <f>IFERROR(__xludf.DUMMYFUNCTION("""COMPUTED_VALUE"""),"2019-2023")</f>
        <v>2019-2023</v>
      </c>
      <c r="L254" s="81" t="str">
        <f>IFERROR(__xludf.DUMMYFUNCTION("""COMPUTED_VALUE"""),"S3: Student Internships")</f>
        <v>S3: Student Internships</v>
      </c>
      <c r="M254" s="81" t="str">
        <f>IFERROR(__xludf.DUMMYFUNCTION("""COMPUTED_VALUE"""),"rattankumar2511@gmail.com")</f>
        <v>rattankumar2511@gmail.com</v>
      </c>
      <c r="N254" s="81" t="str">
        <f>IFERROR(__xludf.DUMMYFUNCTION("""COMPUTED_VALUE"""),"SEM-6")</f>
        <v>SEM-6</v>
      </c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ht="33.0" customHeight="1">
      <c r="A255" s="74" t="str">
        <f>IFERROR(__xludf.DUMMYFUNCTION("""COMPUTED_VALUE"""),"SURYAVIVEK REDDY SATTI")</f>
        <v>SURYAVIVEK REDDY SATTI</v>
      </c>
      <c r="B255" s="74" t="str">
        <f>IFERROR(__xludf.DUMMYFUNCTION("""COMPUTED_VALUE"""),"19331A05F1")</f>
        <v>19331A05F1</v>
      </c>
      <c r="C255" s="74" t="str">
        <f>IFERROR(__xludf.DUMMYFUNCTION("""COMPUTED_VALUE"""),"oakspro")</f>
        <v>oakspro</v>
      </c>
      <c r="D255" s="74" t="str">
        <f>IFERROR(__xludf.DUMMYFUNCTION("""COMPUTED_VALUE"""),"1 month")</f>
        <v>1 month</v>
      </c>
      <c r="E255" s="79">
        <f>IFERROR(__xludf.DUMMYFUNCTION("""COMPUTED_VALUE"""),44060.0)</f>
        <v>44060</v>
      </c>
      <c r="F255" s="79">
        <f>IFERROR(__xludf.DUMMYFUNCTION("""COMPUTED_VALUE"""),44091.0)</f>
        <v>44091</v>
      </c>
      <c r="G255" s="74" t="str">
        <f>IFERROR(__xludf.DUMMYFUNCTION("""COMPUTED_VALUE"""),"No")</f>
        <v>No</v>
      </c>
      <c r="H255" s="74" t="str">
        <f>IFERROR(__xludf.DUMMYFUNCTION("""COMPUTED_VALUE"""),"Yes")</f>
        <v>Yes</v>
      </c>
      <c r="I255" s="74">
        <f>IFERROR(__xludf.DUMMYFUNCTION("""COMPUTED_VALUE"""),4000.0)</f>
        <v>4000</v>
      </c>
      <c r="J255" s="80" t="str">
        <f>IFERROR(__xludf.DUMMYFUNCTION("""COMPUTED_VALUE"""),"https://drive.google.com/open?id=1MY2dItq3aeSdJ2A8rdltWm7As87iky2V")</f>
        <v>https://drive.google.com/open?id=1MY2dItq3aeSdJ2A8rdltWm7As87iky2V</v>
      </c>
      <c r="K255" s="74" t="str">
        <f>IFERROR(__xludf.DUMMYFUNCTION("""COMPUTED_VALUE"""),"2019-2023")</f>
        <v>2019-2023</v>
      </c>
      <c r="L255" s="74" t="str">
        <f>IFERROR(__xludf.DUMMYFUNCTION("""COMPUTED_VALUE"""),"S3: Student Internships")</f>
        <v>S3: Student Internships</v>
      </c>
      <c r="M255" s="74" t="str">
        <f>IFERROR(__xludf.DUMMYFUNCTION("""COMPUTED_VALUE"""),"suryavivek31@gmail.com")</f>
        <v>suryavivek31@gmail.com</v>
      </c>
      <c r="N255" s="74" t="str">
        <f>IFERROR(__xludf.DUMMYFUNCTION("""COMPUTED_VALUE"""),"SEM-6")</f>
        <v>SEM-6</v>
      </c>
      <c r="O255" s="74"/>
      <c r="P255" s="74"/>
      <c r="Q255" s="74"/>
      <c r="R255" s="74"/>
      <c r="S255" s="74"/>
      <c r="T255" s="74"/>
      <c r="U255" s="74"/>
      <c r="V255" s="74"/>
      <c r="W255" s="74"/>
      <c r="X255" s="74"/>
    </row>
    <row r="256" ht="33.0" customHeight="1">
      <c r="A256" s="74" t="str">
        <f>IFERROR(__xludf.DUMMYFUNCTION("""COMPUTED_VALUE"""),"SURYAVIVEK REDDY SATTI")</f>
        <v>SURYAVIVEK REDDY SATTI</v>
      </c>
      <c r="B256" s="74" t="str">
        <f>IFERROR(__xludf.DUMMYFUNCTION("""COMPUTED_VALUE"""),"19331A05F1")</f>
        <v>19331A05F1</v>
      </c>
      <c r="C256" s="74" t="str">
        <f>IFERROR(__xludf.DUMMYFUNCTION("""COMPUTED_VALUE"""),"oakspro")</f>
        <v>oakspro</v>
      </c>
      <c r="D256" s="74" t="str">
        <f>IFERROR(__xludf.DUMMYFUNCTION("""COMPUTED_VALUE"""),"1 month")</f>
        <v>1 month</v>
      </c>
      <c r="E256" s="79">
        <f>IFERROR(__xludf.DUMMYFUNCTION("""COMPUTED_VALUE"""),44060.0)</f>
        <v>44060</v>
      </c>
      <c r="F256" s="79">
        <f>IFERROR(__xludf.DUMMYFUNCTION("""COMPUTED_VALUE"""),44091.0)</f>
        <v>44091</v>
      </c>
      <c r="G256" s="74" t="str">
        <f>IFERROR(__xludf.DUMMYFUNCTION("""COMPUTED_VALUE"""),"No")</f>
        <v>No</v>
      </c>
      <c r="H256" s="74" t="str">
        <f>IFERROR(__xludf.DUMMYFUNCTION("""COMPUTED_VALUE"""),"Yes")</f>
        <v>Yes</v>
      </c>
      <c r="I256" s="74">
        <f>IFERROR(__xludf.DUMMYFUNCTION("""COMPUTED_VALUE"""),4000.0)</f>
        <v>4000</v>
      </c>
      <c r="J256" s="80" t="str">
        <f>IFERROR(__xludf.DUMMYFUNCTION("""COMPUTED_VALUE"""),"https://drive.google.com/open?id=1BacZ6GfWS4VS2uRFlhRjMyMUSwM9UQLP")</f>
        <v>https://drive.google.com/open?id=1BacZ6GfWS4VS2uRFlhRjMyMUSwM9UQLP</v>
      </c>
      <c r="K256" s="74" t="str">
        <f>IFERROR(__xludf.DUMMYFUNCTION("""COMPUTED_VALUE"""),"2019-2023")</f>
        <v>2019-2023</v>
      </c>
      <c r="L256" s="74" t="str">
        <f>IFERROR(__xludf.DUMMYFUNCTION("""COMPUTED_VALUE"""),"S3: Student Internships")</f>
        <v>S3: Student Internships</v>
      </c>
      <c r="M256" s="74" t="str">
        <f>IFERROR(__xludf.DUMMYFUNCTION("""COMPUTED_VALUE"""),"suryavivek31@gmail.com")</f>
        <v>suryavivek31@gmail.com</v>
      </c>
      <c r="N256" s="74" t="str">
        <f>IFERROR(__xludf.DUMMYFUNCTION("""COMPUTED_VALUE"""),"SEM-6")</f>
        <v>SEM-6</v>
      </c>
      <c r="O256" s="74"/>
      <c r="P256" s="74"/>
      <c r="Q256" s="74"/>
      <c r="R256" s="74"/>
      <c r="S256" s="74"/>
      <c r="T256" s="74"/>
      <c r="U256" s="74"/>
      <c r="V256" s="74"/>
      <c r="W256" s="74"/>
      <c r="X256" s="74"/>
    </row>
    <row r="257" ht="33.0" customHeight="1">
      <c r="A257" s="74" t="str">
        <f>IFERROR(__xludf.DUMMYFUNCTION("""COMPUTED_VALUE"""),"SURYAVIVEK REDDY SATTI")</f>
        <v>SURYAVIVEK REDDY SATTI</v>
      </c>
      <c r="B257" s="74" t="str">
        <f>IFERROR(__xludf.DUMMYFUNCTION("""COMPUTED_VALUE"""),"19331A05F1")</f>
        <v>19331A05F1</v>
      </c>
      <c r="C257" s="74" t="str">
        <f>IFERROR(__xludf.DUMMYFUNCTION("""COMPUTED_VALUE"""),"eduskills(aicte)")</f>
        <v>eduskills(aicte)</v>
      </c>
      <c r="D257" s="74" t="str">
        <f>IFERROR(__xludf.DUMMYFUNCTION("""COMPUTED_VALUE"""),"10 weeks")</f>
        <v>10 weeks</v>
      </c>
      <c r="E257" s="79">
        <f>IFERROR(__xludf.DUMMYFUNCTION("""COMPUTED_VALUE"""),44494.0)</f>
        <v>44494</v>
      </c>
      <c r="F257" s="79">
        <f>IFERROR(__xludf.DUMMYFUNCTION("""COMPUTED_VALUE"""),44550.0)</f>
        <v>44550</v>
      </c>
      <c r="G257" s="74" t="str">
        <f>IFERROR(__xludf.DUMMYFUNCTION("""COMPUTED_VALUE"""),"No")</f>
        <v>No</v>
      </c>
      <c r="H257" s="74" t="str">
        <f>IFERROR(__xludf.DUMMYFUNCTION("""COMPUTED_VALUE"""),"No")</f>
        <v>No</v>
      </c>
      <c r="I257" s="74">
        <f>IFERROR(__xludf.DUMMYFUNCTION("""COMPUTED_VALUE"""),0.0)</f>
        <v>0</v>
      </c>
      <c r="J257" s="80" t="str">
        <f>IFERROR(__xludf.DUMMYFUNCTION("""COMPUTED_VALUE"""),"https://drive.google.com/open?id=1GUx-0hJDmbEH5sEd_OrxZC6n-AshZzyG")</f>
        <v>https://drive.google.com/open?id=1GUx-0hJDmbEH5sEd_OrxZC6n-AshZzyG</v>
      </c>
      <c r="K257" s="74" t="str">
        <f>IFERROR(__xludf.DUMMYFUNCTION("""COMPUTED_VALUE"""),"2019-2023")</f>
        <v>2019-2023</v>
      </c>
      <c r="L257" s="74" t="str">
        <f>IFERROR(__xludf.DUMMYFUNCTION("""COMPUTED_VALUE"""),"S3: Student Internships")</f>
        <v>S3: Student Internships</v>
      </c>
      <c r="M257" s="74" t="str">
        <f>IFERROR(__xludf.DUMMYFUNCTION("""COMPUTED_VALUE"""),"suryavivek31@gmail.com")</f>
        <v>suryavivek31@gmail.com</v>
      </c>
      <c r="N257" s="74" t="str">
        <f>IFERROR(__xludf.DUMMYFUNCTION("""COMPUTED_VALUE"""),"SEM-6")</f>
        <v>SEM-6</v>
      </c>
      <c r="O257" s="74"/>
      <c r="P257" s="74"/>
      <c r="Q257" s="74"/>
      <c r="R257" s="74"/>
      <c r="S257" s="74"/>
      <c r="T257" s="74"/>
      <c r="U257" s="74"/>
      <c r="V257" s="74"/>
      <c r="W257" s="74"/>
      <c r="X257" s="74"/>
    </row>
    <row r="258" ht="33.0" customHeight="1">
      <c r="A258" s="81" t="str">
        <f>IFERROR(__xludf.DUMMYFUNCTION("""COMPUTED_VALUE"""),"MADDALA TARAKESWARA THATU NAIDU ")</f>
        <v>MADDALA TARAKESWARA THATU NAIDU </v>
      </c>
      <c r="B258" s="81" t="str">
        <f>IFERROR(__xludf.DUMMYFUNCTION("""COMPUTED_VALUE"""),"19331A0597")</f>
        <v>19331A0597</v>
      </c>
      <c r="C258" s="81" t="str">
        <f>IFERROR(__xludf.DUMMYFUNCTION("""COMPUTED_VALUE"""),"BLUE PRISM")</f>
        <v>BLUE PRISM</v>
      </c>
      <c r="D258" s="81" t="str">
        <f>IFERROR(__xludf.DUMMYFUNCTION("""COMPUTED_VALUE"""),"3 montha")</f>
        <v>3 montha</v>
      </c>
      <c r="E258" s="82">
        <f>IFERROR(__xludf.DUMMYFUNCTION("""COMPUTED_VALUE"""),44470.0)</f>
        <v>44470</v>
      </c>
      <c r="F258" s="82">
        <f>IFERROR(__xludf.DUMMYFUNCTION("""COMPUTED_VALUE"""),44306.0)</f>
        <v>44306</v>
      </c>
      <c r="G258" s="81" t="str">
        <f>IFERROR(__xludf.DUMMYFUNCTION("""COMPUTED_VALUE"""),"No")</f>
        <v>No</v>
      </c>
      <c r="H258" s="81" t="str">
        <f>IFERROR(__xludf.DUMMYFUNCTION("""COMPUTED_VALUE"""),"No")</f>
        <v>No</v>
      </c>
      <c r="I258" s="81">
        <f>IFERROR(__xludf.DUMMYFUNCTION("""COMPUTED_VALUE"""),0.0)</f>
        <v>0</v>
      </c>
      <c r="J258" s="83" t="str">
        <f>IFERROR(__xludf.DUMMYFUNCTION("""COMPUTED_VALUE"""),"https://drive.google.com/open?id=1g_I6gnJz2QcPN7JrjLfzKH2wEYJVcIPY")</f>
        <v>https://drive.google.com/open?id=1g_I6gnJz2QcPN7JrjLfzKH2wEYJVcIPY</v>
      </c>
      <c r="K258" s="81" t="str">
        <f>IFERROR(__xludf.DUMMYFUNCTION("""COMPUTED_VALUE"""),"2019-2023")</f>
        <v>2019-2023</v>
      </c>
      <c r="L258" s="81" t="str">
        <f>IFERROR(__xludf.DUMMYFUNCTION("""COMPUTED_VALUE"""),"S3: Student Internships")</f>
        <v>S3: Student Internships</v>
      </c>
      <c r="M258" s="81" t="str">
        <f>IFERROR(__xludf.DUMMYFUNCTION("""COMPUTED_VALUE"""),"maddalatharakesh@gmail.com")</f>
        <v>maddalatharakesh@gmail.com</v>
      </c>
      <c r="N258" s="81" t="str">
        <f>IFERROR(__xludf.DUMMYFUNCTION("""COMPUTED_VALUE"""),"SEM-6")</f>
        <v>SEM-6</v>
      </c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ht="33.0" customHeight="1">
      <c r="A259" s="81" t="str">
        <f>IFERROR(__xludf.DUMMYFUNCTION("""COMPUTED_VALUE"""),"Battu Syam")</f>
        <v>Battu Syam</v>
      </c>
      <c r="B259" s="81" t="str">
        <f>IFERROR(__xludf.DUMMYFUNCTION("""COMPUTED_VALUE"""),"19331A0523")</f>
        <v>19331A0523</v>
      </c>
      <c r="C259" s="81" t="str">
        <f>IFERROR(__xludf.DUMMYFUNCTION("""COMPUTED_VALUE"""),"MVGR College of Engineering")</f>
        <v>MVGR College of Engineering</v>
      </c>
      <c r="D259" s="81" t="str">
        <f>IFERROR(__xludf.DUMMYFUNCTION("""COMPUTED_VALUE"""),"10 weeks")</f>
        <v>10 weeks</v>
      </c>
      <c r="E259" s="82">
        <f>IFERROR(__xludf.DUMMYFUNCTION("""COMPUTED_VALUE"""),44470.0)</f>
        <v>44470</v>
      </c>
      <c r="F259" s="82">
        <f>IFERROR(__xludf.DUMMYFUNCTION("""COMPUTED_VALUE"""),44561.0)</f>
        <v>44561</v>
      </c>
      <c r="G259" s="81" t="str">
        <f>IFERROR(__xludf.DUMMYFUNCTION("""COMPUTED_VALUE"""),"No")</f>
        <v>No</v>
      </c>
      <c r="H259" s="81" t="str">
        <f>IFERROR(__xludf.DUMMYFUNCTION("""COMPUTED_VALUE"""),"No")</f>
        <v>No</v>
      </c>
      <c r="I259" s="81">
        <f>IFERROR(__xludf.DUMMYFUNCTION("""COMPUTED_VALUE"""),0.0)</f>
        <v>0</v>
      </c>
      <c r="J259" s="83" t="str">
        <f>IFERROR(__xludf.DUMMYFUNCTION("""COMPUTED_VALUE"""),"https://drive.google.com/open?id=1o63gkeNARg0vlgn5B1xtMvsHhMlkH_sE")</f>
        <v>https://drive.google.com/open?id=1o63gkeNARg0vlgn5B1xtMvsHhMlkH_sE</v>
      </c>
      <c r="K259" s="81" t="str">
        <f>IFERROR(__xludf.DUMMYFUNCTION("""COMPUTED_VALUE"""),"2019-2023")</f>
        <v>2019-2023</v>
      </c>
      <c r="L259" s="81" t="str">
        <f>IFERROR(__xludf.DUMMYFUNCTION("""COMPUTED_VALUE"""),"S3: Student Internships")</f>
        <v>S3: Student Internships</v>
      </c>
      <c r="M259" s="81" t="str">
        <f>IFERROR(__xludf.DUMMYFUNCTION("""COMPUTED_VALUE"""),"shyamkumar113131@gmail.com")</f>
        <v>shyamkumar113131@gmail.com</v>
      </c>
      <c r="N259" s="81" t="str">
        <f>IFERROR(__xludf.DUMMYFUNCTION("""COMPUTED_VALUE"""),"SEM-6")</f>
        <v>SEM-6</v>
      </c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ht="33.0" customHeight="1">
      <c r="A260" s="81" t="str">
        <f>IFERROR(__xludf.DUMMYFUNCTION("""COMPUTED_VALUE"""),"Battu Syam")</f>
        <v>Battu Syam</v>
      </c>
      <c r="B260" s="81" t="str">
        <f>IFERROR(__xludf.DUMMYFUNCTION("""COMPUTED_VALUE"""),"19331A0514")</f>
        <v>19331A0514</v>
      </c>
      <c r="C260" s="81" t="str">
        <f>IFERROR(__xludf.DUMMYFUNCTION("""COMPUTED_VALUE"""),"Blue prism")</f>
        <v>Blue prism</v>
      </c>
      <c r="D260" s="81" t="str">
        <f>IFERROR(__xludf.DUMMYFUNCTION("""COMPUTED_VALUE"""),"10 weeks")</f>
        <v>10 weeks</v>
      </c>
      <c r="E260" s="82">
        <f>IFERROR(__xludf.DUMMYFUNCTION("""COMPUTED_VALUE"""),44500.0)</f>
        <v>44500</v>
      </c>
      <c r="F260" s="82">
        <f>IFERROR(__xludf.DUMMYFUNCTION("""COMPUTED_VALUE"""),44561.0)</f>
        <v>44561</v>
      </c>
      <c r="G260" s="81" t="str">
        <f>IFERROR(__xludf.DUMMYFUNCTION("""COMPUTED_VALUE"""),"No")</f>
        <v>No</v>
      </c>
      <c r="H260" s="81" t="str">
        <f>IFERROR(__xludf.DUMMYFUNCTION("""COMPUTED_VALUE"""),"No")</f>
        <v>No</v>
      </c>
      <c r="I260" s="81">
        <f>IFERROR(__xludf.DUMMYFUNCTION("""COMPUTED_VALUE"""),0.0)</f>
        <v>0</v>
      </c>
      <c r="J260" s="83" t="str">
        <f>IFERROR(__xludf.DUMMYFUNCTION("""COMPUTED_VALUE"""),"https://drive.google.com/open?id=18JFUrpkP5K37n3q-VBYZg33K5VIeq-NS")</f>
        <v>https://drive.google.com/open?id=18JFUrpkP5K37n3q-VBYZg33K5VIeq-NS</v>
      </c>
      <c r="K260" s="81" t="str">
        <f>IFERROR(__xludf.DUMMYFUNCTION("""COMPUTED_VALUE"""),"2019-2023")</f>
        <v>2019-2023</v>
      </c>
      <c r="L260" s="81" t="str">
        <f>IFERROR(__xludf.DUMMYFUNCTION("""COMPUTED_VALUE"""),"S3: Student Internships")</f>
        <v>S3: Student Internships</v>
      </c>
      <c r="M260" s="81" t="str">
        <f>IFERROR(__xludf.DUMMYFUNCTION("""COMPUTED_VALUE"""),"shyamkumar113131@gmail.com")</f>
        <v>shyamkumar113131@gmail.com</v>
      </c>
      <c r="N260" s="81" t="str">
        <f>IFERROR(__xludf.DUMMYFUNCTION("""COMPUTED_VALUE"""),"SEM-6")</f>
        <v>SEM-6</v>
      </c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ht="33.0" customHeight="1">
      <c r="A261" s="81" t="str">
        <f>IFERROR(__xludf.DUMMYFUNCTION("""COMPUTED_VALUE"""),"Boni Pavithra ")</f>
        <v>Boni Pavithra </v>
      </c>
      <c r="B261" s="81" t="str">
        <f>IFERROR(__xludf.DUMMYFUNCTION("""COMPUTED_VALUE"""),"19331A0524")</f>
        <v>19331A0524</v>
      </c>
      <c r="C261" s="81" t="str">
        <f>IFERROR(__xludf.DUMMYFUNCTION("""COMPUTED_VALUE"""),"Blue Prism ")</f>
        <v>Blue Prism </v>
      </c>
      <c r="D261" s="81" t="str">
        <f>IFERROR(__xludf.DUMMYFUNCTION("""COMPUTED_VALUE"""),"10 weeks")</f>
        <v>10 weeks</v>
      </c>
      <c r="E261" s="82">
        <f>IFERROR(__xludf.DUMMYFUNCTION("""COMPUTED_VALUE"""),44470.0)</f>
        <v>44470</v>
      </c>
      <c r="F261" s="82">
        <f>IFERROR(__xludf.DUMMYFUNCTION("""COMPUTED_VALUE"""),44896.0)</f>
        <v>44896</v>
      </c>
      <c r="G261" s="81" t="str">
        <f>IFERROR(__xludf.DUMMYFUNCTION("""COMPUTED_VALUE"""),"No")</f>
        <v>No</v>
      </c>
      <c r="H261" s="81" t="str">
        <f>IFERROR(__xludf.DUMMYFUNCTION("""COMPUTED_VALUE"""),"No")</f>
        <v>No</v>
      </c>
      <c r="I261" s="81">
        <f>IFERROR(__xludf.DUMMYFUNCTION("""COMPUTED_VALUE"""),0.0)</f>
        <v>0</v>
      </c>
      <c r="J261" s="83" t="str">
        <f>IFERROR(__xludf.DUMMYFUNCTION("""COMPUTED_VALUE"""),"https://drive.google.com/open?id=1Uygj_Zx7c5k_9E_H3UI2h0xfgUCcTLLW")</f>
        <v>https://drive.google.com/open?id=1Uygj_Zx7c5k_9E_H3UI2h0xfgUCcTLLW</v>
      </c>
      <c r="K261" s="81" t="str">
        <f>IFERROR(__xludf.DUMMYFUNCTION("""COMPUTED_VALUE"""),"2019-2023")</f>
        <v>2019-2023</v>
      </c>
      <c r="L261" s="81" t="str">
        <f>IFERROR(__xludf.DUMMYFUNCTION("""COMPUTED_VALUE"""),"S3: Student Internships")</f>
        <v>S3: Student Internships</v>
      </c>
      <c r="M261" s="81" t="str">
        <f>IFERROR(__xludf.DUMMYFUNCTION("""COMPUTED_VALUE"""),"bonipavi99@gmail.com")</f>
        <v>bonipavi99@gmail.com</v>
      </c>
      <c r="N261" s="81" t="str">
        <f>IFERROR(__xludf.DUMMYFUNCTION("""COMPUTED_VALUE"""),"SEM-6")</f>
        <v>SEM-6</v>
      </c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ht="33.0" customHeight="1">
      <c r="A262" s="81" t="str">
        <f>IFERROR(__xludf.DUMMYFUNCTION("""COMPUTED_VALUE"""),"V Lalith Madhav")</f>
        <v>V Lalith Madhav</v>
      </c>
      <c r="B262" s="81" t="str">
        <f>IFERROR(__xludf.DUMMYFUNCTION("""COMPUTED_VALUE"""),"19331A05I5")</f>
        <v>19331A05I5</v>
      </c>
      <c r="C262" s="81" t="str">
        <f>IFERROR(__xludf.DUMMYFUNCTION("""COMPUTED_VALUE"""),"Blue Prism")</f>
        <v>Blue Prism</v>
      </c>
      <c r="D262" s="81" t="str">
        <f>IFERROR(__xludf.DUMMYFUNCTION("""COMPUTED_VALUE"""),"3 months")</f>
        <v>3 months</v>
      </c>
      <c r="E262" s="82">
        <f>IFERROR(__xludf.DUMMYFUNCTION("""COMPUTED_VALUE"""),44479.0)</f>
        <v>44479</v>
      </c>
      <c r="F262" s="82">
        <f>IFERROR(__xludf.DUMMYFUNCTION("""COMPUTED_VALUE"""),44561.0)</f>
        <v>44561</v>
      </c>
      <c r="G262" s="81" t="str">
        <f>IFERROR(__xludf.DUMMYFUNCTION("""COMPUTED_VALUE"""),"No")</f>
        <v>No</v>
      </c>
      <c r="H262" s="81" t="str">
        <f>IFERROR(__xludf.DUMMYFUNCTION("""COMPUTED_VALUE"""),"No")</f>
        <v>No</v>
      </c>
      <c r="I262" s="81">
        <f>IFERROR(__xludf.DUMMYFUNCTION("""COMPUTED_VALUE"""),0.0)</f>
        <v>0</v>
      </c>
      <c r="J262" s="83" t="str">
        <f>IFERROR(__xludf.DUMMYFUNCTION("""COMPUTED_VALUE"""),"https://drive.google.com/open?id=13GqvZhR0GjnudKQlLUaWPRC8ZekW__Wo")</f>
        <v>https://drive.google.com/open?id=13GqvZhR0GjnudKQlLUaWPRC8ZekW__Wo</v>
      </c>
      <c r="K262" s="81" t="str">
        <f>IFERROR(__xludf.DUMMYFUNCTION("""COMPUTED_VALUE"""),"2019-2023")</f>
        <v>2019-2023</v>
      </c>
      <c r="L262" s="81" t="str">
        <f>IFERROR(__xludf.DUMMYFUNCTION("""COMPUTED_VALUE"""),"S3: Student Internships")</f>
        <v>S3: Student Internships</v>
      </c>
      <c r="M262" s="81" t="str">
        <f>IFERROR(__xludf.DUMMYFUNCTION("""COMPUTED_VALUE"""),"lalithmadhav2002@gmail.com")</f>
        <v>lalithmadhav2002@gmail.com</v>
      </c>
      <c r="N262" s="81" t="str">
        <f>IFERROR(__xludf.DUMMYFUNCTION("""COMPUTED_VALUE"""),"SEM-6")</f>
        <v>SEM-6</v>
      </c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ht="33.0" customHeight="1">
      <c r="A263" s="81" t="str">
        <f>IFERROR(__xludf.DUMMYFUNCTION("""COMPUTED_VALUE"""),"V.Ravi Varma")</f>
        <v>V.Ravi Varma</v>
      </c>
      <c r="B263" s="81" t="str">
        <f>IFERROR(__xludf.DUMMYFUNCTION("""COMPUTED_VALUE"""),"19331A05I3")</f>
        <v>19331A05I3</v>
      </c>
      <c r="C263" s="81" t="str">
        <f>IFERROR(__xludf.DUMMYFUNCTION("""COMPUTED_VALUE"""),"Blue Prism")</f>
        <v>Blue Prism</v>
      </c>
      <c r="D263" s="81" t="str">
        <f>IFERROR(__xludf.DUMMYFUNCTION("""COMPUTED_VALUE"""),"3 Months")</f>
        <v>3 Months</v>
      </c>
      <c r="E263" s="82">
        <f>IFERROR(__xludf.DUMMYFUNCTION("""COMPUTED_VALUE"""),44494.0)</f>
        <v>44494</v>
      </c>
      <c r="F263" s="82">
        <f>IFERROR(__xludf.DUMMYFUNCTION("""COMPUTED_VALUE"""),44555.0)</f>
        <v>44555</v>
      </c>
      <c r="G263" s="81" t="str">
        <f>IFERROR(__xludf.DUMMYFUNCTION("""COMPUTED_VALUE"""),"No")</f>
        <v>No</v>
      </c>
      <c r="H263" s="81" t="str">
        <f>IFERROR(__xludf.DUMMYFUNCTION("""COMPUTED_VALUE"""),"No")</f>
        <v>No</v>
      </c>
      <c r="I263" s="81">
        <f>IFERROR(__xludf.DUMMYFUNCTION("""COMPUTED_VALUE"""),0.0)</f>
        <v>0</v>
      </c>
      <c r="J263" s="83" t="str">
        <f>IFERROR(__xludf.DUMMYFUNCTION("""COMPUTED_VALUE"""),"https://drive.google.com/open?id=1s1B0fB590BKpc4nzCsLCanEpT1MeJn06")</f>
        <v>https://drive.google.com/open?id=1s1B0fB590BKpc4nzCsLCanEpT1MeJn06</v>
      </c>
      <c r="K263" s="81" t="str">
        <f>IFERROR(__xludf.DUMMYFUNCTION("""COMPUTED_VALUE"""),"2019-2023")</f>
        <v>2019-2023</v>
      </c>
      <c r="L263" s="81" t="str">
        <f>IFERROR(__xludf.DUMMYFUNCTION("""COMPUTED_VALUE"""),"S3: Student Internships")</f>
        <v>S3: Student Internships</v>
      </c>
      <c r="M263" s="81" t="str">
        <f>IFERROR(__xludf.DUMMYFUNCTION("""COMPUTED_VALUE"""),"ravivarmavatsavai5@gmail.com")</f>
        <v>ravivarmavatsavai5@gmail.com</v>
      </c>
      <c r="N263" s="81" t="str">
        <f>IFERROR(__xludf.DUMMYFUNCTION("""COMPUTED_VALUE"""),"SEM-6")</f>
        <v>SEM-6</v>
      </c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ht="33.0" customHeight="1">
      <c r="A264" s="81" t="str">
        <f>IFERROR(__xludf.DUMMYFUNCTION("""COMPUTED_VALUE"""),"V Leonel Richie")</f>
        <v>V Leonel Richie</v>
      </c>
      <c r="B264" s="81" t="str">
        <f>IFERROR(__xludf.DUMMYFUNCTION("""COMPUTED_VALUE"""),"19331A05J0")</f>
        <v>19331A05J0</v>
      </c>
      <c r="C264" s="81" t="str">
        <f>IFERROR(__xludf.DUMMYFUNCTION("""COMPUTED_VALUE"""),"Blue Prism")</f>
        <v>Blue Prism</v>
      </c>
      <c r="D264" s="81" t="str">
        <f>IFERROR(__xludf.DUMMYFUNCTION("""COMPUTED_VALUE"""),"3 months")</f>
        <v>3 months</v>
      </c>
      <c r="E264" s="82">
        <f>IFERROR(__xludf.DUMMYFUNCTION("""COMPUTED_VALUE"""),44494.0)</f>
        <v>44494</v>
      </c>
      <c r="F264" s="82">
        <f>IFERROR(__xludf.DUMMYFUNCTION("""COMPUTED_VALUE"""),44561.0)</f>
        <v>44561</v>
      </c>
      <c r="G264" s="81" t="str">
        <f>IFERROR(__xludf.DUMMYFUNCTION("""COMPUTED_VALUE"""),"No")</f>
        <v>No</v>
      </c>
      <c r="H264" s="81" t="str">
        <f>IFERROR(__xludf.DUMMYFUNCTION("""COMPUTED_VALUE"""),"No")</f>
        <v>No</v>
      </c>
      <c r="I264" s="81">
        <f>IFERROR(__xludf.DUMMYFUNCTION("""COMPUTED_VALUE"""),0.0)</f>
        <v>0</v>
      </c>
      <c r="J264" s="83" t="str">
        <f>IFERROR(__xludf.DUMMYFUNCTION("""COMPUTED_VALUE"""),"https://drive.google.com/open?id=1IFH_kXFaXwNCNhmOwIWaihFNC42suIQq")</f>
        <v>https://drive.google.com/open?id=1IFH_kXFaXwNCNhmOwIWaihFNC42suIQq</v>
      </c>
      <c r="K264" s="81" t="str">
        <f>IFERROR(__xludf.DUMMYFUNCTION("""COMPUTED_VALUE"""),"2019-2023")</f>
        <v>2019-2023</v>
      </c>
      <c r="L264" s="81" t="str">
        <f>IFERROR(__xludf.DUMMYFUNCTION("""COMPUTED_VALUE"""),"S3: Student Internships")</f>
        <v>S3: Student Internships</v>
      </c>
      <c r="M264" s="81" t="str">
        <f>IFERROR(__xludf.DUMMYFUNCTION("""COMPUTED_VALUE"""),"vleonelrichie18@gmail.com")</f>
        <v>vleonelrichie18@gmail.com</v>
      </c>
      <c r="N264" s="81" t="str">
        <f>IFERROR(__xludf.DUMMYFUNCTION("""COMPUTED_VALUE"""),"SEM-6")</f>
        <v>SEM-6</v>
      </c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ht="33.0" customHeight="1">
      <c r="A265" s="74" t="str">
        <f>IFERROR(__xludf.DUMMYFUNCTION("""COMPUTED_VALUE"""),"Niveditha Thatimalla")</f>
        <v>Niveditha Thatimalla</v>
      </c>
      <c r="B265" s="74" t="str">
        <f>IFERROR(__xludf.DUMMYFUNCTION("""COMPUTED_VALUE"""),"19331A05H1")</f>
        <v>19331A05H1</v>
      </c>
      <c r="C265" s="74" t="str">
        <f>IFERROR(__xludf.DUMMYFUNCTION("""COMPUTED_VALUE"""),"EduSkills")</f>
        <v>EduSkills</v>
      </c>
      <c r="D265" s="74" t="str">
        <f>IFERROR(__xludf.DUMMYFUNCTION("""COMPUTED_VALUE"""),"2 months")</f>
        <v>2 months</v>
      </c>
      <c r="E265" s="79">
        <f>IFERROR(__xludf.DUMMYFUNCTION("""COMPUTED_VALUE"""),44484.0)</f>
        <v>44484</v>
      </c>
      <c r="F265" s="79">
        <f>IFERROR(__xludf.DUMMYFUNCTION("""COMPUTED_VALUE"""),44544.0)</f>
        <v>44544</v>
      </c>
      <c r="G265" s="74" t="str">
        <f>IFERROR(__xludf.DUMMYFUNCTION("""COMPUTED_VALUE"""),"No")</f>
        <v>No</v>
      </c>
      <c r="H265" s="74" t="str">
        <f>IFERROR(__xludf.DUMMYFUNCTION("""COMPUTED_VALUE"""),"No")</f>
        <v>No</v>
      </c>
      <c r="I265" s="74">
        <f>IFERROR(__xludf.DUMMYFUNCTION("""COMPUTED_VALUE"""),0.0)</f>
        <v>0</v>
      </c>
      <c r="J265" s="80" t="str">
        <f>IFERROR(__xludf.DUMMYFUNCTION("""COMPUTED_VALUE"""),"https://drive.google.com/open?id=1eU70EnVBAhaTZR2mdgO1XI9-HQxqetAN")</f>
        <v>https://drive.google.com/open?id=1eU70EnVBAhaTZR2mdgO1XI9-HQxqetAN</v>
      </c>
      <c r="K265" s="74" t="str">
        <f>IFERROR(__xludf.DUMMYFUNCTION("""COMPUTED_VALUE"""),"2019-2023")</f>
        <v>2019-2023</v>
      </c>
      <c r="L265" s="74" t="str">
        <f>IFERROR(__xludf.DUMMYFUNCTION("""COMPUTED_VALUE"""),"S3: Student Internships")</f>
        <v>S3: Student Internships</v>
      </c>
      <c r="M265" s="74" t="str">
        <f>IFERROR(__xludf.DUMMYFUNCTION("""COMPUTED_VALUE"""),"thatimallaniveditha@gmail.com")</f>
        <v>thatimallaniveditha@gmail.com</v>
      </c>
      <c r="N265" s="74" t="str">
        <f>IFERROR(__xludf.DUMMYFUNCTION("""COMPUTED_VALUE"""),"SEM-5")</f>
        <v>SEM-5</v>
      </c>
      <c r="O265" s="74"/>
      <c r="P265" s="74"/>
      <c r="Q265" s="74"/>
      <c r="R265" s="74"/>
      <c r="S265" s="74"/>
      <c r="T265" s="74"/>
      <c r="U265" s="74"/>
      <c r="V265" s="74"/>
      <c r="W265" s="74"/>
      <c r="X265" s="74"/>
    </row>
    <row r="266" ht="33.0" customHeight="1">
      <c r="A266" s="81" t="str">
        <f>IFERROR(__xludf.DUMMYFUNCTION("""COMPUTED_VALUE"""),"KUNDRAPU DIVYA SATYA KUMARI ")</f>
        <v>KUNDRAPU DIVYA SATYA KUMARI </v>
      </c>
      <c r="B266" s="81" t="str">
        <f>IFERROR(__xludf.DUMMYFUNCTION("""COMPUTED_VALUE"""),"19331A0592")</f>
        <v>19331A0592</v>
      </c>
      <c r="C266" s="81" t="str">
        <f>IFERROR(__xludf.DUMMYFUNCTION("""COMPUTED_VALUE"""),"AICTE")</f>
        <v>AICTE</v>
      </c>
      <c r="D266" s="81" t="str">
        <f>IFERROR(__xludf.DUMMYFUNCTION("""COMPUTED_VALUE"""),"10 weeks")</f>
        <v>10 weeks</v>
      </c>
      <c r="E266" s="82">
        <f>IFERROR(__xludf.DUMMYFUNCTION("""COMPUTED_VALUE"""),44479.0)</f>
        <v>44479</v>
      </c>
      <c r="F266" s="82">
        <f>IFERROR(__xludf.DUMMYFUNCTION("""COMPUTED_VALUE"""),44540.0)</f>
        <v>44540</v>
      </c>
      <c r="G266" s="81" t="str">
        <f>IFERROR(__xludf.DUMMYFUNCTION("""COMPUTED_VALUE"""),"No")</f>
        <v>No</v>
      </c>
      <c r="H266" s="81" t="str">
        <f>IFERROR(__xludf.DUMMYFUNCTION("""COMPUTED_VALUE"""),"No")</f>
        <v>No</v>
      </c>
      <c r="I266" s="81">
        <f>IFERROR(__xludf.DUMMYFUNCTION("""COMPUTED_VALUE"""),0.0)</f>
        <v>0</v>
      </c>
      <c r="J266" s="83" t="str">
        <f>IFERROR(__xludf.DUMMYFUNCTION("""COMPUTED_VALUE"""),"https://drive.google.com/open?id=1cXQ296uDPWLgML2NAznoI6xfa23P_AM9")</f>
        <v>https://drive.google.com/open?id=1cXQ296uDPWLgML2NAznoI6xfa23P_AM9</v>
      </c>
      <c r="K266" s="81" t="str">
        <f>IFERROR(__xludf.DUMMYFUNCTION("""COMPUTED_VALUE"""),"2019-2023")</f>
        <v>2019-2023</v>
      </c>
      <c r="L266" s="81" t="str">
        <f>IFERROR(__xludf.DUMMYFUNCTION("""COMPUTED_VALUE"""),"S3: Student Internships")</f>
        <v>S3: Student Internships</v>
      </c>
      <c r="M266" s="81" t="str">
        <f>IFERROR(__xludf.DUMMYFUNCTION("""COMPUTED_VALUE"""),"satyadivyaa0401@gmail.com")</f>
        <v>satyadivyaa0401@gmail.com</v>
      </c>
      <c r="N266" s="81" t="str">
        <f>IFERROR(__xludf.DUMMYFUNCTION("""COMPUTED_VALUE"""),"SEM-6")</f>
        <v>SEM-6</v>
      </c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ht="33.0" customHeight="1">
      <c r="A267" s="74" t="str">
        <f>IFERROR(__xludf.DUMMYFUNCTION("""COMPUTED_VALUE"""),"M.Tanusha")</f>
        <v>M.Tanusha</v>
      </c>
      <c r="B267" s="74" t="str">
        <f>IFERROR(__xludf.DUMMYFUNCTION("""COMPUTED_VALUE"""),"19331A0595")</f>
        <v>19331A0595</v>
      </c>
      <c r="C267" s="74" t="str">
        <f>IFERROR(__xludf.DUMMYFUNCTION("""COMPUTED_VALUE"""),"Blue prism University")</f>
        <v>Blue prism University</v>
      </c>
      <c r="D267" s="74" t="str">
        <f>IFERROR(__xludf.DUMMYFUNCTION("""COMPUTED_VALUE"""),"October-December")</f>
        <v>October-December</v>
      </c>
      <c r="E267" s="79">
        <f>IFERROR(__xludf.DUMMYFUNCTION("""COMPUTED_VALUE"""),44478.0)</f>
        <v>44478</v>
      </c>
      <c r="F267" s="79">
        <f>IFERROR(__xludf.DUMMYFUNCTION("""COMPUTED_VALUE"""),44548.0)</f>
        <v>44548</v>
      </c>
      <c r="G267" s="74" t="str">
        <f>IFERROR(__xludf.DUMMYFUNCTION("""COMPUTED_VALUE"""),"No")</f>
        <v>No</v>
      </c>
      <c r="H267" s="74" t="str">
        <f>IFERROR(__xludf.DUMMYFUNCTION("""COMPUTED_VALUE"""),"No")</f>
        <v>No</v>
      </c>
      <c r="I267" s="74">
        <f>IFERROR(__xludf.DUMMYFUNCTION("""COMPUTED_VALUE"""),0.0)</f>
        <v>0</v>
      </c>
      <c r="J267" s="80" t="str">
        <f>IFERROR(__xludf.DUMMYFUNCTION("""COMPUTED_VALUE"""),"https://drive.google.com/open?id=1nwQkso_RNFNm-bV_8ziNMYxXJSjt5IJW")</f>
        <v>https://drive.google.com/open?id=1nwQkso_RNFNm-bV_8ziNMYxXJSjt5IJW</v>
      </c>
      <c r="K267" s="74" t="str">
        <f>IFERROR(__xludf.DUMMYFUNCTION("""COMPUTED_VALUE"""),"2019-2023")</f>
        <v>2019-2023</v>
      </c>
      <c r="L267" s="74" t="str">
        <f>IFERROR(__xludf.DUMMYFUNCTION("""COMPUTED_VALUE"""),"S3: Student Internships")</f>
        <v>S3: Student Internships</v>
      </c>
      <c r="M267" s="74" t="str">
        <f>IFERROR(__xludf.DUMMYFUNCTION("""COMPUTED_VALUE"""),"bhavanimula07@gmail.com")</f>
        <v>bhavanimula07@gmail.com</v>
      </c>
      <c r="N267" s="74" t="str">
        <f>IFERROR(__xludf.DUMMYFUNCTION("""COMPUTED_VALUE"""),"SEM-6")</f>
        <v>SEM-6</v>
      </c>
      <c r="O267" s="74"/>
      <c r="P267" s="74"/>
      <c r="Q267" s="74"/>
      <c r="R267" s="74"/>
      <c r="S267" s="74"/>
      <c r="T267" s="74"/>
      <c r="U267" s="74"/>
      <c r="V267" s="74"/>
      <c r="W267" s="74"/>
      <c r="X267" s="74"/>
    </row>
    <row r="268" ht="33.0" customHeight="1">
      <c r="A268" s="74" t="str">
        <f>IFERROR(__xludf.DUMMYFUNCTION("""COMPUTED_VALUE"""),"Maddila Meghana")</f>
        <v>Maddila Meghana</v>
      </c>
      <c r="B268" s="74" t="str">
        <f>IFERROR(__xludf.DUMMYFUNCTION("""COMPUTED_VALUE"""),"19331A0598")</f>
        <v>19331A0598</v>
      </c>
      <c r="C268" s="74" t="str">
        <f>IFERROR(__xludf.DUMMYFUNCTION("""COMPUTED_VALUE"""),"Blue Prism University ")</f>
        <v>Blue Prism University </v>
      </c>
      <c r="D268" s="74" t="str">
        <f>IFERROR(__xludf.DUMMYFUNCTION("""COMPUTED_VALUE"""),"Oct - Dec 2021")</f>
        <v>Oct - Dec 2021</v>
      </c>
      <c r="E268" s="79">
        <f>IFERROR(__xludf.DUMMYFUNCTION("""COMPUTED_VALUE"""),44478.0)</f>
        <v>44478</v>
      </c>
      <c r="F268" s="79">
        <f>IFERROR(__xludf.DUMMYFUNCTION("""COMPUTED_VALUE"""),44548.0)</f>
        <v>44548</v>
      </c>
      <c r="G268" s="74" t="str">
        <f>IFERROR(__xludf.DUMMYFUNCTION("""COMPUTED_VALUE"""),"No")</f>
        <v>No</v>
      </c>
      <c r="H268" s="74" t="str">
        <f>IFERROR(__xludf.DUMMYFUNCTION("""COMPUTED_VALUE"""),"No")</f>
        <v>No</v>
      </c>
      <c r="I268" s="74">
        <f>IFERROR(__xludf.DUMMYFUNCTION("""COMPUTED_VALUE"""),0.0)</f>
        <v>0</v>
      </c>
      <c r="J268" s="80" t="str">
        <f>IFERROR(__xludf.DUMMYFUNCTION("""COMPUTED_VALUE"""),"https://drive.google.com/open?id=1nrenQkmvYHNnITKTHhsFeAgIUo-pH60w")</f>
        <v>https://drive.google.com/open?id=1nrenQkmvYHNnITKTHhsFeAgIUo-pH60w</v>
      </c>
      <c r="K268" s="74" t="str">
        <f>IFERROR(__xludf.DUMMYFUNCTION("""COMPUTED_VALUE"""),"2019-2023")</f>
        <v>2019-2023</v>
      </c>
      <c r="L268" s="74" t="str">
        <f>IFERROR(__xludf.DUMMYFUNCTION("""COMPUTED_VALUE"""),"S3: Student Internships")</f>
        <v>S3: Student Internships</v>
      </c>
      <c r="M268" s="74" t="str">
        <f>IFERROR(__xludf.DUMMYFUNCTION("""COMPUTED_VALUE"""),"meghana.maddila02@gmail.com")</f>
        <v>meghana.maddila02@gmail.com</v>
      </c>
      <c r="N268" s="74" t="str">
        <f>IFERROR(__xludf.DUMMYFUNCTION("""COMPUTED_VALUE"""),"SEM-6")</f>
        <v>SEM-6</v>
      </c>
      <c r="O268" s="74"/>
      <c r="P268" s="74"/>
      <c r="Q268" s="74"/>
      <c r="R268" s="74"/>
      <c r="S268" s="74"/>
      <c r="T268" s="74"/>
      <c r="U268" s="74"/>
      <c r="V268" s="74"/>
      <c r="W268" s="74"/>
      <c r="X268" s="74"/>
    </row>
    <row r="269" ht="33.0" customHeight="1">
      <c r="A269" s="74" t="str">
        <f>IFERROR(__xludf.DUMMYFUNCTION("""COMPUTED_VALUE"""),"Maddu Bhavana ")</f>
        <v>Maddu Bhavana </v>
      </c>
      <c r="B269" s="74" t="str">
        <f>IFERROR(__xludf.DUMMYFUNCTION("""COMPUTED_VALUE"""),"19331A0599")</f>
        <v>19331A0599</v>
      </c>
      <c r="C269" s="74" t="str">
        <f>IFERROR(__xludf.DUMMYFUNCTION("""COMPUTED_VALUE"""),"Blueprism university")</f>
        <v>Blueprism university</v>
      </c>
      <c r="D269" s="74" t="str">
        <f>IFERROR(__xludf.DUMMYFUNCTION("""COMPUTED_VALUE"""),"Oct-dec 2021")</f>
        <v>Oct-dec 2021</v>
      </c>
      <c r="E269" s="79">
        <f>IFERROR(__xludf.DUMMYFUNCTION("""COMPUTED_VALUE"""),44478.0)</f>
        <v>44478</v>
      </c>
      <c r="F269" s="79">
        <f>IFERROR(__xludf.DUMMYFUNCTION("""COMPUTED_VALUE"""),44548.0)</f>
        <v>44548</v>
      </c>
      <c r="G269" s="74" t="str">
        <f>IFERROR(__xludf.DUMMYFUNCTION("""COMPUTED_VALUE"""),"No")</f>
        <v>No</v>
      </c>
      <c r="H269" s="74" t="str">
        <f>IFERROR(__xludf.DUMMYFUNCTION("""COMPUTED_VALUE"""),"No")</f>
        <v>No</v>
      </c>
      <c r="I269" s="74">
        <f>IFERROR(__xludf.DUMMYFUNCTION("""COMPUTED_VALUE"""),0.0)</f>
        <v>0</v>
      </c>
      <c r="J269" s="80" t="str">
        <f>IFERROR(__xludf.DUMMYFUNCTION("""COMPUTED_VALUE"""),"https://drive.google.com/open?id=1ttjoVdEy9gXWqPmg_VAfMuPROMfHHC-U")</f>
        <v>https://drive.google.com/open?id=1ttjoVdEy9gXWqPmg_VAfMuPROMfHHC-U</v>
      </c>
      <c r="K269" s="74" t="str">
        <f>IFERROR(__xludf.DUMMYFUNCTION("""COMPUTED_VALUE"""),"2019-2023")</f>
        <v>2019-2023</v>
      </c>
      <c r="L269" s="74" t="str">
        <f>IFERROR(__xludf.DUMMYFUNCTION("""COMPUTED_VALUE"""),"S3: Student Internships")</f>
        <v>S3: Student Internships</v>
      </c>
      <c r="M269" s="74" t="str">
        <f>IFERROR(__xludf.DUMMYFUNCTION("""COMPUTED_VALUE"""),"bhavanamaddu2002@gmail.com")</f>
        <v>bhavanamaddu2002@gmail.com</v>
      </c>
      <c r="N269" s="74" t="str">
        <f>IFERROR(__xludf.DUMMYFUNCTION("""COMPUTED_VALUE"""),"SEM-6")</f>
        <v>SEM-6</v>
      </c>
      <c r="O269" s="74"/>
      <c r="P269" s="74"/>
      <c r="Q269" s="74"/>
      <c r="R269" s="74"/>
      <c r="S269" s="74"/>
      <c r="T269" s="74"/>
      <c r="U269" s="74"/>
      <c r="V269" s="74"/>
      <c r="W269" s="74"/>
      <c r="X269" s="74"/>
    </row>
    <row r="270" ht="33.0" customHeight="1">
      <c r="A270" s="74" t="str">
        <f>IFERROR(__xludf.DUMMYFUNCTION("""COMPUTED_VALUE"""),"KALLA BHAGYA SRI")</f>
        <v>KALLA BHAGYA SRI</v>
      </c>
      <c r="B270" s="74" t="str">
        <f>IFERROR(__xludf.DUMMYFUNCTION("""COMPUTED_VALUE"""),"19331A0570")</f>
        <v>19331A0570</v>
      </c>
      <c r="C270" s="74" t="str">
        <f>IFERROR(__xludf.DUMMYFUNCTION("""COMPUTED_VALUE"""),"BLUEPRISM")</f>
        <v>BLUEPRISM</v>
      </c>
      <c r="D270" s="74" t="str">
        <f>IFERROR(__xludf.DUMMYFUNCTION("""COMPUTED_VALUE"""),"3MONTHS")</f>
        <v>3MONTHS</v>
      </c>
      <c r="E270" s="79">
        <f>IFERROR(__xludf.DUMMYFUNCTION("""COMPUTED_VALUE"""),44470.0)</f>
        <v>44470</v>
      </c>
      <c r="F270" s="79">
        <f>IFERROR(__xludf.DUMMYFUNCTION("""COMPUTED_VALUE"""),44531.0)</f>
        <v>44531</v>
      </c>
      <c r="G270" s="74" t="str">
        <f>IFERROR(__xludf.DUMMYFUNCTION("""COMPUTED_VALUE"""),"No")</f>
        <v>No</v>
      </c>
      <c r="H270" s="74" t="str">
        <f>IFERROR(__xludf.DUMMYFUNCTION("""COMPUTED_VALUE"""),"No")</f>
        <v>No</v>
      </c>
      <c r="I270" s="74">
        <f>IFERROR(__xludf.DUMMYFUNCTION("""COMPUTED_VALUE"""),0.0)</f>
        <v>0</v>
      </c>
      <c r="J270" s="80" t="str">
        <f>IFERROR(__xludf.DUMMYFUNCTION("""COMPUTED_VALUE"""),"https://drive.google.com/open?id=1iP8kajmr7HJfr_E5Dmwya35s2VvpktM0")</f>
        <v>https://drive.google.com/open?id=1iP8kajmr7HJfr_E5Dmwya35s2VvpktM0</v>
      </c>
      <c r="K270" s="74" t="str">
        <f>IFERROR(__xludf.DUMMYFUNCTION("""COMPUTED_VALUE"""),"2019-2023")</f>
        <v>2019-2023</v>
      </c>
      <c r="L270" s="74" t="str">
        <f>IFERROR(__xludf.DUMMYFUNCTION("""COMPUTED_VALUE"""),"S3: Student Internships")</f>
        <v>S3: Student Internships</v>
      </c>
      <c r="M270" s="74" t="str">
        <f>IFERROR(__xludf.DUMMYFUNCTION("""COMPUTED_VALUE"""),"bhagyasrikalla1234@gmail.com")</f>
        <v>bhagyasrikalla1234@gmail.com</v>
      </c>
      <c r="N270" s="74" t="str">
        <f>IFERROR(__xludf.DUMMYFUNCTION("""COMPUTED_VALUE"""),"SEM-6")</f>
        <v>SEM-6</v>
      </c>
      <c r="O270" s="74"/>
      <c r="P270" s="74"/>
      <c r="Q270" s="74"/>
      <c r="R270" s="74"/>
      <c r="S270" s="74"/>
      <c r="T270" s="74"/>
      <c r="U270" s="74"/>
      <c r="V270" s="74"/>
      <c r="W270" s="74"/>
      <c r="X270" s="74"/>
    </row>
    <row r="271" ht="33.0" customHeight="1">
      <c r="A271" s="12" t="str">
        <f>IFERROR(__xludf.DUMMYFUNCTION("""COMPUTED_VALUE"""),"Datla V Subhadra Kumari ")</f>
        <v>Datla V Subhadra Kumari </v>
      </c>
      <c r="B271" s="12" t="str">
        <f>IFERROR(__xludf.DUMMYFUNCTION("""COMPUTED_VALUE"""),"19331A0541 ")</f>
        <v>19331A0541 </v>
      </c>
      <c r="C271" s="12" t="str">
        <f>IFERROR(__xludf.DUMMYFUNCTION("""COMPUTED_VALUE"""),"Blue Prism ")</f>
        <v>Blue Prism </v>
      </c>
      <c r="D271" s="12" t="str">
        <f>IFERROR(__xludf.DUMMYFUNCTION("""COMPUTED_VALUE"""),"10 weeks")</f>
        <v>10 weeks</v>
      </c>
      <c r="E271" s="86">
        <f>IFERROR(__xludf.DUMMYFUNCTION("""COMPUTED_VALUE"""),44492.0)</f>
        <v>44492</v>
      </c>
      <c r="F271" s="86">
        <f>IFERROR(__xludf.DUMMYFUNCTION("""COMPUTED_VALUE"""),44560.0)</f>
        <v>44560</v>
      </c>
      <c r="G271" s="12" t="str">
        <f>IFERROR(__xludf.DUMMYFUNCTION("""COMPUTED_VALUE"""),"No")</f>
        <v>No</v>
      </c>
      <c r="H271" s="12" t="str">
        <f>IFERROR(__xludf.DUMMYFUNCTION("""COMPUTED_VALUE"""),"No")</f>
        <v>No</v>
      </c>
      <c r="I271" s="12">
        <f>IFERROR(__xludf.DUMMYFUNCTION("""COMPUTED_VALUE"""),0.0)</f>
        <v>0</v>
      </c>
      <c r="J271" s="87" t="str">
        <f>IFERROR(__xludf.DUMMYFUNCTION("""COMPUTED_VALUE"""),"https://drive.google.com/open?id=1CJBsPsi4Mtc_bKYJIBWJQyQH3yXqX6f8")</f>
        <v>https://drive.google.com/open?id=1CJBsPsi4Mtc_bKYJIBWJQyQH3yXqX6f8</v>
      </c>
      <c r="K271" s="12" t="str">
        <f>IFERROR(__xludf.DUMMYFUNCTION("""COMPUTED_VALUE"""),"2019-2023")</f>
        <v>2019-2023</v>
      </c>
      <c r="L271" s="12" t="str">
        <f>IFERROR(__xludf.DUMMYFUNCTION("""COMPUTED_VALUE"""),"S3: Student Internships")</f>
        <v>S3: Student Internships</v>
      </c>
      <c r="M271" s="12" t="str">
        <f>IFERROR(__xludf.DUMMYFUNCTION("""COMPUTED_VALUE"""),"amritha.datla@gmail.com")</f>
        <v>amritha.datla@gmail.com</v>
      </c>
      <c r="N271" s="12" t="str">
        <f>IFERROR(__xludf.DUMMYFUNCTION("""COMPUTED_VALUE"""),"SEM-5")</f>
        <v>SEM-5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</row>
    <row r="272" ht="33.0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</row>
    <row r="273" ht="33.0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</row>
    <row r="274" ht="33.0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</row>
    <row r="275" ht="33.0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ht="33.0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ht="33.0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</row>
    <row r="278" ht="33.0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</row>
    <row r="279" ht="33.0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</row>
    <row r="280" ht="33.0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</row>
    <row r="281" ht="33.0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</row>
    <row r="282" ht="33.0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</row>
    <row r="283" ht="33.0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</row>
    <row r="284" ht="33.0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</row>
    <row r="285" ht="33.0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</row>
    <row r="286" ht="33.0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ht="33.0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ht="33.0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</row>
    <row r="289" ht="33.0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</row>
    <row r="290" ht="33.0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</row>
    <row r="291" ht="33.0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</row>
    <row r="292" ht="33.0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</row>
    <row r="293" ht="33.0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</row>
    <row r="294" ht="33.0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</row>
    <row r="295" ht="33.0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</row>
    <row r="296" ht="33.0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</row>
    <row r="297" ht="33.0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</row>
    <row r="298" ht="33.0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</row>
    <row r="299" ht="33.0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</row>
    <row r="300" ht="33.0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</row>
    <row r="301" ht="33.0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</row>
    <row r="302" ht="33.0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</row>
    <row r="303" ht="33.0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</row>
    <row r="304" ht="33.0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</row>
    <row r="305" ht="33.0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</row>
    <row r="306" ht="33.0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</row>
    <row r="307" ht="33.0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</row>
    <row r="308" ht="33.0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</row>
    <row r="309" ht="33.0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</row>
    <row r="310" ht="33.0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</row>
    <row r="311" ht="33.0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</row>
    <row r="312" ht="33.0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</row>
    <row r="313" ht="33.0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</row>
    <row r="314" ht="33.0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</row>
    <row r="315" ht="33.0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</row>
    <row r="316" ht="33.0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</row>
    <row r="317" ht="33.0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</row>
    <row r="318" ht="33.0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</row>
    <row r="319" ht="33.0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</row>
    <row r="320" ht="33.0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</row>
    <row r="321" ht="33.0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</row>
    <row r="322" ht="33.0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</row>
    <row r="323" ht="33.0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</row>
    <row r="324" ht="33.0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</row>
    <row r="325" ht="33.0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</row>
    <row r="326" ht="33.0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</row>
    <row r="327" ht="33.0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</row>
    <row r="328" ht="33.0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</row>
    <row r="329" ht="33.0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</row>
    <row r="330" ht="33.0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</row>
    <row r="331" ht="33.0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</row>
    <row r="332" ht="33.0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</row>
    <row r="333" ht="33.0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</row>
    <row r="334" ht="33.0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</row>
    <row r="335" ht="33.0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</row>
    <row r="336" ht="33.0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</row>
    <row r="337" ht="33.0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</row>
    <row r="338" ht="33.0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</row>
    <row r="339" ht="33.0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</row>
    <row r="340" ht="33.0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</row>
    <row r="341" ht="33.0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</row>
    <row r="342" ht="33.0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</row>
    <row r="343" ht="33.0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</row>
    <row r="344" ht="33.0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</row>
    <row r="345" ht="33.0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</row>
    <row r="346" ht="33.0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</row>
    <row r="347" ht="33.0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</row>
    <row r="348" ht="33.0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</row>
    <row r="349" ht="33.0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</row>
    <row r="350" ht="33.0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</row>
    <row r="351" ht="33.0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</row>
    <row r="352" ht="33.0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</row>
    <row r="353" ht="33.0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</row>
    <row r="354" ht="33.0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</row>
    <row r="355" ht="33.0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</row>
    <row r="356" ht="33.0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</row>
    <row r="357" ht="33.0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</row>
    <row r="358" ht="33.0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</row>
    <row r="359" ht="33.0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</row>
    <row r="360" ht="33.0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</row>
    <row r="361" ht="33.0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</row>
    <row r="362" ht="33.0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</row>
    <row r="363" ht="33.0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</row>
    <row r="364" ht="33.0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</row>
    <row r="365" ht="33.0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</row>
    <row r="366" ht="33.0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</row>
    <row r="367" ht="33.0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</row>
    <row r="368" ht="33.0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</row>
    <row r="369" ht="33.0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</row>
    <row r="370" ht="33.0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</row>
    <row r="371" ht="33.0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</row>
    <row r="372" ht="33.0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</row>
    <row r="373" ht="33.0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</row>
    <row r="374" ht="33.0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</row>
    <row r="375" ht="33.0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</row>
    <row r="376" ht="33.0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</row>
    <row r="377" ht="33.0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</row>
    <row r="378" ht="33.0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</row>
    <row r="379" ht="33.0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</row>
    <row r="380" ht="33.0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</row>
    <row r="381" ht="33.0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</row>
    <row r="382" ht="33.0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</row>
    <row r="383" ht="33.0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</row>
    <row r="384" ht="33.0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</row>
    <row r="385" ht="33.0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</row>
    <row r="386" ht="33.0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</row>
    <row r="387" ht="33.0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</row>
    <row r="388" ht="33.0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</row>
    <row r="389" ht="33.0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</row>
    <row r="390" ht="33.0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</row>
    <row r="391" ht="33.0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</row>
    <row r="392" ht="33.0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</row>
    <row r="393" ht="33.0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</row>
    <row r="394" ht="33.0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</row>
    <row r="395" ht="33.0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</row>
    <row r="396" ht="33.0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</row>
    <row r="397" ht="33.0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</row>
    <row r="398" ht="33.0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</row>
    <row r="399" ht="33.0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</row>
    <row r="400" ht="33.0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</row>
    <row r="401" ht="33.0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</row>
    <row r="402" ht="33.0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</row>
    <row r="403" ht="33.0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</row>
    <row r="404" ht="33.0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</row>
    <row r="405" ht="33.0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</row>
    <row r="406" ht="33.0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</row>
    <row r="407" ht="33.0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</row>
    <row r="408" ht="33.0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</row>
    <row r="409" ht="33.0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</row>
    <row r="410" ht="33.0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</row>
    <row r="411" ht="33.0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</row>
    <row r="412" ht="33.0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</row>
    <row r="413" ht="33.0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</row>
    <row r="414" ht="33.0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</row>
    <row r="415" ht="33.0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</row>
    <row r="416" ht="33.0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</row>
    <row r="417" ht="33.0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</row>
    <row r="418" ht="33.0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</row>
    <row r="419" ht="33.0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</row>
    <row r="420" ht="33.0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</row>
    <row r="421" ht="33.0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</row>
    <row r="422" ht="33.0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</row>
    <row r="423" ht="33.0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</row>
    <row r="424" ht="33.0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</row>
    <row r="425" ht="33.0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</row>
    <row r="426" ht="33.0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</row>
    <row r="427" ht="33.0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</row>
    <row r="428" ht="33.0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</row>
    <row r="429" ht="33.0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</row>
    <row r="430" ht="33.0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</row>
    <row r="431" ht="33.0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</row>
    <row r="432" ht="33.0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</row>
    <row r="433" ht="33.0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</row>
    <row r="434" ht="33.0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</row>
    <row r="435" ht="33.0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</row>
    <row r="436" ht="33.0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</row>
    <row r="437" ht="33.0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</row>
    <row r="438" ht="33.0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</row>
    <row r="439" ht="33.0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</row>
    <row r="440" ht="33.0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</row>
    <row r="441" ht="33.0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</row>
    <row r="442" ht="33.0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</row>
    <row r="443" ht="33.0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</row>
    <row r="444" ht="33.0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</row>
    <row r="445" ht="33.0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</row>
    <row r="446" ht="33.0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</row>
    <row r="447" ht="33.0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</row>
    <row r="448" ht="33.0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</row>
    <row r="449" ht="33.0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</row>
    <row r="450" ht="33.0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</row>
    <row r="451" ht="33.0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</row>
    <row r="452" ht="33.0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</row>
    <row r="453" ht="33.0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</row>
    <row r="454" ht="33.0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</row>
    <row r="455" ht="33.0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</row>
    <row r="456" ht="33.0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</row>
    <row r="457" ht="33.0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</row>
    <row r="458" ht="33.0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</row>
    <row r="459" ht="33.0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</row>
    <row r="460" ht="33.0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</row>
    <row r="461" ht="33.0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</row>
    <row r="462" ht="33.0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</row>
    <row r="463" ht="33.0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</row>
    <row r="464" ht="33.0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</row>
    <row r="465" ht="33.0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</row>
    <row r="466" ht="33.0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</row>
    <row r="467" ht="33.0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</row>
    <row r="468" ht="33.0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</row>
    <row r="469" ht="33.0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</row>
    <row r="470" ht="33.0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</row>
    <row r="471" ht="33.0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</row>
    <row r="472" ht="33.0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</row>
    <row r="473" ht="33.0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</row>
    <row r="474" ht="33.0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</row>
    <row r="475" ht="33.0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</row>
    <row r="476" ht="33.0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</row>
    <row r="477" ht="33.0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</row>
    <row r="478" ht="33.0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</row>
    <row r="479" ht="33.0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</row>
    <row r="480" ht="33.0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</row>
    <row r="481" ht="33.0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</row>
    <row r="482" ht="33.0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</row>
    <row r="483" ht="33.0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</row>
    <row r="484" ht="33.0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</row>
    <row r="485" ht="33.0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</row>
    <row r="486" ht="33.0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</row>
    <row r="487" ht="33.0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</row>
    <row r="488" ht="33.0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</row>
    <row r="489" ht="33.0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</row>
    <row r="490" ht="33.0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</row>
    <row r="491" ht="33.0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</row>
    <row r="492" ht="33.0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</row>
    <row r="493" ht="33.0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</row>
    <row r="494" ht="33.0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</row>
    <row r="495" ht="33.0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</row>
    <row r="496" ht="33.0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</row>
    <row r="497" ht="33.0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</row>
    <row r="498" ht="33.0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</row>
    <row r="499" ht="33.0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</row>
    <row r="500" ht="33.0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</row>
    <row r="501" ht="33.0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</row>
    <row r="502" ht="33.0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</row>
    <row r="503" ht="33.0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</row>
    <row r="504" ht="33.0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</row>
    <row r="505" ht="33.0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</row>
    <row r="506" ht="33.0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</row>
    <row r="507" ht="33.0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</row>
    <row r="508" ht="33.0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</row>
    <row r="509" ht="33.0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</row>
    <row r="510" ht="33.0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</row>
    <row r="511" ht="33.0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</row>
    <row r="512" ht="33.0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</row>
    <row r="513" ht="33.0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</row>
    <row r="514" ht="33.0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</row>
    <row r="515" ht="33.0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</row>
    <row r="516" ht="33.0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</row>
    <row r="517" ht="33.0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</row>
    <row r="518" ht="33.0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</row>
    <row r="519" ht="33.0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</row>
    <row r="520" ht="33.0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</row>
    <row r="521" ht="33.0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</row>
    <row r="522" ht="33.0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</row>
    <row r="523" ht="33.0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</row>
    <row r="524" ht="33.0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</row>
    <row r="525" ht="33.0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</row>
    <row r="526" ht="33.0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</row>
    <row r="527" ht="33.0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</row>
    <row r="528" ht="33.0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</row>
    <row r="529" ht="33.0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</row>
    <row r="530" ht="33.0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</row>
    <row r="531" ht="33.0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</row>
    <row r="532" ht="33.0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</row>
    <row r="533" ht="33.0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</row>
    <row r="534" ht="33.0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</row>
    <row r="535" ht="33.0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</row>
    <row r="536" ht="33.0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</row>
    <row r="537" ht="33.0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</row>
    <row r="538" ht="33.0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</row>
    <row r="539" ht="33.0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</row>
    <row r="540" ht="33.0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</row>
    <row r="541" ht="33.0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</row>
    <row r="542" ht="33.0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</row>
    <row r="543" ht="33.0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</row>
    <row r="544" ht="33.0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</row>
    <row r="545" ht="33.0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</row>
    <row r="546" ht="33.0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</row>
    <row r="547" ht="33.0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</row>
    <row r="548" ht="33.0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</row>
    <row r="549" ht="33.0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</row>
    <row r="550" ht="33.0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</row>
    <row r="551" ht="33.0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</row>
    <row r="552" ht="33.0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</row>
    <row r="553" ht="33.0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</row>
    <row r="554" ht="33.0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</row>
    <row r="555" ht="33.0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</row>
    <row r="556" ht="33.0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</row>
    <row r="557" ht="33.0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</row>
    <row r="558" ht="33.0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</row>
    <row r="559" ht="33.0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</row>
    <row r="560" ht="33.0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</row>
    <row r="561" ht="33.0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</row>
    <row r="562" ht="33.0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</row>
    <row r="563" ht="33.0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</row>
    <row r="564" ht="33.0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</row>
    <row r="565" ht="33.0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</row>
    <row r="566" ht="33.0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</row>
    <row r="567" ht="33.0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</row>
    <row r="568" ht="33.0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</row>
    <row r="569" ht="33.0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</row>
    <row r="570" ht="33.0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</row>
    <row r="571" ht="33.0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</row>
    <row r="572" ht="33.0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</row>
    <row r="573" ht="33.0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</row>
    <row r="574" ht="33.0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</row>
    <row r="575" ht="33.0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</row>
    <row r="576" ht="33.0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</row>
    <row r="577" ht="33.0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</row>
    <row r="578" ht="33.0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</row>
    <row r="579" ht="33.0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</row>
    <row r="580" ht="33.0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</row>
    <row r="581" ht="33.0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</row>
    <row r="582" ht="33.0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</row>
    <row r="583" ht="33.0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</row>
    <row r="584" ht="33.0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</row>
    <row r="585" ht="33.0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</row>
    <row r="586" ht="33.0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</row>
    <row r="587" ht="33.0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</row>
    <row r="588" ht="33.0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</row>
    <row r="589" ht="33.0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</row>
    <row r="590" ht="33.0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</row>
    <row r="591" ht="33.0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</row>
    <row r="592" ht="33.0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</row>
    <row r="593" ht="33.0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</row>
    <row r="594" ht="33.0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</row>
    <row r="595" ht="33.0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</row>
    <row r="596" ht="33.0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</row>
    <row r="597" ht="33.0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</row>
    <row r="598" ht="33.0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</row>
    <row r="599" ht="33.0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</row>
    <row r="600" ht="33.0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</row>
    <row r="601" ht="33.0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</row>
    <row r="602" ht="33.0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</row>
    <row r="603" ht="33.0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</row>
    <row r="604" ht="33.0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</row>
    <row r="605" ht="33.0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</row>
    <row r="606" ht="33.0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</row>
    <row r="607" ht="33.0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</row>
    <row r="608" ht="33.0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</row>
    <row r="609" ht="33.0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</row>
    <row r="610" ht="33.0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</row>
    <row r="611" ht="33.0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</row>
    <row r="612" ht="33.0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</row>
    <row r="613" ht="33.0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</row>
    <row r="614" ht="33.0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</row>
    <row r="615" ht="33.0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</row>
    <row r="616" ht="33.0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</row>
    <row r="617" ht="33.0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</row>
    <row r="618" ht="33.0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</row>
    <row r="619" ht="33.0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</row>
    <row r="620" ht="33.0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</row>
    <row r="621" ht="33.0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</row>
    <row r="622" ht="33.0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</row>
    <row r="623" ht="33.0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</row>
    <row r="624" ht="33.0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</row>
    <row r="625" ht="33.0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</row>
    <row r="626" ht="33.0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</row>
    <row r="627" ht="33.0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</row>
    <row r="628" ht="33.0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</row>
    <row r="629" ht="33.0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</row>
    <row r="630" ht="33.0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</row>
    <row r="631" ht="33.0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</row>
    <row r="632" ht="33.0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</row>
    <row r="633" ht="33.0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</row>
    <row r="634" ht="33.0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</row>
    <row r="635" ht="33.0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</row>
    <row r="636" ht="33.0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</row>
    <row r="637" ht="33.0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</row>
    <row r="638" ht="33.0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</row>
    <row r="639" ht="33.0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</row>
    <row r="640" ht="33.0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</row>
    <row r="641" ht="33.0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</row>
    <row r="642" ht="33.0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</row>
    <row r="643" ht="33.0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</row>
    <row r="644" ht="33.0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</row>
    <row r="645" ht="33.0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</row>
    <row r="646" ht="33.0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</row>
    <row r="647" ht="33.0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</row>
    <row r="648" ht="33.0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</row>
    <row r="649" ht="33.0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</row>
    <row r="650" ht="33.0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</row>
    <row r="651" ht="33.0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</row>
    <row r="652" ht="33.0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</row>
    <row r="653" ht="33.0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</row>
    <row r="654" ht="33.0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</row>
    <row r="655" ht="33.0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</row>
    <row r="656" ht="33.0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</row>
    <row r="657" ht="33.0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</row>
    <row r="658" ht="33.0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</row>
    <row r="659" ht="33.0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</row>
    <row r="660" ht="33.0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</row>
    <row r="661" ht="33.0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</row>
    <row r="662" ht="33.0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</row>
    <row r="663" ht="33.0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</row>
    <row r="664" ht="33.0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</row>
    <row r="665" ht="33.0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</row>
    <row r="666" ht="33.0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</row>
    <row r="667" ht="33.0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</row>
    <row r="668" ht="33.0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</row>
    <row r="669" ht="33.0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</row>
    <row r="670" ht="33.0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</row>
    <row r="671" ht="33.0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</row>
    <row r="672" ht="33.0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</row>
    <row r="673" ht="33.0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</row>
    <row r="674" ht="33.0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</row>
    <row r="675" ht="33.0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</row>
    <row r="676" ht="33.0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</row>
    <row r="677" ht="33.0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</row>
    <row r="678" ht="33.0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</row>
    <row r="679" ht="33.0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</row>
    <row r="680" ht="33.0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</row>
    <row r="681" ht="33.0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</row>
    <row r="682" ht="33.0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</row>
    <row r="683" ht="33.0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</row>
    <row r="684" ht="33.0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</row>
    <row r="685" ht="33.0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</row>
    <row r="686" ht="33.0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</row>
    <row r="687" ht="33.0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</row>
    <row r="688" ht="33.0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</row>
    <row r="689" ht="33.0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</row>
    <row r="690" ht="33.0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</row>
    <row r="691" ht="33.0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</row>
    <row r="692" ht="33.0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</row>
    <row r="693" ht="33.0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</row>
    <row r="694" ht="33.0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</row>
    <row r="695" ht="33.0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</row>
    <row r="696" ht="33.0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</row>
    <row r="697" ht="33.0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</row>
    <row r="698" ht="33.0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</row>
    <row r="699" ht="33.0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</row>
    <row r="700" ht="33.0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</row>
    <row r="701" ht="33.0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</row>
    <row r="702" ht="33.0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</row>
    <row r="703" ht="33.0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</row>
    <row r="704" ht="33.0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</row>
    <row r="705" ht="33.0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</row>
    <row r="706" ht="33.0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</row>
    <row r="707" ht="33.0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</row>
    <row r="708" ht="33.0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</row>
    <row r="709" ht="33.0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</row>
    <row r="710" ht="33.0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</row>
    <row r="711" ht="33.0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</row>
    <row r="712" ht="33.0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</row>
    <row r="713" ht="33.0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</row>
    <row r="714" ht="33.0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</row>
    <row r="715" ht="33.0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</row>
    <row r="716" ht="33.0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</row>
    <row r="717" ht="33.0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</row>
    <row r="718" ht="33.0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</row>
    <row r="719" ht="33.0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</row>
    <row r="720" ht="33.0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</row>
    <row r="721" ht="33.0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</row>
    <row r="722" ht="33.0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</row>
    <row r="723" ht="33.0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</row>
    <row r="724" ht="33.0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</row>
    <row r="725" ht="33.0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</row>
    <row r="726" ht="33.0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</row>
    <row r="727" ht="33.0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</row>
    <row r="728" ht="33.0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</row>
    <row r="729" ht="33.0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</row>
    <row r="730" ht="33.0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</row>
    <row r="731" ht="33.0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</row>
    <row r="732" ht="33.0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</row>
    <row r="733" ht="33.0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</row>
    <row r="734" ht="33.0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</row>
    <row r="735" ht="33.0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</row>
    <row r="736" ht="33.0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</row>
    <row r="737" ht="33.0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</row>
    <row r="738" ht="33.0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</row>
    <row r="739" ht="33.0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</row>
    <row r="740" ht="33.0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</row>
    <row r="741" ht="33.0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</row>
    <row r="742" ht="33.0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</row>
    <row r="743" ht="33.0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</row>
    <row r="744" ht="33.0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</row>
    <row r="745" ht="33.0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</row>
    <row r="746" ht="33.0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</row>
    <row r="747" ht="33.0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</row>
    <row r="748" ht="33.0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</row>
    <row r="749" ht="33.0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</row>
    <row r="750" ht="33.0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</row>
    <row r="751" ht="33.0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</row>
    <row r="752" ht="33.0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</row>
    <row r="753" ht="33.0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</row>
    <row r="754" ht="33.0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</row>
    <row r="755" ht="33.0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</row>
    <row r="756" ht="33.0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</row>
    <row r="757" ht="33.0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</row>
    <row r="758" ht="33.0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</row>
    <row r="759" ht="33.0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</row>
    <row r="760" ht="33.0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</row>
    <row r="761" ht="33.0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</row>
    <row r="762" ht="33.0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</row>
    <row r="763" ht="33.0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</row>
    <row r="764" ht="33.0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</row>
    <row r="765" ht="33.0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</row>
    <row r="766" ht="33.0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</row>
    <row r="767" ht="33.0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</row>
    <row r="768" ht="33.0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</row>
    <row r="769" ht="33.0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</row>
    <row r="770" ht="33.0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</row>
    <row r="771" ht="33.0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</row>
    <row r="772" ht="33.0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</row>
    <row r="773" ht="33.0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</row>
    <row r="774" ht="33.0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</row>
    <row r="775" ht="33.0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</row>
    <row r="776" ht="33.0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</row>
    <row r="777" ht="33.0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</row>
    <row r="778" ht="33.0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</row>
    <row r="779" ht="33.0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</row>
    <row r="780" ht="33.0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</row>
    <row r="781" ht="33.0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</row>
    <row r="782" ht="33.0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</row>
    <row r="783" ht="33.0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</row>
    <row r="784" ht="33.0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</row>
    <row r="785" ht="33.0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</row>
    <row r="786" ht="33.0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</row>
    <row r="787" ht="33.0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</row>
    <row r="788" ht="33.0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</row>
    <row r="789" ht="33.0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</row>
    <row r="790" ht="33.0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</row>
    <row r="791" ht="33.0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</row>
    <row r="792" ht="33.0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</row>
    <row r="793" ht="33.0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</row>
    <row r="794" ht="33.0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</row>
    <row r="795" ht="33.0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</row>
    <row r="796" ht="33.0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</row>
    <row r="797" ht="33.0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</row>
    <row r="798" ht="33.0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</row>
    <row r="799" ht="33.0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</row>
    <row r="800" ht="33.0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</row>
    <row r="801" ht="33.0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</row>
    <row r="802" ht="33.0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</row>
    <row r="803" ht="33.0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</row>
    <row r="804" ht="33.0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</row>
    <row r="805" ht="33.0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</row>
    <row r="806" ht="33.0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</row>
    <row r="807" ht="33.0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</row>
    <row r="808" ht="33.0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</row>
    <row r="809" ht="33.0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</row>
    <row r="810" ht="33.0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</row>
    <row r="811" ht="33.0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</row>
    <row r="812" ht="33.0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</row>
    <row r="813" ht="33.0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</row>
    <row r="814" ht="33.0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</row>
    <row r="815" ht="33.0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</row>
    <row r="816" ht="33.0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</row>
    <row r="817" ht="33.0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</row>
    <row r="818" ht="33.0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</row>
    <row r="819" ht="33.0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</row>
    <row r="820" ht="33.0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</row>
    <row r="821" ht="33.0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</row>
    <row r="822" ht="33.0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</row>
    <row r="823" ht="33.0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</row>
    <row r="824" ht="33.0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</row>
    <row r="825" ht="33.0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</row>
    <row r="826" ht="33.0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</row>
    <row r="827" ht="33.0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</row>
    <row r="828" ht="33.0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</row>
    <row r="829" ht="33.0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</row>
    <row r="830" ht="33.0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</row>
    <row r="831" ht="33.0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</row>
    <row r="832" ht="33.0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</row>
    <row r="833" ht="33.0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</row>
    <row r="834" ht="33.0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</row>
    <row r="835" ht="33.0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</row>
    <row r="836" ht="33.0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</row>
    <row r="837" ht="33.0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</row>
    <row r="838" ht="33.0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</row>
    <row r="839" ht="33.0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</row>
    <row r="840" ht="33.0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</row>
    <row r="841" ht="33.0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</row>
    <row r="842" ht="33.0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</row>
    <row r="843" ht="33.0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</row>
    <row r="844" ht="33.0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</row>
    <row r="845" ht="33.0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</row>
    <row r="846" ht="33.0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</row>
    <row r="847" ht="33.0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</row>
    <row r="848" ht="33.0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</row>
    <row r="849" ht="33.0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</row>
    <row r="850" ht="33.0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</row>
    <row r="851" ht="33.0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</row>
    <row r="852" ht="33.0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</row>
    <row r="853" ht="33.0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</row>
    <row r="854" ht="33.0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</row>
    <row r="855" ht="33.0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</row>
    <row r="856" ht="33.0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</row>
    <row r="857" ht="33.0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</row>
    <row r="858" ht="33.0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</row>
    <row r="859" ht="33.0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</row>
    <row r="860" ht="33.0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</row>
    <row r="861" ht="33.0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</row>
    <row r="862" ht="33.0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</row>
    <row r="863" ht="33.0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</row>
    <row r="864" ht="33.0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</row>
    <row r="865" ht="33.0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</row>
    <row r="866" ht="33.0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</row>
    <row r="867" ht="33.0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</row>
    <row r="868" ht="33.0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</row>
    <row r="869" ht="33.0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</row>
    <row r="870" ht="33.0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</row>
    <row r="871" ht="33.0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</row>
    <row r="872" ht="33.0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</row>
    <row r="873" ht="33.0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</row>
    <row r="874" ht="33.0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</row>
    <row r="875" ht="33.0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</row>
    <row r="876" ht="33.0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</row>
    <row r="877" ht="33.0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</row>
    <row r="878" ht="33.0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</row>
    <row r="879" ht="33.0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</row>
    <row r="880" ht="33.0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</row>
    <row r="881" ht="33.0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</row>
    <row r="882" ht="33.0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</row>
    <row r="883" ht="33.0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</row>
    <row r="884" ht="33.0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</row>
    <row r="885" ht="33.0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</row>
    <row r="886" ht="33.0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</row>
    <row r="887" ht="33.0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</row>
    <row r="888" ht="33.0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</row>
    <row r="889" ht="33.0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</row>
    <row r="890" ht="33.0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</row>
    <row r="891" ht="33.0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</row>
    <row r="892" ht="33.0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</row>
    <row r="893" ht="33.0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</row>
    <row r="894" ht="33.0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</row>
    <row r="895" ht="33.0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</row>
    <row r="896" ht="33.0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</row>
    <row r="897" ht="33.0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</row>
    <row r="898" ht="33.0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</row>
    <row r="899" ht="33.0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</row>
    <row r="900" ht="33.0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</row>
    <row r="901" ht="33.0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</row>
    <row r="902" ht="33.0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</row>
    <row r="903" ht="33.0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</row>
    <row r="904" ht="33.0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</row>
    <row r="905" ht="33.0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</row>
    <row r="906" ht="33.0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</row>
    <row r="907" ht="33.0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</row>
    <row r="908" ht="33.0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</row>
    <row r="909" ht="33.0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</row>
    <row r="910" ht="33.0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</row>
    <row r="911" ht="33.0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</row>
    <row r="912" ht="33.0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</row>
    <row r="913" ht="33.0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</row>
    <row r="914" ht="33.0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</row>
    <row r="915" ht="33.0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</row>
    <row r="916" ht="33.0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</row>
    <row r="917" ht="33.0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</row>
    <row r="918" ht="33.0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</row>
    <row r="919" ht="33.0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</row>
    <row r="920" ht="33.0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</row>
    <row r="921" ht="33.0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</row>
    <row r="922" ht="33.0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</row>
    <row r="923" ht="33.0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</row>
    <row r="924" ht="33.0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</row>
    <row r="925" ht="33.0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</row>
    <row r="926" ht="33.0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</row>
    <row r="927" ht="33.0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</row>
    <row r="928" ht="33.0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</row>
    <row r="929" ht="33.0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</row>
    <row r="930" ht="33.0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</row>
    <row r="931" ht="33.0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</row>
    <row r="932" ht="33.0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</row>
    <row r="933" ht="33.0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</row>
    <row r="934" ht="33.0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</row>
    <row r="935" ht="33.0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</row>
    <row r="936" ht="33.0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</row>
    <row r="937" ht="33.0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</row>
    <row r="938" ht="33.0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</row>
    <row r="939" ht="33.0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</row>
    <row r="940" ht="33.0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</row>
    <row r="941" ht="33.0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</row>
    <row r="942" ht="33.0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</row>
    <row r="943" ht="33.0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</row>
    <row r="944" ht="33.0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</row>
    <row r="945" ht="33.0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</row>
    <row r="946" ht="33.0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</row>
    <row r="947" ht="33.0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</row>
    <row r="948" ht="33.0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</row>
    <row r="949" ht="33.0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</row>
    <row r="950" ht="33.0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</row>
    <row r="951" ht="33.0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</row>
    <row r="952" ht="33.0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</row>
    <row r="953" ht="33.0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</row>
    <row r="954" ht="33.0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</row>
    <row r="955" ht="33.0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</row>
    <row r="956" ht="33.0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</row>
    <row r="957" ht="33.0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</row>
    <row r="958" ht="33.0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</row>
    <row r="959" ht="33.0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</row>
    <row r="960" ht="33.0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</row>
    <row r="961" ht="33.0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</row>
    <row r="962" ht="33.0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</row>
    <row r="963" ht="33.0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</row>
    <row r="964" ht="33.0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</row>
    <row r="965" ht="33.0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</row>
    <row r="966" ht="33.0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</row>
    <row r="967" ht="33.0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</row>
    <row r="968" ht="33.0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</row>
    <row r="969" ht="33.0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</row>
    <row r="970" ht="33.0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</row>
    <row r="971" ht="33.0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</row>
    <row r="972" ht="33.0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</row>
    <row r="973" ht="33.0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</row>
    <row r="974" ht="33.0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</row>
    <row r="975" ht="33.0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</row>
    <row r="976" ht="33.0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</row>
    <row r="977" ht="33.0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</row>
    <row r="978" ht="33.0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</row>
    <row r="979" ht="33.0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</row>
    <row r="980" ht="33.0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</row>
    <row r="981" ht="33.0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</row>
    <row r="982" ht="33.0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</row>
    <row r="983" ht="33.0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</row>
    <row r="984" ht="33.0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</row>
    <row r="985" ht="33.0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</row>
    <row r="986" ht="33.0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</row>
    <row r="987" ht="33.0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</row>
    <row r="988" ht="33.0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</row>
    <row r="989" ht="33.0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</row>
    <row r="990" ht="33.0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</row>
    <row r="991" ht="33.0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</row>
    <row r="992" ht="33.0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</row>
    <row r="993" ht="33.0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</row>
    <row r="994" ht="33.0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</row>
    <row r="995" ht="33.0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</row>
  </sheetData>
  <customSheetViews>
    <customSheetView guid="{5A3FE551-BE9F-4F73-9636-37149EBA48E4}" filter="1" showAutoFilter="1">
      <autoFilter ref="$A$1:$X$187">
        <filterColumn colId="1">
          <filters>
            <filter val="19335A0518"/>
            <filter val="19335A0519"/>
            <filter val="18331A0549"/>
            <filter val="18331A0551"/>
            <filter val="18331A0555"/>
            <filter val="18331A0557"/>
            <filter val="18331A05E9"/>
            <filter val="18331A0550"/>
            <filter val="19335A0509"/>
            <filter val="18331A05F6"/>
            <filter val="18331A05F9"/>
            <filter val="18331A0559"/>
            <filter val="18331A05F0"/>
            <filter val="18331A0562"/>
            <filter val="18331A0563"/>
            <filter val="18331A0565"/>
            <filter val="19335A0513"/>
            <filter val="19335A0515"/>
            <filter val="19335A0516"/>
            <filter val="18331A0560"/>
            <filter val="19335A0517"/>
            <filter val="18331A0561"/>
            <filter val="18331A05G3"/>
            <filter val="18331A05G4"/>
            <filter val="18331A05G5"/>
            <filter val="18331A05G7"/>
            <filter val="18331A05G0"/>
            <filter val="18331A05G1"/>
            <filter val="18331A0573"/>
            <filter val="18331A0571"/>
            <filter val="18331A05H4"/>
            <filter val="18331A05H5"/>
            <filter val="18331A05H6"/>
            <filter val="18331A05H8"/>
            <filter val="18331A05H2"/>
            <filter val="18331A0584"/>
            <filter val="18331A0585"/>
            <filter val="18331A0588"/>
            <filter val="18331A0502"/>
            <filter val="18331A0580"/>
            <filter val="18331A0583"/>
            <filter val="18331A05A2"/>
            <filter val="18331A05A3"/>
            <filter val="18331A0504"/>
            <filter val="18331A0595"/>
            <filter val="18331A0596"/>
            <filter val="18331A0597"/>
            <filter val="18331A0598"/>
            <filter val="18331A0513"/>
            <filter val="18331A0514"/>
            <filter val="18331A0590"/>
            <filter val="18331A0591"/>
            <filter val="18331A0592"/>
            <filter val="18331A0593"/>
            <filter val="18331A0515"/>
            <filter val="18331A0516"/>
            <filter val="18331A0517"/>
            <filter val="18331A0525"/>
            <filter val="183331A0543"/>
            <filter val="18331A05C3"/>
            <filter val="18331A05C5"/>
            <filter val="18331A05C6"/>
            <filter val="18331A0527"/>
            <filter val="18331A0528"/>
            <filter val="18331A0530"/>
            <filter val="18331A0531"/>
            <filter val="18331A0535"/>
            <filter val="19335A0503"/>
            <filter val="19335A0504"/>
            <filter val="19335A0505"/>
            <filter val="19335A0506"/>
            <filter val="18331A05D1"/>
            <filter val="18331A05D3"/>
            <filter val="18331A05D4"/>
            <filter val="18331A05D5"/>
            <filter val="18331A0538"/>
            <filter val="18331A0540"/>
            <filter val="18331A0541"/>
            <filter val="18331A0542"/>
            <filter val="18331A0543"/>
            <filter val="18331A0544"/>
            <filter val="18331A05D9"/>
            <filter val="18831A0561"/>
          </filters>
        </filterColumn>
      </autoFilter>
    </customSheetView>
  </customSheetViews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</hyperlinks>
  <drawing r:id="rId27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44.63"/>
    <col customWidth="1" min="2" max="2" width="10.88"/>
    <col customWidth="1" min="3" max="3" width="54.25"/>
    <col customWidth="1" min="4" max="4" width="43.88"/>
    <col customWidth="1" min="5" max="5" width="8.88"/>
    <col customWidth="1" min="6" max="7" width="9.38"/>
    <col customWidth="1" min="8" max="8" width="10.88"/>
    <col customWidth="1" min="9" max="9" width="5.0"/>
    <col customWidth="1" min="10" max="10" width="18.25"/>
    <col customWidth="1" min="11" max="11" width="63.88"/>
    <col customWidth="1" min="12" max="12" width="15.13"/>
    <col customWidth="1" min="13" max="13" width="21.38"/>
    <col customWidth="1" min="14" max="14" width="25.63"/>
    <col customWidth="1" min="15" max="15" width="10.13"/>
  </cols>
  <sheetData>
    <row r="1" ht="26.25" customHeight="1">
      <c r="A1" s="88" t="s">
        <v>30</v>
      </c>
      <c r="B1" s="88" t="s">
        <v>31</v>
      </c>
      <c r="C1" s="89" t="s">
        <v>66</v>
      </c>
      <c r="D1" s="88" t="s">
        <v>5273</v>
      </c>
      <c r="E1" s="88" t="s">
        <v>68</v>
      </c>
      <c r="F1" s="88" t="s">
        <v>60</v>
      </c>
      <c r="G1" s="88" t="s">
        <v>61</v>
      </c>
      <c r="H1" s="88" t="s">
        <v>69</v>
      </c>
      <c r="I1" s="88" t="s">
        <v>86</v>
      </c>
      <c r="J1" s="88" t="s">
        <v>71</v>
      </c>
      <c r="K1" s="88" t="s">
        <v>72</v>
      </c>
      <c r="L1" s="18" t="s">
        <v>29</v>
      </c>
      <c r="M1" s="17" t="s">
        <v>1</v>
      </c>
      <c r="N1" s="18" t="s">
        <v>118</v>
      </c>
      <c r="O1" s="18" t="s">
        <v>119</v>
      </c>
      <c r="P1" s="12"/>
      <c r="Q1" s="12"/>
      <c r="R1" s="12"/>
      <c r="S1" s="12"/>
      <c r="T1" s="12"/>
      <c r="U1" s="12"/>
      <c r="V1" s="12"/>
      <c r="W1" s="12"/>
      <c r="X1" s="12"/>
      <c r="Y1" s="12"/>
    </row>
    <row r="2" ht="26.25" customHeight="1">
      <c r="A2" s="74" t="str">
        <f>IFERROR(__xludf.DUMMYFUNCTION("QUERY(MasterData!A1:NK11797,""select AX,AY,AZ,BA,BB,BC,BD,BE,BF,BG,BH,B,C,FL,FM where C='S4: Student Certifications'"",0)"),"Boddapati Rajesh")</f>
        <v>Boddapati Rajesh</v>
      </c>
      <c r="B2" s="74" t="str">
        <f>IFERROR(__xludf.DUMMYFUNCTION("""COMPUTED_VALUE"""),"18331A0515")</f>
        <v>18331A0515</v>
      </c>
      <c r="C2" s="90" t="str">
        <f>IFERROR(__xludf.DUMMYFUNCTION("""COMPUTED_VALUE"""),"C Tutorial Course")</f>
        <v>C Tutorial Course</v>
      </c>
      <c r="D2" s="74" t="str">
        <f>IFERROR(__xludf.DUMMYFUNCTION("""COMPUTED_VALUE"""),"Solo learn ")</f>
        <v>Solo learn </v>
      </c>
      <c r="E2" s="74" t="str">
        <f>IFERROR(__xludf.DUMMYFUNCTION("""COMPUTED_VALUE"""),"Indefinite")</f>
        <v>Indefinite</v>
      </c>
      <c r="F2" s="91">
        <f>IFERROR(__xludf.DUMMYFUNCTION("""COMPUTED_VALUE"""),43573.0)</f>
        <v>43573</v>
      </c>
      <c r="G2" s="91">
        <f>IFERROR(__xludf.DUMMYFUNCTION("""COMPUTED_VALUE"""),43573.0)</f>
        <v>43573</v>
      </c>
      <c r="H2" s="79">
        <f>IFERROR(__xludf.DUMMYFUNCTION("""COMPUTED_VALUE"""),43573.0)</f>
        <v>43573</v>
      </c>
      <c r="I2" s="92">
        <f>IFERROR(__xludf.DUMMYFUNCTION("""COMPUTED_VALUE"""),100.0)</f>
        <v>100</v>
      </c>
      <c r="J2" s="74" t="str">
        <f>IFERROR(__xludf.DUMMYFUNCTION("""COMPUTED_VALUE"""),"Self learning")</f>
        <v>Self learning</v>
      </c>
      <c r="K2" s="80" t="str">
        <f>IFERROR(__xludf.DUMMYFUNCTION("""COMPUTED_VALUE"""),"https://drive.google.com/open?id=14eo9gXW8eOYIUYK44iYmyknAgotMtBCt")</f>
        <v>https://drive.google.com/open?id=14eo9gXW8eOYIUYK44iYmyknAgotMtBCt</v>
      </c>
      <c r="L2" s="74" t="str">
        <f>IFERROR(__xludf.DUMMYFUNCTION("""COMPUTED_VALUE"""),"2018-2022")</f>
        <v>2018-2022</v>
      </c>
      <c r="M2" s="74" t="str">
        <f>IFERROR(__xludf.DUMMYFUNCTION("""COMPUTED_VALUE"""),"S4: Student Certifications")</f>
        <v>S4: Student Certifications</v>
      </c>
      <c r="N2" s="74" t="str">
        <f>IFERROR(__xludf.DUMMYFUNCTION("""COMPUTED_VALUE"""),"rajeshboddapati37@gmail.com")</f>
        <v>rajeshboddapati37@gmail.com</v>
      </c>
      <c r="O2" s="74" t="str">
        <f>IFERROR(__xludf.DUMMYFUNCTION("""COMPUTED_VALUE"""),"SEM-7")</f>
        <v>SEM-7</v>
      </c>
      <c r="P2" s="74"/>
      <c r="Q2" s="74"/>
      <c r="R2" s="74"/>
      <c r="S2" s="74"/>
      <c r="T2" s="74"/>
      <c r="U2" s="74"/>
      <c r="V2" s="74"/>
      <c r="W2" s="74"/>
      <c r="X2" s="74"/>
      <c r="Y2" s="74"/>
    </row>
    <row r="3" ht="26.25" customHeight="1">
      <c r="A3" s="74" t="str">
        <f>IFERROR(__xludf.DUMMYFUNCTION("""COMPUTED_VALUE"""),"Boddapati Rajesh")</f>
        <v>Boddapati Rajesh</v>
      </c>
      <c r="B3" s="74" t="str">
        <f>IFERROR(__xludf.DUMMYFUNCTION("""COMPUTED_VALUE"""),"18331A0515")</f>
        <v>18331A0515</v>
      </c>
      <c r="C3" s="90" t="str">
        <f>IFERROR(__xludf.DUMMYFUNCTION("""COMPUTED_VALUE"""),"AWS Academy Graduate")</f>
        <v>AWS Academy Graduate</v>
      </c>
      <c r="D3" s="74" t="str">
        <f>IFERROR(__xludf.DUMMYFUNCTION("""COMPUTED_VALUE"""),"Canvas")</f>
        <v>Canvas</v>
      </c>
      <c r="E3" s="74" t="str">
        <f>IFERROR(__xludf.DUMMYFUNCTION("""COMPUTED_VALUE"""),"30")</f>
        <v>30</v>
      </c>
      <c r="F3" s="91">
        <f>IFERROR(__xludf.DUMMYFUNCTION("""COMPUTED_VALUE"""),44489.0)</f>
        <v>44489</v>
      </c>
      <c r="G3" s="91">
        <f>IFERROR(__xludf.DUMMYFUNCTION("""COMPUTED_VALUE"""),44542.0)</f>
        <v>44542</v>
      </c>
      <c r="H3" s="79">
        <f>IFERROR(__xludf.DUMMYFUNCTION("""COMPUTED_VALUE"""),44663.0)</f>
        <v>44663</v>
      </c>
      <c r="I3" s="92">
        <f>IFERROR(__xludf.DUMMYFUNCTION("""COMPUTED_VALUE"""),100.0)</f>
        <v>100</v>
      </c>
      <c r="J3" s="74" t="str">
        <f>IFERROR(__xludf.DUMMYFUNCTION("""COMPUTED_VALUE"""),"P. Ravi Kiran Varma")</f>
        <v>P. Ravi Kiran Varma</v>
      </c>
      <c r="K3" s="80" t="str">
        <f>IFERROR(__xludf.DUMMYFUNCTION("""COMPUTED_VALUE"""),"https://drive.google.com/open?id=17F5rPbYSDTPITykm_JNA5_0jp_oZ9XnU")</f>
        <v>https://drive.google.com/open?id=17F5rPbYSDTPITykm_JNA5_0jp_oZ9XnU</v>
      </c>
      <c r="L3" s="74" t="str">
        <f>IFERROR(__xludf.DUMMYFUNCTION("""COMPUTED_VALUE"""),"2018-2022")</f>
        <v>2018-2022</v>
      </c>
      <c r="M3" s="74" t="str">
        <f>IFERROR(__xludf.DUMMYFUNCTION("""COMPUTED_VALUE"""),"S4: Student Certifications")</f>
        <v>S4: Student Certifications</v>
      </c>
      <c r="N3" s="74" t="str">
        <f>IFERROR(__xludf.DUMMYFUNCTION("""COMPUTED_VALUE"""),"rajeshboddapati37@gmail.com")</f>
        <v>rajeshboddapati37@gmail.com</v>
      </c>
      <c r="O3" s="74" t="str">
        <f>IFERROR(__xludf.DUMMYFUNCTION("""COMPUTED_VALUE"""),"SEM-8")</f>
        <v>SEM-8</v>
      </c>
      <c r="P3" s="74"/>
      <c r="Q3" s="74"/>
      <c r="R3" s="74"/>
      <c r="S3" s="74"/>
      <c r="T3" s="74"/>
      <c r="U3" s="74"/>
      <c r="V3" s="74"/>
      <c r="W3" s="74"/>
      <c r="X3" s="74"/>
      <c r="Y3" s="74"/>
    </row>
    <row r="4" ht="26.25" customHeight="1">
      <c r="A4" s="74" t="str">
        <f>IFERROR(__xludf.DUMMYFUNCTION("""COMPUTED_VALUE"""),"Joshini Sabbavarapu")</f>
        <v>Joshini Sabbavarapu</v>
      </c>
      <c r="B4" s="74" t="str">
        <f>IFERROR(__xludf.DUMMYFUNCTION("""COMPUTED_VALUE"""),"19335A0515")</f>
        <v>19335A0515</v>
      </c>
      <c r="C4" s="90" t="str">
        <f>IFERROR(__xludf.DUMMYFUNCTION("""COMPUTED_VALUE"""),"Introduction To Networks")</f>
        <v>Introduction To Networks</v>
      </c>
      <c r="D4" s="74" t="str">
        <f>IFERROR(__xludf.DUMMYFUNCTION("""COMPUTED_VALUE"""),"CISCO")</f>
        <v>CISCO</v>
      </c>
      <c r="E4" s="74" t="str">
        <f>IFERROR(__xludf.DUMMYFUNCTION("""COMPUTED_VALUE""")," 2 months")</f>
        <v> 2 months</v>
      </c>
      <c r="F4" s="91">
        <f>IFERROR(__xludf.DUMMYFUNCTION("""COMPUTED_VALUE"""),44317.0)</f>
        <v>44317</v>
      </c>
      <c r="G4" s="91">
        <f>IFERROR(__xludf.DUMMYFUNCTION("""COMPUTED_VALUE"""),44373.0)</f>
        <v>44373</v>
      </c>
      <c r="H4" s="79">
        <f>IFERROR(__xludf.DUMMYFUNCTION("""COMPUTED_VALUE"""),44375.0)</f>
        <v>44375</v>
      </c>
      <c r="I4" s="92">
        <f>IFERROR(__xludf.DUMMYFUNCTION("""COMPUTED_VALUE"""),86.0)</f>
        <v>86</v>
      </c>
      <c r="J4" s="74" t="str">
        <f>IFERROR(__xludf.DUMMYFUNCTION("""COMPUTED_VALUE"""),"Subba Raju K V")</f>
        <v>Subba Raju K V</v>
      </c>
      <c r="K4" s="80" t="str">
        <f>IFERROR(__xludf.DUMMYFUNCTION("""COMPUTED_VALUE"""),"https://drive.google.com/open?id=1gwdqE6sXsNJcPK7gyGzJeWLjYnJvNtJD")</f>
        <v>https://drive.google.com/open?id=1gwdqE6sXsNJcPK7gyGzJeWLjYnJvNtJD</v>
      </c>
      <c r="L4" s="74" t="str">
        <f>IFERROR(__xludf.DUMMYFUNCTION("""COMPUTED_VALUE"""),"2018-2022")</f>
        <v>2018-2022</v>
      </c>
      <c r="M4" s="74" t="str">
        <f>IFERROR(__xludf.DUMMYFUNCTION("""COMPUTED_VALUE"""),"S4: Student Certifications")</f>
        <v>S4: Student Certifications</v>
      </c>
      <c r="N4" s="74" t="str">
        <f>IFERROR(__xludf.DUMMYFUNCTION("""COMPUTED_VALUE"""),"joshini747@gmail.com")</f>
        <v>joshini747@gmail.com</v>
      </c>
      <c r="O4" s="74" t="str">
        <f>IFERROR(__xludf.DUMMYFUNCTION("""COMPUTED_VALUE"""),"SEM-5")</f>
        <v>SEM-5</v>
      </c>
      <c r="P4" s="74"/>
      <c r="Q4" s="74"/>
      <c r="R4" s="74"/>
      <c r="S4" s="74"/>
      <c r="T4" s="74"/>
      <c r="U4" s="74"/>
      <c r="V4" s="74"/>
      <c r="W4" s="74"/>
      <c r="X4" s="74"/>
      <c r="Y4" s="74"/>
    </row>
    <row r="5" ht="26.25" customHeight="1">
      <c r="A5" s="74" t="str">
        <f>IFERROR(__xludf.DUMMYFUNCTION("""COMPUTED_VALUE"""),"BUKA  PRUDHVI RAJ")</f>
        <v>BUKA  PRUDHVI RAJ</v>
      </c>
      <c r="B5" s="74" t="str">
        <f>IFERROR(__xludf.DUMMYFUNCTION("""COMPUTED_VALUE"""),"19335A0503")</f>
        <v>19335A0503</v>
      </c>
      <c r="C5" s="90" t="str">
        <f>IFERROR(__xludf.DUMMYFUNCTION("""COMPUTED_VALUE"""),"Introduction To Networks")</f>
        <v>Introduction To Networks</v>
      </c>
      <c r="D5" s="74" t="str">
        <f>IFERROR(__xludf.DUMMYFUNCTION("""COMPUTED_VALUE"""),"CISCO")</f>
        <v>CISCO</v>
      </c>
      <c r="E5" s="74" t="str">
        <f>IFERROR(__xludf.DUMMYFUNCTION("""COMPUTED_VALUE"""),"2 months")</f>
        <v>2 months</v>
      </c>
      <c r="F5" s="91">
        <f>IFERROR(__xludf.DUMMYFUNCTION("""COMPUTED_VALUE"""),44317.0)</f>
        <v>44317</v>
      </c>
      <c r="G5" s="91">
        <f>IFERROR(__xludf.DUMMYFUNCTION("""COMPUTED_VALUE"""),44373.0)</f>
        <v>44373</v>
      </c>
      <c r="H5" s="79">
        <f>IFERROR(__xludf.DUMMYFUNCTION("""COMPUTED_VALUE"""),44375.0)</f>
        <v>44375</v>
      </c>
      <c r="I5" s="92">
        <f>IFERROR(__xludf.DUMMYFUNCTION("""COMPUTED_VALUE"""),86.0)</f>
        <v>86</v>
      </c>
      <c r="J5" s="74" t="str">
        <f>IFERROR(__xludf.DUMMYFUNCTION("""COMPUTED_VALUE"""),"Subba Raju K V")</f>
        <v>Subba Raju K V</v>
      </c>
      <c r="K5" s="80" t="str">
        <f>IFERROR(__xludf.DUMMYFUNCTION("""COMPUTED_VALUE"""),"https://drive.google.com/open?id=1e27Wps8S69r38ou72yivHyRDm3jqGar8")</f>
        <v>https://drive.google.com/open?id=1e27Wps8S69r38ou72yivHyRDm3jqGar8</v>
      </c>
      <c r="L5" s="74" t="str">
        <f>IFERROR(__xludf.DUMMYFUNCTION("""COMPUTED_VALUE"""),"2018-2022")</f>
        <v>2018-2022</v>
      </c>
      <c r="M5" s="74" t="str">
        <f>IFERROR(__xludf.DUMMYFUNCTION("""COMPUTED_VALUE"""),"S4: Student Certifications")</f>
        <v>S4: Student Certifications</v>
      </c>
      <c r="N5" s="74" t="str">
        <f>IFERROR(__xludf.DUMMYFUNCTION("""COMPUTED_VALUE"""),"prudhviraj.buka99@gmail.com")</f>
        <v>prudhviraj.buka99@gmail.com</v>
      </c>
      <c r="O5" s="74" t="str">
        <f>IFERROR(__xludf.DUMMYFUNCTION("""COMPUTED_VALUE"""),"SEM-5")</f>
        <v>SEM-5</v>
      </c>
      <c r="P5" s="74"/>
      <c r="Q5" s="74"/>
      <c r="R5" s="74"/>
      <c r="S5" s="74"/>
      <c r="T5" s="74"/>
      <c r="U5" s="74"/>
      <c r="V5" s="74"/>
      <c r="W5" s="74"/>
      <c r="X5" s="74"/>
      <c r="Y5" s="74"/>
    </row>
    <row r="6" ht="26.25" customHeight="1">
      <c r="A6" s="74" t="str">
        <f>IFERROR(__xludf.DUMMYFUNCTION("""COMPUTED_VALUE"""),"Boddapati Rajesh")</f>
        <v>Boddapati Rajesh</v>
      </c>
      <c r="B6" s="74" t="str">
        <f>IFERROR(__xludf.DUMMYFUNCTION("""COMPUTED_VALUE"""),"18331A0515")</f>
        <v>18331A0515</v>
      </c>
      <c r="C6" s="90" t="str">
        <f>IFERROR(__xludf.DUMMYFUNCTION("""COMPUTED_VALUE"""),"Programming for Everybody")</f>
        <v>Programming for Everybody</v>
      </c>
      <c r="D6" s="74" t="str">
        <f>IFERROR(__xludf.DUMMYFUNCTION("""COMPUTED_VALUE"""),"Coursera")</f>
        <v>Coursera</v>
      </c>
      <c r="E6" s="74" t="str">
        <f>IFERROR(__xludf.DUMMYFUNCTION("""COMPUTED_VALUE"""),"Indefinite")</f>
        <v>Indefinite</v>
      </c>
      <c r="F6" s="91">
        <f>IFERROR(__xludf.DUMMYFUNCTION("""COMPUTED_VALUE"""),43945.0)</f>
        <v>43945</v>
      </c>
      <c r="G6" s="91">
        <f>IFERROR(__xludf.DUMMYFUNCTION("""COMPUTED_VALUE"""),43945.0)</f>
        <v>43945</v>
      </c>
      <c r="H6" s="79">
        <f>IFERROR(__xludf.DUMMYFUNCTION("""COMPUTED_VALUE"""),43945.0)</f>
        <v>43945</v>
      </c>
      <c r="I6" s="92">
        <f>IFERROR(__xludf.DUMMYFUNCTION("""COMPUTED_VALUE"""),100.0)</f>
        <v>100</v>
      </c>
      <c r="J6" s="74" t="str">
        <f>IFERROR(__xludf.DUMMYFUNCTION("""COMPUTED_VALUE"""),"Self learning")</f>
        <v>Self learning</v>
      </c>
      <c r="K6" s="80" t="str">
        <f>IFERROR(__xludf.DUMMYFUNCTION("""COMPUTED_VALUE"""),"https://drive.google.com/open?id=1B4eqhT6xtlTOUszrwY6nfoBTshlHSD4l")</f>
        <v>https://drive.google.com/open?id=1B4eqhT6xtlTOUszrwY6nfoBTshlHSD4l</v>
      </c>
      <c r="L6" s="74" t="str">
        <f>IFERROR(__xludf.DUMMYFUNCTION("""COMPUTED_VALUE"""),"2018-2022")</f>
        <v>2018-2022</v>
      </c>
      <c r="M6" s="74" t="str">
        <f>IFERROR(__xludf.DUMMYFUNCTION("""COMPUTED_VALUE"""),"S4: Student Certifications")</f>
        <v>S4: Student Certifications</v>
      </c>
      <c r="N6" s="74" t="str">
        <f>IFERROR(__xludf.DUMMYFUNCTION("""COMPUTED_VALUE"""),"rajeshboddapati37@gmail.com")</f>
        <v>rajeshboddapati37@gmail.com</v>
      </c>
      <c r="O6" s="74" t="str">
        <f>IFERROR(__xludf.DUMMYFUNCTION("""COMPUTED_VALUE"""),"SEM-8")</f>
        <v>SEM-8</v>
      </c>
      <c r="P6" s="74"/>
      <c r="Q6" s="74"/>
      <c r="R6" s="74"/>
      <c r="S6" s="74"/>
      <c r="T6" s="74"/>
      <c r="U6" s="74"/>
      <c r="V6" s="74"/>
      <c r="W6" s="74"/>
      <c r="X6" s="74"/>
      <c r="Y6" s="74"/>
    </row>
    <row r="7" ht="26.25" customHeight="1">
      <c r="A7" s="74" t="str">
        <f>IFERROR(__xludf.DUMMYFUNCTION("""COMPUTED_VALUE"""),"Joshini Sabbavarapu")</f>
        <v>Joshini Sabbavarapu</v>
      </c>
      <c r="B7" s="74" t="str">
        <f>IFERROR(__xludf.DUMMYFUNCTION("""COMPUTED_VALUE"""),"19335A0515")</f>
        <v>19335A0515</v>
      </c>
      <c r="C7" s="90" t="str">
        <f>IFERROR(__xludf.DUMMYFUNCTION("""COMPUTED_VALUE"""),"Programming Essentials in Python")</f>
        <v>Programming Essentials in Python</v>
      </c>
      <c r="D7" s="74" t="str">
        <f>IFERROR(__xludf.DUMMYFUNCTION("""COMPUTED_VALUE"""),"CISCO")</f>
        <v>CISCO</v>
      </c>
      <c r="E7" s="74" t="str">
        <f>IFERROR(__xludf.DUMMYFUNCTION("""COMPUTED_VALUE"""),"2months")</f>
        <v>2months</v>
      </c>
      <c r="F7" s="91">
        <f>IFERROR(__xludf.DUMMYFUNCTION("""COMPUTED_VALUE"""),44320.0)</f>
        <v>44320</v>
      </c>
      <c r="G7" s="91">
        <f>IFERROR(__xludf.DUMMYFUNCTION("""COMPUTED_VALUE"""),44377.0)</f>
        <v>44377</v>
      </c>
      <c r="H7" s="79">
        <f>IFERROR(__xludf.DUMMYFUNCTION("""COMPUTED_VALUE"""),44379.0)</f>
        <v>44379</v>
      </c>
      <c r="I7" s="92">
        <f>IFERROR(__xludf.DUMMYFUNCTION("""COMPUTED_VALUE"""),89.0)</f>
        <v>89</v>
      </c>
      <c r="J7" s="74" t="str">
        <f>IFERROR(__xludf.DUMMYFUNCTION("""COMPUTED_VALUE"""),"Subba Raju K  V")</f>
        <v>Subba Raju K  V</v>
      </c>
      <c r="K7" s="80" t="str">
        <f>IFERROR(__xludf.DUMMYFUNCTION("""COMPUTED_VALUE"""),"https://drive.google.com/open?id=10uhrouQE2aJzqQfW3d72BRVy0pAyt6B0")</f>
        <v>https://drive.google.com/open?id=10uhrouQE2aJzqQfW3d72BRVy0pAyt6B0</v>
      </c>
      <c r="L7" s="74" t="str">
        <f>IFERROR(__xludf.DUMMYFUNCTION("""COMPUTED_VALUE"""),"2018-2022")</f>
        <v>2018-2022</v>
      </c>
      <c r="M7" s="74" t="str">
        <f>IFERROR(__xludf.DUMMYFUNCTION("""COMPUTED_VALUE"""),"S4: Student Certifications")</f>
        <v>S4: Student Certifications</v>
      </c>
      <c r="N7" s="74" t="str">
        <f>IFERROR(__xludf.DUMMYFUNCTION("""COMPUTED_VALUE"""),"joshini747@gmail.com")</f>
        <v>joshini747@gmail.com</v>
      </c>
      <c r="O7" s="74" t="str">
        <f>IFERROR(__xludf.DUMMYFUNCTION("""COMPUTED_VALUE"""),"SEM-5")</f>
        <v>SEM-5</v>
      </c>
      <c r="P7" s="74"/>
      <c r="Q7" s="74"/>
      <c r="R7" s="74"/>
      <c r="S7" s="74"/>
      <c r="T7" s="74"/>
      <c r="U7" s="74"/>
      <c r="V7" s="74"/>
      <c r="W7" s="74"/>
      <c r="X7" s="74"/>
      <c r="Y7" s="74"/>
    </row>
    <row r="8" ht="26.25" customHeight="1">
      <c r="A8" s="74" t="str">
        <f>IFERROR(__xludf.DUMMYFUNCTION("""COMPUTED_VALUE"""),"Joshini Sabbavarapu")</f>
        <v>Joshini Sabbavarapu</v>
      </c>
      <c r="B8" s="74" t="str">
        <f>IFERROR(__xludf.DUMMYFUNCTION("""COMPUTED_VALUE"""),"19335A0515")</f>
        <v>19335A0515</v>
      </c>
      <c r="C8" s="90" t="str">
        <f>IFERROR(__xludf.DUMMYFUNCTION("""COMPUTED_VALUE"""),"Cybersecurity Essentials")</f>
        <v>Cybersecurity Essentials</v>
      </c>
      <c r="D8" s="74" t="str">
        <f>IFERROR(__xludf.DUMMYFUNCTION("""COMPUTED_VALUE"""),"CISCO")</f>
        <v>CISCO</v>
      </c>
      <c r="E8" s="74" t="str">
        <f>IFERROR(__xludf.DUMMYFUNCTION("""COMPUTED_VALUE"""),"2 months")</f>
        <v>2 months</v>
      </c>
      <c r="F8" s="91">
        <f>IFERROR(__xludf.DUMMYFUNCTION("""COMPUTED_VALUE"""),44321.0)</f>
        <v>44321</v>
      </c>
      <c r="G8" s="91">
        <f>IFERROR(__xludf.DUMMYFUNCTION("""COMPUTED_VALUE"""),44376.0)</f>
        <v>44376</v>
      </c>
      <c r="H8" s="79">
        <f>IFERROR(__xludf.DUMMYFUNCTION("""COMPUTED_VALUE"""),44381.0)</f>
        <v>44381</v>
      </c>
      <c r="I8" s="92">
        <f>IFERROR(__xludf.DUMMYFUNCTION("""COMPUTED_VALUE"""),88.0)</f>
        <v>88</v>
      </c>
      <c r="J8" s="74" t="str">
        <f>IFERROR(__xludf.DUMMYFUNCTION("""COMPUTED_VALUE"""),"Subba Raju K V")</f>
        <v>Subba Raju K V</v>
      </c>
      <c r="K8" s="80" t="str">
        <f>IFERROR(__xludf.DUMMYFUNCTION("""COMPUTED_VALUE"""),"https://drive.google.com/open?id=1Mac7rF7rgHOPwkrJYolg2b5WVbaFmM4I")</f>
        <v>https://drive.google.com/open?id=1Mac7rF7rgHOPwkrJYolg2b5WVbaFmM4I</v>
      </c>
      <c r="L8" s="74" t="str">
        <f>IFERROR(__xludf.DUMMYFUNCTION("""COMPUTED_VALUE"""),"2018-2022")</f>
        <v>2018-2022</v>
      </c>
      <c r="M8" s="74" t="str">
        <f>IFERROR(__xludf.DUMMYFUNCTION("""COMPUTED_VALUE"""),"S4: Student Certifications")</f>
        <v>S4: Student Certifications</v>
      </c>
      <c r="N8" s="74" t="str">
        <f>IFERROR(__xludf.DUMMYFUNCTION("""COMPUTED_VALUE"""),"joshini747@gmail.com")</f>
        <v>joshini747@gmail.com</v>
      </c>
      <c r="O8" s="74" t="str">
        <f>IFERROR(__xludf.DUMMYFUNCTION("""COMPUTED_VALUE"""),"SEM-5")</f>
        <v>SEM-5</v>
      </c>
      <c r="P8" s="74"/>
      <c r="Q8" s="74"/>
      <c r="R8" s="74"/>
      <c r="S8" s="74"/>
      <c r="T8" s="74"/>
      <c r="U8" s="74"/>
      <c r="V8" s="74"/>
      <c r="W8" s="74"/>
      <c r="X8" s="74"/>
      <c r="Y8" s="74"/>
    </row>
    <row r="9" ht="26.25" customHeight="1">
      <c r="A9" s="74" t="str">
        <f>IFERROR(__xludf.DUMMYFUNCTION("""COMPUTED_VALUE"""),"BUKA  PRUDHVI RAJ")</f>
        <v>BUKA  PRUDHVI RAJ</v>
      </c>
      <c r="B9" s="74" t="str">
        <f>IFERROR(__xludf.DUMMYFUNCTION("""COMPUTED_VALUE"""),"19335A0503")</f>
        <v>19335A0503</v>
      </c>
      <c r="C9" s="90" t="str">
        <f>IFERROR(__xludf.DUMMYFUNCTION("""COMPUTED_VALUE"""),"Programming Essentials in Python")</f>
        <v>Programming Essentials in Python</v>
      </c>
      <c r="D9" s="74" t="str">
        <f>IFERROR(__xludf.DUMMYFUNCTION("""COMPUTED_VALUE"""),"CISCO")</f>
        <v>CISCO</v>
      </c>
      <c r="E9" s="74" t="str">
        <f>IFERROR(__xludf.DUMMYFUNCTION("""COMPUTED_VALUE"""),"2 months")</f>
        <v>2 months</v>
      </c>
      <c r="F9" s="91">
        <f>IFERROR(__xludf.DUMMYFUNCTION("""COMPUTED_VALUE"""),44323.0)</f>
        <v>44323</v>
      </c>
      <c r="G9" s="91">
        <f>IFERROR(__xludf.DUMMYFUNCTION("""COMPUTED_VALUE"""),44376.0)</f>
        <v>44376</v>
      </c>
      <c r="H9" s="79">
        <f>IFERROR(__xludf.DUMMYFUNCTION("""COMPUTED_VALUE"""),44379.0)</f>
        <v>44379</v>
      </c>
      <c r="I9" s="92">
        <f>IFERROR(__xludf.DUMMYFUNCTION("""COMPUTED_VALUE"""),84.0)</f>
        <v>84</v>
      </c>
      <c r="J9" s="74" t="str">
        <f>IFERROR(__xludf.DUMMYFUNCTION("""COMPUTED_VALUE"""),"Subba Raju K V")</f>
        <v>Subba Raju K V</v>
      </c>
      <c r="K9" s="80" t="str">
        <f>IFERROR(__xludf.DUMMYFUNCTION("""COMPUTED_VALUE"""),"https://drive.google.com/open?id=1sfxhRoYOsW8VWhJuHLcbG3HvHaFmXux_")</f>
        <v>https://drive.google.com/open?id=1sfxhRoYOsW8VWhJuHLcbG3HvHaFmXux_</v>
      </c>
      <c r="L9" s="74" t="str">
        <f>IFERROR(__xludf.DUMMYFUNCTION("""COMPUTED_VALUE"""),"2018-2022")</f>
        <v>2018-2022</v>
      </c>
      <c r="M9" s="74" t="str">
        <f>IFERROR(__xludf.DUMMYFUNCTION("""COMPUTED_VALUE"""),"S4: Student Certifications")</f>
        <v>S4: Student Certifications</v>
      </c>
      <c r="N9" s="74" t="str">
        <f>IFERROR(__xludf.DUMMYFUNCTION("""COMPUTED_VALUE"""),"prudhviraj.buka99@gmail.com")</f>
        <v>prudhviraj.buka99@gmail.com</v>
      </c>
      <c r="O9" s="74" t="str">
        <f>IFERROR(__xludf.DUMMYFUNCTION("""COMPUTED_VALUE"""),"SEM-5")</f>
        <v>SEM-5</v>
      </c>
      <c r="P9" s="74"/>
      <c r="Q9" s="74"/>
      <c r="R9" s="74"/>
      <c r="S9" s="74"/>
      <c r="T9" s="74"/>
      <c r="U9" s="74"/>
      <c r="V9" s="74"/>
      <c r="W9" s="74"/>
      <c r="X9" s="74"/>
      <c r="Y9" s="74"/>
    </row>
    <row r="10" ht="26.25" customHeight="1">
      <c r="A10" s="74" t="str">
        <f>IFERROR(__xludf.DUMMYFUNCTION("""COMPUTED_VALUE"""),"Joshini Sabbavarapu")</f>
        <v>Joshini Sabbavarapu</v>
      </c>
      <c r="B10" s="74" t="str">
        <f>IFERROR(__xludf.DUMMYFUNCTION("""COMPUTED_VALUE"""),"19335A0515")</f>
        <v>19335A0515</v>
      </c>
      <c r="C10" s="90" t="str">
        <f>IFERROR(__xludf.DUMMYFUNCTION("""COMPUTED_VALUE"""),"Introduction to IoT")</f>
        <v>Introduction to IoT</v>
      </c>
      <c r="D10" s="74" t="str">
        <f>IFERROR(__xludf.DUMMYFUNCTION("""COMPUTED_VALUE"""),"CISCO")</f>
        <v>CISCO</v>
      </c>
      <c r="E10" s="74" t="str">
        <f>IFERROR(__xludf.DUMMYFUNCTION("""COMPUTED_VALUE"""),"2 months")</f>
        <v>2 months</v>
      </c>
      <c r="F10" s="91">
        <f>IFERROR(__xludf.DUMMYFUNCTION("""COMPUTED_VALUE"""),44323.0)</f>
        <v>44323</v>
      </c>
      <c r="G10" s="91">
        <f>IFERROR(__xludf.DUMMYFUNCTION("""COMPUTED_VALUE"""),44376.0)</f>
        <v>44376</v>
      </c>
      <c r="H10" s="79">
        <f>IFERROR(__xludf.DUMMYFUNCTION("""COMPUTED_VALUE"""),44379.0)</f>
        <v>44379</v>
      </c>
      <c r="I10" s="92">
        <f>IFERROR(__xludf.DUMMYFUNCTION("""COMPUTED_VALUE"""),88.0)</f>
        <v>88</v>
      </c>
      <c r="J10" s="74" t="str">
        <f>IFERROR(__xludf.DUMMYFUNCTION("""COMPUTED_VALUE"""),"Subba Raju K V")</f>
        <v>Subba Raju K V</v>
      </c>
      <c r="K10" s="80" t="str">
        <f>IFERROR(__xludf.DUMMYFUNCTION("""COMPUTED_VALUE"""),"https://drive.google.com/open?id=1KqskbhHVrDUN2HojQEHtK5JZwT3Tmxoz")</f>
        <v>https://drive.google.com/open?id=1KqskbhHVrDUN2HojQEHtK5JZwT3Tmxoz</v>
      </c>
      <c r="L10" s="74" t="str">
        <f>IFERROR(__xludf.DUMMYFUNCTION("""COMPUTED_VALUE"""),"2018-2022")</f>
        <v>2018-2022</v>
      </c>
      <c r="M10" s="74" t="str">
        <f>IFERROR(__xludf.DUMMYFUNCTION("""COMPUTED_VALUE"""),"S4: Student Certifications")</f>
        <v>S4: Student Certifications</v>
      </c>
      <c r="N10" s="74" t="str">
        <f>IFERROR(__xludf.DUMMYFUNCTION("""COMPUTED_VALUE"""),"joshini747@gmail.com")</f>
        <v>joshini747@gmail.com</v>
      </c>
      <c r="O10" s="74" t="str">
        <f>IFERROR(__xludf.DUMMYFUNCTION("""COMPUTED_VALUE"""),"SEM-5")</f>
        <v>SEM-5</v>
      </c>
      <c r="P10" s="74"/>
      <c r="Q10" s="74"/>
      <c r="R10" s="74"/>
      <c r="S10" s="74"/>
      <c r="T10" s="74"/>
      <c r="U10" s="74"/>
      <c r="V10" s="74"/>
      <c r="W10" s="74"/>
      <c r="X10" s="74"/>
      <c r="Y10" s="74"/>
    </row>
    <row r="11" ht="26.25" customHeight="1">
      <c r="A11" s="74" t="str">
        <f>IFERROR(__xludf.DUMMYFUNCTION("""COMPUTED_VALUE"""),"Joshini Sabbavarapu")</f>
        <v>Joshini Sabbavarapu</v>
      </c>
      <c r="B11" s="74" t="str">
        <f>IFERROR(__xludf.DUMMYFUNCTION("""COMPUTED_VALUE"""),"19335A0515")</f>
        <v>19335A0515</v>
      </c>
      <c r="C11" s="90" t="str">
        <f>IFERROR(__xludf.DUMMYFUNCTION("""COMPUTED_VALUE"""),"Introduction to Packet Tracer")</f>
        <v>Introduction to Packet Tracer</v>
      </c>
      <c r="D11" s="74" t="str">
        <f>IFERROR(__xludf.DUMMYFUNCTION("""COMPUTED_VALUE"""),"CISCO")</f>
        <v>CISCO</v>
      </c>
      <c r="E11" s="74" t="str">
        <f>IFERROR(__xludf.DUMMYFUNCTION("""COMPUTED_VALUE"""),"2 months")</f>
        <v>2 months</v>
      </c>
      <c r="F11" s="91">
        <f>IFERROR(__xludf.DUMMYFUNCTION("""COMPUTED_VALUE"""),44319.0)</f>
        <v>44319</v>
      </c>
      <c r="G11" s="91">
        <f>IFERROR(__xludf.DUMMYFUNCTION("""COMPUTED_VALUE"""),44376.0)</f>
        <v>44376</v>
      </c>
      <c r="H11" s="79">
        <f>IFERROR(__xludf.DUMMYFUNCTION("""COMPUTED_VALUE"""),44382.0)</f>
        <v>44382</v>
      </c>
      <c r="I11" s="92">
        <f>IFERROR(__xludf.DUMMYFUNCTION("""COMPUTED_VALUE"""),87.0)</f>
        <v>87</v>
      </c>
      <c r="J11" s="74" t="str">
        <f>IFERROR(__xludf.DUMMYFUNCTION("""COMPUTED_VALUE"""),"Subba Raju K V")</f>
        <v>Subba Raju K V</v>
      </c>
      <c r="K11" s="80" t="str">
        <f>IFERROR(__xludf.DUMMYFUNCTION("""COMPUTED_VALUE"""),"https://drive.google.com/open?id=1cIMtORVa3wnEsp897bTMvo0w3xH7ckoV")</f>
        <v>https://drive.google.com/open?id=1cIMtORVa3wnEsp897bTMvo0w3xH7ckoV</v>
      </c>
      <c r="L11" s="74" t="str">
        <f>IFERROR(__xludf.DUMMYFUNCTION("""COMPUTED_VALUE"""),"2018-2022")</f>
        <v>2018-2022</v>
      </c>
      <c r="M11" s="74" t="str">
        <f>IFERROR(__xludf.DUMMYFUNCTION("""COMPUTED_VALUE"""),"S4: Student Certifications")</f>
        <v>S4: Student Certifications</v>
      </c>
      <c r="N11" s="74" t="str">
        <f>IFERROR(__xludf.DUMMYFUNCTION("""COMPUTED_VALUE"""),"joshini747@gmail.com")</f>
        <v>joshini747@gmail.com</v>
      </c>
      <c r="O11" s="74" t="str">
        <f>IFERROR(__xludf.DUMMYFUNCTION("""COMPUTED_VALUE"""),"SEM-5")</f>
        <v>SEM-5</v>
      </c>
      <c r="P11" s="74"/>
      <c r="Q11" s="74"/>
      <c r="R11" s="74"/>
      <c r="S11" s="74"/>
      <c r="T11" s="74"/>
      <c r="U11" s="74"/>
      <c r="V11" s="74"/>
      <c r="W11" s="74"/>
      <c r="X11" s="74"/>
      <c r="Y11" s="74"/>
    </row>
    <row r="12" ht="26.25" customHeight="1">
      <c r="A12" s="74" t="str">
        <f>IFERROR(__xludf.DUMMYFUNCTION("""COMPUTED_VALUE"""),"BUKA  PRUDHVI RAJ")</f>
        <v>BUKA  PRUDHVI RAJ</v>
      </c>
      <c r="B12" s="74" t="str">
        <f>IFERROR(__xludf.DUMMYFUNCTION("""COMPUTED_VALUE"""),"19335A0503")</f>
        <v>19335A0503</v>
      </c>
      <c r="C12" s="90" t="str">
        <f>IFERROR(__xludf.DUMMYFUNCTION("""COMPUTED_VALUE"""),"Cybersecurity Essentials")</f>
        <v>Cybersecurity Essentials</v>
      </c>
      <c r="D12" s="74" t="str">
        <f>IFERROR(__xludf.DUMMYFUNCTION("""COMPUTED_VALUE"""),"CISCO")</f>
        <v>CISCO</v>
      </c>
      <c r="E12" s="74" t="str">
        <f>IFERROR(__xludf.DUMMYFUNCTION("""COMPUTED_VALUE"""),"2 months")</f>
        <v>2 months</v>
      </c>
      <c r="F12" s="91">
        <f>IFERROR(__xludf.DUMMYFUNCTION("""COMPUTED_VALUE"""),44348.0)</f>
        <v>44348</v>
      </c>
      <c r="G12" s="91">
        <f>IFERROR(__xludf.DUMMYFUNCTION("""COMPUTED_VALUE"""),44403.0)</f>
        <v>44403</v>
      </c>
      <c r="H12" s="79">
        <f>IFERROR(__xludf.DUMMYFUNCTION("""COMPUTED_VALUE"""),44404.0)</f>
        <v>44404</v>
      </c>
      <c r="I12" s="92">
        <f>IFERROR(__xludf.DUMMYFUNCTION("""COMPUTED_VALUE"""),86.0)</f>
        <v>86</v>
      </c>
      <c r="J12" s="74" t="str">
        <f>IFERROR(__xludf.DUMMYFUNCTION("""COMPUTED_VALUE"""),"Subba Raju K V")</f>
        <v>Subba Raju K V</v>
      </c>
      <c r="K12" s="80" t="str">
        <f>IFERROR(__xludf.DUMMYFUNCTION("""COMPUTED_VALUE"""),"https://drive.google.com/open?id=1u3KBvWfE8m3AhT0STmxwE86UySa-Bsr1")</f>
        <v>https://drive.google.com/open?id=1u3KBvWfE8m3AhT0STmxwE86UySa-Bsr1</v>
      </c>
      <c r="L12" s="74" t="str">
        <f>IFERROR(__xludf.DUMMYFUNCTION("""COMPUTED_VALUE"""),"2018-2022")</f>
        <v>2018-2022</v>
      </c>
      <c r="M12" s="74" t="str">
        <f>IFERROR(__xludf.DUMMYFUNCTION("""COMPUTED_VALUE"""),"S4: Student Certifications")</f>
        <v>S4: Student Certifications</v>
      </c>
      <c r="N12" s="74" t="str">
        <f>IFERROR(__xludf.DUMMYFUNCTION("""COMPUTED_VALUE"""),"prudhviraj.buka99@gmail.com")</f>
        <v>prudhviraj.buka99@gmail.com</v>
      </c>
      <c r="O12" s="74" t="str">
        <f>IFERROR(__xludf.DUMMYFUNCTION("""COMPUTED_VALUE"""),"SEM-5")</f>
        <v>SEM-5</v>
      </c>
      <c r="P12" s="74"/>
      <c r="Q12" s="74"/>
      <c r="R12" s="74"/>
      <c r="S12" s="74"/>
      <c r="T12" s="74"/>
      <c r="U12" s="74"/>
      <c r="V12" s="74"/>
      <c r="W12" s="74"/>
      <c r="X12" s="74"/>
      <c r="Y12" s="74"/>
    </row>
    <row r="13" ht="26.25" customHeight="1">
      <c r="A13" s="74" t="str">
        <f>IFERROR(__xludf.DUMMYFUNCTION("""COMPUTED_VALUE"""),"BUKA  PRUDHVI RAJ")</f>
        <v>BUKA  PRUDHVI RAJ</v>
      </c>
      <c r="B13" s="74" t="str">
        <f>IFERROR(__xludf.DUMMYFUNCTION("""COMPUTED_VALUE"""),"19335A0503")</f>
        <v>19335A0503</v>
      </c>
      <c r="C13" s="90" t="str">
        <f>IFERROR(__xludf.DUMMYFUNCTION("""COMPUTED_VALUE"""),"Introduction to IoT")</f>
        <v>Introduction to IoT</v>
      </c>
      <c r="D13" s="74" t="str">
        <f>IFERROR(__xludf.DUMMYFUNCTION("""COMPUTED_VALUE"""),"CISCO")</f>
        <v>CISCO</v>
      </c>
      <c r="E13" s="74" t="str">
        <f>IFERROR(__xludf.DUMMYFUNCTION("""COMPUTED_VALUE"""),"2 months")</f>
        <v>2 months</v>
      </c>
      <c r="F13" s="91">
        <f>IFERROR(__xludf.DUMMYFUNCTION("""COMPUTED_VALUE"""),44320.0)</f>
        <v>44320</v>
      </c>
      <c r="G13" s="91">
        <f>IFERROR(__xludf.DUMMYFUNCTION("""COMPUTED_VALUE"""),44376.0)</f>
        <v>44376</v>
      </c>
      <c r="H13" s="79">
        <f>IFERROR(__xludf.DUMMYFUNCTION("""COMPUTED_VALUE"""),44383.0)</f>
        <v>44383</v>
      </c>
      <c r="I13" s="92">
        <f>IFERROR(__xludf.DUMMYFUNCTION("""COMPUTED_VALUE"""),86.0)</f>
        <v>86</v>
      </c>
      <c r="J13" s="74" t="str">
        <f>IFERROR(__xludf.DUMMYFUNCTION("""COMPUTED_VALUE"""),"Subba Raju K V")</f>
        <v>Subba Raju K V</v>
      </c>
      <c r="K13" s="80" t="str">
        <f>IFERROR(__xludf.DUMMYFUNCTION("""COMPUTED_VALUE"""),"https://drive.google.com/open?id=1kdGC3HxK8cyPhg5MkQpXA8YVXgwBKdYF")</f>
        <v>https://drive.google.com/open?id=1kdGC3HxK8cyPhg5MkQpXA8YVXgwBKdYF</v>
      </c>
      <c r="L13" s="74" t="str">
        <f>IFERROR(__xludf.DUMMYFUNCTION("""COMPUTED_VALUE"""),"2018-2022")</f>
        <v>2018-2022</v>
      </c>
      <c r="M13" s="74" t="str">
        <f>IFERROR(__xludf.DUMMYFUNCTION("""COMPUTED_VALUE"""),"S4: Student Certifications")</f>
        <v>S4: Student Certifications</v>
      </c>
      <c r="N13" s="74" t="str">
        <f>IFERROR(__xludf.DUMMYFUNCTION("""COMPUTED_VALUE"""),"prudhviraj.buka99@gmail.com")</f>
        <v>prudhviraj.buka99@gmail.com</v>
      </c>
      <c r="O13" s="74" t="str">
        <f>IFERROR(__xludf.DUMMYFUNCTION("""COMPUTED_VALUE"""),"SEM-5")</f>
        <v>SEM-5</v>
      </c>
      <c r="P13" s="74"/>
      <c r="Q13" s="74"/>
      <c r="R13" s="74"/>
      <c r="S13" s="74"/>
      <c r="T13" s="74"/>
      <c r="U13" s="74"/>
      <c r="V13" s="74"/>
      <c r="W13" s="74"/>
      <c r="X13" s="74"/>
      <c r="Y13" s="74"/>
    </row>
    <row r="14" ht="26.25" customHeight="1">
      <c r="A14" s="74" t="str">
        <f>IFERROR(__xludf.DUMMYFUNCTION("""COMPUTED_VALUE"""),"BUKA  PRUDHVI RAJ")</f>
        <v>BUKA  PRUDHVI RAJ</v>
      </c>
      <c r="B14" s="74" t="str">
        <f>IFERROR(__xludf.DUMMYFUNCTION("""COMPUTED_VALUE"""),"19335A0503")</f>
        <v>19335A0503</v>
      </c>
      <c r="C14" s="90" t="str">
        <f>IFERROR(__xludf.DUMMYFUNCTION("""COMPUTED_VALUE"""),"Introduction to Packet Tracer")</f>
        <v>Introduction to Packet Tracer</v>
      </c>
      <c r="D14" s="74" t="str">
        <f>IFERROR(__xludf.DUMMYFUNCTION("""COMPUTED_VALUE"""),"CISCO")</f>
        <v>CISCO</v>
      </c>
      <c r="E14" s="74" t="str">
        <f>IFERROR(__xludf.DUMMYFUNCTION("""COMPUTED_VALUE"""),"2months")</f>
        <v>2months</v>
      </c>
      <c r="F14" s="91">
        <f>IFERROR(__xludf.DUMMYFUNCTION("""COMPUTED_VALUE"""),44328.0)</f>
        <v>44328</v>
      </c>
      <c r="G14" s="91">
        <f>IFERROR(__xludf.DUMMYFUNCTION("""COMPUTED_VALUE"""),44376.0)</f>
        <v>44376</v>
      </c>
      <c r="H14" s="79">
        <f>IFERROR(__xludf.DUMMYFUNCTION("""COMPUTED_VALUE"""),44383.0)</f>
        <v>44383</v>
      </c>
      <c r="I14" s="92">
        <f>IFERROR(__xludf.DUMMYFUNCTION("""COMPUTED_VALUE"""),86.0)</f>
        <v>86</v>
      </c>
      <c r="J14" s="74" t="str">
        <f>IFERROR(__xludf.DUMMYFUNCTION("""COMPUTED_VALUE"""),"Subba Raju K V")</f>
        <v>Subba Raju K V</v>
      </c>
      <c r="K14" s="80" t="str">
        <f>IFERROR(__xludf.DUMMYFUNCTION("""COMPUTED_VALUE"""),"https://drive.google.com/open?id=1TQNt9O5qvayRmvqgmj3pkfr5flOfdDtl")</f>
        <v>https://drive.google.com/open?id=1TQNt9O5qvayRmvqgmj3pkfr5flOfdDtl</v>
      </c>
      <c r="L14" s="74" t="str">
        <f>IFERROR(__xludf.DUMMYFUNCTION("""COMPUTED_VALUE"""),"2018-2022")</f>
        <v>2018-2022</v>
      </c>
      <c r="M14" s="74" t="str">
        <f>IFERROR(__xludf.DUMMYFUNCTION("""COMPUTED_VALUE"""),"S4: Student Certifications")</f>
        <v>S4: Student Certifications</v>
      </c>
      <c r="N14" s="74" t="str">
        <f>IFERROR(__xludf.DUMMYFUNCTION("""COMPUTED_VALUE"""),"prudhviraj.buka99@gmail.com")</f>
        <v>prudhviraj.buka99@gmail.com</v>
      </c>
      <c r="O14" s="74" t="str">
        <f>IFERROR(__xludf.DUMMYFUNCTION("""COMPUTED_VALUE"""),"SEM-5")</f>
        <v>SEM-5</v>
      </c>
      <c r="P14" s="74"/>
      <c r="Q14" s="74"/>
      <c r="R14" s="74"/>
      <c r="S14" s="74"/>
      <c r="T14" s="74"/>
      <c r="U14" s="74"/>
      <c r="V14" s="74"/>
      <c r="W14" s="74"/>
      <c r="X14" s="74"/>
      <c r="Y14" s="74"/>
    </row>
    <row r="15" ht="26.25" customHeight="1">
      <c r="A15" s="74" t="str">
        <f>IFERROR(__xludf.DUMMYFUNCTION("""COMPUTED_VALUE"""),"Joshini Sabbavarapu")</f>
        <v>Joshini Sabbavarapu</v>
      </c>
      <c r="B15" s="74" t="str">
        <f>IFERROR(__xludf.DUMMYFUNCTION("""COMPUTED_VALUE"""),"19335A0515")</f>
        <v>19335A0515</v>
      </c>
      <c r="C15" s="90" t="str">
        <f>IFERROR(__xludf.DUMMYFUNCTION("""COMPUTED_VALUE"""),"Programming for Python")</f>
        <v>Programming for Python</v>
      </c>
      <c r="D15" s="74" t="str">
        <f>IFERROR(__xludf.DUMMYFUNCTION("""COMPUTED_VALUE"""),"Coursera")</f>
        <v>Coursera</v>
      </c>
      <c r="E15" s="74" t="str">
        <f>IFERROR(__xludf.DUMMYFUNCTION("""COMPUTED_VALUE"""),"2 months")</f>
        <v>2 months</v>
      </c>
      <c r="F15" s="91">
        <f>IFERROR(__xludf.DUMMYFUNCTION("""COMPUTED_VALUE"""),43868.0)</f>
        <v>43868</v>
      </c>
      <c r="G15" s="91">
        <f>IFERROR(__xludf.DUMMYFUNCTION("""COMPUTED_VALUE"""),43937.0)</f>
        <v>43937</v>
      </c>
      <c r="H15" s="79">
        <f>IFERROR(__xludf.DUMMYFUNCTION("""COMPUTED_VALUE"""),43942.0)</f>
        <v>43942</v>
      </c>
      <c r="I15" s="92">
        <f>IFERROR(__xludf.DUMMYFUNCTION("""COMPUTED_VALUE"""),96.0)</f>
        <v>96</v>
      </c>
      <c r="J15" s="74" t="str">
        <f>IFERROR(__xludf.DUMMYFUNCTION("""COMPUTED_VALUE"""),".")</f>
        <v>.</v>
      </c>
      <c r="K15" s="80" t="str">
        <f>IFERROR(__xludf.DUMMYFUNCTION("""COMPUTED_VALUE"""),"https://drive.google.com/open?id=1oq2V-UqMhKBxHOEtz1AKdg2zDHkd5tBq")</f>
        <v>https://drive.google.com/open?id=1oq2V-UqMhKBxHOEtz1AKdg2zDHkd5tBq</v>
      </c>
      <c r="L15" s="74" t="str">
        <f>IFERROR(__xludf.DUMMYFUNCTION("""COMPUTED_VALUE"""),"2018-2022")</f>
        <v>2018-2022</v>
      </c>
      <c r="M15" s="74" t="str">
        <f>IFERROR(__xludf.DUMMYFUNCTION("""COMPUTED_VALUE"""),"S4: Student Certifications")</f>
        <v>S4: Student Certifications</v>
      </c>
      <c r="N15" s="74" t="str">
        <f>IFERROR(__xludf.DUMMYFUNCTION("""COMPUTED_VALUE"""),"joshini747@gmail.com")</f>
        <v>joshini747@gmail.com</v>
      </c>
      <c r="O15" s="74" t="str">
        <f>IFERROR(__xludf.DUMMYFUNCTION("""COMPUTED_VALUE"""),"SEM-4")</f>
        <v>SEM-4</v>
      </c>
      <c r="P15" s="74"/>
      <c r="Q15" s="74"/>
      <c r="R15" s="74"/>
      <c r="S15" s="74"/>
      <c r="T15" s="74"/>
      <c r="U15" s="74"/>
      <c r="V15" s="74"/>
      <c r="W15" s="74"/>
      <c r="X15" s="74"/>
      <c r="Y15" s="74"/>
    </row>
    <row r="16" ht="26.25" customHeight="1">
      <c r="A16" s="74" t="str">
        <f>IFERROR(__xludf.DUMMYFUNCTION("""COMPUTED_VALUE"""),"Joshini Sabbavarapu")</f>
        <v>Joshini Sabbavarapu</v>
      </c>
      <c r="B16" s="74" t="str">
        <f>IFERROR(__xludf.DUMMYFUNCTION("""COMPUTED_VALUE"""),"19335A0515")</f>
        <v>19335A0515</v>
      </c>
      <c r="C16" s="90" t="str">
        <f>IFERROR(__xludf.DUMMYFUNCTION("""COMPUTED_VALUE"""),"what is data science")</f>
        <v>what is data science</v>
      </c>
      <c r="D16" s="74" t="str">
        <f>IFERROR(__xludf.DUMMYFUNCTION("""COMPUTED_VALUE"""),"Coursera")</f>
        <v>Coursera</v>
      </c>
      <c r="E16" s="74" t="str">
        <f>IFERROR(__xludf.DUMMYFUNCTION("""COMPUTED_VALUE"""),"2 months")</f>
        <v>2 months</v>
      </c>
      <c r="F16" s="91">
        <f>IFERROR(__xludf.DUMMYFUNCTION("""COMPUTED_VALUE"""),43866.0)</f>
        <v>43866</v>
      </c>
      <c r="G16" s="91">
        <f>IFERROR(__xludf.DUMMYFUNCTION("""COMPUTED_VALUE"""),43922.0)</f>
        <v>43922</v>
      </c>
      <c r="H16" s="79">
        <f>IFERROR(__xludf.DUMMYFUNCTION("""COMPUTED_VALUE"""),43924.0)</f>
        <v>43924</v>
      </c>
      <c r="I16" s="92">
        <f>IFERROR(__xludf.DUMMYFUNCTION("""COMPUTED_VALUE"""),96.0)</f>
        <v>96</v>
      </c>
      <c r="J16" s="74" t="str">
        <f>IFERROR(__xludf.DUMMYFUNCTION("""COMPUTED_VALUE"""),".")</f>
        <v>.</v>
      </c>
      <c r="K16" s="80" t="str">
        <f>IFERROR(__xludf.DUMMYFUNCTION("""COMPUTED_VALUE"""),"https://drive.google.com/open?id=13TAkbd6WvVwYJiXluYi4yvFFwTDCz6uT")</f>
        <v>https://drive.google.com/open?id=13TAkbd6WvVwYJiXluYi4yvFFwTDCz6uT</v>
      </c>
      <c r="L16" s="74" t="str">
        <f>IFERROR(__xludf.DUMMYFUNCTION("""COMPUTED_VALUE"""),"2018-2022")</f>
        <v>2018-2022</v>
      </c>
      <c r="M16" s="74" t="str">
        <f>IFERROR(__xludf.DUMMYFUNCTION("""COMPUTED_VALUE"""),"S4: Student Certifications")</f>
        <v>S4: Student Certifications</v>
      </c>
      <c r="N16" s="74" t="str">
        <f>IFERROR(__xludf.DUMMYFUNCTION("""COMPUTED_VALUE"""),"joshini747@gmail.com")</f>
        <v>joshini747@gmail.com</v>
      </c>
      <c r="O16" s="74" t="str">
        <f>IFERROR(__xludf.DUMMYFUNCTION("""COMPUTED_VALUE"""),"SEM-4")</f>
        <v>SEM-4</v>
      </c>
      <c r="P16" s="74"/>
      <c r="Q16" s="74"/>
      <c r="R16" s="74"/>
      <c r="S16" s="74"/>
      <c r="T16" s="74"/>
      <c r="U16" s="74"/>
      <c r="V16" s="74"/>
      <c r="W16" s="74"/>
      <c r="X16" s="74"/>
      <c r="Y16" s="74"/>
    </row>
    <row r="17" ht="26.25" customHeight="1">
      <c r="A17" s="74" t="str">
        <f>IFERROR(__xludf.DUMMYFUNCTION("""COMPUTED_VALUE"""),"BUKA  PRUDHVI RAJ")</f>
        <v>BUKA  PRUDHVI RAJ</v>
      </c>
      <c r="B17" s="74" t="str">
        <f>IFERROR(__xludf.DUMMYFUNCTION("""COMPUTED_VALUE"""),"19335A0503")</f>
        <v>19335A0503</v>
      </c>
      <c r="C17" s="90" t="str">
        <f>IFERROR(__xludf.DUMMYFUNCTION("""COMPUTED_VALUE"""),"What is Data Science")</f>
        <v>What is Data Science</v>
      </c>
      <c r="D17" s="74" t="str">
        <f>IFERROR(__xludf.DUMMYFUNCTION("""COMPUTED_VALUE"""),"Coursera")</f>
        <v>Coursera</v>
      </c>
      <c r="E17" s="74" t="str">
        <f>IFERROR(__xludf.DUMMYFUNCTION("""COMPUTED_VALUE"""),"2  months")</f>
        <v>2  months</v>
      </c>
      <c r="F17" s="91">
        <f>IFERROR(__xludf.DUMMYFUNCTION("""COMPUTED_VALUE"""),43864.0)</f>
        <v>43864</v>
      </c>
      <c r="G17" s="91">
        <f>IFERROR(__xludf.DUMMYFUNCTION("""COMPUTED_VALUE"""),43920.0)</f>
        <v>43920</v>
      </c>
      <c r="H17" s="79">
        <f>IFERROR(__xludf.DUMMYFUNCTION("""COMPUTED_VALUE"""),43923.0)</f>
        <v>43923</v>
      </c>
      <c r="I17" s="92">
        <f>IFERROR(__xludf.DUMMYFUNCTION("""COMPUTED_VALUE"""),92.0)</f>
        <v>92</v>
      </c>
      <c r="J17" s="74" t="str">
        <f>IFERROR(__xludf.DUMMYFUNCTION("""COMPUTED_VALUE"""),".")</f>
        <v>.</v>
      </c>
      <c r="K17" s="80" t="str">
        <f>IFERROR(__xludf.DUMMYFUNCTION("""COMPUTED_VALUE"""),"https://drive.google.com/open?id=1ig_8iP1h4iycn08YAtmzeVSpDUbm7gtY")</f>
        <v>https://drive.google.com/open?id=1ig_8iP1h4iycn08YAtmzeVSpDUbm7gtY</v>
      </c>
      <c r="L17" s="74" t="str">
        <f>IFERROR(__xludf.DUMMYFUNCTION("""COMPUTED_VALUE"""),"2018-2022")</f>
        <v>2018-2022</v>
      </c>
      <c r="M17" s="74" t="str">
        <f>IFERROR(__xludf.DUMMYFUNCTION("""COMPUTED_VALUE"""),"S4: Student Certifications")</f>
        <v>S4: Student Certifications</v>
      </c>
      <c r="N17" s="74" t="str">
        <f>IFERROR(__xludf.DUMMYFUNCTION("""COMPUTED_VALUE"""),"prudhviraj.buka99@gmail.com")</f>
        <v>prudhviraj.buka99@gmail.com</v>
      </c>
      <c r="O17" s="74" t="str">
        <f>IFERROR(__xludf.DUMMYFUNCTION("""COMPUTED_VALUE"""),"SEM-4")</f>
        <v>SEM-4</v>
      </c>
      <c r="P17" s="74"/>
      <c r="Q17" s="74"/>
      <c r="R17" s="74"/>
      <c r="S17" s="74"/>
      <c r="T17" s="74"/>
      <c r="U17" s="74"/>
      <c r="V17" s="74"/>
      <c r="W17" s="74"/>
      <c r="X17" s="74"/>
      <c r="Y17" s="74"/>
    </row>
    <row r="18" ht="26.25" customHeight="1">
      <c r="A18" s="74" t="str">
        <f>IFERROR(__xludf.DUMMYFUNCTION("""COMPUTED_VALUE"""),"BUKA  PRUDHVI RAJ")</f>
        <v>BUKA  PRUDHVI RAJ</v>
      </c>
      <c r="B18" s="74" t="str">
        <f>IFERROR(__xludf.DUMMYFUNCTION("""COMPUTED_VALUE"""),"19335A0503")</f>
        <v>19335A0503</v>
      </c>
      <c r="C18" s="90" t="str">
        <f>IFERROR(__xludf.DUMMYFUNCTION("""COMPUTED_VALUE"""),"Programming for Everybody")</f>
        <v>Programming for Everybody</v>
      </c>
      <c r="D18" s="74" t="str">
        <f>IFERROR(__xludf.DUMMYFUNCTION("""COMPUTED_VALUE"""),"Couursera")</f>
        <v>Couursera</v>
      </c>
      <c r="E18" s="74" t="str">
        <f>IFERROR(__xludf.DUMMYFUNCTION("""COMPUTED_VALUE"""),"2 months")</f>
        <v>2 months</v>
      </c>
      <c r="F18" s="91">
        <f>IFERROR(__xludf.DUMMYFUNCTION("""COMPUTED_VALUE"""),43865.0)</f>
        <v>43865</v>
      </c>
      <c r="G18" s="91">
        <f>IFERROR(__xludf.DUMMYFUNCTION("""COMPUTED_VALUE"""),43920.0)</f>
        <v>43920</v>
      </c>
      <c r="H18" s="79">
        <f>IFERROR(__xludf.DUMMYFUNCTION("""COMPUTED_VALUE"""),43923.0)</f>
        <v>43923</v>
      </c>
      <c r="I18" s="92">
        <f>IFERROR(__xludf.DUMMYFUNCTION("""COMPUTED_VALUE"""),94.0)</f>
        <v>94</v>
      </c>
      <c r="J18" s="74" t="str">
        <f>IFERROR(__xludf.DUMMYFUNCTION("""COMPUTED_VALUE"""),".")</f>
        <v>.</v>
      </c>
      <c r="K18" s="80" t="str">
        <f>IFERROR(__xludf.DUMMYFUNCTION("""COMPUTED_VALUE"""),"https://drive.google.com/open?id=1FEcFbJNoMZeOSZ2XRUcnIxmPYpN1mJKR")</f>
        <v>https://drive.google.com/open?id=1FEcFbJNoMZeOSZ2XRUcnIxmPYpN1mJKR</v>
      </c>
      <c r="L18" s="74" t="str">
        <f>IFERROR(__xludf.DUMMYFUNCTION("""COMPUTED_VALUE"""),"2018-2022")</f>
        <v>2018-2022</v>
      </c>
      <c r="M18" s="74" t="str">
        <f>IFERROR(__xludf.DUMMYFUNCTION("""COMPUTED_VALUE"""),"S4: Student Certifications")</f>
        <v>S4: Student Certifications</v>
      </c>
      <c r="N18" s="74" t="str">
        <f>IFERROR(__xludf.DUMMYFUNCTION("""COMPUTED_VALUE"""),"prudhviraj.buka99@gmail.com")</f>
        <v>prudhviraj.buka99@gmail.com</v>
      </c>
      <c r="O18" s="74" t="str">
        <f>IFERROR(__xludf.DUMMYFUNCTION("""COMPUTED_VALUE"""),"SEM-4")</f>
        <v>SEM-4</v>
      </c>
      <c r="P18" s="74"/>
      <c r="Q18" s="74"/>
      <c r="R18" s="74"/>
      <c r="S18" s="74"/>
      <c r="T18" s="74"/>
      <c r="U18" s="74"/>
      <c r="V18" s="74"/>
      <c r="W18" s="74"/>
      <c r="X18" s="74"/>
      <c r="Y18" s="74"/>
    </row>
    <row r="19" ht="26.25" customHeight="1">
      <c r="A19" s="74" t="str">
        <f>IFERROR(__xludf.DUMMYFUNCTION("""COMPUTED_VALUE"""),"Datla Vasanth Gopal Raju ")</f>
        <v>Datla Vasanth Gopal Raju </v>
      </c>
      <c r="B19" s="74" t="str">
        <f>IFERROR(__xludf.DUMMYFUNCTION("""COMPUTED_VALUE"""),"18331A05H5")</f>
        <v>18331A05H5</v>
      </c>
      <c r="C19" s="90" t="str">
        <f>IFERROR(__xludf.DUMMYFUNCTION("""COMPUTED_VALUE"""),"CLA: Programming essentials with c")</f>
        <v>CLA: Programming essentials with c</v>
      </c>
      <c r="D19" s="74" t="str">
        <f>IFERROR(__xludf.DUMMYFUNCTION("""COMPUTED_VALUE"""),"Cisco")</f>
        <v>Cisco</v>
      </c>
      <c r="E19" s="74" t="str">
        <f>IFERROR(__xludf.DUMMYFUNCTION("""COMPUTED_VALUE"""),"4 months")</f>
        <v>4 months</v>
      </c>
      <c r="F19" s="91">
        <f>IFERROR(__xludf.DUMMYFUNCTION("""COMPUTED_VALUE"""),43472.0)</f>
        <v>43472</v>
      </c>
      <c r="G19" s="91">
        <f>IFERROR(__xludf.DUMMYFUNCTION("""COMPUTED_VALUE"""),43563.0)</f>
        <v>43563</v>
      </c>
      <c r="H19" s="79">
        <f>IFERROR(__xludf.DUMMYFUNCTION("""COMPUTED_VALUE"""),43567.0)</f>
        <v>43567</v>
      </c>
      <c r="I19" s="92">
        <f>IFERROR(__xludf.DUMMYFUNCTION("""COMPUTED_VALUE"""),84.0)</f>
        <v>84</v>
      </c>
      <c r="J19" s="74" t="str">
        <f>IFERROR(__xludf.DUMMYFUNCTION("""COMPUTED_VALUE"""),"Dr.P.Ravi Kiran varma")</f>
        <v>Dr.P.Ravi Kiran varma</v>
      </c>
      <c r="K19" s="80" t="str">
        <f>IFERROR(__xludf.DUMMYFUNCTION("""COMPUTED_VALUE"""),"https://drive.google.com/open?id=1Jb6MGZ2hFrOwp_ZbSYhLyHoB_QRaMyRJ")</f>
        <v>https://drive.google.com/open?id=1Jb6MGZ2hFrOwp_ZbSYhLyHoB_QRaMyRJ</v>
      </c>
      <c r="L19" s="74" t="str">
        <f>IFERROR(__xludf.DUMMYFUNCTION("""COMPUTED_VALUE"""),"2018-2022")</f>
        <v>2018-2022</v>
      </c>
      <c r="M19" s="74" t="str">
        <f>IFERROR(__xludf.DUMMYFUNCTION("""COMPUTED_VALUE"""),"S4: Student Certifications")</f>
        <v>S4: Student Certifications</v>
      </c>
      <c r="N19" s="74" t="str">
        <f>IFERROR(__xludf.DUMMYFUNCTION("""COMPUTED_VALUE"""),"vasanthdatla@gmail.com")</f>
        <v>vasanthdatla@gmail.com</v>
      </c>
      <c r="O19" s="74" t="str">
        <f>IFERROR(__xludf.DUMMYFUNCTION("""COMPUTED_VALUE"""),"SEM-2")</f>
        <v>SEM-2</v>
      </c>
      <c r="P19" s="74"/>
      <c r="Q19" s="74"/>
      <c r="R19" s="74"/>
      <c r="S19" s="74"/>
      <c r="T19" s="74"/>
      <c r="U19" s="74"/>
      <c r="V19" s="74"/>
      <c r="W19" s="74"/>
      <c r="X19" s="74"/>
      <c r="Y19" s="74"/>
    </row>
    <row r="20" ht="26.25" customHeight="1">
      <c r="A20" s="74" t="str">
        <f>IFERROR(__xludf.DUMMYFUNCTION("""COMPUTED_VALUE"""),"yashwanth boggarapu")</f>
        <v>yashwanth boggarapu</v>
      </c>
      <c r="B20" s="74" t="str">
        <f>IFERROR(__xludf.DUMMYFUNCTION("""COMPUTED_VALUE"""),"18331A0517")</f>
        <v>18331A0517</v>
      </c>
      <c r="C20" s="90" t="str">
        <f>IFERROR(__xludf.DUMMYFUNCTION("""COMPUTED_VALUE"""),"AWS Academy Graduate")</f>
        <v>AWS Academy Graduate</v>
      </c>
      <c r="D20" s="74" t="str">
        <f>IFERROR(__xludf.DUMMYFUNCTION("""COMPUTED_VALUE"""),"Canvas")</f>
        <v>Canvas</v>
      </c>
      <c r="E20" s="74" t="str">
        <f>IFERROR(__xludf.DUMMYFUNCTION("""COMPUTED_VALUE"""),"30")</f>
        <v>30</v>
      </c>
      <c r="F20" s="91">
        <f>IFERROR(__xludf.DUMMYFUNCTION("""COMPUTED_VALUE"""),44489.0)</f>
        <v>44489</v>
      </c>
      <c r="G20" s="91">
        <f>IFERROR(__xludf.DUMMYFUNCTION("""COMPUTED_VALUE"""),44543.0)</f>
        <v>44543</v>
      </c>
      <c r="H20" s="79">
        <f>IFERROR(__xludf.DUMMYFUNCTION("""COMPUTED_VALUE"""),44534.0)</f>
        <v>44534</v>
      </c>
      <c r="I20" s="92">
        <f>IFERROR(__xludf.DUMMYFUNCTION("""COMPUTED_VALUE"""),100.0)</f>
        <v>100</v>
      </c>
      <c r="J20" s="74" t="str">
        <f>IFERROR(__xludf.DUMMYFUNCTION("""COMPUTED_VALUE"""),"P.Ravi Kiran Varma")</f>
        <v>P.Ravi Kiran Varma</v>
      </c>
      <c r="K20" s="80" t="str">
        <f>IFERROR(__xludf.DUMMYFUNCTION("""COMPUTED_VALUE"""),"https://drive.google.com/open?id=1o97LtgjQqJ36vf4k-pOxjw_spMpmlq0J")</f>
        <v>https://drive.google.com/open?id=1o97LtgjQqJ36vf4k-pOxjw_spMpmlq0J</v>
      </c>
      <c r="L20" s="74" t="str">
        <f>IFERROR(__xludf.DUMMYFUNCTION("""COMPUTED_VALUE"""),"2018-2022")</f>
        <v>2018-2022</v>
      </c>
      <c r="M20" s="74" t="str">
        <f>IFERROR(__xludf.DUMMYFUNCTION("""COMPUTED_VALUE"""),"S4: Student Certifications")</f>
        <v>S4: Student Certifications</v>
      </c>
      <c r="N20" s="74" t="str">
        <f>IFERROR(__xludf.DUMMYFUNCTION("""COMPUTED_VALUE"""),"yashwanthboggarapu2000@gmail.com")</f>
        <v>yashwanthboggarapu2000@gmail.com</v>
      </c>
      <c r="O20" s="74" t="str">
        <f>IFERROR(__xludf.DUMMYFUNCTION("""COMPUTED_VALUE"""),"SEM-8")</f>
        <v>SEM-8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</row>
    <row r="21" ht="26.25" customHeight="1">
      <c r="A21" s="74" t="str">
        <f>IFERROR(__xludf.DUMMYFUNCTION("""COMPUTED_VALUE"""),"yashwanth boggarapu")</f>
        <v>yashwanth boggarapu</v>
      </c>
      <c r="B21" s="74" t="str">
        <f>IFERROR(__xludf.DUMMYFUNCTION("""COMPUTED_VALUE"""),"18331A0517")</f>
        <v>18331A0517</v>
      </c>
      <c r="C21" s="90" t="str">
        <f>IFERROR(__xludf.DUMMYFUNCTION("""COMPUTED_VALUE"""),"Programming For Everybody")</f>
        <v>Programming For Everybody</v>
      </c>
      <c r="D21" s="74" t="str">
        <f>IFERROR(__xludf.DUMMYFUNCTION("""COMPUTED_VALUE"""),"Coursera")</f>
        <v>Coursera</v>
      </c>
      <c r="E21" s="74" t="str">
        <f>IFERROR(__xludf.DUMMYFUNCTION("""COMPUTED_VALUE"""),"2 Months")</f>
        <v>2 Months</v>
      </c>
      <c r="F21" s="91">
        <f>IFERROR(__xludf.DUMMYFUNCTION("""COMPUTED_VALUE"""),43871.0)</f>
        <v>43871</v>
      </c>
      <c r="G21" s="91">
        <f>IFERROR(__xludf.DUMMYFUNCTION("""COMPUTED_VALUE"""),43931.0)</f>
        <v>43931</v>
      </c>
      <c r="H21" s="79">
        <f>IFERROR(__xludf.DUMMYFUNCTION("""COMPUTED_VALUE"""),43932.0)</f>
        <v>43932</v>
      </c>
      <c r="I21" s="92">
        <f>IFERROR(__xludf.DUMMYFUNCTION("""COMPUTED_VALUE"""),100.0)</f>
        <v>100</v>
      </c>
      <c r="J21" s="74" t="str">
        <f>IFERROR(__xludf.DUMMYFUNCTION("""COMPUTED_VALUE"""),"Self Learning")</f>
        <v>Self Learning</v>
      </c>
      <c r="K21" s="80" t="str">
        <f>IFERROR(__xludf.DUMMYFUNCTION("""COMPUTED_VALUE"""),"https://drive.google.com/open?id=1TygJTBULgKD7q8GeQR5toar9zOHjDVEh")</f>
        <v>https://drive.google.com/open?id=1TygJTBULgKD7q8GeQR5toar9zOHjDVEh</v>
      </c>
      <c r="L21" s="74" t="str">
        <f>IFERROR(__xludf.DUMMYFUNCTION("""COMPUTED_VALUE"""),"2018-2022")</f>
        <v>2018-2022</v>
      </c>
      <c r="M21" s="74" t="str">
        <f>IFERROR(__xludf.DUMMYFUNCTION("""COMPUTED_VALUE"""),"S4: Student Certifications")</f>
        <v>S4: Student Certifications</v>
      </c>
      <c r="N21" s="74" t="str">
        <f>IFERROR(__xludf.DUMMYFUNCTION("""COMPUTED_VALUE"""),"yashwanthboggarapu2000@gmail.com")</f>
        <v>yashwanthboggarapu2000@gmail.com</v>
      </c>
      <c r="O21" s="74" t="str">
        <f>IFERROR(__xludf.DUMMYFUNCTION("""COMPUTED_VALUE"""),"SEM-6")</f>
        <v>SEM-6</v>
      </c>
      <c r="P21" s="74"/>
      <c r="Q21" s="74"/>
      <c r="R21" s="74"/>
      <c r="S21" s="74"/>
      <c r="T21" s="74"/>
      <c r="U21" s="74"/>
      <c r="V21" s="74"/>
      <c r="W21" s="74"/>
      <c r="X21" s="74"/>
      <c r="Y21" s="74"/>
    </row>
    <row r="22" ht="26.25" customHeight="1">
      <c r="A22" s="74" t="str">
        <f>IFERROR(__xludf.DUMMYFUNCTION("""COMPUTED_VALUE"""),"yashwanth boggarapu")</f>
        <v>yashwanth boggarapu</v>
      </c>
      <c r="B22" s="74" t="str">
        <f>IFERROR(__xludf.DUMMYFUNCTION("""COMPUTED_VALUE"""),"18331A0517")</f>
        <v>18331A0517</v>
      </c>
      <c r="C22" s="90" t="str">
        <f>IFERROR(__xludf.DUMMYFUNCTION("""COMPUTED_VALUE"""),"Programming Essentials In Python")</f>
        <v>Programming Essentials In Python</v>
      </c>
      <c r="D22" s="74" t="str">
        <f>IFERROR(__xludf.DUMMYFUNCTION("""COMPUTED_VALUE"""),"CISCO")</f>
        <v>CISCO</v>
      </c>
      <c r="E22" s="74" t="str">
        <f>IFERROR(__xludf.DUMMYFUNCTION("""COMPUTED_VALUE"""),"2 Months")</f>
        <v>2 Months</v>
      </c>
      <c r="F22" s="91">
        <f>IFERROR(__xludf.DUMMYFUNCTION("""COMPUTED_VALUE"""),44291.0)</f>
        <v>44291</v>
      </c>
      <c r="G22" s="91">
        <f>IFERROR(__xludf.DUMMYFUNCTION("""COMPUTED_VALUE"""),44377.0)</f>
        <v>44377</v>
      </c>
      <c r="H22" s="79">
        <f>IFERROR(__xludf.DUMMYFUNCTION("""COMPUTED_VALUE"""),44379.0)</f>
        <v>44379</v>
      </c>
      <c r="I22" s="92">
        <f>IFERROR(__xludf.DUMMYFUNCTION("""COMPUTED_VALUE"""),90.0)</f>
        <v>90</v>
      </c>
      <c r="J22" s="74" t="str">
        <f>IFERROR(__xludf.DUMMYFUNCTION("""COMPUTED_VALUE"""),"Subba Raju K V")</f>
        <v>Subba Raju K V</v>
      </c>
      <c r="K22" s="80" t="str">
        <f>IFERROR(__xludf.DUMMYFUNCTION("""COMPUTED_VALUE"""),"https://drive.google.com/open?id=1nfPh1Cv_7Q_0fIvYBaESrOMN0havByVR")</f>
        <v>https://drive.google.com/open?id=1nfPh1Cv_7Q_0fIvYBaESrOMN0havByVR</v>
      </c>
      <c r="L22" s="74" t="str">
        <f>IFERROR(__xludf.DUMMYFUNCTION("""COMPUTED_VALUE"""),"2018-2022")</f>
        <v>2018-2022</v>
      </c>
      <c r="M22" s="74" t="str">
        <f>IFERROR(__xludf.DUMMYFUNCTION("""COMPUTED_VALUE"""),"S4: Student Certifications")</f>
        <v>S4: Student Certifications</v>
      </c>
      <c r="N22" s="74" t="str">
        <f>IFERROR(__xludf.DUMMYFUNCTION("""COMPUTED_VALUE"""),"yashwanthboggarapu2000@gmail.com")</f>
        <v>yashwanthboggarapu2000@gmail.com</v>
      </c>
      <c r="O22" s="74" t="str">
        <f>IFERROR(__xludf.DUMMYFUNCTION("""COMPUTED_VALUE"""),"SEM-5")</f>
        <v>SEM-5</v>
      </c>
      <c r="P22" s="74"/>
      <c r="Q22" s="74"/>
      <c r="R22" s="74"/>
      <c r="S22" s="74"/>
      <c r="T22" s="74"/>
      <c r="U22" s="74"/>
      <c r="V22" s="74"/>
      <c r="W22" s="74"/>
      <c r="X22" s="74"/>
      <c r="Y22" s="74"/>
    </row>
    <row r="23" ht="26.25" customHeight="1">
      <c r="A23" s="74" t="str">
        <f>IFERROR(__xludf.DUMMYFUNCTION("""COMPUTED_VALUE"""),"G manojkumar")</f>
        <v>G manojkumar</v>
      </c>
      <c r="B23" s="74" t="str">
        <f>IFERROR(__xludf.DUMMYFUNCTION("""COMPUTED_VALUE"""),"18331A0542")</f>
        <v>18331A0542</v>
      </c>
      <c r="C23" s="90" t="str">
        <f>IFERROR(__xludf.DUMMYFUNCTION("""COMPUTED_VALUE"""),"cyber security essentials")</f>
        <v>cyber security essentials</v>
      </c>
      <c r="D23" s="74" t="str">
        <f>IFERROR(__xludf.DUMMYFUNCTION("""COMPUTED_VALUE"""),"cisco")</f>
        <v>cisco</v>
      </c>
      <c r="E23" s="74" t="str">
        <f>IFERROR(__xludf.DUMMYFUNCTION("""COMPUTED_VALUE"""),"1month")</f>
        <v>1month</v>
      </c>
      <c r="F23" s="91">
        <f>IFERROR(__xludf.DUMMYFUNCTION("""COMPUTED_VALUE"""),43623.0)</f>
        <v>43623</v>
      </c>
      <c r="G23" s="91">
        <f>IFERROR(__xludf.DUMMYFUNCTION("""COMPUTED_VALUE"""),43672.0)</f>
        <v>43672</v>
      </c>
      <c r="H23" s="79">
        <f>IFERROR(__xludf.DUMMYFUNCTION("""COMPUTED_VALUE"""),44677.0)</f>
        <v>44677</v>
      </c>
      <c r="I23" s="92">
        <f>IFERROR(__xludf.DUMMYFUNCTION("""COMPUTED_VALUE"""),80.0)</f>
        <v>80</v>
      </c>
      <c r="J23" s="74" t="str">
        <f>IFERROR(__xludf.DUMMYFUNCTION("""COMPUTED_VALUE"""),"ravikiran varma")</f>
        <v>ravikiran varma</v>
      </c>
      <c r="K23" s="80" t="str">
        <f>IFERROR(__xludf.DUMMYFUNCTION("""COMPUTED_VALUE"""),"https://drive.google.com/open?id=1XowCNI-6kjv_bJYJ1OROc-hXPvbArvwA")</f>
        <v>https://drive.google.com/open?id=1XowCNI-6kjv_bJYJ1OROc-hXPvbArvwA</v>
      </c>
      <c r="L23" s="74" t="str">
        <f>IFERROR(__xludf.DUMMYFUNCTION("""COMPUTED_VALUE"""),"2018-2022")</f>
        <v>2018-2022</v>
      </c>
      <c r="M23" s="74" t="str">
        <f>IFERROR(__xludf.DUMMYFUNCTION("""COMPUTED_VALUE"""),"S4: Student Certifications")</f>
        <v>S4: Student Certifications</v>
      </c>
      <c r="N23" s="74" t="str">
        <f>IFERROR(__xludf.DUMMYFUNCTION("""COMPUTED_VALUE"""),"gmanoj2k08@gmail.com")</f>
        <v>gmanoj2k08@gmail.com</v>
      </c>
      <c r="O23" s="74" t="str">
        <f>IFERROR(__xludf.DUMMYFUNCTION("""COMPUTED_VALUE"""),"SEM-1")</f>
        <v>SEM-1</v>
      </c>
      <c r="P23" s="74"/>
      <c r="Q23" s="74"/>
      <c r="R23" s="74"/>
      <c r="S23" s="74"/>
      <c r="T23" s="74"/>
      <c r="U23" s="74"/>
      <c r="V23" s="74"/>
      <c r="W23" s="74"/>
      <c r="X23" s="74"/>
      <c r="Y23" s="74"/>
    </row>
    <row r="24" ht="26.25" customHeight="1">
      <c r="A24" s="74" t="str">
        <f>IFERROR(__xludf.DUMMYFUNCTION("""COMPUTED_VALUE"""),"ganta manoj kumar")</f>
        <v>ganta manoj kumar</v>
      </c>
      <c r="B24" s="74" t="str">
        <f>IFERROR(__xludf.DUMMYFUNCTION("""COMPUTED_VALUE"""),"18331A0542")</f>
        <v>18331A0542</v>
      </c>
      <c r="C24" s="90" t="str">
        <f>IFERROR(__xludf.DUMMYFUNCTION("""COMPUTED_VALUE"""),"AWS Academy Graduate - AWS Academy Cloud Foundations")</f>
        <v>AWS Academy Graduate - AWS Academy Cloud Foundations</v>
      </c>
      <c r="D24" s="74" t="str">
        <f>IFERROR(__xludf.DUMMYFUNCTION("""COMPUTED_VALUE"""),"aws academy")</f>
        <v>aws academy</v>
      </c>
      <c r="E24" s="74" t="str">
        <f>IFERROR(__xludf.DUMMYFUNCTION("""COMPUTED_VALUE"""),"1")</f>
        <v>1</v>
      </c>
      <c r="F24" s="91">
        <f>IFERROR(__xludf.DUMMYFUNCTION("""COMPUTED_VALUE"""),44481.0)</f>
        <v>44481</v>
      </c>
      <c r="G24" s="91">
        <f>IFERROR(__xludf.DUMMYFUNCTION("""COMPUTED_VALUE"""),44481.0)</f>
        <v>44481</v>
      </c>
      <c r="H24" s="79">
        <f>IFERROR(__xludf.DUMMYFUNCTION("""COMPUTED_VALUE"""),44481.0)</f>
        <v>44481</v>
      </c>
      <c r="I24" s="92">
        <f>IFERROR(__xludf.DUMMYFUNCTION("""COMPUTED_VALUE"""),100.0)</f>
        <v>100</v>
      </c>
      <c r="J24" s="74" t="str">
        <f>IFERROR(__xludf.DUMMYFUNCTION("""COMPUTED_VALUE"""),"aws academy ")</f>
        <v>aws academy </v>
      </c>
      <c r="K24" s="80" t="str">
        <f>IFERROR(__xludf.DUMMYFUNCTION("""COMPUTED_VALUE"""),"https://drive.google.com/open?id=1ScZ7IOZPdhhfDJUXPF-CMEI1xDbJyAAv")</f>
        <v>https://drive.google.com/open?id=1ScZ7IOZPdhhfDJUXPF-CMEI1xDbJyAAv</v>
      </c>
      <c r="L24" s="74" t="str">
        <f>IFERROR(__xludf.DUMMYFUNCTION("""COMPUTED_VALUE"""),"2018-2022")</f>
        <v>2018-2022</v>
      </c>
      <c r="M24" s="74" t="str">
        <f>IFERROR(__xludf.DUMMYFUNCTION("""COMPUTED_VALUE"""),"S4: Student Certifications")</f>
        <v>S4: Student Certifications</v>
      </c>
      <c r="N24" s="74" t="str">
        <f>IFERROR(__xludf.DUMMYFUNCTION("""COMPUTED_VALUE"""),"gmanoj2k08@gmail.com")</f>
        <v>gmanoj2k08@gmail.com</v>
      </c>
      <c r="O24" s="74" t="str">
        <f>IFERROR(__xludf.DUMMYFUNCTION("""COMPUTED_VALUE"""),"SEM-7")</f>
        <v>SEM-7</v>
      </c>
      <c r="P24" s="74"/>
      <c r="Q24" s="74"/>
      <c r="R24" s="74"/>
      <c r="S24" s="74"/>
      <c r="T24" s="74"/>
      <c r="U24" s="74"/>
      <c r="V24" s="74"/>
      <c r="W24" s="74"/>
      <c r="X24" s="74"/>
      <c r="Y24" s="74"/>
    </row>
    <row r="25" ht="26.25" customHeight="1">
      <c r="A25" s="78" t="str">
        <f>IFERROR(__xludf.DUMMYFUNCTION("""COMPUTED_VALUE"""),"ganta manoj kumar")</f>
        <v>ganta manoj kumar</v>
      </c>
      <c r="B25" s="78" t="str">
        <f>IFERROR(__xludf.DUMMYFUNCTION("""COMPUTED_VALUE"""),"18331A0542")</f>
        <v>18331A0542</v>
      </c>
      <c r="C25" s="93" t="str">
        <f>IFERROR(__xludf.DUMMYFUNCTION("""COMPUTED_VALUE"""),"workshop on Dart Programming")</f>
        <v>workshop on Dart Programming</v>
      </c>
      <c r="D25" s="78" t="str">
        <f>IFERROR(__xludf.DUMMYFUNCTION("""COMPUTED_VALUE"""),"Brainovision Solutions")</f>
        <v>Brainovision Solutions</v>
      </c>
      <c r="E25" s="78" t="str">
        <f>IFERROR(__xludf.DUMMYFUNCTION("""COMPUTED_VALUE"""),"1 day")</f>
        <v>1 day</v>
      </c>
      <c r="F25" s="94">
        <f>IFERROR(__xludf.DUMMYFUNCTION("""COMPUTED_VALUE"""),44039.0)</f>
        <v>44039</v>
      </c>
      <c r="G25" s="94">
        <f>IFERROR(__xludf.DUMMYFUNCTION("""COMPUTED_VALUE"""),44034.0)</f>
        <v>44034</v>
      </c>
      <c r="H25" s="84">
        <f>IFERROR(__xludf.DUMMYFUNCTION("""COMPUTED_VALUE"""),44039.0)</f>
        <v>44039</v>
      </c>
      <c r="I25" s="95">
        <f>IFERROR(__xludf.DUMMYFUNCTION("""COMPUTED_VALUE"""),100.0)</f>
        <v>100</v>
      </c>
      <c r="J25" s="78" t="str">
        <f>IFERROR(__xludf.DUMMYFUNCTION("""COMPUTED_VALUE""")," V.Nagesh")</f>
        <v> V.Nagesh</v>
      </c>
      <c r="K25" s="85" t="str">
        <f>IFERROR(__xludf.DUMMYFUNCTION("""COMPUTED_VALUE"""),"https://drive.google.com/open?id=1302qP7fBAPWTJKjCTBqpo-demIxhqNXY")</f>
        <v>https://drive.google.com/open?id=1302qP7fBAPWTJKjCTBqpo-demIxhqNXY</v>
      </c>
      <c r="L25" s="78" t="str">
        <f>IFERROR(__xludf.DUMMYFUNCTION("""COMPUTED_VALUE"""),"2018-2022")</f>
        <v>2018-2022</v>
      </c>
      <c r="M25" s="78" t="str">
        <f>IFERROR(__xludf.DUMMYFUNCTION("""COMPUTED_VALUE"""),"S4: Student Certifications")</f>
        <v>S4: Student Certifications</v>
      </c>
      <c r="N25" s="78" t="str">
        <f>IFERROR(__xludf.DUMMYFUNCTION("""COMPUTED_VALUE"""),"gmanoj2k08@gmail.com")</f>
        <v>gmanoj2k08@gmail.com</v>
      </c>
      <c r="O25" s="78" t="str">
        <f>IFERROR(__xludf.DUMMYFUNCTION("""COMPUTED_VALUE"""),"SEM-4")</f>
        <v>SEM-4</v>
      </c>
      <c r="P25" s="78"/>
      <c r="Q25" s="78"/>
      <c r="R25" s="78"/>
      <c r="S25" s="78"/>
      <c r="T25" s="78"/>
      <c r="U25" s="78"/>
      <c r="V25" s="78"/>
      <c r="W25" s="78"/>
      <c r="X25" s="78"/>
      <c r="Y25" s="78"/>
    </row>
    <row r="26" ht="26.25" customHeight="1">
      <c r="A26" s="78" t="str">
        <f>IFERROR(__xludf.DUMMYFUNCTION("""COMPUTED_VALUE"""),"Jayanth Naidu Kundrapu")</f>
        <v>Jayanth Naidu Kundrapu</v>
      </c>
      <c r="B26" s="78" t="str">
        <f>IFERROR(__xludf.DUMMYFUNCTION("""COMPUTED_VALUE"""),"18331A0582")</f>
        <v>18331A0582</v>
      </c>
      <c r="C26" s="93" t="str">
        <f>IFERROR(__xludf.DUMMYFUNCTION("""COMPUTED_VALUE"""),"AWS Cloud Virtual Internship")</f>
        <v>AWS Cloud Virtual Internship</v>
      </c>
      <c r="D26" s="78" t="str">
        <f>IFERROR(__xludf.DUMMYFUNCTION("""COMPUTED_VALUE"""),"EduSkills")</f>
        <v>EduSkills</v>
      </c>
      <c r="E26" s="78" t="str">
        <f>IFERROR(__xludf.DUMMYFUNCTION("""COMPUTED_VALUE"""),"3 Months")</f>
        <v>3 Months</v>
      </c>
      <c r="F26" s="94">
        <f>IFERROR(__xludf.DUMMYFUNCTION("""COMPUTED_VALUE"""),44470.0)</f>
        <v>44470</v>
      </c>
      <c r="G26" s="94">
        <f>IFERROR(__xludf.DUMMYFUNCTION("""COMPUTED_VALUE"""),44561.0)</f>
        <v>44561</v>
      </c>
      <c r="H26" s="84">
        <f>IFERROR(__xludf.DUMMYFUNCTION("""COMPUTED_VALUE"""),44561.0)</f>
        <v>44561</v>
      </c>
      <c r="I26" s="95">
        <f>IFERROR(__xludf.DUMMYFUNCTION("""COMPUTED_VALUE"""),100.0)</f>
        <v>100</v>
      </c>
      <c r="J26" s="78" t="str">
        <f>IFERROR(__xludf.DUMMYFUNCTION("""COMPUTED_VALUE"""),"Dr. Ravi Kiran Varma Penmatsa")</f>
        <v>Dr. Ravi Kiran Varma Penmatsa</v>
      </c>
      <c r="K26" s="85" t="str">
        <f>IFERROR(__xludf.DUMMYFUNCTION("""COMPUTED_VALUE"""),"https://drive.google.com/open?id=1Eri7YtVm9NkUJ8-580CvasGTHTCxPe_F")</f>
        <v>https://drive.google.com/open?id=1Eri7YtVm9NkUJ8-580CvasGTHTCxPe_F</v>
      </c>
      <c r="L26" s="78" t="str">
        <f>IFERROR(__xludf.DUMMYFUNCTION("""COMPUTED_VALUE"""),"2018-2022")</f>
        <v>2018-2022</v>
      </c>
      <c r="M26" s="78" t="str">
        <f>IFERROR(__xludf.DUMMYFUNCTION("""COMPUTED_VALUE"""),"S4: Student Certifications")</f>
        <v>S4: Student Certifications</v>
      </c>
      <c r="N26" s="78" t="str">
        <f>IFERROR(__xludf.DUMMYFUNCTION("""COMPUTED_VALUE"""),"jayanth.kundrapu013@gmail.com")</f>
        <v>jayanth.kundrapu013@gmail.com</v>
      </c>
      <c r="O26" s="78" t="str">
        <f>IFERROR(__xludf.DUMMYFUNCTION("""COMPUTED_VALUE"""),"SEM-8")</f>
        <v>SEM-8</v>
      </c>
      <c r="P26" s="78"/>
      <c r="Q26" s="78"/>
      <c r="R26" s="78"/>
      <c r="S26" s="78"/>
      <c r="T26" s="78"/>
      <c r="U26" s="78"/>
      <c r="V26" s="78"/>
      <c r="W26" s="78"/>
      <c r="X26" s="78"/>
      <c r="Y26" s="78"/>
    </row>
    <row r="27" ht="26.25" customHeight="1">
      <c r="A27" s="78" t="str">
        <f>IFERROR(__xludf.DUMMYFUNCTION("""COMPUTED_VALUE"""),"Lalita Manoj Kumar Banisetty")</f>
        <v>Lalita Manoj Kumar Banisetty</v>
      </c>
      <c r="B27" s="78" t="str">
        <f>IFERROR(__xludf.DUMMYFUNCTION("""COMPUTED_VALUE"""),"18331A0586")</f>
        <v>18331A0586</v>
      </c>
      <c r="C27" s="93" t="str">
        <f>IFERROR(__xludf.DUMMYFUNCTION("""COMPUTED_VALUE"""),"AWS Cloud Virtual Internship")</f>
        <v>AWS Cloud Virtual Internship</v>
      </c>
      <c r="D27" s="78" t="str">
        <f>IFERROR(__xludf.DUMMYFUNCTION("""COMPUTED_VALUE"""),"EduSkills")</f>
        <v>EduSkills</v>
      </c>
      <c r="E27" s="78" t="str">
        <f>IFERROR(__xludf.DUMMYFUNCTION("""COMPUTED_VALUE"""),"3 months")</f>
        <v>3 months</v>
      </c>
      <c r="F27" s="94">
        <f>IFERROR(__xludf.DUMMYFUNCTION("""COMPUTED_VALUE"""),44470.0)</f>
        <v>44470</v>
      </c>
      <c r="G27" s="94">
        <f>IFERROR(__xludf.DUMMYFUNCTION("""COMPUTED_VALUE"""),44561.0)</f>
        <v>44561</v>
      </c>
      <c r="H27" s="84">
        <f>IFERROR(__xludf.DUMMYFUNCTION("""COMPUTED_VALUE"""),44561.0)</f>
        <v>44561</v>
      </c>
      <c r="I27" s="95">
        <f>IFERROR(__xludf.DUMMYFUNCTION("""COMPUTED_VALUE"""),100.0)</f>
        <v>100</v>
      </c>
      <c r="J27" s="78" t="str">
        <f>IFERROR(__xludf.DUMMYFUNCTION("""COMPUTED_VALUE"""),"Dr. Ravi Kiran Varma Penmatsa")</f>
        <v>Dr. Ravi Kiran Varma Penmatsa</v>
      </c>
      <c r="K27" s="85" t="str">
        <f>IFERROR(__xludf.DUMMYFUNCTION("""COMPUTED_VALUE"""),"https://drive.google.com/open?id=1nCmT-2MVzYJ2cSjKXQ-RXQr60oPUlD_K")</f>
        <v>https://drive.google.com/open?id=1nCmT-2MVzYJ2cSjKXQ-RXQr60oPUlD_K</v>
      </c>
      <c r="L27" s="78" t="str">
        <f>IFERROR(__xludf.DUMMYFUNCTION("""COMPUTED_VALUE"""),"2018-2022")</f>
        <v>2018-2022</v>
      </c>
      <c r="M27" s="78" t="str">
        <f>IFERROR(__xludf.DUMMYFUNCTION("""COMPUTED_VALUE"""),"S4: Student Certifications")</f>
        <v>S4: Student Certifications</v>
      </c>
      <c r="N27" s="78" t="str">
        <f>IFERROR(__xludf.DUMMYFUNCTION("""COMPUTED_VALUE"""),"mano.benesetti@gmail.com")</f>
        <v>mano.benesetti@gmail.com</v>
      </c>
      <c r="O27" s="78" t="str">
        <f>IFERROR(__xludf.DUMMYFUNCTION("""COMPUTED_VALUE"""),"SEM-8")</f>
        <v>SEM-8</v>
      </c>
      <c r="P27" s="78"/>
      <c r="Q27" s="78"/>
      <c r="R27" s="78"/>
      <c r="S27" s="78"/>
      <c r="T27" s="78"/>
      <c r="U27" s="78"/>
      <c r="V27" s="78"/>
      <c r="W27" s="78"/>
      <c r="X27" s="78"/>
      <c r="Y27" s="78"/>
    </row>
    <row r="28" ht="26.25" customHeight="1">
      <c r="A28" s="74" t="str">
        <f>IFERROR(__xludf.DUMMYFUNCTION("""COMPUTED_VALUE"""),"L.Kavya")</f>
        <v>L.Kavya</v>
      </c>
      <c r="B28" s="74" t="str">
        <f>IFERROR(__xludf.DUMMYFUNCTION("""COMPUTED_VALUE"""),"18331A0585")</f>
        <v>18331A0585</v>
      </c>
      <c r="C28" s="90" t="str">
        <f>IFERROR(__xludf.DUMMYFUNCTION("""COMPUTED_VALUE"""),"Communication Skills")</f>
        <v>Communication Skills</v>
      </c>
      <c r="D28" s="74" t="str">
        <f>IFERROR(__xludf.DUMMYFUNCTION("""COMPUTED_VALUE"""),"AVS College of Arts and Science ")</f>
        <v>AVS College of Arts and Science </v>
      </c>
      <c r="E28" s="74" t="str">
        <f>IFERROR(__xludf.DUMMYFUNCTION("""COMPUTED_VALUE"""),"5 days")</f>
        <v>5 days</v>
      </c>
      <c r="F28" s="91">
        <f>IFERROR(__xludf.DUMMYFUNCTION("""COMPUTED_VALUE"""),43934.0)</f>
        <v>43934</v>
      </c>
      <c r="G28" s="91">
        <f>IFERROR(__xludf.DUMMYFUNCTION("""COMPUTED_VALUE"""),43938.0)</f>
        <v>43938</v>
      </c>
      <c r="H28" s="79">
        <f>IFERROR(__xludf.DUMMYFUNCTION("""COMPUTED_VALUE"""),43938.0)</f>
        <v>43938</v>
      </c>
      <c r="I28" s="92">
        <f>IFERROR(__xludf.DUMMYFUNCTION("""COMPUTED_VALUE"""),100.0)</f>
        <v>100</v>
      </c>
      <c r="J28" s="74" t="str">
        <f>IFERROR(__xludf.DUMMYFUNCTION("""COMPUTED_VALUE"""),"-")</f>
        <v>-</v>
      </c>
      <c r="K28" s="80" t="str">
        <f>IFERROR(__xludf.DUMMYFUNCTION("""COMPUTED_VALUE"""),"https://drive.google.com/open?id=1_fCZDqKNIBX0w3m-dkaM6PGiYSEGIZC1")</f>
        <v>https://drive.google.com/open?id=1_fCZDqKNIBX0w3m-dkaM6PGiYSEGIZC1</v>
      </c>
      <c r="L28" s="74" t="str">
        <f>IFERROR(__xludf.DUMMYFUNCTION("""COMPUTED_VALUE"""),"2018-2022")</f>
        <v>2018-2022</v>
      </c>
      <c r="M28" s="74" t="str">
        <f>IFERROR(__xludf.DUMMYFUNCTION("""COMPUTED_VALUE"""),"S4: Student Certifications")</f>
        <v>S4: Student Certifications</v>
      </c>
      <c r="N28" s="74" t="str">
        <f>IFERROR(__xludf.DUMMYFUNCTION("""COMPUTED_VALUE"""),"lakhanapuramkavya@gmail.com")</f>
        <v>lakhanapuramkavya@gmail.com</v>
      </c>
      <c r="O28" s="74" t="str">
        <f>IFERROR(__xludf.DUMMYFUNCTION("""COMPUTED_VALUE"""),"SEM-8")</f>
        <v>SEM-8</v>
      </c>
      <c r="P28" s="74"/>
      <c r="Q28" s="74"/>
      <c r="R28" s="74"/>
      <c r="S28" s="74"/>
      <c r="T28" s="74"/>
      <c r="U28" s="74"/>
      <c r="V28" s="74"/>
      <c r="W28" s="74"/>
      <c r="X28" s="74"/>
      <c r="Y28" s="74"/>
    </row>
    <row r="29" ht="26.25" customHeight="1">
      <c r="A29" s="74" t="str">
        <f>IFERROR(__xludf.DUMMYFUNCTION("""COMPUTED_VALUE"""),"Ganta Manoj Kumar ")</f>
        <v>Ganta Manoj Kumar </v>
      </c>
      <c r="B29" s="74" t="str">
        <f>IFERROR(__xludf.DUMMYFUNCTION("""COMPUTED_VALUE"""),"18331A0542")</f>
        <v>18331A0542</v>
      </c>
      <c r="C29" s="90" t="str">
        <f>IFERROR(__xludf.DUMMYFUNCTION("""COMPUTED_VALUE"""),"Matlab on ramp")</f>
        <v>Matlab on ramp</v>
      </c>
      <c r="D29" s="74" t="str">
        <f>IFERROR(__xludf.DUMMYFUNCTION("""COMPUTED_VALUE"""),"Mathworks")</f>
        <v>Mathworks</v>
      </c>
      <c r="E29" s="74" t="str">
        <f>IFERROR(__xludf.DUMMYFUNCTION("""COMPUTED_VALUE"""),"5months")</f>
        <v>5months</v>
      </c>
      <c r="F29" s="91">
        <f>IFERROR(__xludf.DUMMYFUNCTION("""COMPUTED_VALUE"""),44106.0)</f>
        <v>44106</v>
      </c>
      <c r="G29" s="91">
        <f>IFERROR(__xludf.DUMMYFUNCTION("""COMPUTED_VALUE"""),44229.0)</f>
        <v>44229</v>
      </c>
      <c r="H29" s="79">
        <f>IFERROR(__xludf.DUMMYFUNCTION("""COMPUTED_VALUE"""),44229.0)</f>
        <v>44229</v>
      </c>
      <c r="I29" s="92">
        <f>IFERROR(__xludf.DUMMYFUNCTION("""COMPUTED_VALUE"""),100.0)</f>
        <v>100</v>
      </c>
      <c r="J29" s="74" t="str">
        <f>IFERROR(__xludf.DUMMYFUNCTION("""COMPUTED_VALUE"""),"Prasad rao ")</f>
        <v>Prasad rao </v>
      </c>
      <c r="K29" s="80" t="str">
        <f>IFERROR(__xludf.DUMMYFUNCTION("""COMPUTED_VALUE"""),"https://drive.google.com/open?id=1jyPW79fPV6fSlK6LANHzYP9sopxjR-lO")</f>
        <v>https://drive.google.com/open?id=1jyPW79fPV6fSlK6LANHzYP9sopxjR-lO</v>
      </c>
      <c r="L29" s="74" t="str">
        <f>IFERROR(__xludf.DUMMYFUNCTION("""COMPUTED_VALUE"""),"2018-2022")</f>
        <v>2018-2022</v>
      </c>
      <c r="M29" s="74" t="str">
        <f>IFERROR(__xludf.DUMMYFUNCTION("""COMPUTED_VALUE"""),"S4: Student Certifications")</f>
        <v>S4: Student Certifications</v>
      </c>
      <c r="N29" s="74" t="str">
        <f>IFERROR(__xludf.DUMMYFUNCTION("""COMPUTED_VALUE"""),"gmanoj2k08@gmail.com")</f>
        <v>gmanoj2k08@gmail.com</v>
      </c>
      <c r="O29" s="74" t="str">
        <f>IFERROR(__xludf.DUMMYFUNCTION("""COMPUTED_VALUE"""),"SEM-5")</f>
        <v>SEM-5</v>
      </c>
      <c r="P29" s="74"/>
      <c r="Q29" s="74"/>
      <c r="R29" s="74"/>
      <c r="S29" s="74"/>
      <c r="T29" s="74"/>
      <c r="U29" s="74"/>
      <c r="V29" s="74"/>
      <c r="W29" s="74"/>
      <c r="X29" s="74"/>
      <c r="Y29" s="74"/>
    </row>
    <row r="30" ht="26.25" customHeight="1">
      <c r="A30" s="74" t="str">
        <f>IFERROR(__xludf.DUMMYFUNCTION("""COMPUTED_VALUE"""),"Bogapurapu Rahul")</f>
        <v>Bogapurapu Rahul</v>
      </c>
      <c r="B30" s="74" t="str">
        <f>IFERROR(__xludf.DUMMYFUNCTION("""COMPUTED_VALUE"""),"18331A0516")</f>
        <v>18331A0516</v>
      </c>
      <c r="C30" s="90" t="str">
        <f>IFERROR(__xludf.DUMMYFUNCTION("""COMPUTED_VALUE"""),"Cybersecurity Essentials")</f>
        <v>Cybersecurity Essentials</v>
      </c>
      <c r="D30" s="74" t="str">
        <f>IFERROR(__xludf.DUMMYFUNCTION("""COMPUTED_VALUE"""),"Cisco")</f>
        <v>Cisco</v>
      </c>
      <c r="E30" s="74" t="str">
        <f>IFERROR(__xludf.DUMMYFUNCTION("""COMPUTED_VALUE"""),"8 Weeks")</f>
        <v>8 Weeks</v>
      </c>
      <c r="F30" s="91">
        <f>IFERROR(__xludf.DUMMYFUNCTION("""COMPUTED_VALUE"""),43611.0)</f>
        <v>43611</v>
      </c>
      <c r="G30" s="91">
        <f>IFERROR(__xludf.DUMMYFUNCTION("""COMPUTED_VALUE"""),43672.0)</f>
        <v>43672</v>
      </c>
      <c r="H30" s="79">
        <f>IFERROR(__xludf.DUMMYFUNCTION("""COMPUTED_VALUE"""),43672.0)</f>
        <v>43672</v>
      </c>
      <c r="I30" s="92">
        <f>IFERROR(__xludf.DUMMYFUNCTION("""COMPUTED_VALUE"""),100.0)</f>
        <v>100</v>
      </c>
      <c r="J30" s="74" t="str">
        <f>IFERROR(__xludf.DUMMYFUNCTION("""COMPUTED_VALUE"""),"K. Ravi Kiran Varma")</f>
        <v>K. Ravi Kiran Varma</v>
      </c>
      <c r="K30" s="80" t="str">
        <f>IFERROR(__xludf.DUMMYFUNCTION("""COMPUTED_VALUE"""),"https://drive.google.com/open?id=1qLwO9j6QWJqkrVFTFe1r7bBOvBWyxMrR")</f>
        <v>https://drive.google.com/open?id=1qLwO9j6QWJqkrVFTFe1r7bBOvBWyxMrR</v>
      </c>
      <c r="L30" s="74" t="str">
        <f>IFERROR(__xludf.DUMMYFUNCTION("""COMPUTED_VALUE"""),"2018-2022")</f>
        <v>2018-2022</v>
      </c>
      <c r="M30" s="74" t="str">
        <f>IFERROR(__xludf.DUMMYFUNCTION("""COMPUTED_VALUE"""),"S4: Student Certifications")</f>
        <v>S4: Student Certifications</v>
      </c>
      <c r="N30" s="74" t="str">
        <f>IFERROR(__xludf.DUMMYFUNCTION("""COMPUTED_VALUE"""),"rrahul94772@gmail.com")</f>
        <v>rrahul94772@gmail.com</v>
      </c>
      <c r="O30" s="74" t="str">
        <f>IFERROR(__xludf.DUMMYFUNCTION("""COMPUTED_VALUE"""),"SEM-8")</f>
        <v>SEM-8</v>
      </c>
      <c r="P30" s="74"/>
      <c r="Q30" s="74"/>
      <c r="R30" s="74"/>
      <c r="S30" s="74"/>
      <c r="T30" s="74"/>
      <c r="U30" s="74"/>
      <c r="V30" s="74"/>
      <c r="W30" s="74"/>
      <c r="X30" s="74"/>
      <c r="Y30" s="74"/>
    </row>
    <row r="31" ht="26.25" customHeight="1">
      <c r="A31" s="74" t="str">
        <f>IFERROR(__xludf.DUMMYFUNCTION("""COMPUTED_VALUE"""),"B.Samiksha")</f>
        <v>B.Samiksha</v>
      </c>
      <c r="B31" s="74" t="str">
        <f>IFERROR(__xludf.DUMMYFUNCTION("""COMPUTED_VALUE"""),"18331A0510")</f>
        <v>18331A0510</v>
      </c>
      <c r="C31" s="90" t="str">
        <f>IFERROR(__xludf.DUMMYFUNCTION("""COMPUTED_VALUE"""),"Cybersecurity Essentials")</f>
        <v>Cybersecurity Essentials</v>
      </c>
      <c r="D31" s="74" t="str">
        <f>IFERROR(__xludf.DUMMYFUNCTION("""COMPUTED_VALUE"""),"Cisco")</f>
        <v>Cisco</v>
      </c>
      <c r="E31" s="74" t="str">
        <f>IFERROR(__xludf.DUMMYFUNCTION("""COMPUTED_VALUE"""),"2 months")</f>
        <v>2 months</v>
      </c>
      <c r="F31" s="91">
        <f>IFERROR(__xludf.DUMMYFUNCTION("""COMPUTED_VALUE"""),44340.0)</f>
        <v>44340</v>
      </c>
      <c r="G31" s="91">
        <f>IFERROR(__xludf.DUMMYFUNCTION("""COMPUTED_VALUE"""),44401.0)</f>
        <v>44401</v>
      </c>
      <c r="H31" s="79">
        <f>IFERROR(__xludf.DUMMYFUNCTION("""COMPUTED_VALUE"""),44401.0)</f>
        <v>44401</v>
      </c>
      <c r="I31" s="92">
        <f>IFERROR(__xludf.DUMMYFUNCTION("""COMPUTED_VALUE"""),100.0)</f>
        <v>100</v>
      </c>
      <c r="J31" s="74" t="str">
        <f>IFERROR(__xludf.DUMMYFUNCTION("""COMPUTED_VALUE"""),"Ravi Kiran Varma")</f>
        <v>Ravi Kiran Varma</v>
      </c>
      <c r="K31" s="80" t="str">
        <f>IFERROR(__xludf.DUMMYFUNCTION("""COMPUTED_VALUE"""),"https://drive.google.com/open?id=1xi_3_KryNHfhuwsF0rmwH-Qd-mqYuTLU")</f>
        <v>https://drive.google.com/open?id=1xi_3_KryNHfhuwsF0rmwH-Qd-mqYuTLU</v>
      </c>
      <c r="L31" s="74" t="str">
        <f>IFERROR(__xludf.DUMMYFUNCTION("""COMPUTED_VALUE"""),"2018-2022")</f>
        <v>2018-2022</v>
      </c>
      <c r="M31" s="74" t="str">
        <f>IFERROR(__xludf.DUMMYFUNCTION("""COMPUTED_VALUE"""),"S4: Student Certifications")</f>
        <v>S4: Student Certifications</v>
      </c>
      <c r="N31" s="74" t="str">
        <f>IFERROR(__xludf.DUMMYFUNCTION("""COMPUTED_VALUE"""),"bsamiksha1469@gmail.com")</f>
        <v>bsamiksha1469@gmail.com</v>
      </c>
      <c r="O31" s="74" t="str">
        <f>IFERROR(__xludf.DUMMYFUNCTION("""COMPUTED_VALUE"""),"SEM-5")</f>
        <v>SEM-5</v>
      </c>
      <c r="P31" s="74"/>
      <c r="Q31" s="74"/>
      <c r="R31" s="74"/>
      <c r="S31" s="74"/>
      <c r="T31" s="74"/>
      <c r="U31" s="74"/>
      <c r="V31" s="74"/>
      <c r="W31" s="74"/>
      <c r="X31" s="74"/>
      <c r="Y31" s="74"/>
    </row>
    <row r="32" ht="26.25" customHeight="1">
      <c r="A32" s="74" t="str">
        <f>IFERROR(__xludf.DUMMYFUNCTION("""COMPUTED_VALUE"""),"Bogapurapu Rahul")</f>
        <v>Bogapurapu Rahul</v>
      </c>
      <c r="B32" s="74" t="str">
        <f>IFERROR(__xludf.DUMMYFUNCTION("""COMPUTED_VALUE"""),"18331A0516")</f>
        <v>18331A0516</v>
      </c>
      <c r="C32" s="90" t="str">
        <f>IFERROR(__xludf.DUMMYFUNCTION("""COMPUTED_VALUE"""),"AWS Academy Cloud Foundations")</f>
        <v>AWS Academy Cloud Foundations</v>
      </c>
      <c r="D32" s="74" t="str">
        <f>IFERROR(__xludf.DUMMYFUNCTION("""COMPUTED_VALUE"""),"AWS")</f>
        <v>AWS</v>
      </c>
      <c r="E32" s="74" t="str">
        <f>IFERROR(__xludf.DUMMYFUNCTION("""COMPUTED_VALUE"""),"8 Weeks")</f>
        <v>8 Weeks</v>
      </c>
      <c r="F32" s="91">
        <f>IFERROR(__xludf.DUMMYFUNCTION("""COMPUTED_VALUE"""),44481.0)</f>
        <v>44481</v>
      </c>
      <c r="G32" s="91">
        <f>IFERROR(__xludf.DUMMYFUNCTION("""COMPUTED_VALUE"""),44542.0)</f>
        <v>44542</v>
      </c>
      <c r="H32" s="79">
        <f>IFERROR(__xludf.DUMMYFUNCTION("""COMPUTED_VALUE"""),44542.0)</f>
        <v>44542</v>
      </c>
      <c r="I32" s="92">
        <f>IFERROR(__xludf.DUMMYFUNCTION("""COMPUTED_VALUE"""),100.0)</f>
        <v>100</v>
      </c>
      <c r="J32" s="74" t="str">
        <f>IFERROR(__xludf.DUMMYFUNCTION("""COMPUTED_VALUE"""),"K. Ravi Kiran Varma")</f>
        <v>K. Ravi Kiran Varma</v>
      </c>
      <c r="K32" s="80" t="str">
        <f>IFERROR(__xludf.DUMMYFUNCTION("""COMPUTED_VALUE"""),"https://drive.google.com/open?id=1y5dyz-4_Rx96Ob2UHhlEn0uTeO_arITJ")</f>
        <v>https://drive.google.com/open?id=1y5dyz-4_Rx96Ob2UHhlEn0uTeO_arITJ</v>
      </c>
      <c r="L32" s="74" t="str">
        <f>IFERROR(__xludf.DUMMYFUNCTION("""COMPUTED_VALUE"""),"2018-2022")</f>
        <v>2018-2022</v>
      </c>
      <c r="M32" s="74" t="str">
        <f>IFERROR(__xludf.DUMMYFUNCTION("""COMPUTED_VALUE"""),"S4: Student Certifications")</f>
        <v>S4: Student Certifications</v>
      </c>
      <c r="N32" s="74" t="str">
        <f>IFERROR(__xludf.DUMMYFUNCTION("""COMPUTED_VALUE"""),"rrahul94772@gmail.com")</f>
        <v>rrahul94772@gmail.com</v>
      </c>
      <c r="O32" s="74" t="str">
        <f>IFERROR(__xludf.DUMMYFUNCTION("""COMPUTED_VALUE"""),"SEM-8")</f>
        <v>SEM-8</v>
      </c>
      <c r="P32" s="74"/>
      <c r="Q32" s="74"/>
      <c r="R32" s="74"/>
      <c r="S32" s="74"/>
      <c r="T32" s="74"/>
      <c r="U32" s="74"/>
      <c r="V32" s="74"/>
      <c r="W32" s="74"/>
      <c r="X32" s="74"/>
      <c r="Y32" s="74"/>
    </row>
    <row r="33" ht="26.25" customHeight="1">
      <c r="A33" s="74" t="str">
        <f>IFERROR(__xludf.DUMMYFUNCTION("""COMPUTED_VALUE"""),"B.Samiksha")</f>
        <v>B.Samiksha</v>
      </c>
      <c r="B33" s="74" t="str">
        <f>IFERROR(__xludf.DUMMYFUNCTION("""COMPUTED_VALUE"""),"18331A0510")</f>
        <v>18331A0510</v>
      </c>
      <c r="C33" s="90" t="str">
        <f>IFERROR(__xludf.DUMMYFUNCTION("""COMPUTED_VALUE"""),"Introduction to Cybersecurity")</f>
        <v>Introduction to Cybersecurity</v>
      </c>
      <c r="D33" s="74" t="str">
        <f>IFERROR(__xludf.DUMMYFUNCTION("""COMPUTED_VALUE"""),"Cisco")</f>
        <v>Cisco</v>
      </c>
      <c r="E33" s="74" t="str">
        <f>IFERROR(__xludf.DUMMYFUNCTION("""COMPUTED_VALUE"""),"3 MONTHS")</f>
        <v>3 MONTHS</v>
      </c>
      <c r="F33" s="91">
        <f>IFERROR(__xludf.DUMMYFUNCTION("""COMPUTED_VALUE"""),44268.0)</f>
        <v>44268</v>
      </c>
      <c r="G33" s="91">
        <f>IFERROR(__xludf.DUMMYFUNCTION("""COMPUTED_VALUE"""),44329.0)</f>
        <v>44329</v>
      </c>
      <c r="H33" s="79">
        <f>IFERROR(__xludf.DUMMYFUNCTION("""COMPUTED_VALUE"""),44329.0)</f>
        <v>44329</v>
      </c>
      <c r="I33" s="92">
        <f>IFERROR(__xludf.DUMMYFUNCTION("""COMPUTED_VALUE"""),100.0)</f>
        <v>100</v>
      </c>
      <c r="J33" s="74" t="str">
        <f>IFERROR(__xludf.DUMMYFUNCTION("""COMPUTED_VALUE"""),"Ravi Kiran Varma")</f>
        <v>Ravi Kiran Varma</v>
      </c>
      <c r="K33" s="80" t="str">
        <f>IFERROR(__xludf.DUMMYFUNCTION("""COMPUTED_VALUE"""),"https://drive.google.com/open?id=1GoETtWDzIgW_oAaP0040Hr6PSwh-t3GB")</f>
        <v>https://drive.google.com/open?id=1GoETtWDzIgW_oAaP0040Hr6PSwh-t3GB</v>
      </c>
      <c r="L33" s="74" t="str">
        <f>IFERROR(__xludf.DUMMYFUNCTION("""COMPUTED_VALUE"""),"2018-2022")</f>
        <v>2018-2022</v>
      </c>
      <c r="M33" s="74" t="str">
        <f>IFERROR(__xludf.DUMMYFUNCTION("""COMPUTED_VALUE"""),"S4: Student Certifications")</f>
        <v>S4: Student Certifications</v>
      </c>
      <c r="N33" s="74" t="str">
        <f>IFERROR(__xludf.DUMMYFUNCTION("""COMPUTED_VALUE"""),"bsamiksha1469@gmail.com")</f>
        <v>bsamiksha1469@gmail.com</v>
      </c>
      <c r="O33" s="74" t="str">
        <f>IFERROR(__xludf.DUMMYFUNCTION("""COMPUTED_VALUE"""),"SEM-4")</f>
        <v>SEM-4</v>
      </c>
      <c r="P33" s="74"/>
      <c r="Q33" s="74"/>
      <c r="R33" s="74"/>
      <c r="S33" s="74"/>
      <c r="T33" s="74"/>
      <c r="U33" s="74"/>
      <c r="V33" s="74"/>
      <c r="W33" s="74"/>
      <c r="X33" s="74"/>
      <c r="Y33" s="74"/>
    </row>
    <row r="34" ht="26.25" customHeight="1">
      <c r="A34" s="74" t="str">
        <f>IFERROR(__xludf.DUMMYFUNCTION("""COMPUTED_VALUE"""),"VUGGINA VEERA VENKATA SATYA VARAHA AYYAPPA")</f>
        <v>VUGGINA VEERA VENKATA SATYA VARAHA AYYAPPA</v>
      </c>
      <c r="B34" s="74" t="str">
        <f>IFERROR(__xludf.DUMMYFUNCTION("""COMPUTED_VALUE"""),"19335A0518")</f>
        <v>19335A0518</v>
      </c>
      <c r="C34" s="90" t="str">
        <f>IFERROR(__xludf.DUMMYFUNCTION("""COMPUTED_VALUE"""),"Amazon Web services (AWS) CLOUD")</f>
        <v>Amazon Web services (AWS) CLOUD</v>
      </c>
      <c r="D34" s="74" t="str">
        <f>IFERROR(__xludf.DUMMYFUNCTION("""COMPUTED_VALUE"""),"AICET")</f>
        <v>AICET</v>
      </c>
      <c r="E34" s="74" t="str">
        <f>IFERROR(__xludf.DUMMYFUNCTION("""COMPUTED_VALUE"""),"10 weeks")</f>
        <v>10 weeks</v>
      </c>
      <c r="F34" s="91">
        <f>IFERROR(__xludf.DUMMYFUNCTION("""COMPUTED_VALUE"""),44418.0)</f>
        <v>44418</v>
      </c>
      <c r="G34" s="91">
        <f>IFERROR(__xludf.DUMMYFUNCTION("""COMPUTED_VALUE"""),44560.0)</f>
        <v>44560</v>
      </c>
      <c r="H34" s="79">
        <f>IFERROR(__xludf.DUMMYFUNCTION("""COMPUTED_VALUE"""),44550.0)</f>
        <v>44550</v>
      </c>
      <c r="I34" s="92">
        <f>IFERROR(__xludf.DUMMYFUNCTION("""COMPUTED_VALUE"""),94.0)</f>
        <v>94</v>
      </c>
      <c r="J34" s="74" t="str">
        <f>IFERROR(__xludf.DUMMYFUNCTION("""COMPUTED_VALUE"""),"K. Ravi Kiran Varma")</f>
        <v>K. Ravi Kiran Varma</v>
      </c>
      <c r="K34" s="80" t="str">
        <f>IFERROR(__xludf.DUMMYFUNCTION("""COMPUTED_VALUE"""),"https://drive.google.com/open?id=11rW9SYSxFKwYAVVe4rjhiUeQzmiKRoi5")</f>
        <v>https://drive.google.com/open?id=11rW9SYSxFKwYAVVe4rjhiUeQzmiKRoi5</v>
      </c>
      <c r="L34" s="74" t="str">
        <f>IFERROR(__xludf.DUMMYFUNCTION("""COMPUTED_VALUE"""),"2018-2022")</f>
        <v>2018-2022</v>
      </c>
      <c r="M34" s="74" t="str">
        <f>IFERROR(__xludf.DUMMYFUNCTION("""COMPUTED_VALUE"""),"S4: Student Certifications")</f>
        <v>S4: Student Certifications</v>
      </c>
      <c r="N34" s="74" t="str">
        <f>IFERROR(__xludf.DUMMYFUNCTION("""COMPUTED_VALUE"""),"ayyappa.vuggina01@gmail.com")</f>
        <v>ayyappa.vuggina01@gmail.com</v>
      </c>
      <c r="O34" s="74" t="str">
        <f>IFERROR(__xludf.DUMMYFUNCTION("""COMPUTED_VALUE"""),"SEM-7")</f>
        <v>SEM-7</v>
      </c>
      <c r="P34" s="74"/>
      <c r="Q34" s="74"/>
      <c r="R34" s="74"/>
      <c r="S34" s="74"/>
      <c r="T34" s="74"/>
      <c r="U34" s="74"/>
      <c r="V34" s="74"/>
      <c r="W34" s="74"/>
      <c r="X34" s="74"/>
      <c r="Y34" s="74"/>
    </row>
    <row r="35" ht="26.25" customHeight="1">
      <c r="A35" s="74" t="str">
        <f>IFERROR(__xludf.DUMMYFUNCTION("""COMPUTED_VALUE"""),"B SAMIKSHA")</f>
        <v>B SAMIKSHA</v>
      </c>
      <c r="B35" s="74" t="str">
        <f>IFERROR(__xludf.DUMMYFUNCTION("""COMPUTED_VALUE"""),"18331A0510")</f>
        <v>18331A0510</v>
      </c>
      <c r="C35" s="90" t="str">
        <f>IFERROR(__xludf.DUMMYFUNCTION("""COMPUTED_VALUE"""),"Introduction to Cybersecurity")</f>
        <v>Introduction to Cybersecurity</v>
      </c>
      <c r="D35" s="74" t="str">
        <f>IFERROR(__xludf.DUMMYFUNCTION("""COMPUTED_VALUE"""),"Cisco")</f>
        <v>Cisco</v>
      </c>
      <c r="E35" s="74" t="str">
        <f>IFERROR(__xludf.DUMMYFUNCTION("""COMPUTED_VALUE"""),"2 MONTHS")</f>
        <v>2 MONTHS</v>
      </c>
      <c r="F35" s="91">
        <f>IFERROR(__xludf.DUMMYFUNCTION("""COMPUTED_VALUE"""),44299.0)</f>
        <v>44299</v>
      </c>
      <c r="G35" s="91">
        <f>IFERROR(__xludf.DUMMYFUNCTION("""COMPUTED_VALUE"""),44268.0)</f>
        <v>44268</v>
      </c>
      <c r="H35" s="79">
        <f>IFERROR(__xludf.DUMMYFUNCTION("""COMPUTED_VALUE"""),44268.0)</f>
        <v>44268</v>
      </c>
      <c r="I35" s="92">
        <f>IFERROR(__xludf.DUMMYFUNCTION("""COMPUTED_VALUE"""),100.0)</f>
        <v>100</v>
      </c>
      <c r="J35" s="74" t="str">
        <f>IFERROR(__xludf.DUMMYFUNCTION("""COMPUTED_VALUE"""),"Ravi Kiran Varma")</f>
        <v>Ravi Kiran Varma</v>
      </c>
      <c r="K35" s="80" t="str">
        <f>IFERROR(__xludf.DUMMYFUNCTION("""COMPUTED_VALUE"""),"https://drive.google.com/open?id=1FbWAOVoOljNV934Luz8kVJsk5CN-9IFP")</f>
        <v>https://drive.google.com/open?id=1FbWAOVoOljNV934Luz8kVJsk5CN-9IFP</v>
      </c>
      <c r="L35" s="74" t="str">
        <f>IFERROR(__xludf.DUMMYFUNCTION("""COMPUTED_VALUE"""),"2018-2022")</f>
        <v>2018-2022</v>
      </c>
      <c r="M35" s="74" t="str">
        <f>IFERROR(__xludf.DUMMYFUNCTION("""COMPUTED_VALUE"""),"S4: Student Certifications")</f>
        <v>S4: Student Certifications</v>
      </c>
      <c r="N35" s="74" t="str">
        <f>IFERROR(__xludf.DUMMYFUNCTION("""COMPUTED_VALUE"""),"bsamiksha1469@gmail.com")</f>
        <v>bsamiksha1469@gmail.com</v>
      </c>
      <c r="O35" s="74" t="str">
        <f>IFERROR(__xludf.DUMMYFUNCTION("""COMPUTED_VALUE"""),"SEM-6")</f>
        <v>SEM-6</v>
      </c>
      <c r="P35" s="74"/>
      <c r="Q35" s="74"/>
      <c r="R35" s="74"/>
      <c r="S35" s="74"/>
      <c r="T35" s="74"/>
      <c r="U35" s="74"/>
      <c r="V35" s="74"/>
      <c r="W35" s="74"/>
      <c r="X35" s="74"/>
      <c r="Y35" s="74"/>
    </row>
    <row r="36" ht="26.25" customHeight="1">
      <c r="A36" s="74" t="str">
        <f>IFERROR(__xludf.DUMMYFUNCTION("""COMPUTED_VALUE"""),"B SAMIKSHA")</f>
        <v>B SAMIKSHA</v>
      </c>
      <c r="B36" s="74" t="str">
        <f>IFERROR(__xludf.DUMMYFUNCTION("""COMPUTED_VALUE"""),"18331A0510")</f>
        <v>18331A0510</v>
      </c>
      <c r="C36" s="90" t="str">
        <f>IFERROR(__xludf.DUMMYFUNCTION("""COMPUTED_VALUE"""),"Cybersecurity Essentials")</f>
        <v>Cybersecurity Essentials</v>
      </c>
      <c r="D36" s="74" t="str">
        <f>IFERROR(__xludf.DUMMYFUNCTION("""COMPUTED_VALUE"""),"Cisco")</f>
        <v>Cisco</v>
      </c>
      <c r="E36" s="74" t="str">
        <f>IFERROR(__xludf.DUMMYFUNCTION("""COMPUTED_VALUE"""),"3 Months")</f>
        <v>3 Months</v>
      </c>
      <c r="F36" s="91">
        <f>IFERROR(__xludf.DUMMYFUNCTION("""COMPUTED_VALUE"""),44340.0)</f>
        <v>44340</v>
      </c>
      <c r="G36" s="91">
        <f>IFERROR(__xludf.DUMMYFUNCTION("""COMPUTED_VALUE"""),44401.0)</f>
        <v>44401</v>
      </c>
      <c r="H36" s="79">
        <f>IFERROR(__xludf.DUMMYFUNCTION("""COMPUTED_VALUE"""),44401.0)</f>
        <v>44401</v>
      </c>
      <c r="I36" s="92">
        <f>IFERROR(__xludf.DUMMYFUNCTION("""COMPUTED_VALUE"""),100.0)</f>
        <v>100</v>
      </c>
      <c r="J36" s="74" t="str">
        <f>IFERROR(__xludf.DUMMYFUNCTION("""COMPUTED_VALUE"""),"Ravi Kiran Varma")</f>
        <v>Ravi Kiran Varma</v>
      </c>
      <c r="K36" s="80" t="str">
        <f>IFERROR(__xludf.DUMMYFUNCTION("""COMPUTED_VALUE"""),"https://drive.google.com/open?id=1QJRz-EbuXy_d6ZWpHTsrEjjdIKElpk0-")</f>
        <v>https://drive.google.com/open?id=1QJRz-EbuXy_d6ZWpHTsrEjjdIKElpk0-</v>
      </c>
      <c r="L36" s="74" t="str">
        <f>IFERROR(__xludf.DUMMYFUNCTION("""COMPUTED_VALUE"""),"2018-2022")</f>
        <v>2018-2022</v>
      </c>
      <c r="M36" s="74" t="str">
        <f>IFERROR(__xludf.DUMMYFUNCTION("""COMPUTED_VALUE"""),"S4: Student Certifications")</f>
        <v>S4: Student Certifications</v>
      </c>
      <c r="N36" s="74" t="str">
        <f>IFERROR(__xludf.DUMMYFUNCTION("""COMPUTED_VALUE"""),"bsamiksha1469@gmail.com")</f>
        <v>bsamiksha1469@gmail.com</v>
      </c>
      <c r="O36" s="74" t="str">
        <f>IFERROR(__xludf.DUMMYFUNCTION("""COMPUTED_VALUE"""),"SEM-7")</f>
        <v>SEM-7</v>
      </c>
      <c r="P36" s="74"/>
      <c r="Q36" s="74"/>
      <c r="R36" s="74"/>
      <c r="S36" s="74"/>
      <c r="T36" s="74"/>
      <c r="U36" s="74"/>
      <c r="V36" s="74"/>
      <c r="W36" s="74"/>
      <c r="X36" s="74"/>
      <c r="Y36" s="74"/>
    </row>
    <row r="37" ht="26.25" customHeight="1">
      <c r="A37" s="74" t="str">
        <f>IFERROR(__xludf.DUMMYFUNCTION("""COMPUTED_VALUE"""),"B SAMIKSHA")</f>
        <v>B SAMIKSHA</v>
      </c>
      <c r="B37" s="74" t="str">
        <f>IFERROR(__xludf.DUMMYFUNCTION("""COMPUTED_VALUE"""),"18331A0510")</f>
        <v>18331A0510</v>
      </c>
      <c r="C37" s="90" t="str">
        <f>IFERROR(__xludf.DUMMYFUNCTION("""COMPUTED_VALUE"""),"Introduction to Packet Tracer")</f>
        <v>Introduction to Packet Tracer</v>
      </c>
      <c r="D37" s="74" t="str">
        <f>IFERROR(__xludf.DUMMYFUNCTION("""COMPUTED_VALUE"""),"Cisco")</f>
        <v>Cisco</v>
      </c>
      <c r="E37" s="74" t="str">
        <f>IFERROR(__xludf.DUMMYFUNCTION("""COMPUTED_VALUE"""),"3 Months")</f>
        <v>3 Months</v>
      </c>
      <c r="F37" s="91">
        <f>IFERROR(__xludf.DUMMYFUNCTION("""COMPUTED_VALUE"""),44273.0)</f>
        <v>44273</v>
      </c>
      <c r="G37" s="91">
        <f>IFERROR(__xludf.DUMMYFUNCTION("""COMPUTED_VALUE"""),44334.0)</f>
        <v>44334</v>
      </c>
      <c r="H37" s="79">
        <f>IFERROR(__xludf.DUMMYFUNCTION("""COMPUTED_VALUE"""),44334.0)</f>
        <v>44334</v>
      </c>
      <c r="I37" s="92">
        <f>IFERROR(__xludf.DUMMYFUNCTION("""COMPUTED_VALUE"""),100.0)</f>
        <v>100</v>
      </c>
      <c r="J37" s="74" t="str">
        <f>IFERROR(__xludf.DUMMYFUNCTION("""COMPUTED_VALUE"""),"Ravi Kiran Varma")</f>
        <v>Ravi Kiran Varma</v>
      </c>
      <c r="K37" s="80" t="str">
        <f>IFERROR(__xludf.DUMMYFUNCTION("""COMPUTED_VALUE"""),"https://drive.google.com/open?id=1nv45MlqTCMcGUrLqupfue2-EpTWrTG8c")</f>
        <v>https://drive.google.com/open?id=1nv45MlqTCMcGUrLqupfue2-EpTWrTG8c</v>
      </c>
      <c r="L37" s="74" t="str">
        <f>IFERROR(__xludf.DUMMYFUNCTION("""COMPUTED_VALUE"""),"2018-2022")</f>
        <v>2018-2022</v>
      </c>
      <c r="M37" s="74" t="str">
        <f>IFERROR(__xludf.DUMMYFUNCTION("""COMPUTED_VALUE"""),"S4: Student Certifications")</f>
        <v>S4: Student Certifications</v>
      </c>
      <c r="N37" s="74" t="str">
        <f>IFERROR(__xludf.DUMMYFUNCTION("""COMPUTED_VALUE"""),"bsamiksha1469@gmail.com")</f>
        <v>bsamiksha1469@gmail.com</v>
      </c>
      <c r="O37" s="74" t="str">
        <f>IFERROR(__xludf.DUMMYFUNCTION("""COMPUTED_VALUE"""),"SEM-6")</f>
        <v>SEM-6</v>
      </c>
      <c r="P37" s="74"/>
      <c r="Q37" s="74"/>
      <c r="R37" s="74"/>
      <c r="S37" s="74"/>
      <c r="T37" s="74"/>
      <c r="U37" s="74"/>
      <c r="V37" s="74"/>
      <c r="W37" s="74"/>
      <c r="X37" s="74"/>
      <c r="Y37" s="74"/>
    </row>
    <row r="38" ht="26.25" customHeight="1">
      <c r="A38" s="74" t="str">
        <f>IFERROR(__xludf.DUMMYFUNCTION("""COMPUTED_VALUE"""),"B SAMIKSHA")</f>
        <v>B SAMIKSHA</v>
      </c>
      <c r="B38" s="74" t="str">
        <f>IFERROR(__xludf.DUMMYFUNCTION("""COMPUTED_VALUE"""),"18331A0510")</f>
        <v>18331A0510</v>
      </c>
      <c r="C38" s="90" t="str">
        <f>IFERROR(__xludf.DUMMYFUNCTION("""COMPUTED_VALUE"""),"NDG LINUX ESSENTIALS Unhatched")</f>
        <v>NDG LINUX ESSENTIALS Unhatched</v>
      </c>
      <c r="D38" s="74" t="str">
        <f>IFERROR(__xludf.DUMMYFUNCTION("""COMPUTED_VALUE"""),"Cisco")</f>
        <v>Cisco</v>
      </c>
      <c r="E38" s="74" t="str">
        <f>IFERROR(__xludf.DUMMYFUNCTION("""COMPUTED_VALUE"""),"1 month")</f>
        <v>1 month</v>
      </c>
      <c r="F38" s="91">
        <f>IFERROR(__xludf.DUMMYFUNCTION("""COMPUTED_VALUE"""),44640.0)</f>
        <v>44640</v>
      </c>
      <c r="G38" s="91">
        <f>IFERROR(__xludf.DUMMYFUNCTION("""COMPUTED_VALUE"""),44657.0)</f>
        <v>44657</v>
      </c>
      <c r="H38" s="79">
        <f>IFERROR(__xludf.DUMMYFUNCTION("""COMPUTED_VALUE"""),44657.0)</f>
        <v>44657</v>
      </c>
      <c r="I38" s="92">
        <f>IFERROR(__xludf.DUMMYFUNCTION("""COMPUTED_VALUE"""),100.0)</f>
        <v>100</v>
      </c>
      <c r="J38" s="74" t="str">
        <f>IFERROR(__xludf.DUMMYFUNCTION("""COMPUTED_VALUE"""),"Ravi Kiran Varma")</f>
        <v>Ravi Kiran Varma</v>
      </c>
      <c r="K38" s="80" t="str">
        <f>IFERROR(__xludf.DUMMYFUNCTION("""COMPUTED_VALUE"""),"https://drive.google.com/open?id=1x3HYhUw40jhSMb8RRJ3qW95BZmPslygK")</f>
        <v>https://drive.google.com/open?id=1x3HYhUw40jhSMb8RRJ3qW95BZmPslygK</v>
      </c>
      <c r="L38" s="74" t="str">
        <f>IFERROR(__xludf.DUMMYFUNCTION("""COMPUTED_VALUE"""),"2018-2022")</f>
        <v>2018-2022</v>
      </c>
      <c r="M38" s="74" t="str">
        <f>IFERROR(__xludf.DUMMYFUNCTION("""COMPUTED_VALUE"""),"S4: Student Certifications")</f>
        <v>S4: Student Certifications</v>
      </c>
      <c r="N38" s="74" t="str">
        <f>IFERROR(__xludf.DUMMYFUNCTION("""COMPUTED_VALUE"""),"bsamiksha1469@gmail.com")</f>
        <v>bsamiksha1469@gmail.com</v>
      </c>
      <c r="O38" s="74" t="str">
        <f>IFERROR(__xludf.DUMMYFUNCTION("""COMPUTED_VALUE"""),"SEM-8")</f>
        <v>SEM-8</v>
      </c>
      <c r="P38" s="74"/>
      <c r="Q38" s="74"/>
      <c r="R38" s="74"/>
      <c r="S38" s="74"/>
      <c r="T38" s="74"/>
      <c r="U38" s="74"/>
      <c r="V38" s="74"/>
      <c r="W38" s="74"/>
      <c r="X38" s="74"/>
      <c r="Y38" s="74"/>
    </row>
    <row r="39" ht="26.25" customHeight="1">
      <c r="A39" s="74" t="str">
        <f>IFERROR(__xludf.DUMMYFUNCTION("""COMPUTED_VALUE"""),"VUGGINA VEERA VENKATA SATYA VARAHA AYYAPPA")</f>
        <v>VUGGINA VEERA VENKATA SATYA VARAHA AYYAPPA</v>
      </c>
      <c r="B39" s="74" t="str">
        <f>IFERROR(__xludf.DUMMYFUNCTION("""COMPUTED_VALUE"""),"19335A0518")</f>
        <v>19335A0518</v>
      </c>
      <c r="C39" s="90" t="str">
        <f>IFERROR(__xludf.DUMMYFUNCTION("""COMPUTED_VALUE"""),"Internet Connection: How to Get Online?")</f>
        <v>Internet Connection: How to Get Online?</v>
      </c>
      <c r="D39" s="74" t="str">
        <f>IFERROR(__xludf.DUMMYFUNCTION("""COMPUTED_VALUE"""),"Coursera")</f>
        <v>Coursera</v>
      </c>
      <c r="E39" s="74" t="str">
        <f>IFERROR(__xludf.DUMMYFUNCTION("""COMPUTED_VALUE"""),"45 days")</f>
        <v>45 days</v>
      </c>
      <c r="F39" s="91">
        <f>IFERROR(__xludf.DUMMYFUNCTION("""COMPUTED_VALUE"""),43962.0)</f>
        <v>43962</v>
      </c>
      <c r="G39" s="91">
        <f>IFERROR(__xludf.DUMMYFUNCTION("""COMPUTED_VALUE"""),43993.0)</f>
        <v>43993</v>
      </c>
      <c r="H39" s="79">
        <f>IFERROR(__xludf.DUMMYFUNCTION("""COMPUTED_VALUE"""),43992.0)</f>
        <v>43992</v>
      </c>
      <c r="I39" s="92">
        <f>IFERROR(__xludf.DUMMYFUNCTION("""COMPUTED_VALUE"""),100.0)</f>
        <v>100</v>
      </c>
      <c r="J39" s="74" t="str">
        <f>IFERROR(__xludf.DUMMYFUNCTION("""COMPUTED_VALUE"""),"NA")</f>
        <v>NA</v>
      </c>
      <c r="K39" s="80" t="str">
        <f>IFERROR(__xludf.DUMMYFUNCTION("""COMPUTED_VALUE"""),"https://drive.google.com/open?id=1cPx_WF0s9doUfM1_GkZe3bOU5GdjrSt5")</f>
        <v>https://drive.google.com/open?id=1cPx_WF0s9doUfM1_GkZe3bOU5GdjrSt5</v>
      </c>
      <c r="L39" s="74" t="str">
        <f>IFERROR(__xludf.DUMMYFUNCTION("""COMPUTED_VALUE"""),"2018-2022")</f>
        <v>2018-2022</v>
      </c>
      <c r="M39" s="74" t="str">
        <f>IFERROR(__xludf.DUMMYFUNCTION("""COMPUTED_VALUE"""),"S4: Student Certifications")</f>
        <v>S4: Student Certifications</v>
      </c>
      <c r="N39" s="74" t="str">
        <f>IFERROR(__xludf.DUMMYFUNCTION("""COMPUTED_VALUE"""),"ayyappa.vuggina01@gmail.com")</f>
        <v>ayyappa.vuggina01@gmail.com</v>
      </c>
      <c r="O39" s="74" t="str">
        <f>IFERROR(__xludf.DUMMYFUNCTION("""COMPUTED_VALUE"""),"SEM-4")</f>
        <v>SEM-4</v>
      </c>
      <c r="P39" s="74"/>
      <c r="Q39" s="74"/>
      <c r="R39" s="74"/>
      <c r="S39" s="74"/>
      <c r="T39" s="74"/>
      <c r="U39" s="74"/>
      <c r="V39" s="74"/>
      <c r="W39" s="74"/>
      <c r="X39" s="74"/>
      <c r="Y39" s="74"/>
    </row>
    <row r="40" ht="26.25" customHeight="1">
      <c r="A40" s="74" t="str">
        <f>IFERROR(__xludf.DUMMYFUNCTION("""COMPUTED_VALUE"""),"Alluri Vishnu Vardhan Varma ")</f>
        <v>Alluri Vishnu Vardhan Varma </v>
      </c>
      <c r="B40" s="74" t="str">
        <f>IFERROR(__xludf.DUMMYFUNCTION("""COMPUTED_VALUE"""),"18331A0504")</f>
        <v>18331A0504</v>
      </c>
      <c r="C40" s="90" t="str">
        <f>IFERROR(__xludf.DUMMYFUNCTION("""COMPUTED_VALUE"""),"Programming Essentials in Python")</f>
        <v>Programming Essentials in Python</v>
      </c>
      <c r="D40" s="74" t="str">
        <f>IFERROR(__xludf.DUMMYFUNCTION("""COMPUTED_VALUE"""),"Cisco")</f>
        <v>Cisco</v>
      </c>
      <c r="E40" s="74" t="str">
        <f>IFERROR(__xludf.DUMMYFUNCTION("""COMPUTED_VALUE"""),"2 months")</f>
        <v>2 months</v>
      </c>
      <c r="F40" s="91">
        <f>IFERROR(__xludf.DUMMYFUNCTION("""COMPUTED_VALUE"""),44329.0)</f>
        <v>44329</v>
      </c>
      <c r="G40" s="91">
        <f>IFERROR(__xludf.DUMMYFUNCTION("""COMPUTED_VALUE"""),44386.0)</f>
        <v>44386</v>
      </c>
      <c r="H40" s="79">
        <f>IFERROR(__xludf.DUMMYFUNCTION("""COMPUTED_VALUE"""),44386.0)</f>
        <v>44386</v>
      </c>
      <c r="I40" s="92">
        <f>IFERROR(__xludf.DUMMYFUNCTION("""COMPUTED_VALUE"""),87.0)</f>
        <v>87</v>
      </c>
      <c r="J40" s="74" t="str">
        <f>IFERROR(__xludf.DUMMYFUNCTION("""COMPUTED_VALUE"""),"Dr.Ravi Kiran Varma")</f>
        <v>Dr.Ravi Kiran Varma</v>
      </c>
      <c r="K40" s="80" t="str">
        <f>IFERROR(__xludf.DUMMYFUNCTION("""COMPUTED_VALUE"""),"https://drive.google.com/open?id=1yr0kBqoZsc_zc9qQEBxEHDJokNdQsJKu")</f>
        <v>https://drive.google.com/open?id=1yr0kBqoZsc_zc9qQEBxEHDJokNdQsJKu</v>
      </c>
      <c r="L40" s="74" t="str">
        <f>IFERROR(__xludf.DUMMYFUNCTION("""COMPUTED_VALUE"""),"2018-2022")</f>
        <v>2018-2022</v>
      </c>
      <c r="M40" s="74" t="str">
        <f>IFERROR(__xludf.DUMMYFUNCTION("""COMPUTED_VALUE"""),"S4: Student Certifications")</f>
        <v>S4: Student Certifications</v>
      </c>
      <c r="N40" s="74" t="str">
        <f>IFERROR(__xludf.DUMMYFUNCTION("""COMPUTED_VALUE"""),"vvvarma2001@gmail.com")</f>
        <v>vvvarma2001@gmail.com</v>
      </c>
      <c r="O40" s="74" t="str">
        <f>IFERROR(__xludf.DUMMYFUNCTION("""COMPUTED_VALUE"""),"SEM-8")</f>
        <v>SEM-8</v>
      </c>
      <c r="P40" s="74"/>
      <c r="Q40" s="74"/>
      <c r="R40" s="74"/>
      <c r="S40" s="74"/>
      <c r="T40" s="74"/>
      <c r="U40" s="74"/>
      <c r="V40" s="74"/>
      <c r="W40" s="74"/>
      <c r="X40" s="74"/>
      <c r="Y40" s="74"/>
    </row>
    <row r="41" ht="26.25" customHeight="1">
      <c r="A41" s="74" t="str">
        <f>IFERROR(__xludf.DUMMYFUNCTION("""COMPUTED_VALUE"""),"VUGGINA VEERA VENKATA SATYA VARAHA AYYAPPA")</f>
        <v>VUGGINA VEERA VENKATA SATYA VARAHA AYYAPPA</v>
      </c>
      <c r="B41" s="74" t="str">
        <f>IFERROR(__xludf.DUMMYFUNCTION("""COMPUTED_VALUE"""),"19335A0518")</f>
        <v>19335A0518</v>
      </c>
      <c r="C41" s="90" t="str">
        <f>IFERROR(__xludf.DUMMYFUNCTION("""COMPUTED_VALUE"""),"Programming for Everybody ")</f>
        <v>Programming for Everybody </v>
      </c>
      <c r="D41" s="74" t="str">
        <f>IFERROR(__xludf.DUMMYFUNCTION("""COMPUTED_VALUE"""),"Coursera")</f>
        <v>Coursera</v>
      </c>
      <c r="E41" s="74" t="str">
        <f>IFERROR(__xludf.DUMMYFUNCTION("""COMPUTED_VALUE"""),"2 MONTHS")</f>
        <v>2 MONTHS</v>
      </c>
      <c r="F41" s="91">
        <f>IFERROR(__xludf.DUMMYFUNCTION("""COMPUTED_VALUE"""),43911.0)</f>
        <v>43911</v>
      </c>
      <c r="G41" s="91">
        <f>IFERROR(__xludf.DUMMYFUNCTION("""COMPUTED_VALUE"""),43969.0)</f>
        <v>43969</v>
      </c>
      <c r="H41" s="79">
        <f>IFERROR(__xludf.DUMMYFUNCTION("""COMPUTED_VALUE"""),43966.0)</f>
        <v>43966</v>
      </c>
      <c r="I41" s="92">
        <f>IFERROR(__xludf.DUMMYFUNCTION("""COMPUTED_VALUE"""),100.0)</f>
        <v>100</v>
      </c>
      <c r="J41" s="74" t="str">
        <f>IFERROR(__xludf.DUMMYFUNCTION("""COMPUTED_VALUE"""),"NA")</f>
        <v>NA</v>
      </c>
      <c r="K41" s="80" t="str">
        <f>IFERROR(__xludf.DUMMYFUNCTION("""COMPUTED_VALUE"""),"https://drive.google.com/open?id=1snLSTDItYM6XqrV7D2RDPUr_OFCaKzBn")</f>
        <v>https://drive.google.com/open?id=1snLSTDItYM6XqrV7D2RDPUr_OFCaKzBn</v>
      </c>
      <c r="L41" s="74" t="str">
        <f>IFERROR(__xludf.DUMMYFUNCTION("""COMPUTED_VALUE"""),"2018-2022")</f>
        <v>2018-2022</v>
      </c>
      <c r="M41" s="74" t="str">
        <f>IFERROR(__xludf.DUMMYFUNCTION("""COMPUTED_VALUE"""),"S4: Student Certifications")</f>
        <v>S4: Student Certifications</v>
      </c>
      <c r="N41" s="74" t="str">
        <f>IFERROR(__xludf.DUMMYFUNCTION("""COMPUTED_VALUE"""),"ayyappa.vuggina01@gmail.com")</f>
        <v>ayyappa.vuggina01@gmail.com</v>
      </c>
      <c r="O41" s="74" t="str">
        <f>IFERROR(__xludf.DUMMYFUNCTION("""COMPUTED_VALUE"""),"SEM-4")</f>
        <v>SEM-4</v>
      </c>
      <c r="P41" s="74"/>
      <c r="Q41" s="74"/>
      <c r="R41" s="74"/>
      <c r="S41" s="74"/>
      <c r="T41" s="74"/>
      <c r="U41" s="74"/>
      <c r="V41" s="74"/>
      <c r="W41" s="74"/>
      <c r="X41" s="74"/>
      <c r="Y41" s="74"/>
    </row>
    <row r="42" ht="26.25" customHeight="1">
      <c r="A42" s="74" t="str">
        <f>IFERROR(__xludf.DUMMYFUNCTION("""COMPUTED_VALUE"""),"Alluri Vishnu Vardhan Varma ")</f>
        <v>Alluri Vishnu Vardhan Varma </v>
      </c>
      <c r="B42" s="74" t="str">
        <f>IFERROR(__xludf.DUMMYFUNCTION("""COMPUTED_VALUE"""),"18331A0504")</f>
        <v>18331A0504</v>
      </c>
      <c r="C42" s="90" t="str">
        <f>IFERROR(__xludf.DUMMYFUNCTION("""COMPUTED_VALUE"""),"Matlab")</f>
        <v>Matlab</v>
      </c>
      <c r="D42" s="74" t="str">
        <f>IFERROR(__xludf.DUMMYFUNCTION("""COMPUTED_VALUE"""),"MathWorks")</f>
        <v>MathWorks</v>
      </c>
      <c r="E42" s="74" t="str">
        <f>IFERROR(__xludf.DUMMYFUNCTION("""COMPUTED_VALUE"""),"1 month")</f>
        <v>1 month</v>
      </c>
      <c r="F42" s="91">
        <f>IFERROR(__xludf.DUMMYFUNCTION("""COMPUTED_VALUE"""),44208.0)</f>
        <v>44208</v>
      </c>
      <c r="G42" s="91">
        <f>IFERROR(__xludf.DUMMYFUNCTION("""COMPUTED_VALUE"""),44244.0)</f>
        <v>44244</v>
      </c>
      <c r="H42" s="79">
        <f>IFERROR(__xludf.DUMMYFUNCTION("""COMPUTED_VALUE"""),44244.0)</f>
        <v>44244</v>
      </c>
      <c r="I42" s="92">
        <f>IFERROR(__xludf.DUMMYFUNCTION("""COMPUTED_VALUE"""),100.0)</f>
        <v>100</v>
      </c>
      <c r="J42" s="74" t="str">
        <f>IFERROR(__xludf.DUMMYFUNCTION("""COMPUTED_VALUE"""),"Self Learning")</f>
        <v>Self Learning</v>
      </c>
      <c r="K42" s="80" t="str">
        <f>IFERROR(__xludf.DUMMYFUNCTION("""COMPUTED_VALUE"""),"https://drive.google.com/open?id=1DXcdXzCkOcbyhBhLXOKT4jhAX9XdM3_G")</f>
        <v>https://drive.google.com/open?id=1DXcdXzCkOcbyhBhLXOKT4jhAX9XdM3_G</v>
      </c>
      <c r="L42" s="74" t="str">
        <f>IFERROR(__xludf.DUMMYFUNCTION("""COMPUTED_VALUE"""),"2018-2022")</f>
        <v>2018-2022</v>
      </c>
      <c r="M42" s="74" t="str">
        <f>IFERROR(__xludf.DUMMYFUNCTION("""COMPUTED_VALUE"""),"S4: Student Certifications")</f>
        <v>S4: Student Certifications</v>
      </c>
      <c r="N42" s="74" t="str">
        <f>IFERROR(__xludf.DUMMYFUNCTION("""COMPUTED_VALUE"""),"vvvarma2001@gmail.com")</f>
        <v>vvvarma2001@gmail.com</v>
      </c>
      <c r="O42" s="74" t="str">
        <f>IFERROR(__xludf.DUMMYFUNCTION("""COMPUTED_VALUE"""),"SEM-8")</f>
        <v>SEM-8</v>
      </c>
      <c r="P42" s="74"/>
      <c r="Q42" s="74"/>
      <c r="R42" s="74"/>
      <c r="S42" s="74"/>
      <c r="T42" s="74"/>
      <c r="U42" s="74"/>
      <c r="V42" s="74"/>
      <c r="W42" s="74"/>
      <c r="X42" s="74"/>
      <c r="Y42" s="74"/>
    </row>
    <row r="43" ht="26.25" customHeight="1">
      <c r="A43" s="74" t="str">
        <f>IFERROR(__xludf.DUMMYFUNCTION("""COMPUTED_VALUE"""),"Gorle Jayasri")</f>
        <v>Gorle Jayasri</v>
      </c>
      <c r="B43" s="74" t="str">
        <f>IFERROR(__xludf.DUMMYFUNCTION("""COMPUTED_VALUE"""),"19335A0505")</f>
        <v>19335A0505</v>
      </c>
      <c r="C43" s="90" t="str">
        <f>IFERROR(__xludf.DUMMYFUNCTION("""COMPUTED_VALUE"""),"Programming for Everybody ")</f>
        <v>Programming for Everybody </v>
      </c>
      <c r="D43" s="74" t="str">
        <f>IFERROR(__xludf.DUMMYFUNCTION("""COMPUTED_VALUE"""),"Coursera")</f>
        <v>Coursera</v>
      </c>
      <c r="E43" s="74" t="str">
        <f>IFERROR(__xludf.DUMMYFUNCTION("""COMPUTED_VALUE"""),"2 months")</f>
        <v>2 months</v>
      </c>
      <c r="F43" s="91">
        <f>IFERROR(__xludf.DUMMYFUNCTION("""COMPUTED_VALUE"""),43864.0)</f>
        <v>43864</v>
      </c>
      <c r="G43" s="91">
        <f>IFERROR(__xludf.DUMMYFUNCTION("""COMPUTED_VALUE"""),43921.0)</f>
        <v>43921</v>
      </c>
      <c r="H43" s="79">
        <f>IFERROR(__xludf.DUMMYFUNCTION("""COMPUTED_VALUE"""),43923.0)</f>
        <v>43923</v>
      </c>
      <c r="I43" s="92">
        <f>IFERROR(__xludf.DUMMYFUNCTION("""COMPUTED_VALUE"""),96.0)</f>
        <v>96</v>
      </c>
      <c r="J43" s="74" t="str">
        <f>IFERROR(__xludf.DUMMYFUNCTION("""COMPUTED_VALUE"""),".")</f>
        <v>.</v>
      </c>
      <c r="K43" s="80" t="str">
        <f>IFERROR(__xludf.DUMMYFUNCTION("""COMPUTED_VALUE"""),"https://drive.google.com/open?id=17WoFN9WMB3spWhb84feUEwJqfHh35LmO")</f>
        <v>https://drive.google.com/open?id=17WoFN9WMB3spWhb84feUEwJqfHh35LmO</v>
      </c>
      <c r="L43" s="74" t="str">
        <f>IFERROR(__xludf.DUMMYFUNCTION("""COMPUTED_VALUE"""),"2018-2022")</f>
        <v>2018-2022</v>
      </c>
      <c r="M43" s="74" t="str">
        <f>IFERROR(__xludf.DUMMYFUNCTION("""COMPUTED_VALUE"""),"S4: Student Certifications")</f>
        <v>S4: Student Certifications</v>
      </c>
      <c r="N43" s="74" t="str">
        <f>IFERROR(__xludf.DUMMYFUNCTION("""COMPUTED_VALUE"""),"gorlejayasri99@gmail.com")</f>
        <v>gorlejayasri99@gmail.com</v>
      </c>
      <c r="O43" s="74" t="str">
        <f>IFERROR(__xludf.DUMMYFUNCTION("""COMPUTED_VALUE"""),"SEM-4")</f>
        <v>SEM-4</v>
      </c>
      <c r="P43" s="74"/>
      <c r="Q43" s="74"/>
      <c r="R43" s="74"/>
      <c r="S43" s="74"/>
      <c r="T43" s="74"/>
      <c r="U43" s="74"/>
      <c r="V43" s="74"/>
      <c r="W43" s="74"/>
      <c r="X43" s="74"/>
      <c r="Y43" s="74"/>
    </row>
    <row r="44" ht="26.25" customHeight="1">
      <c r="A44" s="74" t="str">
        <f>IFERROR(__xludf.DUMMYFUNCTION("""COMPUTED_VALUE"""),"VUGGINA VEERA VENKATA SATYA VARAHA AYYAPPA")</f>
        <v>VUGGINA VEERA VENKATA SATYA VARAHA AYYAPPA</v>
      </c>
      <c r="B44" s="74" t="str">
        <f>IFERROR(__xludf.DUMMYFUNCTION("""COMPUTED_VALUE"""),"19335A0518")</f>
        <v>19335A0518</v>
      </c>
      <c r="C44" s="90" t="str">
        <f>IFERROR(__xludf.DUMMYFUNCTION("""COMPUTED_VALUE"""),"Classical Cryptosystems and Core Concepts")</f>
        <v>Classical Cryptosystems and Core Concepts</v>
      </c>
      <c r="D44" s="74" t="str">
        <f>IFERROR(__xludf.DUMMYFUNCTION("""COMPUTED_VALUE"""),"Coursera")</f>
        <v>Coursera</v>
      </c>
      <c r="E44" s="74" t="str">
        <f>IFERROR(__xludf.DUMMYFUNCTION("""COMPUTED_VALUE"""),"2 MONTHS")</f>
        <v>2 MONTHS</v>
      </c>
      <c r="F44" s="91">
        <f>IFERROR(__xludf.DUMMYFUNCTION("""COMPUTED_VALUE"""),44018.0)</f>
        <v>44018</v>
      </c>
      <c r="G44" s="91">
        <f>IFERROR(__xludf.DUMMYFUNCTION("""COMPUTED_VALUE"""),44081.0)</f>
        <v>44081</v>
      </c>
      <c r="H44" s="79">
        <f>IFERROR(__xludf.DUMMYFUNCTION("""COMPUTED_VALUE"""),44080.0)</f>
        <v>44080</v>
      </c>
      <c r="I44" s="92">
        <f>IFERROR(__xludf.DUMMYFUNCTION("""COMPUTED_VALUE"""),100.0)</f>
        <v>100</v>
      </c>
      <c r="J44" s="74" t="str">
        <f>IFERROR(__xludf.DUMMYFUNCTION("""COMPUTED_VALUE"""),"NA")</f>
        <v>NA</v>
      </c>
      <c r="K44" s="80" t="str">
        <f>IFERROR(__xludf.DUMMYFUNCTION("""COMPUTED_VALUE"""),"https://drive.google.com/open?id=1sQlYEdwj_KjmRMuHxd_Ck5LyLI73v53O")</f>
        <v>https://drive.google.com/open?id=1sQlYEdwj_KjmRMuHxd_Ck5LyLI73v53O</v>
      </c>
      <c r="L44" s="74" t="str">
        <f>IFERROR(__xludf.DUMMYFUNCTION("""COMPUTED_VALUE"""),"2018-2022")</f>
        <v>2018-2022</v>
      </c>
      <c r="M44" s="74" t="str">
        <f>IFERROR(__xludf.DUMMYFUNCTION("""COMPUTED_VALUE"""),"S4: Student Certifications")</f>
        <v>S4: Student Certifications</v>
      </c>
      <c r="N44" s="74" t="str">
        <f>IFERROR(__xludf.DUMMYFUNCTION("""COMPUTED_VALUE"""),"ayyappa.vuggina01@gmail.com")</f>
        <v>ayyappa.vuggina01@gmail.com</v>
      </c>
      <c r="O44" s="74" t="str">
        <f>IFERROR(__xludf.DUMMYFUNCTION("""COMPUTED_VALUE"""),"SEM-5")</f>
        <v>SEM-5</v>
      </c>
      <c r="P44" s="74"/>
      <c r="Q44" s="74"/>
      <c r="R44" s="74"/>
      <c r="S44" s="74"/>
      <c r="T44" s="74"/>
      <c r="U44" s="74"/>
      <c r="V44" s="74"/>
      <c r="W44" s="74"/>
      <c r="X44" s="74"/>
      <c r="Y44" s="74"/>
    </row>
    <row r="45" ht="26.25" customHeight="1">
      <c r="A45" s="74" t="str">
        <f>IFERROR(__xludf.DUMMYFUNCTION("""COMPUTED_VALUE"""),"Gorle Jayasri")</f>
        <v>Gorle Jayasri</v>
      </c>
      <c r="B45" s="74" t="str">
        <f>IFERROR(__xludf.DUMMYFUNCTION("""COMPUTED_VALUE"""),"19335A0505")</f>
        <v>19335A0505</v>
      </c>
      <c r="C45" s="90" t="str">
        <f>IFERROR(__xludf.DUMMYFUNCTION("""COMPUTED_VALUE"""),"What is Data Science")</f>
        <v>What is Data Science</v>
      </c>
      <c r="D45" s="74" t="str">
        <f>IFERROR(__xludf.DUMMYFUNCTION("""COMPUTED_VALUE"""),"Coursera")</f>
        <v>Coursera</v>
      </c>
      <c r="E45" s="74" t="str">
        <f>IFERROR(__xludf.DUMMYFUNCTION("""COMPUTED_VALUE"""),"2 months")</f>
        <v>2 months</v>
      </c>
      <c r="F45" s="91">
        <f>IFERROR(__xludf.DUMMYFUNCTION("""COMPUTED_VALUE"""),43891.0)</f>
        <v>43891</v>
      </c>
      <c r="G45" s="91">
        <f>IFERROR(__xludf.DUMMYFUNCTION("""COMPUTED_VALUE"""),43941.0)</f>
        <v>43941</v>
      </c>
      <c r="H45" s="79">
        <f>IFERROR(__xludf.DUMMYFUNCTION("""COMPUTED_VALUE"""),43945.0)</f>
        <v>43945</v>
      </c>
      <c r="I45" s="92">
        <f>IFERROR(__xludf.DUMMYFUNCTION("""COMPUTED_VALUE"""),90.0)</f>
        <v>90</v>
      </c>
      <c r="J45" s="74" t="str">
        <f>IFERROR(__xludf.DUMMYFUNCTION("""COMPUTED_VALUE"""),".")</f>
        <v>.</v>
      </c>
      <c r="K45" s="80" t="str">
        <f>IFERROR(__xludf.DUMMYFUNCTION("""COMPUTED_VALUE"""),"https://drive.google.com/open?id=1RxUqwi4Bbgsj0-AYaZjFPewNmTLYF7RM")</f>
        <v>https://drive.google.com/open?id=1RxUqwi4Bbgsj0-AYaZjFPewNmTLYF7RM</v>
      </c>
      <c r="L45" s="74" t="str">
        <f>IFERROR(__xludf.DUMMYFUNCTION("""COMPUTED_VALUE"""),"2018-2022")</f>
        <v>2018-2022</v>
      </c>
      <c r="M45" s="74" t="str">
        <f>IFERROR(__xludf.DUMMYFUNCTION("""COMPUTED_VALUE"""),"S4: Student Certifications")</f>
        <v>S4: Student Certifications</v>
      </c>
      <c r="N45" s="74" t="str">
        <f>IFERROR(__xludf.DUMMYFUNCTION("""COMPUTED_VALUE"""),"gorlejayasri99@gmail.com")</f>
        <v>gorlejayasri99@gmail.com</v>
      </c>
      <c r="O45" s="74" t="str">
        <f>IFERROR(__xludf.DUMMYFUNCTION("""COMPUTED_VALUE"""),"SEM-4")</f>
        <v>SEM-4</v>
      </c>
      <c r="P45" s="74"/>
      <c r="Q45" s="74"/>
      <c r="R45" s="74"/>
      <c r="S45" s="74"/>
      <c r="T45" s="74"/>
      <c r="U45" s="74"/>
      <c r="V45" s="74"/>
      <c r="W45" s="74"/>
      <c r="X45" s="74"/>
      <c r="Y45" s="74"/>
    </row>
    <row r="46" ht="26.25" customHeight="1">
      <c r="A46" s="74" t="str">
        <f>IFERROR(__xludf.DUMMYFUNCTION("""COMPUTED_VALUE"""),"Alluri Vishnu Vardhan Varma ")</f>
        <v>Alluri Vishnu Vardhan Varma </v>
      </c>
      <c r="B46" s="74" t="str">
        <f>IFERROR(__xludf.DUMMYFUNCTION("""COMPUTED_VALUE"""),"18331A0504")</f>
        <v>18331A0504</v>
      </c>
      <c r="C46" s="90" t="str">
        <f>IFERROR(__xludf.DUMMYFUNCTION("""COMPUTED_VALUE"""),"Getting Started with Python")</f>
        <v>Getting Started with Python</v>
      </c>
      <c r="D46" s="74" t="str">
        <f>IFERROR(__xludf.DUMMYFUNCTION("""COMPUTED_VALUE"""),"Coursera")</f>
        <v>Coursera</v>
      </c>
      <c r="E46" s="74" t="str">
        <f>IFERROR(__xludf.DUMMYFUNCTION("""COMPUTED_VALUE"""),"1 month")</f>
        <v>1 month</v>
      </c>
      <c r="F46" s="91">
        <f>IFERROR(__xludf.DUMMYFUNCTION("""COMPUTED_VALUE"""),43864.0)</f>
        <v>43864</v>
      </c>
      <c r="G46" s="91">
        <f>IFERROR(__xludf.DUMMYFUNCTION("""COMPUTED_VALUE"""),43895.0)</f>
        <v>43895</v>
      </c>
      <c r="H46" s="79">
        <f>IFERROR(__xludf.DUMMYFUNCTION("""COMPUTED_VALUE"""),43895.0)</f>
        <v>43895</v>
      </c>
      <c r="I46" s="92">
        <f>IFERROR(__xludf.DUMMYFUNCTION("""COMPUTED_VALUE"""),87.0)</f>
        <v>87</v>
      </c>
      <c r="J46" s="74" t="str">
        <f>IFERROR(__xludf.DUMMYFUNCTION("""COMPUTED_VALUE"""),"Self Learning")</f>
        <v>Self Learning</v>
      </c>
      <c r="K46" s="80" t="str">
        <f>IFERROR(__xludf.DUMMYFUNCTION("""COMPUTED_VALUE"""),"https://drive.google.com/open?id=1rvgWR3i5McsxAnq_-ne6ZbqkJcF31fxr")</f>
        <v>https://drive.google.com/open?id=1rvgWR3i5McsxAnq_-ne6ZbqkJcF31fxr</v>
      </c>
      <c r="L46" s="74" t="str">
        <f>IFERROR(__xludf.DUMMYFUNCTION("""COMPUTED_VALUE"""),"2018-2022")</f>
        <v>2018-2022</v>
      </c>
      <c r="M46" s="74" t="str">
        <f>IFERROR(__xludf.DUMMYFUNCTION("""COMPUTED_VALUE"""),"S4: Student Certifications")</f>
        <v>S4: Student Certifications</v>
      </c>
      <c r="N46" s="74" t="str">
        <f>IFERROR(__xludf.DUMMYFUNCTION("""COMPUTED_VALUE"""),"vvvarma2001@gmail.com")</f>
        <v>vvvarma2001@gmail.com</v>
      </c>
      <c r="O46" s="74" t="str">
        <f>IFERROR(__xludf.DUMMYFUNCTION("""COMPUTED_VALUE"""),"SEM-8")</f>
        <v>SEM-8</v>
      </c>
      <c r="P46" s="74"/>
      <c r="Q46" s="74"/>
      <c r="R46" s="74"/>
      <c r="S46" s="74"/>
      <c r="T46" s="74"/>
      <c r="U46" s="74"/>
      <c r="V46" s="74"/>
      <c r="W46" s="74"/>
      <c r="X46" s="74"/>
      <c r="Y46" s="74"/>
    </row>
    <row r="47" ht="26.25" customHeight="1">
      <c r="A47" s="74" t="str">
        <f>IFERROR(__xludf.DUMMYFUNCTION("""COMPUTED_VALUE"""),"Alluri Vishnu Vardhan Varma ")</f>
        <v>Alluri Vishnu Vardhan Varma </v>
      </c>
      <c r="B47" s="74" t="str">
        <f>IFERROR(__xludf.DUMMYFUNCTION("""COMPUTED_VALUE"""),"18331A0504")</f>
        <v>18331A0504</v>
      </c>
      <c r="C47" s="90" t="str">
        <f>IFERROR(__xludf.DUMMYFUNCTION("""COMPUTED_VALUE"""),"Python Data Structures")</f>
        <v>Python Data Structures</v>
      </c>
      <c r="D47" s="74" t="str">
        <f>IFERROR(__xludf.DUMMYFUNCTION("""COMPUTED_VALUE"""),"Coursera")</f>
        <v>Coursera</v>
      </c>
      <c r="E47" s="74" t="str">
        <f>IFERROR(__xludf.DUMMYFUNCTION("""COMPUTED_VALUE"""),"2 months")</f>
        <v>2 months</v>
      </c>
      <c r="F47" s="91">
        <f>IFERROR(__xludf.DUMMYFUNCTION("""COMPUTED_VALUE"""),43908.0)</f>
        <v>43908</v>
      </c>
      <c r="G47" s="91">
        <f>IFERROR(__xludf.DUMMYFUNCTION("""COMPUTED_VALUE"""),43967.0)</f>
        <v>43967</v>
      </c>
      <c r="H47" s="79">
        <f>IFERROR(__xludf.DUMMYFUNCTION("""COMPUTED_VALUE"""),43967.0)</f>
        <v>43967</v>
      </c>
      <c r="I47" s="92">
        <f>IFERROR(__xludf.DUMMYFUNCTION("""COMPUTED_VALUE"""),82.0)</f>
        <v>82</v>
      </c>
      <c r="J47" s="74" t="str">
        <f>IFERROR(__xludf.DUMMYFUNCTION("""COMPUTED_VALUE"""),"Self Learning ")</f>
        <v>Self Learning </v>
      </c>
      <c r="K47" s="80" t="str">
        <f>IFERROR(__xludf.DUMMYFUNCTION("""COMPUTED_VALUE"""),"https://drive.google.com/open?id=1bH4XKH46QEMsaBFlfL864MyY17Fp4rhR")</f>
        <v>https://drive.google.com/open?id=1bH4XKH46QEMsaBFlfL864MyY17Fp4rhR</v>
      </c>
      <c r="L47" s="74" t="str">
        <f>IFERROR(__xludf.DUMMYFUNCTION("""COMPUTED_VALUE"""),"2018-2022")</f>
        <v>2018-2022</v>
      </c>
      <c r="M47" s="74" t="str">
        <f>IFERROR(__xludf.DUMMYFUNCTION("""COMPUTED_VALUE"""),"S4: Student Certifications")</f>
        <v>S4: Student Certifications</v>
      </c>
      <c r="N47" s="74" t="str">
        <f>IFERROR(__xludf.DUMMYFUNCTION("""COMPUTED_VALUE"""),"vvvarma2001@gmail.com")</f>
        <v>vvvarma2001@gmail.com</v>
      </c>
      <c r="O47" s="74" t="str">
        <f>IFERROR(__xludf.DUMMYFUNCTION("""COMPUTED_VALUE"""),"SEM-8")</f>
        <v>SEM-8</v>
      </c>
      <c r="P47" s="74"/>
      <c r="Q47" s="74"/>
      <c r="R47" s="74"/>
      <c r="S47" s="74"/>
      <c r="T47" s="74"/>
      <c r="U47" s="74"/>
      <c r="V47" s="74"/>
      <c r="W47" s="74"/>
      <c r="X47" s="74"/>
      <c r="Y47" s="74"/>
    </row>
    <row r="48" ht="26.25" customHeight="1">
      <c r="A48" s="74" t="str">
        <f>IFERROR(__xludf.DUMMYFUNCTION("""COMPUTED_VALUE"""),"Alluri Vishnu Vardhan Varma ")</f>
        <v>Alluri Vishnu Vardhan Varma </v>
      </c>
      <c r="B48" s="74" t="str">
        <f>IFERROR(__xludf.DUMMYFUNCTION("""COMPUTED_VALUE"""),"18331A0504")</f>
        <v>18331A0504</v>
      </c>
      <c r="C48" s="90" t="str">
        <f>IFERROR(__xludf.DUMMYFUNCTION("""COMPUTED_VALUE"""),"Machine Learning for All")</f>
        <v>Machine Learning for All</v>
      </c>
      <c r="D48" s="74" t="str">
        <f>IFERROR(__xludf.DUMMYFUNCTION("""COMPUTED_VALUE"""),"Coursera")</f>
        <v>Coursera</v>
      </c>
      <c r="E48" s="74" t="str">
        <f>IFERROR(__xludf.DUMMYFUNCTION("""COMPUTED_VALUE"""),"1 month")</f>
        <v>1 month</v>
      </c>
      <c r="F48" s="91">
        <f>IFERROR(__xludf.DUMMYFUNCTION("""COMPUTED_VALUE"""),43903.0)</f>
        <v>43903</v>
      </c>
      <c r="G48" s="91">
        <f>IFERROR(__xludf.DUMMYFUNCTION("""COMPUTED_VALUE"""),43925.0)</f>
        <v>43925</v>
      </c>
      <c r="H48" s="79">
        <f>IFERROR(__xludf.DUMMYFUNCTION("""COMPUTED_VALUE"""),43942.0)</f>
        <v>43942</v>
      </c>
      <c r="I48" s="92">
        <f>IFERROR(__xludf.DUMMYFUNCTION("""COMPUTED_VALUE"""),83.0)</f>
        <v>83</v>
      </c>
      <c r="J48" s="74" t="str">
        <f>IFERROR(__xludf.DUMMYFUNCTION("""COMPUTED_VALUE"""),"Self Learning ")</f>
        <v>Self Learning </v>
      </c>
      <c r="K48" s="80" t="str">
        <f>IFERROR(__xludf.DUMMYFUNCTION("""COMPUTED_VALUE"""),"https://drive.google.com/open?id=1e_2MubAzEkdFujWjr27BAhXJYOS91CyG")</f>
        <v>https://drive.google.com/open?id=1e_2MubAzEkdFujWjr27BAhXJYOS91CyG</v>
      </c>
      <c r="L48" s="74" t="str">
        <f>IFERROR(__xludf.DUMMYFUNCTION("""COMPUTED_VALUE"""),"2018-2022")</f>
        <v>2018-2022</v>
      </c>
      <c r="M48" s="74" t="str">
        <f>IFERROR(__xludf.DUMMYFUNCTION("""COMPUTED_VALUE"""),"S4: Student Certifications")</f>
        <v>S4: Student Certifications</v>
      </c>
      <c r="N48" s="74" t="str">
        <f>IFERROR(__xludf.DUMMYFUNCTION("""COMPUTED_VALUE"""),"vvvarma2001@gmail.com")</f>
        <v>vvvarma2001@gmail.com</v>
      </c>
      <c r="O48" s="74" t="str">
        <f>IFERROR(__xludf.DUMMYFUNCTION("""COMPUTED_VALUE"""),"SEM-8")</f>
        <v>SEM-8</v>
      </c>
      <c r="P48" s="74"/>
      <c r="Q48" s="74"/>
      <c r="R48" s="74"/>
      <c r="S48" s="74"/>
      <c r="T48" s="74"/>
      <c r="U48" s="74"/>
      <c r="V48" s="74"/>
      <c r="W48" s="74"/>
      <c r="X48" s="74"/>
      <c r="Y48" s="74"/>
    </row>
    <row r="49" ht="26.25" customHeight="1">
      <c r="A49" s="74" t="str">
        <f>IFERROR(__xludf.DUMMYFUNCTION("""COMPUTED_VALUE"""),"Alluri Vishnu Vardhan Varma ")</f>
        <v>Alluri Vishnu Vardhan Varma </v>
      </c>
      <c r="B49" s="74" t="str">
        <f>IFERROR(__xludf.DUMMYFUNCTION("""COMPUTED_VALUE"""),"18331A0504")</f>
        <v>18331A0504</v>
      </c>
      <c r="C49" s="90" t="str">
        <f>IFERROR(__xludf.DUMMYFUNCTION("""COMPUTED_VALUE"""),"AI for Everyone ")</f>
        <v>AI for Everyone </v>
      </c>
      <c r="D49" s="74" t="str">
        <f>IFERROR(__xludf.DUMMYFUNCTION("""COMPUTED_VALUE"""),"Coursera")</f>
        <v>Coursera</v>
      </c>
      <c r="E49" s="74" t="str">
        <f>IFERROR(__xludf.DUMMYFUNCTION("""COMPUTED_VALUE"""),"1 month")</f>
        <v>1 month</v>
      </c>
      <c r="F49" s="91">
        <f>IFERROR(__xludf.DUMMYFUNCTION("""COMPUTED_VALUE"""),43911.0)</f>
        <v>43911</v>
      </c>
      <c r="G49" s="91">
        <f>IFERROR(__xludf.DUMMYFUNCTION("""COMPUTED_VALUE"""),43941.0)</f>
        <v>43941</v>
      </c>
      <c r="H49" s="79">
        <f>IFERROR(__xludf.DUMMYFUNCTION("""COMPUTED_VALUE"""),43941.0)</f>
        <v>43941</v>
      </c>
      <c r="I49" s="92">
        <f>IFERROR(__xludf.DUMMYFUNCTION("""COMPUTED_VALUE"""),91.0)</f>
        <v>91</v>
      </c>
      <c r="J49" s="74" t="str">
        <f>IFERROR(__xludf.DUMMYFUNCTION("""COMPUTED_VALUE"""),"Self Learning ")</f>
        <v>Self Learning </v>
      </c>
      <c r="K49" s="80" t="str">
        <f>IFERROR(__xludf.DUMMYFUNCTION("""COMPUTED_VALUE"""),"https://drive.google.com/open?id=1bXQldzL7MuT1C-ThtJPgBjxOiWEm41c6")</f>
        <v>https://drive.google.com/open?id=1bXQldzL7MuT1C-ThtJPgBjxOiWEm41c6</v>
      </c>
      <c r="L49" s="74" t="str">
        <f>IFERROR(__xludf.DUMMYFUNCTION("""COMPUTED_VALUE"""),"2018-2022")</f>
        <v>2018-2022</v>
      </c>
      <c r="M49" s="74" t="str">
        <f>IFERROR(__xludf.DUMMYFUNCTION("""COMPUTED_VALUE"""),"S4: Student Certifications")</f>
        <v>S4: Student Certifications</v>
      </c>
      <c r="N49" s="74" t="str">
        <f>IFERROR(__xludf.DUMMYFUNCTION("""COMPUTED_VALUE"""),"vvvarma2001@gmail.com")</f>
        <v>vvvarma2001@gmail.com</v>
      </c>
      <c r="O49" s="74" t="str">
        <f>IFERROR(__xludf.DUMMYFUNCTION("""COMPUTED_VALUE"""),"SEM-8")</f>
        <v>SEM-8</v>
      </c>
      <c r="P49" s="74"/>
      <c r="Q49" s="74"/>
      <c r="R49" s="74"/>
      <c r="S49" s="74"/>
      <c r="T49" s="74"/>
      <c r="U49" s="74"/>
      <c r="V49" s="74"/>
      <c r="W49" s="74"/>
      <c r="X49" s="74"/>
      <c r="Y49" s="74"/>
    </row>
    <row r="50" ht="26.25" customHeight="1">
      <c r="A50" s="74" t="str">
        <f>IFERROR(__xludf.DUMMYFUNCTION("""COMPUTED_VALUE"""),"VUGGINA VEERA VENKATA SATYA VARAHA AYYAPPA")</f>
        <v>VUGGINA VEERA VENKATA SATYA VARAHA AYYAPPA</v>
      </c>
      <c r="B50" s="74" t="str">
        <f>IFERROR(__xludf.DUMMYFUNCTION("""COMPUTED_VALUE"""),"19335A0518")</f>
        <v>19335A0518</v>
      </c>
      <c r="C50" s="90" t="str">
        <f>IFERROR(__xludf.DUMMYFUNCTION("""COMPUTED_VALUE"""),"Introduction to Cybersecurity")</f>
        <v>Introduction to Cybersecurity</v>
      </c>
      <c r="D50" s="74" t="str">
        <f>IFERROR(__xludf.DUMMYFUNCTION("""COMPUTED_VALUE"""),"CISCO")</f>
        <v>CISCO</v>
      </c>
      <c r="E50" s="74" t="str">
        <f>IFERROR(__xludf.DUMMYFUNCTION("""COMPUTED_VALUE"""),"2 MONTHS")</f>
        <v>2 MONTHS</v>
      </c>
      <c r="F50" s="91">
        <f>IFERROR(__xludf.DUMMYFUNCTION("""COMPUTED_VALUE"""),44268.0)</f>
        <v>44268</v>
      </c>
      <c r="G50" s="91">
        <f>IFERROR(__xludf.DUMMYFUNCTION("""COMPUTED_VALUE"""),44336.0)</f>
        <v>44336</v>
      </c>
      <c r="H50" s="79">
        <f>IFERROR(__xludf.DUMMYFUNCTION("""COMPUTED_VALUE"""),44335.0)</f>
        <v>44335</v>
      </c>
      <c r="I50" s="92">
        <f>IFERROR(__xludf.DUMMYFUNCTION("""COMPUTED_VALUE"""),100.0)</f>
        <v>100</v>
      </c>
      <c r="J50" s="74" t="str">
        <f>IFERROR(__xludf.DUMMYFUNCTION("""COMPUTED_VALUE"""),"DR. RAVI KIRAN VARMA PENMATSA")</f>
        <v>DR. RAVI KIRAN VARMA PENMATSA</v>
      </c>
      <c r="K50" s="80" t="str">
        <f>IFERROR(__xludf.DUMMYFUNCTION("""COMPUTED_VALUE"""),"https://drive.google.com/open?id=16P-7gXP6ohJrWg3eywzto-usP9EqpkTz")</f>
        <v>https://drive.google.com/open?id=16P-7gXP6ohJrWg3eywzto-usP9EqpkTz</v>
      </c>
      <c r="L50" s="74" t="str">
        <f>IFERROR(__xludf.DUMMYFUNCTION("""COMPUTED_VALUE"""),"2018-2022")</f>
        <v>2018-2022</v>
      </c>
      <c r="M50" s="74" t="str">
        <f>IFERROR(__xludf.DUMMYFUNCTION("""COMPUTED_VALUE"""),"S4: Student Certifications")</f>
        <v>S4: Student Certifications</v>
      </c>
      <c r="N50" s="74" t="str">
        <f>IFERROR(__xludf.DUMMYFUNCTION("""COMPUTED_VALUE"""),"ayyappa.vuggina01@gmail.com")</f>
        <v>ayyappa.vuggina01@gmail.com</v>
      </c>
      <c r="O50" s="74" t="str">
        <f>IFERROR(__xludf.DUMMYFUNCTION("""COMPUTED_VALUE"""),"SEM-5")</f>
        <v>SEM-5</v>
      </c>
      <c r="P50" s="74"/>
      <c r="Q50" s="74"/>
      <c r="R50" s="74"/>
      <c r="S50" s="74"/>
      <c r="T50" s="74"/>
      <c r="U50" s="74"/>
      <c r="V50" s="74"/>
      <c r="W50" s="74"/>
      <c r="X50" s="74"/>
      <c r="Y50" s="74"/>
    </row>
    <row r="51" ht="26.25" customHeight="1">
      <c r="A51" s="74" t="str">
        <f>IFERROR(__xludf.DUMMYFUNCTION("""COMPUTED_VALUE"""),"vuggina veera venkata satya varaha ayyappa")</f>
        <v>vuggina veera venkata satya varaha ayyappa</v>
      </c>
      <c r="B51" s="74" t="str">
        <f>IFERROR(__xludf.DUMMYFUNCTION("""COMPUTED_VALUE"""),"19335A0518")</f>
        <v>19335A0518</v>
      </c>
      <c r="C51" s="90" t="str">
        <f>IFERROR(__xludf.DUMMYFUNCTION("""COMPUTED_VALUE"""),"Cybersecurity Essentials")</f>
        <v>Cybersecurity Essentials</v>
      </c>
      <c r="D51" s="74" t="str">
        <f>IFERROR(__xludf.DUMMYFUNCTION("""COMPUTED_VALUE"""),"cisco")</f>
        <v>cisco</v>
      </c>
      <c r="E51" s="74" t="str">
        <f>IFERROR(__xludf.DUMMYFUNCTION("""COMPUTED_VALUE"""),"2 months")</f>
        <v>2 months</v>
      </c>
      <c r="F51" s="91">
        <f>IFERROR(__xludf.DUMMYFUNCTION("""COMPUTED_VALUE"""),44341.0)</f>
        <v>44341</v>
      </c>
      <c r="G51" s="91">
        <f>IFERROR(__xludf.DUMMYFUNCTION("""COMPUTED_VALUE"""),44404.0)</f>
        <v>44404</v>
      </c>
      <c r="H51" s="79">
        <f>IFERROR(__xludf.DUMMYFUNCTION("""COMPUTED_VALUE"""),44403.0)</f>
        <v>44403</v>
      </c>
      <c r="I51" s="92">
        <f>IFERROR(__xludf.DUMMYFUNCTION("""COMPUTED_VALUE"""),100.0)</f>
        <v>100</v>
      </c>
      <c r="J51" s="74" t="str">
        <f>IFERROR(__xludf.DUMMYFUNCTION("""COMPUTED_VALUE"""),"DR. RAVI KIRAN VARMA PENMATSA")</f>
        <v>DR. RAVI KIRAN VARMA PENMATSA</v>
      </c>
      <c r="K51" s="80" t="str">
        <f>IFERROR(__xludf.DUMMYFUNCTION("""COMPUTED_VALUE"""),"https://drive.google.com/open?id=1XFI_7JiumZfW1wC0twlAbqOlOW7O9NH4")</f>
        <v>https://drive.google.com/open?id=1XFI_7JiumZfW1wC0twlAbqOlOW7O9NH4</v>
      </c>
      <c r="L51" s="74" t="str">
        <f>IFERROR(__xludf.DUMMYFUNCTION("""COMPUTED_VALUE"""),"2018-2022")</f>
        <v>2018-2022</v>
      </c>
      <c r="M51" s="74" t="str">
        <f>IFERROR(__xludf.DUMMYFUNCTION("""COMPUTED_VALUE"""),"S4: Student Certifications")</f>
        <v>S4: Student Certifications</v>
      </c>
      <c r="N51" s="74" t="str">
        <f>IFERROR(__xludf.DUMMYFUNCTION("""COMPUTED_VALUE"""),"ayyappa.vuggina01@gmail.com")</f>
        <v>ayyappa.vuggina01@gmail.com</v>
      </c>
      <c r="O51" s="74" t="str">
        <f>IFERROR(__xludf.DUMMYFUNCTION("""COMPUTED_VALUE"""),"SEM-5")</f>
        <v>SEM-5</v>
      </c>
      <c r="P51" s="74"/>
      <c r="Q51" s="74"/>
      <c r="R51" s="74"/>
      <c r="S51" s="74"/>
      <c r="T51" s="74"/>
      <c r="U51" s="74"/>
      <c r="V51" s="74"/>
      <c r="W51" s="74"/>
      <c r="X51" s="74"/>
      <c r="Y51" s="74"/>
    </row>
    <row r="52" ht="26.25" customHeight="1">
      <c r="A52" s="74" t="str">
        <f>IFERROR(__xludf.DUMMYFUNCTION("""COMPUTED_VALUE"""),"VUGGINA VEERA VENKATA SATYA VARAHA AYYAPPA")</f>
        <v>VUGGINA VEERA VENKATA SATYA VARAHA AYYAPPA</v>
      </c>
      <c r="B52" s="74" t="str">
        <f>IFERROR(__xludf.DUMMYFUNCTION("""COMPUTED_VALUE"""),"19335A0518")</f>
        <v>19335A0518</v>
      </c>
      <c r="C52" s="90" t="str">
        <f>IFERROR(__xludf.DUMMYFUNCTION("""COMPUTED_VALUE"""),"Introduction to Networks")</f>
        <v>Introduction to Networks</v>
      </c>
      <c r="D52" s="74" t="str">
        <f>IFERROR(__xludf.DUMMYFUNCTION("""COMPUTED_VALUE"""),"CISCO")</f>
        <v>CISCO</v>
      </c>
      <c r="E52" s="74" t="str">
        <f>IFERROR(__xludf.DUMMYFUNCTION("""COMPUTED_VALUE"""),"2 MONTHS")</f>
        <v>2 MONTHS</v>
      </c>
      <c r="F52" s="91">
        <f>IFERROR(__xludf.DUMMYFUNCTION("""COMPUTED_VALUE"""),44321.0)</f>
        <v>44321</v>
      </c>
      <c r="G52" s="91">
        <f>IFERROR(__xludf.DUMMYFUNCTION("""COMPUTED_VALUE"""),44381.0)</f>
        <v>44381</v>
      </c>
      <c r="H52" s="79">
        <f>IFERROR(__xludf.DUMMYFUNCTION("""COMPUTED_VALUE"""),44380.0)</f>
        <v>44380</v>
      </c>
      <c r="I52" s="92">
        <f>IFERROR(__xludf.DUMMYFUNCTION("""COMPUTED_VALUE"""),100.0)</f>
        <v>100</v>
      </c>
      <c r="J52" s="74" t="str">
        <f>IFERROR(__xludf.DUMMYFUNCTION("""COMPUTED_VALUE"""),"DR. RAVI KIRAN VARMA PENMATSA")</f>
        <v>DR. RAVI KIRAN VARMA PENMATSA</v>
      </c>
      <c r="K52" s="80" t="str">
        <f>IFERROR(__xludf.DUMMYFUNCTION("""COMPUTED_VALUE"""),"https://drive.google.com/open?id=1jjoaRfGp6aVW5F5X17X0ibtIlEwpilm3")</f>
        <v>https://drive.google.com/open?id=1jjoaRfGp6aVW5F5X17X0ibtIlEwpilm3</v>
      </c>
      <c r="L52" s="74" t="str">
        <f>IFERROR(__xludf.DUMMYFUNCTION("""COMPUTED_VALUE"""),"2018-2022")</f>
        <v>2018-2022</v>
      </c>
      <c r="M52" s="74" t="str">
        <f>IFERROR(__xludf.DUMMYFUNCTION("""COMPUTED_VALUE"""),"S4: Student Certifications")</f>
        <v>S4: Student Certifications</v>
      </c>
      <c r="N52" s="74" t="str">
        <f>IFERROR(__xludf.DUMMYFUNCTION("""COMPUTED_VALUE"""),"ayyappa.vuggina01@gmail.com")</f>
        <v>ayyappa.vuggina01@gmail.com</v>
      </c>
      <c r="O52" s="74" t="str">
        <f>IFERROR(__xludf.DUMMYFUNCTION("""COMPUTED_VALUE"""),"SEM-5")</f>
        <v>SEM-5</v>
      </c>
      <c r="P52" s="74"/>
      <c r="Q52" s="74"/>
      <c r="R52" s="74"/>
      <c r="S52" s="74"/>
      <c r="T52" s="74"/>
      <c r="U52" s="74"/>
      <c r="V52" s="74"/>
      <c r="W52" s="74"/>
      <c r="X52" s="74"/>
      <c r="Y52" s="74"/>
    </row>
    <row r="53" ht="26.25" customHeight="1">
      <c r="A53" s="74" t="str">
        <f>IFERROR(__xludf.DUMMYFUNCTION("""COMPUTED_VALUE"""),"LATCHUBUKTHA SUTESH")</f>
        <v>LATCHUBUKTHA SUTESH</v>
      </c>
      <c r="B53" s="74" t="str">
        <f>IFERROR(__xludf.DUMMYFUNCTION("""COMPUTED_VALUE"""),"18331A0588")</f>
        <v>18331A0588</v>
      </c>
      <c r="C53" s="90" t="str">
        <f>IFERROR(__xludf.DUMMYFUNCTION("""COMPUTED_VALUE"""),"CCNAv7: Introduction to Networks")</f>
        <v>CCNAv7: Introduction to Networks</v>
      </c>
      <c r="D53" s="74" t="str">
        <f>IFERROR(__xludf.DUMMYFUNCTION("""COMPUTED_VALUE"""),"CISCO")</f>
        <v>CISCO</v>
      </c>
      <c r="E53" s="74" t="str">
        <f>IFERROR(__xludf.DUMMYFUNCTION("""COMPUTED_VALUE"""),"2 months")</f>
        <v>2 months</v>
      </c>
      <c r="F53" s="91">
        <f>IFERROR(__xludf.DUMMYFUNCTION("""COMPUTED_VALUE"""),44317.0)</f>
        <v>44317</v>
      </c>
      <c r="G53" s="91">
        <f>IFERROR(__xludf.DUMMYFUNCTION("""COMPUTED_VALUE"""),44378.0)</f>
        <v>44378</v>
      </c>
      <c r="H53" s="79">
        <f>IFERROR(__xludf.DUMMYFUNCTION("""COMPUTED_VALUE"""),44377.0)</f>
        <v>44377</v>
      </c>
      <c r="I53" s="92">
        <f>IFERROR(__xludf.DUMMYFUNCTION("""COMPUTED_VALUE"""),98.0)</f>
        <v>98</v>
      </c>
      <c r="J53" s="74" t="str">
        <f>IFERROR(__xludf.DUMMYFUNCTION("""COMPUTED_VALUE"""),"Subba Raju K V")</f>
        <v>Subba Raju K V</v>
      </c>
      <c r="K53" s="80" t="str">
        <f>IFERROR(__xludf.DUMMYFUNCTION("""COMPUTED_VALUE"""),"https://drive.google.com/open?id=1wZ6vEmX8t7uRppb1rzrUDY46gzb-WT52")</f>
        <v>https://drive.google.com/open?id=1wZ6vEmX8t7uRppb1rzrUDY46gzb-WT52</v>
      </c>
      <c r="L53" s="74" t="str">
        <f>IFERROR(__xludf.DUMMYFUNCTION("""COMPUTED_VALUE"""),"2018-2022")</f>
        <v>2018-2022</v>
      </c>
      <c r="M53" s="74" t="str">
        <f>IFERROR(__xludf.DUMMYFUNCTION("""COMPUTED_VALUE"""),"S4: Student Certifications")</f>
        <v>S4: Student Certifications</v>
      </c>
      <c r="N53" s="74" t="str">
        <f>IFERROR(__xludf.DUMMYFUNCTION("""COMPUTED_VALUE"""),"latchubukthasutesh9@gmail.com")</f>
        <v>latchubukthasutesh9@gmail.com</v>
      </c>
      <c r="O53" s="74" t="str">
        <f>IFERROR(__xludf.DUMMYFUNCTION("""COMPUTED_VALUE"""),"SEM-5")</f>
        <v>SEM-5</v>
      </c>
      <c r="P53" s="74"/>
      <c r="Q53" s="74"/>
      <c r="R53" s="74"/>
      <c r="S53" s="74"/>
      <c r="T53" s="74"/>
      <c r="U53" s="74"/>
      <c r="V53" s="74"/>
      <c r="W53" s="74"/>
      <c r="X53" s="74"/>
      <c r="Y53" s="74"/>
    </row>
    <row r="54" ht="26.25" customHeight="1">
      <c r="A54" s="74" t="str">
        <f>IFERROR(__xludf.DUMMYFUNCTION("""COMPUTED_VALUE"""),"LATCHUBUKTHA SUTESH")</f>
        <v>LATCHUBUKTHA SUTESH</v>
      </c>
      <c r="B54" s="74" t="str">
        <f>IFERROR(__xludf.DUMMYFUNCTION("""COMPUTED_VALUE"""),"18331A0588")</f>
        <v>18331A0588</v>
      </c>
      <c r="C54" s="90" t="str">
        <f>IFERROR(__xludf.DUMMYFUNCTION("""COMPUTED_VALUE"""),"Cybersecurity Essentials")</f>
        <v>Cybersecurity Essentials</v>
      </c>
      <c r="D54" s="74" t="str">
        <f>IFERROR(__xludf.DUMMYFUNCTION("""COMPUTED_VALUE"""),"CISCO")</f>
        <v>CISCO</v>
      </c>
      <c r="E54" s="74" t="str">
        <f>IFERROR(__xludf.DUMMYFUNCTION("""COMPUTED_VALUE"""),"1 month")</f>
        <v>1 month</v>
      </c>
      <c r="F54" s="91">
        <f>IFERROR(__xludf.DUMMYFUNCTION("""COMPUTED_VALUE"""),43647.0)</f>
        <v>43647</v>
      </c>
      <c r="G54" s="91">
        <f>IFERROR(__xludf.DUMMYFUNCTION("""COMPUTED_VALUE"""),43676.0)</f>
        <v>43676</v>
      </c>
      <c r="H54" s="79">
        <f>IFERROR(__xludf.DUMMYFUNCTION("""COMPUTED_VALUE"""),43675.0)</f>
        <v>43675</v>
      </c>
      <c r="I54" s="92">
        <f>IFERROR(__xludf.DUMMYFUNCTION("""COMPUTED_VALUE"""),100.0)</f>
        <v>100</v>
      </c>
      <c r="J54" s="74" t="str">
        <f>IFERROR(__xludf.DUMMYFUNCTION("""COMPUTED_VALUE"""),"subba Raju K V")</f>
        <v>subba Raju K V</v>
      </c>
      <c r="K54" s="80" t="str">
        <f>IFERROR(__xludf.DUMMYFUNCTION("""COMPUTED_VALUE"""),"https://drive.google.com/open?id=1lZco-aVK73UFtLeAGDTmSu_dhNTddkX_")</f>
        <v>https://drive.google.com/open?id=1lZco-aVK73UFtLeAGDTmSu_dhNTddkX_</v>
      </c>
      <c r="L54" s="74" t="str">
        <f>IFERROR(__xludf.DUMMYFUNCTION("""COMPUTED_VALUE"""),"2018-2022")</f>
        <v>2018-2022</v>
      </c>
      <c r="M54" s="74" t="str">
        <f>IFERROR(__xludf.DUMMYFUNCTION("""COMPUTED_VALUE"""),"S4: Student Certifications")</f>
        <v>S4: Student Certifications</v>
      </c>
      <c r="N54" s="74" t="str">
        <f>IFERROR(__xludf.DUMMYFUNCTION("""COMPUTED_VALUE"""),"latchubukthasutesh9@gmail.com")</f>
        <v>latchubukthasutesh9@gmail.com</v>
      </c>
      <c r="O54" s="74" t="str">
        <f>IFERROR(__xludf.DUMMYFUNCTION("""COMPUTED_VALUE"""),"SEM-3")</f>
        <v>SEM-3</v>
      </c>
      <c r="P54" s="74"/>
      <c r="Q54" s="74"/>
      <c r="R54" s="74"/>
      <c r="S54" s="74"/>
      <c r="T54" s="74"/>
      <c r="U54" s="74"/>
      <c r="V54" s="74"/>
      <c r="W54" s="74"/>
      <c r="X54" s="74"/>
      <c r="Y54" s="74"/>
    </row>
    <row r="55" ht="26.25" customHeight="1">
      <c r="A55" s="78" t="str">
        <f>IFERROR(__xludf.DUMMYFUNCTION("""COMPUTED_VALUE"""),"Pooja Madhurima Salapu")</f>
        <v>Pooja Madhurima Salapu</v>
      </c>
      <c r="B55" s="78" t="str">
        <f>IFERROR(__xludf.DUMMYFUNCTION("""COMPUTED_VALUE"""),"18331A05D5")</f>
        <v>18331A05D5</v>
      </c>
      <c r="C55" s="93" t="str">
        <f>IFERROR(__xludf.DUMMYFUNCTION("""COMPUTED_VALUE"""),"AWS ")</f>
        <v>AWS </v>
      </c>
      <c r="D55" s="78" t="str">
        <f>IFERROR(__xludf.DUMMYFUNCTION("""COMPUTED_VALUE"""),"AWS Academy Graduate - AWS Academy Cloud Foundations")</f>
        <v>AWS Academy Graduate - AWS Academy Cloud Foundations</v>
      </c>
      <c r="E55" s="78" t="str">
        <f>IFERROR(__xludf.DUMMYFUNCTION("""COMPUTED_VALUE"""),"1 month")</f>
        <v>1 month</v>
      </c>
      <c r="F55" s="94">
        <f>IFERROR(__xludf.DUMMYFUNCTION("""COMPUTED_VALUE"""),44531.0)</f>
        <v>44531</v>
      </c>
      <c r="G55" s="94">
        <f>IFERROR(__xludf.DUMMYFUNCTION("""COMPUTED_VALUE"""),44561.0)</f>
        <v>44561</v>
      </c>
      <c r="H55" s="84">
        <f>IFERROR(__xludf.DUMMYFUNCTION("""COMPUTED_VALUE"""),44561.0)</f>
        <v>44561</v>
      </c>
      <c r="I55" s="95">
        <f>IFERROR(__xludf.DUMMYFUNCTION("""COMPUTED_VALUE"""),100.0)</f>
        <v>100</v>
      </c>
      <c r="J55" s="78" t="str">
        <f>IFERROR(__xludf.DUMMYFUNCTION("""COMPUTED_VALUE"""),"Ravi kumar penmatsa")</f>
        <v>Ravi kumar penmatsa</v>
      </c>
      <c r="K55" s="85" t="str">
        <f>IFERROR(__xludf.DUMMYFUNCTION("""COMPUTED_VALUE"""),"https://drive.google.com/open?id=1juW1leyKoY2adY4coW49zQc9Xn91Wi_l")</f>
        <v>https://drive.google.com/open?id=1juW1leyKoY2adY4coW49zQc9Xn91Wi_l</v>
      </c>
      <c r="L55" s="78" t="str">
        <f>IFERROR(__xludf.DUMMYFUNCTION("""COMPUTED_VALUE"""),"2018-2022")</f>
        <v>2018-2022</v>
      </c>
      <c r="M55" s="78" t="str">
        <f>IFERROR(__xludf.DUMMYFUNCTION("""COMPUTED_VALUE"""),"S4: Student Certifications")</f>
        <v>S4: Student Certifications</v>
      </c>
      <c r="N55" s="78" t="str">
        <f>IFERROR(__xludf.DUMMYFUNCTION("""COMPUTED_VALUE"""),"poojasalapu@gmail.com")</f>
        <v>poojasalapu@gmail.com</v>
      </c>
      <c r="O55" s="78" t="str">
        <f>IFERROR(__xludf.DUMMYFUNCTION("""COMPUTED_VALUE"""),"SEM-6")</f>
        <v>SEM-6</v>
      </c>
      <c r="P55" s="78"/>
      <c r="Q55" s="78"/>
      <c r="R55" s="78"/>
      <c r="S55" s="78"/>
      <c r="T55" s="78"/>
      <c r="U55" s="78"/>
      <c r="V55" s="78"/>
      <c r="W55" s="78"/>
      <c r="X55" s="78"/>
      <c r="Y55" s="78"/>
    </row>
    <row r="56" ht="26.25" customHeight="1">
      <c r="A56" s="74" t="str">
        <f>IFERROR(__xludf.DUMMYFUNCTION("""COMPUTED_VALUE"""),"Pooja Madhurima Salapu")</f>
        <v>Pooja Madhurima Salapu</v>
      </c>
      <c r="B56" s="74" t="str">
        <f>IFERROR(__xludf.DUMMYFUNCTION("""COMPUTED_VALUE"""),"18331A05D5")</f>
        <v>18331A05D5</v>
      </c>
      <c r="C56" s="90" t="str">
        <f>IFERROR(__xludf.DUMMYFUNCTION("""COMPUTED_VALUE"""),"AWS Academy Graduate - AWS Academy Cloud Foundations")</f>
        <v>AWS Academy Graduate - AWS Academy Cloud Foundations</v>
      </c>
      <c r="D56" s="74" t="str">
        <f>IFERROR(__xludf.DUMMYFUNCTION("""COMPUTED_VALUE"""),"AWS Academy")</f>
        <v>AWS Academy</v>
      </c>
      <c r="E56" s="74" t="str">
        <f>IFERROR(__xludf.DUMMYFUNCTION("""COMPUTED_VALUE"""),"1 month")</f>
        <v>1 month</v>
      </c>
      <c r="F56" s="91">
        <f>IFERROR(__xludf.DUMMYFUNCTION("""COMPUTED_VALUE"""),44531.0)</f>
        <v>44531</v>
      </c>
      <c r="G56" s="91">
        <f>IFERROR(__xludf.DUMMYFUNCTION("""COMPUTED_VALUE"""),44561.0)</f>
        <v>44561</v>
      </c>
      <c r="H56" s="79">
        <f>IFERROR(__xludf.DUMMYFUNCTION("""COMPUTED_VALUE"""),44561.0)</f>
        <v>44561</v>
      </c>
      <c r="I56" s="92">
        <f>IFERROR(__xludf.DUMMYFUNCTION("""COMPUTED_VALUE"""),100.0)</f>
        <v>100</v>
      </c>
      <c r="J56" s="74" t="str">
        <f>IFERROR(__xludf.DUMMYFUNCTION("""COMPUTED_VALUE"""),"Ravi Kiran Varma Penmatsa")</f>
        <v>Ravi Kiran Varma Penmatsa</v>
      </c>
      <c r="K56" s="80" t="str">
        <f>IFERROR(__xludf.DUMMYFUNCTION("""COMPUTED_VALUE"""),"https://drive.google.com/open?id=1mnD5N7GnMRQCd8jftZCsJHHiDgkeDE3Q")</f>
        <v>https://drive.google.com/open?id=1mnD5N7GnMRQCd8jftZCsJHHiDgkeDE3Q</v>
      </c>
      <c r="L56" s="74" t="str">
        <f>IFERROR(__xludf.DUMMYFUNCTION("""COMPUTED_VALUE"""),"2018-2022")</f>
        <v>2018-2022</v>
      </c>
      <c r="M56" s="74" t="str">
        <f>IFERROR(__xludf.DUMMYFUNCTION("""COMPUTED_VALUE"""),"S4: Student Certifications")</f>
        <v>S4: Student Certifications</v>
      </c>
      <c r="N56" s="74" t="str">
        <f>IFERROR(__xludf.DUMMYFUNCTION("""COMPUTED_VALUE"""),"poojasalapu@gmail.com")</f>
        <v>poojasalapu@gmail.com</v>
      </c>
      <c r="O56" s="74" t="str">
        <f>IFERROR(__xludf.DUMMYFUNCTION("""COMPUTED_VALUE"""),"SEM-6")</f>
        <v>SEM-6</v>
      </c>
      <c r="P56" s="74"/>
      <c r="Q56" s="74"/>
      <c r="R56" s="74"/>
      <c r="S56" s="74"/>
      <c r="T56" s="74"/>
      <c r="U56" s="74"/>
      <c r="V56" s="74"/>
      <c r="W56" s="74"/>
      <c r="X56" s="74"/>
      <c r="Y56" s="74"/>
    </row>
    <row r="57" ht="26.25" customHeight="1">
      <c r="A57" s="74" t="str">
        <f>IFERROR(__xludf.DUMMYFUNCTION("""COMPUTED_VALUE"""),"Pooja Madhurima Salapu")</f>
        <v>Pooja Madhurima Salapu</v>
      </c>
      <c r="B57" s="74" t="str">
        <f>IFERROR(__xludf.DUMMYFUNCTION("""COMPUTED_VALUE"""),"18331A05D5")</f>
        <v>18331A05D5</v>
      </c>
      <c r="C57" s="90" t="str">
        <f>IFERROR(__xludf.DUMMYFUNCTION("""COMPUTED_VALUE"""),"AWS Academy Graduate - AWS Academy Cloud Architecting")</f>
        <v>AWS Academy Graduate - AWS Academy Cloud Architecting</v>
      </c>
      <c r="D57" s="74" t="str">
        <f>IFERROR(__xludf.DUMMYFUNCTION("""COMPUTED_VALUE"""),"AWS Academy")</f>
        <v>AWS Academy</v>
      </c>
      <c r="E57" s="74" t="str">
        <f>IFERROR(__xludf.DUMMYFUNCTION("""COMPUTED_VALUE"""),"1 month")</f>
        <v>1 month</v>
      </c>
      <c r="F57" s="91">
        <f>IFERROR(__xludf.DUMMYFUNCTION("""COMPUTED_VALUE"""),44531.0)</f>
        <v>44531</v>
      </c>
      <c r="G57" s="91">
        <f>IFERROR(__xludf.DUMMYFUNCTION("""COMPUTED_VALUE"""),44561.0)</f>
        <v>44561</v>
      </c>
      <c r="H57" s="79">
        <f>IFERROR(__xludf.DUMMYFUNCTION("""COMPUTED_VALUE"""),44561.0)</f>
        <v>44561</v>
      </c>
      <c r="I57" s="92">
        <f>IFERROR(__xludf.DUMMYFUNCTION("""COMPUTED_VALUE"""),100.0)</f>
        <v>100</v>
      </c>
      <c r="J57" s="74" t="str">
        <f>IFERROR(__xludf.DUMMYFUNCTION("""COMPUTED_VALUE"""),"Ravi Kiran Varma Penmatsa")</f>
        <v>Ravi Kiran Varma Penmatsa</v>
      </c>
      <c r="K57" s="80" t="str">
        <f>IFERROR(__xludf.DUMMYFUNCTION("""COMPUTED_VALUE"""),"https://drive.google.com/open?id=127AW0C839nzZAdcqYaMw-UrY4OUnaC49")</f>
        <v>https://drive.google.com/open?id=127AW0C839nzZAdcqYaMw-UrY4OUnaC49</v>
      </c>
      <c r="L57" s="74" t="str">
        <f>IFERROR(__xludf.DUMMYFUNCTION("""COMPUTED_VALUE"""),"2018-2022")</f>
        <v>2018-2022</v>
      </c>
      <c r="M57" s="74" t="str">
        <f>IFERROR(__xludf.DUMMYFUNCTION("""COMPUTED_VALUE"""),"S4: Student Certifications")</f>
        <v>S4: Student Certifications</v>
      </c>
      <c r="N57" s="74" t="str">
        <f>IFERROR(__xludf.DUMMYFUNCTION("""COMPUTED_VALUE"""),"poojasalapu@gmail.com")</f>
        <v>poojasalapu@gmail.com</v>
      </c>
      <c r="O57" s="74" t="str">
        <f>IFERROR(__xludf.DUMMYFUNCTION("""COMPUTED_VALUE"""),"SEM-6")</f>
        <v>SEM-6</v>
      </c>
      <c r="P57" s="74"/>
      <c r="Q57" s="74"/>
      <c r="R57" s="74"/>
      <c r="S57" s="74"/>
      <c r="T57" s="74"/>
      <c r="U57" s="74"/>
      <c r="V57" s="74"/>
      <c r="W57" s="74"/>
      <c r="X57" s="74"/>
      <c r="Y57" s="74"/>
    </row>
    <row r="58" ht="26.25" customHeight="1">
      <c r="A58" s="74" t="str">
        <f>IFERROR(__xludf.DUMMYFUNCTION("""COMPUTED_VALUE"""),"LATCHUBUKTHA SUTESH")</f>
        <v>LATCHUBUKTHA SUTESH</v>
      </c>
      <c r="B58" s="74" t="str">
        <f>IFERROR(__xludf.DUMMYFUNCTION("""COMPUTED_VALUE"""),"18331A0588")</f>
        <v>18331A0588</v>
      </c>
      <c r="C58" s="90" t="str">
        <f>IFERROR(__xludf.DUMMYFUNCTION("""COMPUTED_VALUE"""),"AWS Academy Cloud Foundations")</f>
        <v>AWS Academy Cloud Foundations</v>
      </c>
      <c r="D58" s="74" t="str">
        <f>IFERROR(__xludf.DUMMYFUNCTION("""COMPUTED_VALUE"""),"AWS Academy ")</f>
        <v>AWS Academy </v>
      </c>
      <c r="E58" s="74" t="str">
        <f>IFERROR(__xludf.DUMMYFUNCTION("""COMPUTED_VALUE"""),"1 month")</f>
        <v>1 month</v>
      </c>
      <c r="F58" s="91">
        <f>IFERROR(__xludf.DUMMYFUNCTION("""COMPUTED_VALUE"""),44531.0)</f>
        <v>44531</v>
      </c>
      <c r="G58" s="91">
        <f>IFERROR(__xludf.DUMMYFUNCTION("""COMPUTED_VALUE"""),44542.0)</f>
        <v>44542</v>
      </c>
      <c r="H58" s="79">
        <f>IFERROR(__xludf.DUMMYFUNCTION("""COMPUTED_VALUE"""),44542.0)</f>
        <v>44542</v>
      </c>
      <c r="I58" s="92">
        <f>IFERROR(__xludf.DUMMYFUNCTION("""COMPUTED_VALUE"""),100.0)</f>
        <v>100</v>
      </c>
      <c r="J58" s="74" t="str">
        <f>IFERROR(__xludf.DUMMYFUNCTION("""COMPUTED_VALUE"""),"Ravi Kiran Varma Penmatsa")</f>
        <v>Ravi Kiran Varma Penmatsa</v>
      </c>
      <c r="K58" s="80" t="str">
        <f>IFERROR(__xludf.DUMMYFUNCTION("""COMPUTED_VALUE"""),"https://drive.google.com/open?id=1BmT1EtI1k5GIYrLz2ZgDUKZUyM-VraZb")</f>
        <v>https://drive.google.com/open?id=1BmT1EtI1k5GIYrLz2ZgDUKZUyM-VraZb</v>
      </c>
      <c r="L58" s="74" t="str">
        <f>IFERROR(__xludf.DUMMYFUNCTION("""COMPUTED_VALUE"""),"2018-2022")</f>
        <v>2018-2022</v>
      </c>
      <c r="M58" s="74" t="str">
        <f>IFERROR(__xludf.DUMMYFUNCTION("""COMPUTED_VALUE"""),"S4: Student Certifications")</f>
        <v>S4: Student Certifications</v>
      </c>
      <c r="N58" s="74" t="str">
        <f>IFERROR(__xludf.DUMMYFUNCTION("""COMPUTED_VALUE"""),"latchubukthasutesh9@gmail.com")</f>
        <v>latchubukthasutesh9@gmail.com</v>
      </c>
      <c r="O58" s="74" t="str">
        <f>IFERROR(__xludf.DUMMYFUNCTION("""COMPUTED_VALUE"""),"SEM-7")</f>
        <v>SEM-7</v>
      </c>
      <c r="P58" s="74"/>
      <c r="Q58" s="74"/>
      <c r="R58" s="74"/>
      <c r="S58" s="74"/>
      <c r="T58" s="74"/>
      <c r="U58" s="74"/>
      <c r="V58" s="74"/>
      <c r="W58" s="74"/>
      <c r="X58" s="74"/>
      <c r="Y58" s="74"/>
    </row>
    <row r="59" ht="26.25" customHeight="1">
      <c r="A59" s="74" t="str">
        <f>IFERROR(__xludf.DUMMYFUNCTION("""COMPUTED_VALUE"""),"LATCHUBUKTHA SUTESH")</f>
        <v>LATCHUBUKTHA SUTESH</v>
      </c>
      <c r="B59" s="74" t="str">
        <f>IFERROR(__xludf.DUMMYFUNCTION("""COMPUTED_VALUE"""),"18331A0588")</f>
        <v>18331A0588</v>
      </c>
      <c r="C59" s="90" t="str">
        <f>IFERROR(__xludf.DUMMYFUNCTION("""COMPUTED_VALUE"""),"AWS Academy Cloud Architecting")</f>
        <v>AWS Academy Cloud Architecting</v>
      </c>
      <c r="D59" s="74" t="str">
        <f>IFERROR(__xludf.DUMMYFUNCTION("""COMPUTED_VALUE"""),"AWS Academy ")</f>
        <v>AWS Academy </v>
      </c>
      <c r="E59" s="74" t="str">
        <f>IFERROR(__xludf.DUMMYFUNCTION("""COMPUTED_VALUE"""),"1 month")</f>
        <v>1 month</v>
      </c>
      <c r="F59" s="91">
        <f>IFERROR(__xludf.DUMMYFUNCTION("""COMPUTED_VALUE"""),44545.0)</f>
        <v>44545</v>
      </c>
      <c r="G59" s="91">
        <f>IFERROR(__xludf.DUMMYFUNCTION("""COMPUTED_VALUE"""),44575.0)</f>
        <v>44575</v>
      </c>
      <c r="H59" s="79">
        <f>IFERROR(__xludf.DUMMYFUNCTION("""COMPUTED_VALUE"""),44574.0)</f>
        <v>44574</v>
      </c>
      <c r="I59" s="92">
        <f>IFERROR(__xludf.DUMMYFUNCTION("""COMPUTED_VALUE"""),100.0)</f>
        <v>100</v>
      </c>
      <c r="J59" s="74" t="str">
        <f>IFERROR(__xludf.DUMMYFUNCTION("""COMPUTED_VALUE"""),"Ravi Kiran Varma Penmatsa")</f>
        <v>Ravi Kiran Varma Penmatsa</v>
      </c>
      <c r="K59" s="80" t="str">
        <f>IFERROR(__xludf.DUMMYFUNCTION("""COMPUTED_VALUE"""),"https://drive.google.com/open?id=1PaevZzctwiNstawvOgA2hOnh0j81xwO7")</f>
        <v>https://drive.google.com/open?id=1PaevZzctwiNstawvOgA2hOnh0j81xwO7</v>
      </c>
      <c r="L59" s="74" t="str">
        <f>IFERROR(__xludf.DUMMYFUNCTION("""COMPUTED_VALUE"""),"2018-2022")</f>
        <v>2018-2022</v>
      </c>
      <c r="M59" s="74" t="str">
        <f>IFERROR(__xludf.DUMMYFUNCTION("""COMPUTED_VALUE"""),"S4: Student Certifications")</f>
        <v>S4: Student Certifications</v>
      </c>
      <c r="N59" s="74" t="str">
        <f>IFERROR(__xludf.DUMMYFUNCTION("""COMPUTED_VALUE"""),"latchubukthasutesh9@gmail.com")</f>
        <v>latchubukthasutesh9@gmail.com</v>
      </c>
      <c r="O59" s="74" t="str">
        <f>IFERROR(__xludf.DUMMYFUNCTION("""COMPUTED_VALUE"""),"SEM-7")</f>
        <v>SEM-7</v>
      </c>
      <c r="P59" s="74"/>
      <c r="Q59" s="74"/>
      <c r="R59" s="74"/>
      <c r="S59" s="74"/>
      <c r="T59" s="74"/>
      <c r="U59" s="74"/>
      <c r="V59" s="74"/>
      <c r="W59" s="74"/>
      <c r="X59" s="74"/>
      <c r="Y59" s="74"/>
    </row>
    <row r="60" ht="26.25" customHeight="1">
      <c r="A60" s="74" t="str">
        <f>IFERROR(__xludf.DUMMYFUNCTION("""COMPUTED_VALUE"""),"Pooja Madhurima Salapu")</f>
        <v>Pooja Madhurima Salapu</v>
      </c>
      <c r="B60" s="74" t="str">
        <f>IFERROR(__xludf.DUMMYFUNCTION("""COMPUTED_VALUE"""),"18331A05D5")</f>
        <v>18331A05D5</v>
      </c>
      <c r="C60" s="90" t="str">
        <f>IFERROR(__xludf.DUMMYFUNCTION("""COMPUTED_VALUE"""),"Coursera(HTML,CSS,Python and AI)")</f>
        <v>Coursera(HTML,CSS,Python and AI)</v>
      </c>
      <c r="D60" s="74" t="str">
        <f>IFERROR(__xludf.DUMMYFUNCTION("""COMPUTED_VALUE"""),"Coursera")</f>
        <v>Coursera</v>
      </c>
      <c r="E60" s="74" t="str">
        <f>IFERROR(__xludf.DUMMYFUNCTION("""COMPUTED_VALUE"""),"1 month")</f>
        <v>1 month</v>
      </c>
      <c r="F60" s="91">
        <f>IFERROR(__xludf.DUMMYFUNCTION("""COMPUTED_VALUE"""),43952.0)</f>
        <v>43952</v>
      </c>
      <c r="G60" s="91">
        <f>IFERROR(__xludf.DUMMYFUNCTION("""COMPUTED_VALUE"""),43983.0)</f>
        <v>43983</v>
      </c>
      <c r="H60" s="79">
        <f>IFERROR(__xludf.DUMMYFUNCTION("""COMPUTED_VALUE"""),43983.0)</f>
        <v>43983</v>
      </c>
      <c r="I60" s="92">
        <f>IFERROR(__xludf.DUMMYFUNCTION("""COMPUTED_VALUE"""),100.0)</f>
        <v>100</v>
      </c>
      <c r="J60" s="74" t="str">
        <f>IFERROR(__xludf.DUMMYFUNCTION("""COMPUTED_VALUE"""),"NA")</f>
        <v>NA</v>
      </c>
      <c r="K60" s="80" t="str">
        <f>IFERROR(__xludf.DUMMYFUNCTION("""COMPUTED_VALUE"""),"https://drive.google.com/open?id=1BgGg5XwToZYoBNupMBn0U5mPe5X9DExJ")</f>
        <v>https://drive.google.com/open?id=1BgGg5XwToZYoBNupMBn0U5mPe5X9DExJ</v>
      </c>
      <c r="L60" s="74" t="str">
        <f>IFERROR(__xludf.DUMMYFUNCTION("""COMPUTED_VALUE"""),"2018-2022")</f>
        <v>2018-2022</v>
      </c>
      <c r="M60" s="74" t="str">
        <f>IFERROR(__xludf.DUMMYFUNCTION("""COMPUTED_VALUE"""),"S4: Student Certifications")</f>
        <v>S4: Student Certifications</v>
      </c>
      <c r="N60" s="74" t="str">
        <f>IFERROR(__xludf.DUMMYFUNCTION("""COMPUTED_VALUE"""),"poojasalapu@gmail.com")</f>
        <v>poojasalapu@gmail.com</v>
      </c>
      <c r="O60" s="74" t="str">
        <f>IFERROR(__xludf.DUMMYFUNCTION("""COMPUTED_VALUE"""),"SEM-3")</f>
        <v>SEM-3</v>
      </c>
      <c r="P60" s="74"/>
      <c r="Q60" s="74"/>
      <c r="R60" s="74"/>
      <c r="S60" s="74"/>
      <c r="T60" s="74"/>
      <c r="U60" s="74"/>
      <c r="V60" s="74"/>
      <c r="W60" s="74"/>
      <c r="X60" s="74"/>
      <c r="Y60" s="74"/>
    </row>
    <row r="61" ht="26.25" customHeight="1">
      <c r="A61" s="74" t="str">
        <f>IFERROR(__xludf.DUMMYFUNCTION("""COMPUTED_VALUE"""),"Pooja Madhurima Salapu")</f>
        <v>Pooja Madhurima Salapu</v>
      </c>
      <c r="B61" s="74" t="str">
        <f>IFERROR(__xludf.DUMMYFUNCTION("""COMPUTED_VALUE"""),"18331A05D5")</f>
        <v>18331A05D5</v>
      </c>
      <c r="C61" s="90" t="str">
        <f>IFERROR(__xludf.DUMMYFUNCTION("""COMPUTED_VALUE"""),"Coderiders")</f>
        <v>Coderiders</v>
      </c>
      <c r="D61" s="74" t="str">
        <f>IFERROR(__xludf.DUMMYFUNCTION("""COMPUTED_VALUE"""),"Cisco")</f>
        <v>Cisco</v>
      </c>
      <c r="E61" s="74" t="str">
        <f>IFERROR(__xludf.DUMMYFUNCTION("""COMPUTED_VALUE"""),"1")</f>
        <v>1</v>
      </c>
      <c r="F61" s="91">
        <f>IFERROR(__xludf.DUMMYFUNCTION("""COMPUTED_VALUE"""),44348.0)</f>
        <v>44348</v>
      </c>
      <c r="G61" s="91">
        <f>IFERROR(__xludf.DUMMYFUNCTION("""COMPUTED_VALUE"""),44378.0)</f>
        <v>44378</v>
      </c>
      <c r="H61" s="79">
        <f>IFERROR(__xludf.DUMMYFUNCTION("""COMPUTED_VALUE"""),44378.0)</f>
        <v>44378</v>
      </c>
      <c r="I61" s="92">
        <f>IFERROR(__xludf.DUMMYFUNCTION("""COMPUTED_VALUE"""),100.0)</f>
        <v>100</v>
      </c>
      <c r="J61" s="74" t="str">
        <f>IFERROR(__xludf.DUMMYFUNCTION("""COMPUTED_VALUE"""),"NA")</f>
        <v>NA</v>
      </c>
      <c r="K61" s="80" t="str">
        <f>IFERROR(__xludf.DUMMYFUNCTION("""COMPUTED_VALUE"""),"https://drive.google.com/open?id=1E8e34JvVoXED8RuuRU8oxi4f1e4Dsafs")</f>
        <v>https://drive.google.com/open?id=1E8e34JvVoXED8RuuRU8oxi4f1e4Dsafs</v>
      </c>
      <c r="L61" s="74" t="str">
        <f>IFERROR(__xludf.DUMMYFUNCTION("""COMPUTED_VALUE"""),"2018-2022")</f>
        <v>2018-2022</v>
      </c>
      <c r="M61" s="74" t="str">
        <f>IFERROR(__xludf.DUMMYFUNCTION("""COMPUTED_VALUE"""),"S4: Student Certifications")</f>
        <v>S4: Student Certifications</v>
      </c>
      <c r="N61" s="74" t="str">
        <f>IFERROR(__xludf.DUMMYFUNCTION("""COMPUTED_VALUE"""),"poojasalapu@gmail.com")</f>
        <v>poojasalapu@gmail.com</v>
      </c>
      <c r="O61" s="74" t="str">
        <f>IFERROR(__xludf.DUMMYFUNCTION("""COMPUTED_VALUE"""),"SEM-5")</f>
        <v>SEM-5</v>
      </c>
      <c r="P61" s="74"/>
      <c r="Q61" s="74"/>
      <c r="R61" s="74"/>
      <c r="S61" s="74"/>
      <c r="T61" s="74"/>
      <c r="U61" s="74"/>
      <c r="V61" s="74"/>
      <c r="W61" s="74"/>
      <c r="X61" s="74"/>
      <c r="Y61" s="74"/>
    </row>
    <row r="62" ht="26.25" customHeight="1">
      <c r="A62" s="74" t="str">
        <f>IFERROR(__xludf.DUMMYFUNCTION("""COMPUTED_VALUE"""),"Pooja Madhurima Salapu")</f>
        <v>Pooja Madhurima Salapu</v>
      </c>
      <c r="B62" s="74" t="str">
        <f>IFERROR(__xludf.DUMMYFUNCTION("""COMPUTED_VALUE"""),"18331A05D5")</f>
        <v>18331A05D5</v>
      </c>
      <c r="C62" s="90" t="str">
        <f>IFERROR(__xludf.DUMMYFUNCTION("""COMPUTED_VALUE"""),"Pooja Madhurima Salapu")</f>
        <v>Pooja Madhurima Salapu</v>
      </c>
      <c r="D62" s="74" t="str">
        <f>IFERROR(__xludf.DUMMYFUNCTION("""COMPUTED_VALUE"""),"Cisco")</f>
        <v>Cisco</v>
      </c>
      <c r="E62" s="74" t="str">
        <f>IFERROR(__xludf.DUMMYFUNCTION("""COMPUTED_VALUE"""),"BTech")</f>
        <v>BTech</v>
      </c>
      <c r="F62" s="91">
        <f>IFERROR(__xludf.DUMMYFUNCTION("""COMPUTED_VALUE"""),43617.0)</f>
        <v>43617</v>
      </c>
      <c r="G62" s="91">
        <f>IFERROR(__xludf.DUMMYFUNCTION("""COMPUTED_VALUE"""),44348.0)</f>
        <v>44348</v>
      </c>
      <c r="H62" s="79">
        <f>IFERROR(__xludf.DUMMYFUNCTION("""COMPUTED_VALUE"""),44348.0)</f>
        <v>44348</v>
      </c>
      <c r="I62" s="92">
        <f>IFERROR(__xludf.DUMMYFUNCTION("""COMPUTED_VALUE"""),100.0)</f>
        <v>100</v>
      </c>
      <c r="J62" s="74" t="str">
        <f>IFERROR(__xludf.DUMMYFUNCTION("""COMPUTED_VALUE"""),"Ravi Kiran Varma Penmatsa")</f>
        <v>Ravi Kiran Varma Penmatsa</v>
      </c>
      <c r="K62" s="80" t="str">
        <f>IFERROR(__xludf.DUMMYFUNCTION("""COMPUTED_VALUE"""),"https://drive.google.com/open?id=1Ym3ufoG5hrPBXiCbrihB5TaL3YXbLlNc")</f>
        <v>https://drive.google.com/open?id=1Ym3ufoG5hrPBXiCbrihB5TaL3YXbLlNc</v>
      </c>
      <c r="L62" s="74" t="str">
        <f>IFERROR(__xludf.DUMMYFUNCTION("""COMPUTED_VALUE"""),"2018-2022")</f>
        <v>2018-2022</v>
      </c>
      <c r="M62" s="74" t="str">
        <f>IFERROR(__xludf.DUMMYFUNCTION("""COMPUTED_VALUE"""),"S4: Student Certifications")</f>
        <v>S4: Student Certifications</v>
      </c>
      <c r="N62" s="74" t="str">
        <f>IFERROR(__xludf.DUMMYFUNCTION("""COMPUTED_VALUE"""),"poojasalapu@gmail.com")</f>
        <v>poojasalapu@gmail.com</v>
      </c>
      <c r="O62" s="74" t="str">
        <f>IFERROR(__xludf.DUMMYFUNCTION("""COMPUTED_VALUE"""),"SEM-2")</f>
        <v>SEM-2</v>
      </c>
      <c r="P62" s="74"/>
      <c r="Q62" s="74"/>
      <c r="R62" s="74"/>
      <c r="S62" s="74"/>
      <c r="T62" s="74"/>
      <c r="U62" s="74"/>
      <c r="V62" s="74"/>
      <c r="W62" s="74"/>
      <c r="X62" s="74"/>
      <c r="Y62" s="74"/>
    </row>
    <row r="63" ht="26.25" customHeight="1">
      <c r="A63" s="74" t="str">
        <f>IFERROR(__xludf.DUMMYFUNCTION("""COMPUTED_VALUE"""),"Pooja Madhurima Salapu")</f>
        <v>Pooja Madhurima Salapu</v>
      </c>
      <c r="B63" s="74" t="str">
        <f>IFERROR(__xludf.DUMMYFUNCTION("""COMPUTED_VALUE"""),"18331A05D5")</f>
        <v>18331A05D5</v>
      </c>
      <c r="C63" s="90" t="str">
        <f>IFERROR(__xludf.DUMMYFUNCTION("""COMPUTED_VALUE"""),"Red Hat System Administration I (RH124)")</f>
        <v>Red Hat System Administration I (RH124)</v>
      </c>
      <c r="D63" s="74" t="str">
        <f>IFERROR(__xludf.DUMMYFUNCTION("""COMPUTED_VALUE"""),"AICTE")</f>
        <v>AICTE</v>
      </c>
      <c r="E63" s="74" t="str">
        <f>IFERROR(__xludf.DUMMYFUNCTION("""COMPUTED_VALUE"""),"1")</f>
        <v>1</v>
      </c>
      <c r="F63" s="91">
        <f>IFERROR(__xludf.DUMMYFUNCTION("""COMPUTED_VALUE"""),44652.0)</f>
        <v>44652</v>
      </c>
      <c r="G63" s="91">
        <f>IFERROR(__xludf.DUMMYFUNCTION("""COMPUTED_VALUE"""),44681.0)</f>
        <v>44681</v>
      </c>
      <c r="H63" s="79">
        <f>IFERROR(__xludf.DUMMYFUNCTION("""COMPUTED_VALUE"""),44681.0)</f>
        <v>44681</v>
      </c>
      <c r="I63" s="92">
        <f>IFERROR(__xludf.DUMMYFUNCTION("""COMPUTED_VALUE"""),100.0)</f>
        <v>100</v>
      </c>
      <c r="J63" s="74" t="str">
        <f>IFERROR(__xludf.DUMMYFUNCTION("""COMPUTED_VALUE"""),"SUBBARAJU SIR")</f>
        <v>SUBBARAJU SIR</v>
      </c>
      <c r="K63" s="80" t="str">
        <f>IFERROR(__xludf.DUMMYFUNCTION("""COMPUTED_VALUE"""),"https://drive.google.com/open?id=1EqVwWxFgPBJOHvjZA0jScf8rURHuLvfM")</f>
        <v>https://drive.google.com/open?id=1EqVwWxFgPBJOHvjZA0jScf8rURHuLvfM</v>
      </c>
      <c r="L63" s="74" t="str">
        <f>IFERROR(__xludf.DUMMYFUNCTION("""COMPUTED_VALUE"""),"2018-2022")</f>
        <v>2018-2022</v>
      </c>
      <c r="M63" s="74" t="str">
        <f>IFERROR(__xludf.DUMMYFUNCTION("""COMPUTED_VALUE"""),"S4: Student Certifications")</f>
        <v>S4: Student Certifications</v>
      </c>
      <c r="N63" s="74" t="str">
        <f>IFERROR(__xludf.DUMMYFUNCTION("""COMPUTED_VALUE"""),"poojasalapu@gmail.com")</f>
        <v>poojasalapu@gmail.com</v>
      </c>
      <c r="O63" s="74" t="str">
        <f>IFERROR(__xludf.DUMMYFUNCTION("""COMPUTED_VALUE"""),"SEM-8")</f>
        <v>SEM-8</v>
      </c>
      <c r="P63" s="74"/>
      <c r="Q63" s="74"/>
      <c r="R63" s="74"/>
      <c r="S63" s="74"/>
      <c r="T63" s="74"/>
      <c r="U63" s="74"/>
      <c r="V63" s="74"/>
      <c r="W63" s="74"/>
      <c r="X63" s="74"/>
      <c r="Y63" s="74"/>
    </row>
    <row r="64" ht="26.25" customHeight="1">
      <c r="A64" s="78" t="str">
        <f>IFERROR(__xludf.DUMMYFUNCTION("""COMPUTED_VALUE"""),"Pooja Madhurima Salapu")</f>
        <v>Pooja Madhurima Salapu</v>
      </c>
      <c r="B64" s="78" t="str">
        <f>IFERROR(__xludf.DUMMYFUNCTION("""COMPUTED_VALUE"""),"18331A05D5")</f>
        <v>18331A05D5</v>
      </c>
      <c r="C64" s="93" t="str">
        <f>IFERROR(__xludf.DUMMYFUNCTION("""COMPUTED_VALUE"""),"D2C")</f>
        <v>D2C</v>
      </c>
      <c r="D64" s="78" t="str">
        <f>IFERROR(__xludf.DUMMYFUNCTION("""COMPUTED_VALUE"""),"D2C")</f>
        <v>D2C</v>
      </c>
      <c r="E64" s="78" t="str">
        <f>IFERROR(__xludf.DUMMYFUNCTION("""COMPUTED_VALUE"""),"2")</f>
        <v>2</v>
      </c>
      <c r="F64" s="94">
        <f>IFERROR(__xludf.DUMMYFUNCTION("""COMPUTED_VALUE"""),43983.0)</f>
        <v>43983</v>
      </c>
      <c r="G64" s="94">
        <f>IFERROR(__xludf.DUMMYFUNCTION("""COMPUTED_VALUE"""),44531.0)</f>
        <v>44531</v>
      </c>
      <c r="H64" s="84">
        <f>IFERROR(__xludf.DUMMYFUNCTION("""COMPUTED_VALUE"""),44531.0)</f>
        <v>44531</v>
      </c>
      <c r="I64" s="95">
        <f>IFERROR(__xludf.DUMMYFUNCTION("""COMPUTED_VALUE"""),100.0)</f>
        <v>100</v>
      </c>
      <c r="J64" s="78" t="str">
        <f>IFERROR(__xludf.DUMMYFUNCTION("""COMPUTED_VALUE"""),"NA")</f>
        <v>NA</v>
      </c>
      <c r="K64" s="85" t="str">
        <f>IFERROR(__xludf.DUMMYFUNCTION("""COMPUTED_VALUE"""),"https://drive.google.com/open?id=1xqCzYUBCGabD8rGLakUdkhtRCClEnZlj")</f>
        <v>https://drive.google.com/open?id=1xqCzYUBCGabD8rGLakUdkhtRCClEnZlj</v>
      </c>
      <c r="L64" s="78" t="str">
        <f>IFERROR(__xludf.DUMMYFUNCTION("""COMPUTED_VALUE"""),"2018-2022")</f>
        <v>2018-2022</v>
      </c>
      <c r="M64" s="78" t="str">
        <f>IFERROR(__xludf.DUMMYFUNCTION("""COMPUTED_VALUE"""),"S4: Student Certifications")</f>
        <v>S4: Student Certifications</v>
      </c>
      <c r="N64" s="78" t="str">
        <f>IFERROR(__xludf.DUMMYFUNCTION("""COMPUTED_VALUE"""),"poojasalapu@gmail.com")</f>
        <v>poojasalapu@gmail.com</v>
      </c>
      <c r="O64" s="78" t="str">
        <f>IFERROR(__xludf.DUMMYFUNCTION("""COMPUTED_VALUE"""),"SEM-3")</f>
        <v>SEM-3</v>
      </c>
      <c r="P64" s="78"/>
      <c r="Q64" s="78"/>
      <c r="R64" s="78"/>
      <c r="S64" s="78"/>
      <c r="T64" s="78"/>
      <c r="U64" s="78"/>
      <c r="V64" s="78"/>
      <c r="W64" s="78"/>
      <c r="X64" s="78"/>
      <c r="Y64" s="78"/>
    </row>
    <row r="65" ht="26.25" customHeight="1">
      <c r="A65" s="74" t="str">
        <f>IFERROR(__xludf.DUMMYFUNCTION("""COMPUTED_VALUE"""),"GANTA  GAYATRI")</f>
        <v>GANTA  GAYATRI</v>
      </c>
      <c r="B65" s="74" t="str">
        <f>IFERROR(__xludf.DUMMYFUNCTION("""COMPUTED_VALUE"""),"18331A0541")</f>
        <v>18331A0541</v>
      </c>
      <c r="C65" s="90" t="str">
        <f>IFERROR(__xludf.DUMMYFUNCTION("""COMPUTED_VALUE"""),"CCNA")</f>
        <v>CCNA</v>
      </c>
      <c r="D65" s="74" t="str">
        <f>IFERROR(__xludf.DUMMYFUNCTION("""COMPUTED_VALUE"""),"Cisco")</f>
        <v>Cisco</v>
      </c>
      <c r="E65" s="74" t="str">
        <f>IFERROR(__xludf.DUMMYFUNCTION("""COMPUTED_VALUE"""),"6")</f>
        <v>6</v>
      </c>
      <c r="F65" s="91">
        <f>IFERROR(__xludf.DUMMYFUNCTION("""COMPUTED_VALUE"""),43836.0)</f>
        <v>43836</v>
      </c>
      <c r="G65" s="91">
        <f>IFERROR(__xludf.DUMMYFUNCTION("""COMPUTED_VALUE"""),44020.0)</f>
        <v>44020</v>
      </c>
      <c r="H65" s="79">
        <f>IFERROR(__xludf.DUMMYFUNCTION("""COMPUTED_VALUE"""),44026.0)</f>
        <v>44026</v>
      </c>
      <c r="I65" s="92">
        <f>IFERROR(__xludf.DUMMYFUNCTION("""COMPUTED_VALUE"""),95.0)</f>
        <v>95</v>
      </c>
      <c r="J65" s="74" t="str">
        <f>IFERROR(__xludf.DUMMYFUNCTION("""COMPUTED_VALUE"""),"DR. RAVI KIRAN VARMA PENMATSA")</f>
        <v>DR. RAVI KIRAN VARMA PENMATSA</v>
      </c>
      <c r="K65" s="80" t="str">
        <f>IFERROR(__xludf.DUMMYFUNCTION("""COMPUTED_VALUE"""),"https://drive.google.com/open?id=1y973qex__okkEKPhMTgBO-JPj-KbUioj")</f>
        <v>https://drive.google.com/open?id=1y973qex__okkEKPhMTgBO-JPj-KbUioj</v>
      </c>
      <c r="L65" s="74" t="str">
        <f>IFERROR(__xludf.DUMMYFUNCTION("""COMPUTED_VALUE"""),"2018-2022")</f>
        <v>2018-2022</v>
      </c>
      <c r="M65" s="74" t="str">
        <f>IFERROR(__xludf.DUMMYFUNCTION("""COMPUTED_VALUE"""),"S4: Student Certifications")</f>
        <v>S4: Student Certifications</v>
      </c>
      <c r="N65" s="74" t="str">
        <f>IFERROR(__xludf.DUMMYFUNCTION("""COMPUTED_VALUE"""),"gantagayatri490@gmail.com")</f>
        <v>gantagayatri490@gmail.com</v>
      </c>
      <c r="O65" s="74" t="str">
        <f>IFERROR(__xludf.DUMMYFUNCTION("""COMPUTED_VALUE"""),"SEM-4")</f>
        <v>SEM-4</v>
      </c>
      <c r="P65" s="74"/>
      <c r="Q65" s="74"/>
      <c r="R65" s="74"/>
      <c r="S65" s="74"/>
      <c r="T65" s="74"/>
      <c r="U65" s="74"/>
      <c r="V65" s="74"/>
      <c r="W65" s="74"/>
      <c r="X65" s="74"/>
      <c r="Y65" s="74"/>
    </row>
    <row r="66" ht="26.25" customHeight="1">
      <c r="A66" s="74" t="str">
        <f>IFERROR(__xludf.DUMMYFUNCTION("""COMPUTED_VALUE"""),"Venkata Jaswanth Potnuru")</f>
        <v>Venkata Jaswanth Potnuru</v>
      </c>
      <c r="B66" s="74" t="str">
        <f>IFERROR(__xludf.DUMMYFUNCTION("""COMPUTED_VALUE"""),"19335A0513")</f>
        <v>19335A0513</v>
      </c>
      <c r="C66" s="90" t="str">
        <f>IFERROR(__xludf.DUMMYFUNCTION("""COMPUTED_VALUE"""),"Red Hat System Administration I (RH124)")</f>
        <v>Red Hat System Administration I (RH124)</v>
      </c>
      <c r="D66" s="74" t="str">
        <f>IFERROR(__xludf.DUMMYFUNCTION("""COMPUTED_VALUE"""),"AICTE")</f>
        <v>AICTE</v>
      </c>
      <c r="E66" s="74" t="str">
        <f>IFERROR(__xludf.DUMMYFUNCTION("""COMPUTED_VALUE"""),"1 Month")</f>
        <v>1 Month</v>
      </c>
      <c r="F66" s="91">
        <f>IFERROR(__xludf.DUMMYFUNCTION("""COMPUTED_VALUE"""),44652.0)</f>
        <v>44652</v>
      </c>
      <c r="G66" s="91">
        <f>IFERROR(__xludf.DUMMYFUNCTION("""COMPUTED_VALUE"""),44681.0)</f>
        <v>44681</v>
      </c>
      <c r="H66" s="79">
        <f>IFERROR(__xludf.DUMMYFUNCTION("""COMPUTED_VALUE"""),44681.0)</f>
        <v>44681</v>
      </c>
      <c r="I66" s="92">
        <f>IFERROR(__xludf.DUMMYFUNCTION("""COMPUTED_VALUE"""),100.0)</f>
        <v>100</v>
      </c>
      <c r="J66" s="74" t="str">
        <f>IFERROR(__xludf.DUMMYFUNCTION("""COMPUTED_VALUE"""),"Subba Raju K V")</f>
        <v>Subba Raju K V</v>
      </c>
      <c r="K66" s="80" t="str">
        <f>IFERROR(__xludf.DUMMYFUNCTION("""COMPUTED_VALUE"""),"https://drive.google.com/open?id=1OIEpS1he-XvUXsBSIAw6J0qTP92jKwkr")</f>
        <v>https://drive.google.com/open?id=1OIEpS1he-XvUXsBSIAw6J0qTP92jKwkr</v>
      </c>
      <c r="L66" s="74" t="str">
        <f>IFERROR(__xludf.DUMMYFUNCTION("""COMPUTED_VALUE"""),"2018-2022")</f>
        <v>2018-2022</v>
      </c>
      <c r="M66" s="74" t="str">
        <f>IFERROR(__xludf.DUMMYFUNCTION("""COMPUTED_VALUE"""),"S4: Student Certifications")</f>
        <v>S4: Student Certifications</v>
      </c>
      <c r="N66" s="74" t="str">
        <f>IFERROR(__xludf.DUMMYFUNCTION("""COMPUTED_VALUE"""),"venkatajaswanth10@gmail.com")</f>
        <v>venkatajaswanth10@gmail.com</v>
      </c>
      <c r="O66" s="74" t="str">
        <f>IFERROR(__xludf.DUMMYFUNCTION("""COMPUTED_VALUE"""),"SEM-8")</f>
        <v>SEM-8</v>
      </c>
      <c r="P66" s="74"/>
      <c r="Q66" s="74"/>
      <c r="R66" s="74"/>
      <c r="S66" s="74"/>
      <c r="T66" s="74"/>
      <c r="U66" s="74"/>
      <c r="V66" s="74"/>
      <c r="W66" s="74"/>
      <c r="X66" s="74"/>
      <c r="Y66" s="74"/>
    </row>
    <row r="67" ht="26.25" customHeight="1">
      <c r="A67" s="78" t="str">
        <f>IFERROR(__xludf.DUMMYFUNCTION("""COMPUTED_VALUE"""),"Sai Sakti Vamsi Kolli")</f>
        <v>Sai Sakti Vamsi Kolli</v>
      </c>
      <c r="B67" s="78" t="str">
        <f>IFERROR(__xludf.DUMMYFUNCTION("""COMPUTED_VALUE"""),"18331A05D1")</f>
        <v>18331A05D1</v>
      </c>
      <c r="C67" s="93" t="str">
        <f>IFERROR(__xludf.DUMMYFUNCTION("""COMPUTED_VALUE"""),"Wipro Earthian Sustainability Quiz,  Information Security Annual Training")</f>
        <v>Wipro Earthian Sustainability Quiz,  Information Security Annual Training</v>
      </c>
      <c r="D67" s="78" t="str">
        <f>IFERROR(__xludf.DUMMYFUNCTION("""COMPUTED_VALUE"""),"Wipro")</f>
        <v>Wipro</v>
      </c>
      <c r="E67" s="78" t="str">
        <f>IFERROR(__xludf.DUMMYFUNCTION("""COMPUTED_VALUE"""),"6 Days")</f>
        <v>6 Days</v>
      </c>
      <c r="F67" s="94">
        <f>IFERROR(__xludf.DUMMYFUNCTION("""COMPUTED_VALUE"""),44657.0)</f>
        <v>44657</v>
      </c>
      <c r="G67" s="94">
        <f>IFERROR(__xludf.DUMMYFUNCTION("""COMPUTED_VALUE"""),44663.0)</f>
        <v>44663</v>
      </c>
      <c r="H67" s="84">
        <f>IFERROR(__xludf.DUMMYFUNCTION("""COMPUTED_VALUE"""),44657.0)</f>
        <v>44657</v>
      </c>
      <c r="I67" s="95">
        <f>IFERROR(__xludf.DUMMYFUNCTION("""COMPUTED_VALUE"""),95.0)</f>
        <v>95</v>
      </c>
      <c r="J67" s="78" t="str">
        <f>IFERROR(__xludf.DUMMYFUNCTION("""COMPUTED_VALUE"""),"Mr.P Ram Santosh Naidu")</f>
        <v>Mr.P Ram Santosh Naidu</v>
      </c>
      <c r="K67" s="85" t="str">
        <f>IFERROR(__xludf.DUMMYFUNCTION("""COMPUTED_VALUE"""),"https://drive.google.com/open?id=1dI8_tPOHSzCb74KkjRi3HCoy2-bfgU5I")</f>
        <v>https://drive.google.com/open?id=1dI8_tPOHSzCb74KkjRi3HCoy2-bfgU5I</v>
      </c>
      <c r="L67" s="78" t="str">
        <f>IFERROR(__xludf.DUMMYFUNCTION("""COMPUTED_VALUE"""),"2018-2022")</f>
        <v>2018-2022</v>
      </c>
      <c r="M67" s="78" t="str">
        <f>IFERROR(__xludf.DUMMYFUNCTION("""COMPUTED_VALUE"""),"S4: Student Certifications")</f>
        <v>S4: Student Certifications</v>
      </c>
      <c r="N67" s="78" t="str">
        <f>IFERROR(__xludf.DUMMYFUNCTION("""COMPUTED_VALUE"""),"saishaktikolli@gmail.com")</f>
        <v>saishaktikolli@gmail.com</v>
      </c>
      <c r="O67" s="78" t="str">
        <f>IFERROR(__xludf.DUMMYFUNCTION("""COMPUTED_VALUE"""),"SEM-8")</f>
        <v>SEM-8</v>
      </c>
      <c r="P67" s="78"/>
      <c r="Q67" s="78"/>
      <c r="R67" s="78"/>
      <c r="S67" s="78"/>
      <c r="T67" s="78"/>
      <c r="U67" s="78"/>
      <c r="V67" s="78"/>
      <c r="W67" s="78"/>
      <c r="X67" s="78"/>
      <c r="Y67" s="78"/>
    </row>
    <row r="68" ht="26.25" customHeight="1">
      <c r="A68" s="74" t="str">
        <f>IFERROR(__xludf.DUMMYFUNCTION("""COMPUTED_VALUE"""),"Venkata Jaswanth Potnuru")</f>
        <v>Venkata Jaswanth Potnuru</v>
      </c>
      <c r="B68" s="74" t="str">
        <f>IFERROR(__xludf.DUMMYFUNCTION("""COMPUTED_VALUE"""),"19335A0513")</f>
        <v>19335A0513</v>
      </c>
      <c r="C68" s="90" t="str">
        <f>IFERROR(__xludf.DUMMYFUNCTION("""COMPUTED_VALUE"""),"Cybersecurity Foundation")</f>
        <v>Cybersecurity Foundation</v>
      </c>
      <c r="D68" s="74" t="str">
        <f>IFERROR(__xludf.DUMMYFUNCTION("""COMPUTED_VALUE"""),"Palo Alto Networks Cybersecurity Academy")</f>
        <v>Palo Alto Networks Cybersecurity Academy</v>
      </c>
      <c r="E68" s="74" t="str">
        <f>IFERROR(__xludf.DUMMYFUNCTION("""COMPUTED_VALUE"""),"1 Month")</f>
        <v>1 Month</v>
      </c>
      <c r="F68" s="91">
        <f>IFERROR(__xludf.DUMMYFUNCTION("""COMPUTED_VALUE"""),44371.0)</f>
        <v>44371</v>
      </c>
      <c r="G68" s="91">
        <f>IFERROR(__xludf.DUMMYFUNCTION("""COMPUTED_VALUE"""),44401.0)</f>
        <v>44401</v>
      </c>
      <c r="H68" s="79">
        <f>IFERROR(__xludf.DUMMYFUNCTION("""COMPUTED_VALUE"""),44401.0)</f>
        <v>44401</v>
      </c>
      <c r="I68" s="92">
        <f>IFERROR(__xludf.DUMMYFUNCTION("""COMPUTED_VALUE"""),100.0)</f>
        <v>100</v>
      </c>
      <c r="J68" s="74" t="str">
        <f>IFERROR(__xludf.DUMMYFUNCTION("""COMPUTED_VALUE"""),"DR. RAVI KIRAN VARMA PENMATSA")</f>
        <v>DR. RAVI KIRAN VARMA PENMATSA</v>
      </c>
      <c r="K68" s="80" t="str">
        <f>IFERROR(__xludf.DUMMYFUNCTION("""COMPUTED_VALUE"""),"https://drive.google.com/open?id=1GBl0nnG0xx1XN603Yge18K4HSJemYzOJ")</f>
        <v>https://drive.google.com/open?id=1GBl0nnG0xx1XN603Yge18K4HSJemYzOJ</v>
      </c>
      <c r="L68" s="74" t="str">
        <f>IFERROR(__xludf.DUMMYFUNCTION("""COMPUTED_VALUE"""),"2018-2022")</f>
        <v>2018-2022</v>
      </c>
      <c r="M68" s="74" t="str">
        <f>IFERROR(__xludf.DUMMYFUNCTION("""COMPUTED_VALUE"""),"S4: Student Certifications")</f>
        <v>S4: Student Certifications</v>
      </c>
      <c r="N68" s="74" t="str">
        <f>IFERROR(__xludf.DUMMYFUNCTION("""COMPUTED_VALUE"""),"venkatajaswanth10@gmail.com")</f>
        <v>venkatajaswanth10@gmail.com</v>
      </c>
      <c r="O68" s="74" t="str">
        <f>IFERROR(__xludf.DUMMYFUNCTION("""COMPUTED_VALUE"""),"SEM-6")</f>
        <v>SEM-6</v>
      </c>
      <c r="P68" s="74"/>
      <c r="Q68" s="74"/>
      <c r="R68" s="74"/>
      <c r="S68" s="74"/>
      <c r="T68" s="74"/>
      <c r="U68" s="74"/>
      <c r="V68" s="74"/>
      <c r="W68" s="74"/>
      <c r="X68" s="74"/>
      <c r="Y68" s="74"/>
    </row>
    <row r="69" ht="26.25" customHeight="1">
      <c r="A69" s="74" t="str">
        <f>IFERROR(__xludf.DUMMYFUNCTION("""COMPUTED_VALUE"""),"Sai Sakthi Vamsi Kolli")</f>
        <v>Sai Sakthi Vamsi Kolli</v>
      </c>
      <c r="B69" s="74" t="str">
        <f>IFERROR(__xludf.DUMMYFUNCTION("""COMPUTED_VALUE"""),"18331A05D1")</f>
        <v>18331A05D1</v>
      </c>
      <c r="C69" s="90" t="str">
        <f>IFERROR(__xludf.DUMMYFUNCTION("""COMPUTED_VALUE"""),"Python")</f>
        <v>Python</v>
      </c>
      <c r="D69" s="74" t="str">
        <f>IFERROR(__xludf.DUMMYFUNCTION("""COMPUTED_VALUE"""),"Log2Base2")</f>
        <v>Log2Base2</v>
      </c>
      <c r="E69" s="74" t="str">
        <f>IFERROR(__xludf.DUMMYFUNCTION("""COMPUTED_VALUE"""),"2 Month")</f>
        <v>2 Month</v>
      </c>
      <c r="F69" s="91">
        <f>IFERROR(__xludf.DUMMYFUNCTION("""COMPUTED_VALUE"""),44460.0)</f>
        <v>44460</v>
      </c>
      <c r="G69" s="91">
        <f>IFERROR(__xludf.DUMMYFUNCTION("""COMPUTED_VALUE"""),44526.0)</f>
        <v>44526</v>
      </c>
      <c r="H69" s="79">
        <f>IFERROR(__xludf.DUMMYFUNCTION("""COMPUTED_VALUE"""),44527.0)</f>
        <v>44527</v>
      </c>
      <c r="I69" s="92">
        <f>IFERROR(__xludf.DUMMYFUNCTION("""COMPUTED_VALUE"""),100.0)</f>
        <v>100</v>
      </c>
      <c r="J69" s="74" t="str">
        <f>IFERROR(__xludf.DUMMYFUNCTION("""COMPUTED_VALUE"""),"Mr P Ram Santosh Naidu")</f>
        <v>Mr P Ram Santosh Naidu</v>
      </c>
      <c r="K69" s="80" t="str">
        <f>IFERROR(__xludf.DUMMYFUNCTION("""COMPUTED_VALUE"""),"https://drive.google.com/open?id=1sCRyjn5e_QQuDBpkeNhqnyLnFdCEWrBp")</f>
        <v>https://drive.google.com/open?id=1sCRyjn5e_QQuDBpkeNhqnyLnFdCEWrBp</v>
      </c>
      <c r="L69" s="74" t="str">
        <f>IFERROR(__xludf.DUMMYFUNCTION("""COMPUTED_VALUE"""),"2018-2022")</f>
        <v>2018-2022</v>
      </c>
      <c r="M69" s="74" t="str">
        <f>IFERROR(__xludf.DUMMYFUNCTION("""COMPUTED_VALUE"""),"S4: Student Certifications")</f>
        <v>S4: Student Certifications</v>
      </c>
      <c r="N69" s="74" t="str">
        <f>IFERROR(__xludf.DUMMYFUNCTION("""COMPUTED_VALUE"""),"saishaktikolli@gmail.com")</f>
        <v>saishaktikolli@gmail.com</v>
      </c>
      <c r="O69" s="74" t="str">
        <f>IFERROR(__xludf.DUMMYFUNCTION("""COMPUTED_VALUE"""),"SEM-8")</f>
        <v>SEM-8</v>
      </c>
      <c r="P69" s="74"/>
      <c r="Q69" s="74"/>
      <c r="R69" s="74"/>
      <c r="S69" s="74"/>
      <c r="T69" s="74"/>
      <c r="U69" s="74"/>
      <c r="V69" s="74"/>
      <c r="W69" s="74"/>
      <c r="X69" s="74"/>
      <c r="Y69" s="74"/>
    </row>
    <row r="70" ht="26.25" customHeight="1">
      <c r="A70" s="74" t="str">
        <f>IFERROR(__xludf.DUMMYFUNCTION("""COMPUTED_VALUE"""),"GANTA  GAYATRI")</f>
        <v>GANTA  GAYATRI</v>
      </c>
      <c r="B70" s="74" t="str">
        <f>IFERROR(__xludf.DUMMYFUNCTION("""COMPUTED_VALUE"""),"18331A0541")</f>
        <v>18331A0541</v>
      </c>
      <c r="C70" s="90" t="str">
        <f>IFERROR(__xludf.DUMMYFUNCTION("""COMPUTED_VALUE"""),"C , C++")</f>
        <v>C , C++</v>
      </c>
      <c r="D70" s="74" t="str">
        <f>IFERROR(__xludf.DUMMYFUNCTION("""COMPUTED_VALUE"""),"Cisco")</f>
        <v>Cisco</v>
      </c>
      <c r="E70" s="74" t="str">
        <f>IFERROR(__xludf.DUMMYFUNCTION("""COMPUTED_VALUE"""),"50 days")</f>
        <v>50 days</v>
      </c>
      <c r="F70" s="91">
        <f>IFERROR(__xludf.DUMMYFUNCTION("""COMPUTED_VALUE"""),43979.0)</f>
        <v>43979</v>
      </c>
      <c r="G70" s="91">
        <f>IFERROR(__xludf.DUMMYFUNCTION("""COMPUTED_VALUE"""),44035.0)</f>
        <v>44035</v>
      </c>
      <c r="H70" s="79">
        <f>IFERROR(__xludf.DUMMYFUNCTION("""COMPUTED_VALUE"""),44035.0)</f>
        <v>44035</v>
      </c>
      <c r="I70" s="92">
        <f>IFERROR(__xludf.DUMMYFUNCTION("""COMPUTED_VALUE"""),95.0)</f>
        <v>95</v>
      </c>
      <c r="J70" s="74" t="str">
        <f>IFERROR(__xludf.DUMMYFUNCTION("""COMPUTED_VALUE"""),"DR. RAVI KIRAN VARMA PENMATSA")</f>
        <v>DR. RAVI KIRAN VARMA PENMATSA</v>
      </c>
      <c r="K70" s="80" t="str">
        <f>IFERROR(__xludf.DUMMYFUNCTION("""COMPUTED_VALUE"""),"https://drive.google.com/open?id=1hmBDFEQubi1xdeD9NNZO5E6rwOHsO1Ky")</f>
        <v>https://drive.google.com/open?id=1hmBDFEQubi1xdeD9NNZO5E6rwOHsO1Ky</v>
      </c>
      <c r="L70" s="74" t="str">
        <f>IFERROR(__xludf.DUMMYFUNCTION("""COMPUTED_VALUE"""),"2018-2022")</f>
        <v>2018-2022</v>
      </c>
      <c r="M70" s="74" t="str">
        <f>IFERROR(__xludf.DUMMYFUNCTION("""COMPUTED_VALUE"""),"S4: Student Certifications")</f>
        <v>S4: Student Certifications</v>
      </c>
      <c r="N70" s="74" t="str">
        <f>IFERROR(__xludf.DUMMYFUNCTION("""COMPUTED_VALUE"""),"gantagayatri490@gmail.com")</f>
        <v>gantagayatri490@gmail.com</v>
      </c>
      <c r="O70" s="74" t="str">
        <f>IFERROR(__xludf.DUMMYFUNCTION("""COMPUTED_VALUE"""),"SEM-4")</f>
        <v>SEM-4</v>
      </c>
      <c r="P70" s="74"/>
      <c r="Q70" s="74"/>
      <c r="R70" s="74"/>
      <c r="S70" s="74"/>
      <c r="T70" s="74"/>
      <c r="U70" s="74"/>
      <c r="V70" s="74"/>
      <c r="W70" s="74"/>
      <c r="X70" s="74"/>
      <c r="Y70" s="74"/>
    </row>
    <row r="71" ht="26.25" customHeight="1">
      <c r="A71" s="78" t="str">
        <f>IFERROR(__xludf.DUMMYFUNCTION("""COMPUTED_VALUE"""),"Sai Sakthi Vamsi Kolli")</f>
        <v>Sai Sakthi Vamsi Kolli</v>
      </c>
      <c r="B71" s="78" t="str">
        <f>IFERROR(__xludf.DUMMYFUNCTION("""COMPUTED_VALUE"""),"18331A05D1")</f>
        <v>18331A05D1</v>
      </c>
      <c r="C71" s="93" t="str">
        <f>IFERROR(__xludf.DUMMYFUNCTION("""COMPUTED_VALUE"""),"Wipro Earthain Sustainabilty Quiz")</f>
        <v>Wipro Earthain Sustainabilty Quiz</v>
      </c>
      <c r="D71" s="78" t="str">
        <f>IFERROR(__xludf.DUMMYFUNCTION("""COMPUTED_VALUE"""),"Wipro")</f>
        <v>Wipro</v>
      </c>
      <c r="E71" s="78" t="str">
        <f>IFERROR(__xludf.DUMMYFUNCTION("""COMPUTED_VALUE"""),"1 Day")</f>
        <v>1 Day</v>
      </c>
      <c r="F71" s="94">
        <f>IFERROR(__xludf.DUMMYFUNCTION("""COMPUTED_VALUE"""),44578.0)</f>
        <v>44578</v>
      </c>
      <c r="G71" s="94">
        <f>IFERROR(__xludf.DUMMYFUNCTION("""COMPUTED_VALUE"""),44578.0)</f>
        <v>44578</v>
      </c>
      <c r="H71" s="84">
        <f>IFERROR(__xludf.DUMMYFUNCTION("""COMPUTED_VALUE"""),44578.0)</f>
        <v>44578</v>
      </c>
      <c r="I71" s="95">
        <f>IFERROR(__xludf.DUMMYFUNCTION("""COMPUTED_VALUE"""),8.0)</f>
        <v>8</v>
      </c>
      <c r="J71" s="78" t="str">
        <f>IFERROR(__xludf.DUMMYFUNCTION("""COMPUTED_VALUE"""),"Mr P Ram Santosh Naidu")</f>
        <v>Mr P Ram Santosh Naidu</v>
      </c>
      <c r="K71" s="85" t="str">
        <f>IFERROR(__xludf.DUMMYFUNCTION("""COMPUTED_VALUE"""),"https://drive.google.com/open?id=1weMVHWhGnk2_8xnEmWSlproEiy_09tE9")</f>
        <v>https://drive.google.com/open?id=1weMVHWhGnk2_8xnEmWSlproEiy_09tE9</v>
      </c>
      <c r="L71" s="78" t="str">
        <f>IFERROR(__xludf.DUMMYFUNCTION("""COMPUTED_VALUE"""),"2018-2022")</f>
        <v>2018-2022</v>
      </c>
      <c r="M71" s="78" t="str">
        <f>IFERROR(__xludf.DUMMYFUNCTION("""COMPUTED_VALUE"""),"S4: Student Certifications")</f>
        <v>S4: Student Certifications</v>
      </c>
      <c r="N71" s="78" t="str">
        <f>IFERROR(__xludf.DUMMYFUNCTION("""COMPUTED_VALUE"""),"saishaktikolli@gmail.com")</f>
        <v>saishaktikolli@gmail.com</v>
      </c>
      <c r="O71" s="78" t="str">
        <f>IFERROR(__xludf.DUMMYFUNCTION("""COMPUTED_VALUE"""),"SEM-8")</f>
        <v>SEM-8</v>
      </c>
      <c r="P71" s="78"/>
      <c r="Q71" s="78"/>
      <c r="R71" s="78"/>
      <c r="S71" s="78"/>
      <c r="T71" s="78"/>
      <c r="U71" s="78"/>
      <c r="V71" s="78"/>
      <c r="W71" s="78"/>
      <c r="X71" s="78"/>
      <c r="Y71" s="78"/>
    </row>
    <row r="72" ht="26.25" customHeight="1">
      <c r="A72" s="74" t="str">
        <f>IFERROR(__xludf.DUMMYFUNCTION("""COMPUTED_VALUE"""),"Venkata Jaswanth Potnuru")</f>
        <v>Venkata Jaswanth Potnuru</v>
      </c>
      <c r="B72" s="74" t="str">
        <f>IFERROR(__xludf.DUMMYFUNCTION("""COMPUTED_VALUE"""),"19335A0513")</f>
        <v>19335A0513</v>
      </c>
      <c r="C72" s="90" t="str">
        <f>IFERROR(__xludf.DUMMYFUNCTION("""COMPUTED_VALUE"""),"Code Riders 2021")</f>
        <v>Code Riders 2021</v>
      </c>
      <c r="D72" s="74" t="str">
        <f>IFERROR(__xludf.DUMMYFUNCTION("""COMPUTED_VALUE"""),"Cisco")</f>
        <v>Cisco</v>
      </c>
      <c r="E72" s="74" t="str">
        <f>IFERROR(__xludf.DUMMYFUNCTION("""COMPUTED_VALUE""")," 1 Month")</f>
        <v> 1 Month</v>
      </c>
      <c r="F72" s="91">
        <f>IFERROR(__xludf.DUMMYFUNCTION("""COMPUTED_VALUE"""),44348.0)</f>
        <v>44348</v>
      </c>
      <c r="G72" s="91">
        <f>IFERROR(__xludf.DUMMYFUNCTION("""COMPUTED_VALUE"""),44378.0)</f>
        <v>44378</v>
      </c>
      <c r="H72" s="79">
        <f>IFERROR(__xludf.DUMMYFUNCTION("""COMPUTED_VALUE"""),44378.0)</f>
        <v>44378</v>
      </c>
      <c r="I72" s="92">
        <f>IFERROR(__xludf.DUMMYFUNCTION("""COMPUTED_VALUE"""),100.0)</f>
        <v>100</v>
      </c>
      <c r="J72" s="74" t="str">
        <f>IFERROR(__xludf.DUMMYFUNCTION("""COMPUTED_VALUE"""),"NA")</f>
        <v>NA</v>
      </c>
      <c r="K72" s="80" t="str">
        <f>IFERROR(__xludf.DUMMYFUNCTION("""COMPUTED_VALUE"""),"https://drive.google.com/open?id=1LdzmjOYq2KIe8nkrqSa5ThZwK1bqixZg")</f>
        <v>https://drive.google.com/open?id=1LdzmjOYq2KIe8nkrqSa5ThZwK1bqixZg</v>
      </c>
      <c r="L72" s="74" t="str">
        <f>IFERROR(__xludf.DUMMYFUNCTION("""COMPUTED_VALUE"""),"2018-2022")</f>
        <v>2018-2022</v>
      </c>
      <c r="M72" s="74" t="str">
        <f>IFERROR(__xludf.DUMMYFUNCTION("""COMPUTED_VALUE"""),"S4: Student Certifications")</f>
        <v>S4: Student Certifications</v>
      </c>
      <c r="N72" s="74" t="str">
        <f>IFERROR(__xludf.DUMMYFUNCTION("""COMPUTED_VALUE"""),"venkatajaswanth10@gmail.com")</f>
        <v>venkatajaswanth10@gmail.com</v>
      </c>
      <c r="O72" s="74" t="str">
        <f>IFERROR(__xludf.DUMMYFUNCTION("""COMPUTED_VALUE"""),"SEM-5")</f>
        <v>SEM-5</v>
      </c>
      <c r="P72" s="74"/>
      <c r="Q72" s="74"/>
      <c r="R72" s="74"/>
      <c r="S72" s="74"/>
      <c r="T72" s="74"/>
      <c r="U72" s="74"/>
      <c r="V72" s="74"/>
      <c r="W72" s="74"/>
      <c r="X72" s="74"/>
      <c r="Y72" s="74"/>
    </row>
    <row r="73" ht="26.25" customHeight="1">
      <c r="A73" s="74" t="str">
        <f>IFERROR(__xludf.DUMMYFUNCTION("""COMPUTED_VALUE"""),"Venkata Jaswanth Potnuru")</f>
        <v>Venkata Jaswanth Potnuru</v>
      </c>
      <c r="B73" s="74" t="str">
        <f>IFERROR(__xludf.DUMMYFUNCTION("""COMPUTED_VALUE"""),"19335A0513")</f>
        <v>19335A0513</v>
      </c>
      <c r="C73" s="90" t="str">
        <f>IFERROR(__xludf.DUMMYFUNCTION("""COMPUTED_VALUE"""),"CCNAv7: Introduction to Networks")</f>
        <v>CCNAv7: Introduction to Networks</v>
      </c>
      <c r="D73" s="74" t="str">
        <f>IFERROR(__xludf.DUMMYFUNCTION("""COMPUTED_VALUE""")," CISCO")</f>
        <v> CISCO</v>
      </c>
      <c r="E73" s="74" t="str">
        <f>IFERROR(__xludf.DUMMYFUNCTION("""COMPUTED_VALUE"""),"2 Months")</f>
        <v>2 Months</v>
      </c>
      <c r="F73" s="91">
        <f>IFERROR(__xludf.DUMMYFUNCTION("""COMPUTED_VALUE"""),44317.0)</f>
        <v>44317</v>
      </c>
      <c r="G73" s="91">
        <f>IFERROR(__xludf.DUMMYFUNCTION("""COMPUTED_VALUE"""),44378.0)</f>
        <v>44378</v>
      </c>
      <c r="H73" s="79">
        <f>IFERROR(__xludf.DUMMYFUNCTION("""COMPUTED_VALUE"""),44377.0)</f>
        <v>44377</v>
      </c>
      <c r="I73" s="92">
        <f>IFERROR(__xludf.DUMMYFUNCTION("""COMPUTED_VALUE"""),96.0)</f>
        <v>96</v>
      </c>
      <c r="J73" s="74" t="str">
        <f>IFERROR(__xludf.DUMMYFUNCTION("""COMPUTED_VALUE"""),"Subba Raju K V")</f>
        <v>Subba Raju K V</v>
      </c>
      <c r="K73" s="80" t="str">
        <f>IFERROR(__xludf.DUMMYFUNCTION("""COMPUTED_VALUE"""),"https://drive.google.com/open?id=15m24HTsvhmCHTfpddNph-bNu08e1k0k_")</f>
        <v>https://drive.google.com/open?id=15m24HTsvhmCHTfpddNph-bNu08e1k0k_</v>
      </c>
      <c r="L73" s="74" t="str">
        <f>IFERROR(__xludf.DUMMYFUNCTION("""COMPUTED_VALUE"""),"2018-2022")</f>
        <v>2018-2022</v>
      </c>
      <c r="M73" s="74" t="str">
        <f>IFERROR(__xludf.DUMMYFUNCTION("""COMPUTED_VALUE"""),"S4: Student Certifications")</f>
        <v>S4: Student Certifications</v>
      </c>
      <c r="N73" s="74" t="str">
        <f>IFERROR(__xludf.DUMMYFUNCTION("""COMPUTED_VALUE"""),"venkatajaswanth10@gmail.com")</f>
        <v>venkatajaswanth10@gmail.com</v>
      </c>
      <c r="O73" s="74" t="str">
        <f>IFERROR(__xludf.DUMMYFUNCTION("""COMPUTED_VALUE"""),"SEM-5")</f>
        <v>SEM-5</v>
      </c>
      <c r="P73" s="74"/>
      <c r="Q73" s="74"/>
      <c r="R73" s="74"/>
      <c r="S73" s="74"/>
      <c r="T73" s="74"/>
      <c r="U73" s="74"/>
      <c r="V73" s="74"/>
      <c r="W73" s="74"/>
      <c r="X73" s="74"/>
      <c r="Y73" s="74"/>
    </row>
    <row r="74" ht="26.25" customHeight="1">
      <c r="A74" s="74" t="str">
        <f>IFERROR(__xludf.DUMMYFUNCTION("""COMPUTED_VALUE"""),"Venkata Jaswanth Potnuru")</f>
        <v>Venkata Jaswanth Potnuru</v>
      </c>
      <c r="B74" s="74" t="str">
        <f>IFERROR(__xludf.DUMMYFUNCTION("""COMPUTED_VALUE"""),"19335A0513")</f>
        <v>19335A0513</v>
      </c>
      <c r="C74" s="90" t="str">
        <f>IFERROR(__xludf.DUMMYFUNCTION("""COMPUTED_VALUE"""),"CCNAv7: Switching, Routing, and Wireless Essentials")</f>
        <v>CCNAv7: Switching, Routing, and Wireless Essentials</v>
      </c>
      <c r="D74" s="74" t="str">
        <f>IFERROR(__xludf.DUMMYFUNCTION("""COMPUTED_VALUE"""),"CISCO")</f>
        <v>CISCO</v>
      </c>
      <c r="E74" s="74" t="str">
        <f>IFERROR(__xludf.DUMMYFUNCTION("""COMPUTED_VALUE"""),"2 Months")</f>
        <v>2 Months</v>
      </c>
      <c r="F74" s="91">
        <f>IFERROR(__xludf.DUMMYFUNCTION("""COMPUTED_VALUE"""),44394.0)</f>
        <v>44394</v>
      </c>
      <c r="G74" s="91">
        <f>IFERROR(__xludf.DUMMYFUNCTION("""COMPUTED_VALUE"""),44456.0)</f>
        <v>44456</v>
      </c>
      <c r="H74" s="79">
        <f>IFERROR(__xludf.DUMMYFUNCTION("""COMPUTED_VALUE"""),44453.0)</f>
        <v>44453</v>
      </c>
      <c r="I74" s="92">
        <f>IFERROR(__xludf.DUMMYFUNCTION("""COMPUTED_VALUE"""),98.0)</f>
        <v>98</v>
      </c>
      <c r="J74" s="74" t="str">
        <f>IFERROR(__xludf.DUMMYFUNCTION("""COMPUTED_VALUE"""),"Subba Raju K V")</f>
        <v>Subba Raju K V</v>
      </c>
      <c r="K74" s="80" t="str">
        <f>IFERROR(__xludf.DUMMYFUNCTION("""COMPUTED_VALUE"""),"https://drive.google.com/open?id=1Ubp8_c4h7akiK0B3O4DqW0FOv0a_NPLu")</f>
        <v>https://drive.google.com/open?id=1Ubp8_c4h7akiK0B3O4DqW0FOv0a_NPLu</v>
      </c>
      <c r="L74" s="74" t="str">
        <f>IFERROR(__xludf.DUMMYFUNCTION("""COMPUTED_VALUE"""),"2018-2022")</f>
        <v>2018-2022</v>
      </c>
      <c r="M74" s="74" t="str">
        <f>IFERROR(__xludf.DUMMYFUNCTION("""COMPUTED_VALUE"""),"S4: Student Certifications")</f>
        <v>S4: Student Certifications</v>
      </c>
      <c r="N74" s="74" t="str">
        <f>IFERROR(__xludf.DUMMYFUNCTION("""COMPUTED_VALUE"""),"venkatajaswanth10@gmail.com")</f>
        <v>venkatajaswanth10@gmail.com</v>
      </c>
      <c r="O74" s="74" t="str">
        <f>IFERROR(__xludf.DUMMYFUNCTION("""COMPUTED_VALUE"""),"SEM-5")</f>
        <v>SEM-5</v>
      </c>
      <c r="P74" s="74"/>
      <c r="Q74" s="74"/>
      <c r="R74" s="74"/>
      <c r="S74" s="74"/>
      <c r="T74" s="74"/>
      <c r="U74" s="74"/>
      <c r="V74" s="74"/>
      <c r="W74" s="74"/>
      <c r="X74" s="74"/>
      <c r="Y74" s="74"/>
    </row>
    <row r="75" ht="26.25" customHeight="1">
      <c r="A75" s="74" t="str">
        <f>IFERROR(__xludf.DUMMYFUNCTION("""COMPUTED_VALUE"""),"GANTA  GAYATRI")</f>
        <v>GANTA  GAYATRI</v>
      </c>
      <c r="B75" s="74" t="str">
        <f>IFERROR(__xludf.DUMMYFUNCTION("""COMPUTED_VALUE"""),"18331A0541")</f>
        <v>18331A0541</v>
      </c>
      <c r="C75" s="90" t="str">
        <f>IFERROR(__xludf.DUMMYFUNCTION("""COMPUTED_VALUE""")," AWS Academy Cloud Foundations")</f>
        <v> AWS Academy Cloud Foundations</v>
      </c>
      <c r="D75" s="74" t="str">
        <f>IFERROR(__xludf.DUMMYFUNCTION("""COMPUTED_VALUE"""),"AICTE")</f>
        <v>AICTE</v>
      </c>
      <c r="E75" s="74" t="str">
        <f>IFERROR(__xludf.DUMMYFUNCTION("""COMPUTED_VALUE"""),"20 hours")</f>
        <v>20 hours</v>
      </c>
      <c r="F75" s="91">
        <f>IFERROR(__xludf.DUMMYFUNCTION("""COMPUTED_VALUE"""),44511.0)</f>
        <v>44511</v>
      </c>
      <c r="G75" s="91">
        <f>IFERROR(__xludf.DUMMYFUNCTION("""COMPUTED_VALUE"""),44512.0)</f>
        <v>44512</v>
      </c>
      <c r="H75" s="79">
        <f>IFERROR(__xludf.DUMMYFUNCTION("""COMPUTED_VALUE"""),44512.0)</f>
        <v>44512</v>
      </c>
      <c r="I75" s="92">
        <f>IFERROR(__xludf.DUMMYFUNCTION("""COMPUTED_VALUE"""),95.0)</f>
        <v>95</v>
      </c>
      <c r="J75" s="74" t="str">
        <f>IFERROR(__xludf.DUMMYFUNCTION("""COMPUTED_VALUE"""),"DR. RAVI KIRAN VARMA PENMATSA")</f>
        <v>DR. RAVI KIRAN VARMA PENMATSA</v>
      </c>
      <c r="K75" s="80" t="str">
        <f>IFERROR(__xludf.DUMMYFUNCTION("""COMPUTED_VALUE"""),"https://drive.google.com/open?id=1hWZ3IU_hEzghk26-0Zy6EkmUgvGEumIh")</f>
        <v>https://drive.google.com/open?id=1hWZ3IU_hEzghk26-0Zy6EkmUgvGEumIh</v>
      </c>
      <c r="L75" s="74" t="str">
        <f>IFERROR(__xludf.DUMMYFUNCTION("""COMPUTED_VALUE"""),"2018-2022")</f>
        <v>2018-2022</v>
      </c>
      <c r="M75" s="74" t="str">
        <f>IFERROR(__xludf.DUMMYFUNCTION("""COMPUTED_VALUE"""),"S4: Student Certifications")</f>
        <v>S4: Student Certifications</v>
      </c>
      <c r="N75" s="74" t="str">
        <f>IFERROR(__xludf.DUMMYFUNCTION("""COMPUTED_VALUE"""),"gantagayatri490@gmail.com")</f>
        <v>gantagayatri490@gmail.com</v>
      </c>
      <c r="O75" s="74" t="str">
        <f>IFERROR(__xludf.DUMMYFUNCTION("""COMPUTED_VALUE"""),"SEM-7")</f>
        <v>SEM-7</v>
      </c>
      <c r="P75" s="74"/>
      <c r="Q75" s="74"/>
      <c r="R75" s="74"/>
      <c r="S75" s="74"/>
      <c r="T75" s="74"/>
      <c r="U75" s="74"/>
      <c r="V75" s="74"/>
      <c r="W75" s="74"/>
      <c r="X75" s="74"/>
      <c r="Y75" s="74"/>
    </row>
    <row r="76" ht="26.25" customHeight="1">
      <c r="A76" s="74" t="str">
        <f>IFERROR(__xludf.DUMMYFUNCTION("""COMPUTED_VALUE"""),"Venkata Jaswanth Potnuru")</f>
        <v>Venkata Jaswanth Potnuru</v>
      </c>
      <c r="B76" s="74" t="str">
        <f>IFERROR(__xludf.DUMMYFUNCTION("""COMPUTED_VALUE"""),"19335A0513")</f>
        <v>19335A0513</v>
      </c>
      <c r="C76" s="90" t="str">
        <f>IFERROR(__xludf.DUMMYFUNCTION("""COMPUTED_VALUE"""),"Cybersecurity Essentials")</f>
        <v>Cybersecurity Essentials</v>
      </c>
      <c r="D76" s="74" t="str">
        <f>IFERROR(__xludf.DUMMYFUNCTION("""COMPUTED_VALUE"""),"CISCO")</f>
        <v>CISCO</v>
      </c>
      <c r="E76" s="74" t="str">
        <f>IFERROR(__xludf.DUMMYFUNCTION("""COMPUTED_VALUE"""),"2 Months")</f>
        <v>2 Months</v>
      </c>
      <c r="F76" s="91">
        <f>IFERROR(__xludf.DUMMYFUNCTION("""COMPUTED_VALUE"""),44256.0)</f>
        <v>44256</v>
      </c>
      <c r="G76" s="91">
        <f>IFERROR(__xludf.DUMMYFUNCTION("""COMPUTED_VALUE"""),44317.0)</f>
        <v>44317</v>
      </c>
      <c r="H76" s="79">
        <f>IFERROR(__xludf.DUMMYFUNCTION("""COMPUTED_VALUE"""),44316.0)</f>
        <v>44316</v>
      </c>
      <c r="I76" s="92">
        <f>IFERROR(__xludf.DUMMYFUNCTION("""COMPUTED_VALUE"""),100.0)</f>
        <v>100</v>
      </c>
      <c r="J76" s="74" t="str">
        <f>IFERROR(__xludf.DUMMYFUNCTION("""COMPUTED_VALUE"""),"Subba Raju K V")</f>
        <v>Subba Raju K V</v>
      </c>
      <c r="K76" s="80" t="str">
        <f>IFERROR(__xludf.DUMMYFUNCTION("""COMPUTED_VALUE"""),"https://drive.google.com/open?id=17fDZDgI0IUlTGAQR7Oh1MKbR9td1xQNL")</f>
        <v>https://drive.google.com/open?id=17fDZDgI0IUlTGAQR7Oh1MKbR9td1xQNL</v>
      </c>
      <c r="L76" s="74" t="str">
        <f>IFERROR(__xludf.DUMMYFUNCTION("""COMPUTED_VALUE"""),"2018-2022")</f>
        <v>2018-2022</v>
      </c>
      <c r="M76" s="74" t="str">
        <f>IFERROR(__xludf.DUMMYFUNCTION("""COMPUTED_VALUE"""),"S4: Student Certifications")</f>
        <v>S4: Student Certifications</v>
      </c>
      <c r="N76" s="74" t="str">
        <f>IFERROR(__xludf.DUMMYFUNCTION("""COMPUTED_VALUE"""),"venkatajaswanth10@gmail.com")</f>
        <v>venkatajaswanth10@gmail.com</v>
      </c>
      <c r="O76" s="74" t="str">
        <f>IFERROR(__xludf.DUMMYFUNCTION("""COMPUTED_VALUE"""),"SEM-5")</f>
        <v>SEM-5</v>
      </c>
      <c r="P76" s="74"/>
      <c r="Q76" s="74"/>
      <c r="R76" s="74"/>
      <c r="S76" s="74"/>
      <c r="T76" s="74"/>
      <c r="U76" s="74"/>
      <c r="V76" s="74"/>
      <c r="W76" s="74"/>
      <c r="X76" s="74"/>
      <c r="Y76" s="74"/>
    </row>
    <row r="77" ht="26.25" customHeight="1">
      <c r="A77" s="74" t="str">
        <f>IFERROR(__xludf.DUMMYFUNCTION("""COMPUTED_VALUE"""),"Venkata Jaswanth Potnuru")</f>
        <v>Venkata Jaswanth Potnuru</v>
      </c>
      <c r="B77" s="74" t="str">
        <f>IFERROR(__xludf.DUMMYFUNCTION("""COMPUTED_VALUE"""),"19335A0513")</f>
        <v>19335A0513</v>
      </c>
      <c r="C77" s="90" t="str">
        <f>IFERROR(__xludf.DUMMYFUNCTION("""COMPUTED_VALUE"""),"Introduction to Cybersecurity")</f>
        <v>Introduction to Cybersecurity</v>
      </c>
      <c r="D77" s="74" t="str">
        <f>IFERROR(__xludf.DUMMYFUNCTION("""COMPUTED_VALUE"""),"CISCO")</f>
        <v>CISCO</v>
      </c>
      <c r="E77" s="74" t="str">
        <f>IFERROR(__xludf.DUMMYFUNCTION("""COMPUTED_VALUE"""),"1 Month")</f>
        <v>1 Month</v>
      </c>
      <c r="F77" s="91">
        <f>IFERROR(__xludf.DUMMYFUNCTION("""COMPUTED_VALUE"""),44287.0)</f>
        <v>44287</v>
      </c>
      <c r="G77" s="91">
        <f>IFERROR(__xludf.DUMMYFUNCTION("""COMPUTED_VALUE"""),44317.0)</f>
        <v>44317</v>
      </c>
      <c r="H77" s="79">
        <f>IFERROR(__xludf.DUMMYFUNCTION("""COMPUTED_VALUE"""),44311.0)</f>
        <v>44311</v>
      </c>
      <c r="I77" s="92">
        <f>IFERROR(__xludf.DUMMYFUNCTION("""COMPUTED_VALUE"""),95.0)</f>
        <v>95</v>
      </c>
      <c r="J77" s="74" t="str">
        <f>IFERROR(__xludf.DUMMYFUNCTION("""COMPUTED_VALUE"""),"Subba Raju K V")</f>
        <v>Subba Raju K V</v>
      </c>
      <c r="K77" s="80" t="str">
        <f>IFERROR(__xludf.DUMMYFUNCTION("""COMPUTED_VALUE"""),"https://drive.google.com/open?id=1OI6bpCgYEzw1K9uQUhVrnzdx_wk7OzEw")</f>
        <v>https://drive.google.com/open?id=1OI6bpCgYEzw1K9uQUhVrnzdx_wk7OzEw</v>
      </c>
      <c r="L77" s="74" t="str">
        <f>IFERROR(__xludf.DUMMYFUNCTION("""COMPUTED_VALUE"""),"2018-2022")</f>
        <v>2018-2022</v>
      </c>
      <c r="M77" s="74" t="str">
        <f>IFERROR(__xludf.DUMMYFUNCTION("""COMPUTED_VALUE"""),"S4: Student Certifications")</f>
        <v>S4: Student Certifications</v>
      </c>
      <c r="N77" s="74" t="str">
        <f>IFERROR(__xludf.DUMMYFUNCTION("""COMPUTED_VALUE"""),"venkatajaswanth10@gmail.com")</f>
        <v>venkatajaswanth10@gmail.com</v>
      </c>
      <c r="O77" s="74" t="str">
        <f>IFERROR(__xludf.DUMMYFUNCTION("""COMPUTED_VALUE"""),"SEM-5")</f>
        <v>SEM-5</v>
      </c>
      <c r="P77" s="74"/>
      <c r="Q77" s="74"/>
      <c r="R77" s="74"/>
      <c r="S77" s="74"/>
      <c r="T77" s="74"/>
      <c r="U77" s="74"/>
      <c r="V77" s="74"/>
      <c r="W77" s="74"/>
      <c r="X77" s="74"/>
      <c r="Y77" s="74"/>
    </row>
    <row r="78" ht="26.25" customHeight="1">
      <c r="A78" s="74" t="str">
        <f>IFERROR(__xludf.DUMMYFUNCTION("""COMPUTED_VALUE"""),"Venkata Jaswanth Potnuru")</f>
        <v>Venkata Jaswanth Potnuru</v>
      </c>
      <c r="B78" s="74" t="str">
        <f>IFERROR(__xludf.DUMMYFUNCTION("""COMPUTED_VALUE"""),"19335A0513")</f>
        <v>19335A0513</v>
      </c>
      <c r="C78" s="90" t="str">
        <f>IFERROR(__xludf.DUMMYFUNCTION("""COMPUTED_VALUE"""),"Introduction to IOT")</f>
        <v>Introduction to IOT</v>
      </c>
      <c r="D78" s="74" t="str">
        <f>IFERROR(__xludf.DUMMYFUNCTION("""COMPUTED_VALUE"""),"CISCO")</f>
        <v>CISCO</v>
      </c>
      <c r="E78" s="74" t="str">
        <f>IFERROR(__xludf.DUMMYFUNCTION("""COMPUTED_VALUE"""),"1 Month")</f>
        <v>1 Month</v>
      </c>
      <c r="F78" s="91">
        <f>IFERROR(__xludf.DUMMYFUNCTION("""COMPUTED_VALUE"""),44341.0)</f>
        <v>44341</v>
      </c>
      <c r="G78" s="91">
        <f>IFERROR(__xludf.DUMMYFUNCTION("""COMPUTED_VALUE"""),44372.0)</f>
        <v>44372</v>
      </c>
      <c r="H78" s="79">
        <f>IFERROR(__xludf.DUMMYFUNCTION("""COMPUTED_VALUE"""),44372.0)</f>
        <v>44372</v>
      </c>
      <c r="I78" s="92">
        <f>IFERROR(__xludf.DUMMYFUNCTION("""COMPUTED_VALUE"""),100.0)</f>
        <v>100</v>
      </c>
      <c r="J78" s="74" t="str">
        <f>IFERROR(__xludf.DUMMYFUNCTION("""COMPUTED_VALUE"""),"Jackson Smith")</f>
        <v>Jackson Smith</v>
      </c>
      <c r="K78" s="80" t="str">
        <f>IFERROR(__xludf.DUMMYFUNCTION("""COMPUTED_VALUE"""),"https://drive.google.com/open?id=1Iz5WGeW5_Pf7x4xtRu9jFfSAZJGtPWoT")</f>
        <v>https://drive.google.com/open?id=1Iz5WGeW5_Pf7x4xtRu9jFfSAZJGtPWoT</v>
      </c>
      <c r="L78" s="74" t="str">
        <f>IFERROR(__xludf.DUMMYFUNCTION("""COMPUTED_VALUE"""),"2018-2022")</f>
        <v>2018-2022</v>
      </c>
      <c r="M78" s="74" t="str">
        <f>IFERROR(__xludf.DUMMYFUNCTION("""COMPUTED_VALUE"""),"S4: Student Certifications")</f>
        <v>S4: Student Certifications</v>
      </c>
      <c r="N78" s="74" t="str">
        <f>IFERROR(__xludf.DUMMYFUNCTION("""COMPUTED_VALUE"""),"venkatajaswanth10@gmail.com")</f>
        <v>venkatajaswanth10@gmail.com</v>
      </c>
      <c r="O78" s="74" t="str">
        <f>IFERROR(__xludf.DUMMYFUNCTION("""COMPUTED_VALUE"""),"SEM-6")</f>
        <v>SEM-6</v>
      </c>
      <c r="P78" s="74"/>
      <c r="Q78" s="74"/>
      <c r="R78" s="74"/>
      <c r="S78" s="74"/>
      <c r="T78" s="74"/>
      <c r="U78" s="74"/>
      <c r="V78" s="74"/>
      <c r="W78" s="74"/>
      <c r="X78" s="74"/>
      <c r="Y78" s="74"/>
    </row>
    <row r="79" ht="26.25" customHeight="1">
      <c r="A79" s="74" t="str">
        <f>IFERROR(__xludf.DUMMYFUNCTION("""COMPUTED_VALUE"""),"Venkata Jaswanth Potnuru")</f>
        <v>Venkata Jaswanth Potnuru</v>
      </c>
      <c r="B79" s="74" t="str">
        <f>IFERROR(__xludf.DUMMYFUNCTION("""COMPUTED_VALUE"""),"19335A0513")</f>
        <v>19335A0513</v>
      </c>
      <c r="C79" s="90" t="str">
        <f>IFERROR(__xludf.DUMMYFUNCTION("""COMPUTED_VALUE"""),"NDG LINUX Essentials")</f>
        <v>NDG LINUX Essentials</v>
      </c>
      <c r="D79" s="74" t="str">
        <f>IFERROR(__xludf.DUMMYFUNCTION("""COMPUTED_VALUE"""),"CISCO")</f>
        <v>CISCO</v>
      </c>
      <c r="E79" s="74" t="str">
        <f>IFERROR(__xludf.DUMMYFUNCTION("""COMPUTED_VALUE"""),"1 Month")</f>
        <v>1 Month</v>
      </c>
      <c r="F79" s="91">
        <f>IFERROR(__xludf.DUMMYFUNCTION("""COMPUTED_VALUE"""),44353.0)</f>
        <v>44353</v>
      </c>
      <c r="G79" s="91">
        <f>IFERROR(__xludf.DUMMYFUNCTION("""COMPUTED_VALUE"""),44383.0)</f>
        <v>44383</v>
      </c>
      <c r="H79" s="79">
        <f>IFERROR(__xludf.DUMMYFUNCTION("""COMPUTED_VALUE"""),44383.0)</f>
        <v>44383</v>
      </c>
      <c r="I79" s="92">
        <f>IFERROR(__xludf.DUMMYFUNCTION("""COMPUTED_VALUE"""),95.0)</f>
        <v>95</v>
      </c>
      <c r="J79" s="74" t="str">
        <f>IFERROR(__xludf.DUMMYFUNCTION("""COMPUTED_VALUE"""),"Mark Williams")</f>
        <v>Mark Williams</v>
      </c>
      <c r="K79" s="80" t="str">
        <f>IFERROR(__xludf.DUMMYFUNCTION("""COMPUTED_VALUE"""),"https://drive.google.com/open?id=1L1zMhfxTvNoi-qU4SQcbTr004amwsT8L")</f>
        <v>https://drive.google.com/open?id=1L1zMhfxTvNoi-qU4SQcbTr004amwsT8L</v>
      </c>
      <c r="L79" s="74" t="str">
        <f>IFERROR(__xludf.DUMMYFUNCTION("""COMPUTED_VALUE"""),"2018-2022")</f>
        <v>2018-2022</v>
      </c>
      <c r="M79" s="74" t="str">
        <f>IFERROR(__xludf.DUMMYFUNCTION("""COMPUTED_VALUE"""),"S4: Student Certifications")</f>
        <v>S4: Student Certifications</v>
      </c>
      <c r="N79" s="74" t="str">
        <f>IFERROR(__xludf.DUMMYFUNCTION("""COMPUTED_VALUE"""),"venkatajaswanth10@gmail.com")</f>
        <v>venkatajaswanth10@gmail.com</v>
      </c>
      <c r="O79" s="74" t="str">
        <f>IFERROR(__xludf.DUMMYFUNCTION("""COMPUTED_VALUE"""),"SEM-5")</f>
        <v>SEM-5</v>
      </c>
      <c r="P79" s="74"/>
      <c r="Q79" s="74"/>
      <c r="R79" s="74"/>
      <c r="S79" s="74"/>
      <c r="T79" s="74"/>
      <c r="U79" s="74"/>
      <c r="V79" s="74"/>
      <c r="W79" s="74"/>
      <c r="X79" s="74"/>
      <c r="Y79" s="74"/>
    </row>
    <row r="80" ht="26.25" customHeight="1">
      <c r="A80" s="74" t="str">
        <f>IFERROR(__xludf.DUMMYFUNCTION("""COMPUTED_VALUE"""),"Venkata Jaswanth Potnuru")</f>
        <v>Venkata Jaswanth Potnuru</v>
      </c>
      <c r="B80" s="74" t="str">
        <f>IFERROR(__xludf.DUMMYFUNCTION("""COMPUTED_VALUE"""),"19335A0513")</f>
        <v>19335A0513</v>
      </c>
      <c r="C80" s="90" t="str">
        <f>IFERROR(__xludf.DUMMYFUNCTION("""COMPUTED_VALUE"""),"CPA: Programming Essentials in C++")</f>
        <v>CPA: Programming Essentials in C++</v>
      </c>
      <c r="D80" s="74" t="str">
        <f>IFERROR(__xludf.DUMMYFUNCTION("""COMPUTED_VALUE"""),"CISCO")</f>
        <v>CISCO</v>
      </c>
      <c r="E80" s="74" t="str">
        <f>IFERROR(__xludf.DUMMYFUNCTION("""COMPUTED_VALUE"""),"1 Month")</f>
        <v>1 Month</v>
      </c>
      <c r="F80" s="91">
        <f>IFERROR(__xludf.DUMMYFUNCTION("""COMPUTED_VALUE"""),43912.0)</f>
        <v>43912</v>
      </c>
      <c r="G80" s="91">
        <f>IFERROR(__xludf.DUMMYFUNCTION("""COMPUTED_VALUE"""),43943.0)</f>
        <v>43943</v>
      </c>
      <c r="H80" s="79">
        <f>IFERROR(__xludf.DUMMYFUNCTION("""COMPUTED_VALUE"""),43943.0)</f>
        <v>43943</v>
      </c>
      <c r="I80" s="92">
        <f>IFERROR(__xludf.DUMMYFUNCTION("""COMPUTED_VALUE"""),90.0)</f>
        <v>90</v>
      </c>
      <c r="J80" s="74" t="str">
        <f>IFERROR(__xludf.DUMMYFUNCTION("""COMPUTED_VALUE"""),"Subba Raju K V")</f>
        <v>Subba Raju K V</v>
      </c>
      <c r="K80" s="80" t="str">
        <f>IFERROR(__xludf.DUMMYFUNCTION("""COMPUTED_VALUE"""),"https://drive.google.com/open?id=1vMGLeUrSR3Dh6GgANjUHAzVvzXnuXo0B")</f>
        <v>https://drive.google.com/open?id=1vMGLeUrSR3Dh6GgANjUHAzVvzXnuXo0B</v>
      </c>
      <c r="L80" s="74" t="str">
        <f>IFERROR(__xludf.DUMMYFUNCTION("""COMPUTED_VALUE"""),"2018-2022")</f>
        <v>2018-2022</v>
      </c>
      <c r="M80" s="74" t="str">
        <f>IFERROR(__xludf.DUMMYFUNCTION("""COMPUTED_VALUE"""),"S4: Student Certifications")</f>
        <v>S4: Student Certifications</v>
      </c>
      <c r="N80" s="74" t="str">
        <f>IFERROR(__xludf.DUMMYFUNCTION("""COMPUTED_VALUE"""),"venkatajaswanth10@gmail.com")</f>
        <v>venkatajaswanth10@gmail.com</v>
      </c>
      <c r="O80" s="74" t="str">
        <f>IFERROR(__xludf.DUMMYFUNCTION("""COMPUTED_VALUE"""),"SEM-4")</f>
        <v>SEM-4</v>
      </c>
      <c r="P80" s="74"/>
      <c r="Q80" s="74"/>
      <c r="R80" s="74"/>
      <c r="S80" s="74"/>
      <c r="T80" s="74"/>
      <c r="U80" s="74"/>
      <c r="V80" s="74"/>
      <c r="W80" s="74"/>
      <c r="X80" s="74"/>
      <c r="Y80" s="74"/>
    </row>
    <row r="81" ht="26.25" customHeight="1">
      <c r="A81" s="74" t="str">
        <f>IFERROR(__xludf.DUMMYFUNCTION("""COMPUTED_VALUE"""),"Venkata Jaswanth Potnuru")</f>
        <v>Venkata Jaswanth Potnuru</v>
      </c>
      <c r="B81" s="74" t="str">
        <f>IFERROR(__xludf.DUMMYFUNCTION("""COMPUTED_VALUE"""),"19335A0513")</f>
        <v>19335A0513</v>
      </c>
      <c r="C81" s="90" t="str">
        <f>IFERROR(__xludf.DUMMYFUNCTION("""COMPUTED_VALUE"""),"PCAP: Programming Essentials in Python")</f>
        <v>PCAP: Programming Essentials in Python</v>
      </c>
      <c r="D81" s="74" t="str">
        <f>IFERROR(__xludf.DUMMYFUNCTION("""COMPUTED_VALUE"""),"CISCO")</f>
        <v>CISCO</v>
      </c>
      <c r="E81" s="74" t="str">
        <f>IFERROR(__xludf.DUMMYFUNCTION("""COMPUTED_VALUE"""),"1 Month")</f>
        <v>1 Month</v>
      </c>
      <c r="F81" s="91">
        <f>IFERROR(__xludf.DUMMYFUNCTION("""COMPUTED_VALUE"""),44341.0)</f>
        <v>44341</v>
      </c>
      <c r="G81" s="91">
        <f>IFERROR(__xludf.DUMMYFUNCTION("""COMPUTED_VALUE"""),44372.0)</f>
        <v>44372</v>
      </c>
      <c r="H81" s="79">
        <f>IFERROR(__xludf.DUMMYFUNCTION("""COMPUTED_VALUE"""),44372.0)</f>
        <v>44372</v>
      </c>
      <c r="I81" s="92">
        <f>IFERROR(__xludf.DUMMYFUNCTION("""COMPUTED_VALUE"""),100.0)</f>
        <v>100</v>
      </c>
      <c r="J81" s="74" t="str">
        <f>IFERROR(__xludf.DUMMYFUNCTION("""COMPUTED_VALUE"""),"Subba Raju K V")</f>
        <v>Subba Raju K V</v>
      </c>
      <c r="K81" s="80" t="str">
        <f>IFERROR(__xludf.DUMMYFUNCTION("""COMPUTED_VALUE"""),"https://drive.google.com/open?id=1DNSPS149gUyqLMTKWt0qSnJScql9abxN")</f>
        <v>https://drive.google.com/open?id=1DNSPS149gUyqLMTKWt0qSnJScql9abxN</v>
      </c>
      <c r="L81" s="74" t="str">
        <f>IFERROR(__xludf.DUMMYFUNCTION("""COMPUTED_VALUE"""),"2018-2022")</f>
        <v>2018-2022</v>
      </c>
      <c r="M81" s="74" t="str">
        <f>IFERROR(__xludf.DUMMYFUNCTION("""COMPUTED_VALUE"""),"S4: Student Certifications")</f>
        <v>S4: Student Certifications</v>
      </c>
      <c r="N81" s="74" t="str">
        <f>IFERROR(__xludf.DUMMYFUNCTION("""COMPUTED_VALUE"""),"venkatajaswanth10@gmail.com")</f>
        <v>venkatajaswanth10@gmail.com</v>
      </c>
      <c r="O81" s="74" t="str">
        <f>IFERROR(__xludf.DUMMYFUNCTION("""COMPUTED_VALUE"""),"SEM-6")</f>
        <v>SEM-6</v>
      </c>
      <c r="P81" s="74"/>
      <c r="Q81" s="74"/>
      <c r="R81" s="74"/>
      <c r="S81" s="74"/>
      <c r="T81" s="74"/>
      <c r="U81" s="74"/>
      <c r="V81" s="74"/>
      <c r="W81" s="74"/>
      <c r="X81" s="74"/>
      <c r="Y81" s="74"/>
    </row>
    <row r="82" ht="26.25" customHeight="1">
      <c r="A82" s="74" t="str">
        <f>IFERROR(__xludf.DUMMYFUNCTION("""COMPUTED_VALUE"""),"Venkata Jaswanth Potnuru")</f>
        <v>Venkata Jaswanth Potnuru</v>
      </c>
      <c r="B82" s="74" t="str">
        <f>IFERROR(__xludf.DUMMYFUNCTION("""COMPUTED_VALUE"""),"19335A0513")</f>
        <v>19335A0513</v>
      </c>
      <c r="C82" s="90" t="str">
        <f>IFERROR(__xludf.DUMMYFUNCTION("""COMPUTED_VALUE"""),"Introduction to Packet Tracer")</f>
        <v>Introduction to Packet Tracer</v>
      </c>
      <c r="D82" s="74" t="str">
        <f>IFERROR(__xludf.DUMMYFUNCTION("""COMPUTED_VALUE"""),"CISCO")</f>
        <v>CISCO</v>
      </c>
      <c r="E82" s="74" t="str">
        <f>IFERROR(__xludf.DUMMYFUNCTION("""COMPUTED_VALUE"""),"1 Month")</f>
        <v>1 Month</v>
      </c>
      <c r="F82" s="91">
        <f>IFERROR(__xludf.DUMMYFUNCTION("""COMPUTED_VALUE"""),44287.0)</f>
        <v>44287</v>
      </c>
      <c r="G82" s="91">
        <f>IFERROR(__xludf.DUMMYFUNCTION("""COMPUTED_VALUE"""),44317.0)</f>
        <v>44317</v>
      </c>
      <c r="H82" s="79">
        <f>IFERROR(__xludf.DUMMYFUNCTION("""COMPUTED_VALUE"""),44317.0)</f>
        <v>44317</v>
      </c>
      <c r="I82" s="92">
        <f>IFERROR(__xludf.DUMMYFUNCTION("""COMPUTED_VALUE"""),94.0)</f>
        <v>94</v>
      </c>
      <c r="J82" s="74" t="str">
        <f>IFERROR(__xludf.DUMMYFUNCTION("""COMPUTED_VALUE"""),"Subba Raju K V")</f>
        <v>Subba Raju K V</v>
      </c>
      <c r="K82" s="80" t="str">
        <f>IFERROR(__xludf.DUMMYFUNCTION("""COMPUTED_VALUE"""),"https://drive.google.com/open?id=11O2rotzNzFdvp3cPl2KcpFSbjJsThz21")</f>
        <v>https://drive.google.com/open?id=11O2rotzNzFdvp3cPl2KcpFSbjJsThz21</v>
      </c>
      <c r="L82" s="74" t="str">
        <f>IFERROR(__xludf.DUMMYFUNCTION("""COMPUTED_VALUE"""),"2018-2022")</f>
        <v>2018-2022</v>
      </c>
      <c r="M82" s="74" t="str">
        <f>IFERROR(__xludf.DUMMYFUNCTION("""COMPUTED_VALUE"""),"S4: Student Certifications")</f>
        <v>S4: Student Certifications</v>
      </c>
      <c r="N82" s="74" t="str">
        <f>IFERROR(__xludf.DUMMYFUNCTION("""COMPUTED_VALUE"""),"venkatajaswanth10@gmail.com")</f>
        <v>venkatajaswanth10@gmail.com</v>
      </c>
      <c r="O82" s="74" t="str">
        <f>IFERROR(__xludf.DUMMYFUNCTION("""COMPUTED_VALUE"""),"SEM-5")</f>
        <v>SEM-5</v>
      </c>
      <c r="P82" s="74"/>
      <c r="Q82" s="74"/>
      <c r="R82" s="74"/>
      <c r="S82" s="74"/>
      <c r="T82" s="74"/>
      <c r="U82" s="74"/>
      <c r="V82" s="74"/>
      <c r="W82" s="74"/>
      <c r="X82" s="74"/>
      <c r="Y82" s="74"/>
    </row>
    <row r="83" ht="26.25" customHeight="1">
      <c r="A83" s="74" t="str">
        <f>IFERROR(__xludf.DUMMYFUNCTION("""COMPUTED_VALUE"""),"Venkata Jaswanth Potnuru")</f>
        <v>Venkata Jaswanth Potnuru</v>
      </c>
      <c r="B83" s="74" t="str">
        <f>IFERROR(__xludf.DUMMYFUNCTION("""COMPUTED_VALUE"""),"19335A0513")</f>
        <v>19335A0513</v>
      </c>
      <c r="C83" s="90" t="str">
        <f>IFERROR(__xludf.DUMMYFUNCTION("""COMPUTED_VALUE"""),"Networking Essentials")</f>
        <v>Networking Essentials</v>
      </c>
      <c r="D83" s="74" t="str">
        <f>IFERROR(__xludf.DUMMYFUNCTION("""COMPUTED_VALUE"""),"CISCO")</f>
        <v>CISCO</v>
      </c>
      <c r="E83" s="74" t="str">
        <f>IFERROR(__xludf.DUMMYFUNCTION("""COMPUTED_VALUE"""),"1 Month")</f>
        <v>1 Month</v>
      </c>
      <c r="F83" s="91">
        <f>IFERROR(__xludf.DUMMYFUNCTION("""COMPUTED_VALUE"""),44352.0)</f>
        <v>44352</v>
      </c>
      <c r="G83" s="91">
        <f>IFERROR(__xludf.DUMMYFUNCTION("""COMPUTED_VALUE"""),44382.0)</f>
        <v>44382</v>
      </c>
      <c r="H83" s="79">
        <f>IFERROR(__xludf.DUMMYFUNCTION("""COMPUTED_VALUE"""),44382.0)</f>
        <v>44382</v>
      </c>
      <c r="I83" s="92">
        <f>IFERROR(__xludf.DUMMYFUNCTION("""COMPUTED_VALUE"""),95.0)</f>
        <v>95</v>
      </c>
      <c r="J83" s="74" t="str">
        <f>IFERROR(__xludf.DUMMYFUNCTION("""COMPUTED_VALUE"""),"Jackson Smith")</f>
        <v>Jackson Smith</v>
      </c>
      <c r="K83" s="80" t="str">
        <f>IFERROR(__xludf.DUMMYFUNCTION("""COMPUTED_VALUE"""),"https://drive.google.com/open?id=1fSSORdeD8acofYQiHurdHVIzDt6LzyPy")</f>
        <v>https://drive.google.com/open?id=1fSSORdeD8acofYQiHurdHVIzDt6LzyPy</v>
      </c>
      <c r="L83" s="74" t="str">
        <f>IFERROR(__xludf.DUMMYFUNCTION("""COMPUTED_VALUE"""),"2018-2022")</f>
        <v>2018-2022</v>
      </c>
      <c r="M83" s="74" t="str">
        <f>IFERROR(__xludf.DUMMYFUNCTION("""COMPUTED_VALUE"""),"S4: Student Certifications")</f>
        <v>S4: Student Certifications</v>
      </c>
      <c r="N83" s="74" t="str">
        <f>IFERROR(__xludf.DUMMYFUNCTION("""COMPUTED_VALUE"""),"venkatajaswanth10@gmail.com")</f>
        <v>venkatajaswanth10@gmail.com</v>
      </c>
      <c r="O83" s="74" t="str">
        <f>IFERROR(__xludf.DUMMYFUNCTION("""COMPUTED_VALUE"""),"SEM-6")</f>
        <v>SEM-6</v>
      </c>
      <c r="P83" s="74"/>
      <c r="Q83" s="74"/>
      <c r="R83" s="74"/>
      <c r="S83" s="74"/>
      <c r="T83" s="74"/>
      <c r="U83" s="74"/>
      <c r="V83" s="74"/>
      <c r="W83" s="74"/>
      <c r="X83" s="74"/>
      <c r="Y83" s="74"/>
    </row>
    <row r="84" ht="26.25" customHeight="1">
      <c r="A84" s="74" t="str">
        <f>IFERROR(__xludf.DUMMYFUNCTION("""COMPUTED_VALUE"""),"VUGGINA VEERA VENKATA SATYA VARAHA AYYAPPA")</f>
        <v>VUGGINA VEERA VENKATA SATYA VARAHA AYYAPPA</v>
      </c>
      <c r="B84" s="74" t="str">
        <f>IFERROR(__xludf.DUMMYFUNCTION("""COMPUTED_VALUE"""),"19335A0518")</f>
        <v>19335A0518</v>
      </c>
      <c r="C84" s="90" t="str">
        <f>IFERROR(__xludf.DUMMYFUNCTION("""COMPUTED_VALUE"""),"Red Hat System Administration I (RH124)")</f>
        <v>Red Hat System Administration I (RH124)</v>
      </c>
      <c r="D84" s="74" t="str">
        <f>IFERROR(__xludf.DUMMYFUNCTION("""COMPUTED_VALUE"""),"AICTE")</f>
        <v>AICTE</v>
      </c>
      <c r="E84" s="74" t="str">
        <f>IFERROR(__xludf.DUMMYFUNCTION("""COMPUTED_VALUE"""),"1 MONTH")</f>
        <v>1 MONTH</v>
      </c>
      <c r="F84" s="91">
        <f>IFERROR(__xludf.DUMMYFUNCTION("""COMPUTED_VALUE"""),44652.0)</f>
        <v>44652</v>
      </c>
      <c r="G84" s="91">
        <f>IFERROR(__xludf.DUMMYFUNCTION("""COMPUTED_VALUE"""),44681.0)</f>
        <v>44681</v>
      </c>
      <c r="H84" s="79">
        <f>IFERROR(__xludf.DUMMYFUNCTION("""COMPUTED_VALUE"""),44681.0)</f>
        <v>44681</v>
      </c>
      <c r="I84" s="92">
        <f>IFERROR(__xludf.DUMMYFUNCTION("""COMPUTED_VALUE"""),100.0)</f>
        <v>100</v>
      </c>
      <c r="J84" s="74" t="str">
        <f>IFERROR(__xludf.DUMMYFUNCTION("""COMPUTED_VALUE"""),"Subba Raju K V")</f>
        <v>Subba Raju K V</v>
      </c>
      <c r="K84" s="80" t="str">
        <f>IFERROR(__xludf.DUMMYFUNCTION("""COMPUTED_VALUE"""),"https://drive.google.com/open?id=157mtY3fc8QYuVIVtyTbeJ4QX-mMTiq2I")</f>
        <v>https://drive.google.com/open?id=157mtY3fc8QYuVIVtyTbeJ4QX-mMTiq2I</v>
      </c>
      <c r="L84" s="74" t="str">
        <f>IFERROR(__xludf.DUMMYFUNCTION("""COMPUTED_VALUE"""),"2018-2022")</f>
        <v>2018-2022</v>
      </c>
      <c r="M84" s="74" t="str">
        <f>IFERROR(__xludf.DUMMYFUNCTION("""COMPUTED_VALUE"""),"S4: Student Certifications")</f>
        <v>S4: Student Certifications</v>
      </c>
      <c r="N84" s="74" t="str">
        <f>IFERROR(__xludf.DUMMYFUNCTION("""COMPUTED_VALUE"""),"ayyappa.vuggina01@gmail.com")</f>
        <v>ayyappa.vuggina01@gmail.com</v>
      </c>
      <c r="O84" s="74" t="str">
        <f>IFERROR(__xludf.DUMMYFUNCTION("""COMPUTED_VALUE"""),"SEM-8")</f>
        <v>SEM-8</v>
      </c>
      <c r="P84" s="74"/>
      <c r="Q84" s="74"/>
      <c r="R84" s="74"/>
      <c r="S84" s="74"/>
      <c r="T84" s="74"/>
      <c r="U84" s="74"/>
      <c r="V84" s="74"/>
      <c r="W84" s="74"/>
      <c r="X84" s="74"/>
      <c r="Y84" s="74"/>
    </row>
    <row r="85" ht="26.25" customHeight="1">
      <c r="A85" s="74" t="str">
        <f>IFERROR(__xludf.DUMMYFUNCTION("""COMPUTED_VALUE"""),"VUGGINA VEERA VENKATA SATYA VARAHA AYYAPPA")</f>
        <v>VUGGINA VEERA VENKATA SATYA VARAHA AYYAPPA</v>
      </c>
      <c r="B85" s="74" t="str">
        <f>IFERROR(__xludf.DUMMYFUNCTION("""COMPUTED_VALUE"""),"19335A0518")</f>
        <v>19335A0518</v>
      </c>
      <c r="C85" s="90" t="str">
        <f>IFERROR(__xludf.DUMMYFUNCTION("""COMPUTED_VALUE"""),"Introduction to Packet Tracer")</f>
        <v>Introduction to Packet Tracer</v>
      </c>
      <c r="D85" s="74" t="str">
        <f>IFERROR(__xludf.DUMMYFUNCTION("""COMPUTED_VALUE"""),"CISCO")</f>
        <v>CISCO</v>
      </c>
      <c r="E85" s="74" t="str">
        <f>IFERROR(__xludf.DUMMYFUNCTION("""COMPUTED_VALUE"""),"2 MONTHS")</f>
        <v>2 MONTHS</v>
      </c>
      <c r="F85" s="91">
        <f>IFERROR(__xludf.DUMMYFUNCTION("""COMPUTED_VALUE"""),44287.0)</f>
        <v>44287</v>
      </c>
      <c r="G85" s="91">
        <f>IFERROR(__xludf.DUMMYFUNCTION("""COMPUTED_VALUE"""),44331.0)</f>
        <v>44331</v>
      </c>
      <c r="H85" s="79">
        <f>IFERROR(__xludf.DUMMYFUNCTION("""COMPUTED_VALUE"""),44330.0)</f>
        <v>44330</v>
      </c>
      <c r="I85" s="92">
        <f>IFERROR(__xludf.DUMMYFUNCTION("""COMPUTED_VALUE"""),100.0)</f>
        <v>100</v>
      </c>
      <c r="J85" s="74" t="str">
        <f>IFERROR(__xludf.DUMMYFUNCTION("""COMPUTED_VALUE"""),"DR. RAVI KIRAN VARMA PENMATSA")</f>
        <v>DR. RAVI KIRAN VARMA PENMATSA</v>
      </c>
      <c r="K85" s="80" t="str">
        <f>IFERROR(__xludf.DUMMYFUNCTION("""COMPUTED_VALUE"""),"https://drive.google.com/open?id=1PZnuH5tSVB26pRmJlwb2FJMFv4qiaUM3")</f>
        <v>https://drive.google.com/open?id=1PZnuH5tSVB26pRmJlwb2FJMFv4qiaUM3</v>
      </c>
      <c r="L85" s="74" t="str">
        <f>IFERROR(__xludf.DUMMYFUNCTION("""COMPUTED_VALUE"""),"2018-2022")</f>
        <v>2018-2022</v>
      </c>
      <c r="M85" s="74" t="str">
        <f>IFERROR(__xludf.DUMMYFUNCTION("""COMPUTED_VALUE"""),"S4: Student Certifications")</f>
        <v>S4: Student Certifications</v>
      </c>
      <c r="N85" s="74" t="str">
        <f>IFERROR(__xludf.DUMMYFUNCTION("""COMPUTED_VALUE"""),"ayyappa.vuggina01@gmail.com")</f>
        <v>ayyappa.vuggina01@gmail.com</v>
      </c>
      <c r="O85" s="74" t="str">
        <f>IFERROR(__xludf.DUMMYFUNCTION("""COMPUTED_VALUE"""),"SEM-5")</f>
        <v>SEM-5</v>
      </c>
      <c r="P85" s="74"/>
      <c r="Q85" s="74"/>
      <c r="R85" s="74"/>
      <c r="S85" s="74"/>
      <c r="T85" s="74"/>
      <c r="U85" s="74"/>
      <c r="V85" s="74"/>
      <c r="W85" s="74"/>
      <c r="X85" s="74"/>
      <c r="Y85" s="74"/>
    </row>
    <row r="86" ht="26.25" customHeight="1">
      <c r="A86" s="74" t="str">
        <f>IFERROR(__xludf.DUMMYFUNCTION("""COMPUTED_VALUE"""),"VUGGINA VEERA VENKATA SATYA VARAHA AYYAPPA")</f>
        <v>VUGGINA VEERA VENKATA SATYA VARAHA AYYAPPA</v>
      </c>
      <c r="B86" s="74" t="str">
        <f>IFERROR(__xludf.DUMMYFUNCTION("""COMPUTED_VALUE"""),"19335A0518")</f>
        <v>19335A0518</v>
      </c>
      <c r="C86" s="90" t="str">
        <f>IFERROR(__xludf.DUMMYFUNCTION("""COMPUTED_VALUE"""),"CCNAv7: Switching, Routing, and Wireless Essentials")</f>
        <v>CCNAv7: Switching, Routing, and Wireless Essentials</v>
      </c>
      <c r="D86" s="74" t="str">
        <f>IFERROR(__xludf.DUMMYFUNCTION("""COMPUTED_VALUE"""),"CISCO")</f>
        <v>CISCO</v>
      </c>
      <c r="E86" s="74" t="str">
        <f>IFERROR(__xludf.DUMMYFUNCTION("""COMPUTED_VALUE"""),"2 MONTHS")</f>
        <v>2 MONTHS</v>
      </c>
      <c r="F86" s="91">
        <f>IFERROR(__xludf.DUMMYFUNCTION("""COMPUTED_VALUE"""),44394.0)</f>
        <v>44394</v>
      </c>
      <c r="G86" s="91">
        <f>IFERROR(__xludf.DUMMYFUNCTION("""COMPUTED_VALUE"""),44391.0)</f>
        <v>44391</v>
      </c>
      <c r="H86" s="79">
        <f>IFERROR(__xludf.DUMMYFUNCTION("""COMPUTED_VALUE"""),44390.0)</f>
        <v>44390</v>
      </c>
      <c r="I86" s="92">
        <f>IFERROR(__xludf.DUMMYFUNCTION("""COMPUTED_VALUE"""),100.0)</f>
        <v>100</v>
      </c>
      <c r="J86" s="74" t="str">
        <f>IFERROR(__xludf.DUMMYFUNCTION("""COMPUTED_VALUE"""),"DR. RAVI KIRAN VARMA PENMATSA")</f>
        <v>DR. RAVI KIRAN VARMA PENMATSA</v>
      </c>
      <c r="K86" s="80" t="str">
        <f>IFERROR(__xludf.DUMMYFUNCTION("""COMPUTED_VALUE"""),"https://drive.google.com/open?id=1W3R9v_hup1LUCJiss5p917DRrA5R7EIv")</f>
        <v>https://drive.google.com/open?id=1W3R9v_hup1LUCJiss5p917DRrA5R7EIv</v>
      </c>
      <c r="L86" s="74" t="str">
        <f>IFERROR(__xludf.DUMMYFUNCTION("""COMPUTED_VALUE"""),"2018-2022")</f>
        <v>2018-2022</v>
      </c>
      <c r="M86" s="74" t="str">
        <f>IFERROR(__xludf.DUMMYFUNCTION("""COMPUTED_VALUE"""),"S4: Student Certifications")</f>
        <v>S4: Student Certifications</v>
      </c>
      <c r="N86" s="74" t="str">
        <f>IFERROR(__xludf.DUMMYFUNCTION("""COMPUTED_VALUE"""),"ayyappa.vuggina01@gmail.com")</f>
        <v>ayyappa.vuggina01@gmail.com</v>
      </c>
      <c r="O86" s="74" t="str">
        <f>IFERROR(__xludf.DUMMYFUNCTION("""COMPUTED_VALUE"""),"SEM-5")</f>
        <v>SEM-5</v>
      </c>
      <c r="P86" s="74"/>
      <c r="Q86" s="74"/>
      <c r="R86" s="74"/>
      <c r="S86" s="74"/>
      <c r="T86" s="74"/>
      <c r="U86" s="74"/>
      <c r="V86" s="74"/>
      <c r="W86" s="74"/>
      <c r="X86" s="74"/>
      <c r="Y86" s="74"/>
    </row>
    <row r="87" ht="26.25" customHeight="1">
      <c r="A87" s="74" t="str">
        <f>IFERROR(__xludf.DUMMYFUNCTION("""COMPUTED_VALUE"""),"VUGGINA VEERA VENKATA SATYA VARAHA AYYAPPA")</f>
        <v>VUGGINA VEERA VENKATA SATYA VARAHA AYYAPPA</v>
      </c>
      <c r="B87" s="74" t="str">
        <f>IFERROR(__xludf.DUMMYFUNCTION("""COMPUTED_VALUE"""),"19335A0518")</f>
        <v>19335A0518</v>
      </c>
      <c r="C87" s="90" t="str">
        <f>IFERROR(__xludf.DUMMYFUNCTION("""COMPUTED_VALUE"""),"PCAP: Programming Essentials in Python")</f>
        <v>PCAP: Programming Essentials in Python</v>
      </c>
      <c r="D87" s="74" t="str">
        <f>IFERROR(__xludf.DUMMYFUNCTION("""COMPUTED_VALUE"""),"CISCO")</f>
        <v>CISCO</v>
      </c>
      <c r="E87" s="74" t="str">
        <f>IFERROR(__xludf.DUMMYFUNCTION("""COMPUTED_VALUE"""),"1 MONTH")</f>
        <v>1 MONTH</v>
      </c>
      <c r="F87" s="91">
        <f>IFERROR(__xludf.DUMMYFUNCTION("""COMPUTED_VALUE"""),44341.0)</f>
        <v>44341</v>
      </c>
      <c r="G87" s="91">
        <f>IFERROR(__xludf.DUMMYFUNCTION("""COMPUTED_VALUE"""),44351.0)</f>
        <v>44351</v>
      </c>
      <c r="H87" s="79">
        <f>IFERROR(__xludf.DUMMYFUNCTION("""COMPUTED_VALUE"""),44350.0)</f>
        <v>44350</v>
      </c>
      <c r="I87" s="92">
        <f>IFERROR(__xludf.DUMMYFUNCTION("""COMPUTED_VALUE"""),100.0)</f>
        <v>100</v>
      </c>
      <c r="J87" s="74" t="str">
        <f>IFERROR(__xludf.DUMMYFUNCTION("""COMPUTED_VALUE"""),"DR. RAVI KIRAN VARMA PENMATSA")</f>
        <v>DR. RAVI KIRAN VARMA PENMATSA</v>
      </c>
      <c r="K87" s="80" t="str">
        <f>IFERROR(__xludf.DUMMYFUNCTION("""COMPUTED_VALUE"""),"https://drive.google.com/open?id=14fV7fxncmH55U2ozhPZT7Y_pjan6yvMR")</f>
        <v>https://drive.google.com/open?id=14fV7fxncmH55U2ozhPZT7Y_pjan6yvMR</v>
      </c>
      <c r="L87" s="74" t="str">
        <f>IFERROR(__xludf.DUMMYFUNCTION("""COMPUTED_VALUE"""),"2018-2022")</f>
        <v>2018-2022</v>
      </c>
      <c r="M87" s="74" t="str">
        <f>IFERROR(__xludf.DUMMYFUNCTION("""COMPUTED_VALUE"""),"S4: Student Certifications")</f>
        <v>S4: Student Certifications</v>
      </c>
      <c r="N87" s="74" t="str">
        <f>IFERROR(__xludf.DUMMYFUNCTION("""COMPUTED_VALUE"""),"ayyappa.vuggina01@gmail.com")</f>
        <v>ayyappa.vuggina01@gmail.com</v>
      </c>
      <c r="O87" s="74" t="str">
        <f>IFERROR(__xludf.DUMMYFUNCTION("""COMPUTED_VALUE"""),"SEM-5")</f>
        <v>SEM-5</v>
      </c>
      <c r="P87" s="74"/>
      <c r="Q87" s="74"/>
      <c r="R87" s="74"/>
      <c r="S87" s="74"/>
      <c r="T87" s="74"/>
      <c r="U87" s="74"/>
      <c r="V87" s="74"/>
      <c r="W87" s="74"/>
      <c r="X87" s="74"/>
      <c r="Y87" s="74"/>
    </row>
    <row r="88" ht="26.25" customHeight="1">
      <c r="A88" s="74" t="str">
        <f>IFERROR(__xludf.DUMMYFUNCTION("""COMPUTED_VALUE"""),"VUGGINA VEERA VENKATA SATYA VARAHA AYYAPPA")</f>
        <v>VUGGINA VEERA VENKATA SATYA VARAHA AYYAPPA</v>
      </c>
      <c r="B88" s="74" t="str">
        <f>IFERROR(__xludf.DUMMYFUNCTION("""COMPUTED_VALUE"""),"19335A0518")</f>
        <v>19335A0518</v>
      </c>
      <c r="C88" s="90" t="str">
        <f>IFERROR(__xludf.DUMMYFUNCTION("""COMPUTED_VALUE"""),"CPA: Programming Essentials in C++")</f>
        <v>CPA: Programming Essentials in C++</v>
      </c>
      <c r="D88" s="74" t="str">
        <f>IFERROR(__xludf.DUMMYFUNCTION("""COMPUTED_VALUE"""),"CISCO")</f>
        <v>CISCO</v>
      </c>
      <c r="E88" s="74" t="str">
        <f>IFERROR(__xludf.DUMMYFUNCTION("""COMPUTED_VALUE"""),"1 MONTH")</f>
        <v>1 MONTH</v>
      </c>
      <c r="F88" s="91">
        <f>IFERROR(__xludf.DUMMYFUNCTION("""COMPUTED_VALUE"""),43912.0)</f>
        <v>43912</v>
      </c>
      <c r="G88" s="91">
        <f>IFERROR(__xludf.DUMMYFUNCTION("""COMPUTED_VALUE"""),43955.0)</f>
        <v>43955</v>
      </c>
      <c r="H88" s="79">
        <f>IFERROR(__xludf.DUMMYFUNCTION("""COMPUTED_VALUE"""),43954.0)</f>
        <v>43954</v>
      </c>
      <c r="I88" s="92">
        <f>IFERROR(__xludf.DUMMYFUNCTION("""COMPUTED_VALUE"""),100.0)</f>
        <v>100</v>
      </c>
      <c r="J88" s="74" t="str">
        <f>IFERROR(__xludf.DUMMYFUNCTION("""COMPUTED_VALUE"""),"DR. RAVI KIRAN VARMA PENMATSA")</f>
        <v>DR. RAVI KIRAN VARMA PENMATSA</v>
      </c>
      <c r="K88" s="80" t="str">
        <f>IFERROR(__xludf.DUMMYFUNCTION("""COMPUTED_VALUE"""),"https://drive.google.com/open?id=1Eh1ZtTa1QnOLiqHCU_Xtc1vAhcsYeqNY")</f>
        <v>https://drive.google.com/open?id=1Eh1ZtTa1QnOLiqHCU_Xtc1vAhcsYeqNY</v>
      </c>
      <c r="L88" s="74" t="str">
        <f>IFERROR(__xludf.DUMMYFUNCTION("""COMPUTED_VALUE"""),"2018-2022")</f>
        <v>2018-2022</v>
      </c>
      <c r="M88" s="74" t="str">
        <f>IFERROR(__xludf.DUMMYFUNCTION("""COMPUTED_VALUE"""),"S4: Student Certifications")</f>
        <v>S4: Student Certifications</v>
      </c>
      <c r="N88" s="74" t="str">
        <f>IFERROR(__xludf.DUMMYFUNCTION("""COMPUTED_VALUE"""),"ayyappa.vuggina01@gmail.com")</f>
        <v>ayyappa.vuggina01@gmail.com</v>
      </c>
      <c r="O88" s="74" t="str">
        <f>IFERROR(__xludf.DUMMYFUNCTION("""COMPUTED_VALUE"""),"SEM-4")</f>
        <v>SEM-4</v>
      </c>
      <c r="P88" s="74"/>
      <c r="Q88" s="74"/>
      <c r="R88" s="74"/>
      <c r="S88" s="74"/>
      <c r="T88" s="74"/>
      <c r="U88" s="74"/>
      <c r="V88" s="74"/>
      <c r="W88" s="74"/>
      <c r="X88" s="74"/>
      <c r="Y88" s="74"/>
    </row>
    <row r="89" ht="26.25" customHeight="1">
      <c r="A89" s="74" t="str">
        <f>IFERROR(__xludf.DUMMYFUNCTION("""COMPUTED_VALUE"""),"VUGGINA VEERA VENKATA SATYA VARAHA AYYAPPA")</f>
        <v>VUGGINA VEERA VENKATA SATYA VARAHA AYYAPPA</v>
      </c>
      <c r="B89" s="74" t="str">
        <f>IFERROR(__xludf.DUMMYFUNCTION("""COMPUTED_VALUE"""),"19335A0518")</f>
        <v>19335A0518</v>
      </c>
      <c r="C89" s="90" t="str">
        <f>IFERROR(__xludf.DUMMYFUNCTION("""COMPUTED_VALUE"""),"Cybersecurity Foundation")</f>
        <v>Cybersecurity Foundation</v>
      </c>
      <c r="D89" s="74" t="str">
        <f>IFERROR(__xludf.DUMMYFUNCTION("""COMPUTED_VALUE"""),"Palo Alto Networks Cybersecurity Academy")</f>
        <v>Palo Alto Networks Cybersecurity Academy</v>
      </c>
      <c r="E89" s="74" t="str">
        <f>IFERROR(__xludf.DUMMYFUNCTION("""COMPUTED_VALUE"""),"1 MONTH")</f>
        <v>1 MONTH</v>
      </c>
      <c r="F89" s="91">
        <f>IFERROR(__xludf.DUMMYFUNCTION("""COMPUTED_VALUE"""),44371.0)</f>
        <v>44371</v>
      </c>
      <c r="G89" s="91">
        <f>IFERROR(__xludf.DUMMYFUNCTION("""COMPUTED_VALUE"""),44401.0)</f>
        <v>44401</v>
      </c>
      <c r="H89" s="79">
        <f>IFERROR(__xludf.DUMMYFUNCTION("""COMPUTED_VALUE"""),44400.0)</f>
        <v>44400</v>
      </c>
      <c r="I89" s="92">
        <f>IFERROR(__xludf.DUMMYFUNCTION("""COMPUTED_VALUE"""),100.0)</f>
        <v>100</v>
      </c>
      <c r="J89" s="74" t="str">
        <f>IFERROR(__xludf.DUMMYFUNCTION("""COMPUTED_VALUE"""),"DR. RAVI KIRAN VARMA PENMATSA")</f>
        <v>DR. RAVI KIRAN VARMA PENMATSA</v>
      </c>
      <c r="K89" s="80" t="str">
        <f>IFERROR(__xludf.DUMMYFUNCTION("""COMPUTED_VALUE"""),"https://drive.google.com/open?id=1gac_Nud4F4G8I9PCCa9D0Btcm3uOxWZQ")</f>
        <v>https://drive.google.com/open?id=1gac_Nud4F4G8I9PCCa9D0Btcm3uOxWZQ</v>
      </c>
      <c r="L89" s="74" t="str">
        <f>IFERROR(__xludf.DUMMYFUNCTION("""COMPUTED_VALUE"""),"2018-2022")</f>
        <v>2018-2022</v>
      </c>
      <c r="M89" s="74" t="str">
        <f>IFERROR(__xludf.DUMMYFUNCTION("""COMPUTED_VALUE"""),"S4: Student Certifications")</f>
        <v>S4: Student Certifications</v>
      </c>
      <c r="N89" s="74" t="str">
        <f>IFERROR(__xludf.DUMMYFUNCTION("""COMPUTED_VALUE"""),"ayyappa.vuggina01@gmail.com")</f>
        <v>ayyappa.vuggina01@gmail.com</v>
      </c>
      <c r="O89" s="74" t="str">
        <f>IFERROR(__xludf.DUMMYFUNCTION("""COMPUTED_VALUE"""),"SEM-6")</f>
        <v>SEM-6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</row>
    <row r="90" ht="26.25" customHeight="1">
      <c r="A90" s="74" t="str">
        <f>IFERROR(__xludf.DUMMYFUNCTION("""COMPUTED_VALUE"""),"V Sowdamini")</f>
        <v>V Sowdamini</v>
      </c>
      <c r="B90" s="74" t="str">
        <f>IFERROR(__xludf.DUMMYFUNCTION("""COMPUTED_VALUE"""),"19335A0517")</f>
        <v>19335A0517</v>
      </c>
      <c r="C90" s="90" t="str">
        <f>IFERROR(__xludf.DUMMYFUNCTION("""COMPUTED_VALUE"""),"Aws academy cloud architecting")</f>
        <v>Aws academy cloud architecting</v>
      </c>
      <c r="D90" s="74" t="str">
        <f>IFERROR(__xludf.DUMMYFUNCTION("""COMPUTED_VALUE"""),"Aws academy")</f>
        <v>Aws academy</v>
      </c>
      <c r="E90" s="74" t="str">
        <f>IFERROR(__xludf.DUMMYFUNCTION("""COMPUTED_VALUE"""),"20hrs")</f>
        <v>20hrs</v>
      </c>
      <c r="F90" s="91">
        <f>IFERROR(__xludf.DUMMYFUNCTION("""COMPUTED_VALUE"""),44573.0)</f>
        <v>44573</v>
      </c>
      <c r="G90" s="91">
        <f>IFERROR(__xludf.DUMMYFUNCTION("""COMPUTED_VALUE"""),44573.0)</f>
        <v>44573</v>
      </c>
      <c r="H90" s="79">
        <f>IFERROR(__xludf.DUMMYFUNCTION("""COMPUTED_VALUE"""),44573.0)</f>
        <v>44573</v>
      </c>
      <c r="I90" s="92">
        <f>IFERROR(__xludf.DUMMYFUNCTION("""COMPUTED_VALUE"""),100.0)</f>
        <v>100</v>
      </c>
      <c r="J90" s="74" t="str">
        <f>IFERROR(__xludf.DUMMYFUNCTION("""COMPUTED_VALUE"""),"Dr p Ravikiran varma")</f>
        <v>Dr p Ravikiran varma</v>
      </c>
      <c r="K90" s="80" t="str">
        <f>IFERROR(__xludf.DUMMYFUNCTION("""COMPUTED_VALUE"""),"https://drive.google.com/open?id=1KxtjneWk-xmDymWeFiQvMkzvSpLeO477")</f>
        <v>https://drive.google.com/open?id=1KxtjneWk-xmDymWeFiQvMkzvSpLeO477</v>
      </c>
      <c r="L90" s="74" t="str">
        <f>IFERROR(__xludf.DUMMYFUNCTION("""COMPUTED_VALUE"""),"2018-2022")</f>
        <v>2018-2022</v>
      </c>
      <c r="M90" s="74" t="str">
        <f>IFERROR(__xludf.DUMMYFUNCTION("""COMPUTED_VALUE"""),"S4: Student Certifications")</f>
        <v>S4: Student Certifications</v>
      </c>
      <c r="N90" s="74" t="str">
        <f>IFERROR(__xludf.DUMMYFUNCTION("""COMPUTED_VALUE"""),"sowdaminivanamali5931@gmail.com")</f>
        <v>sowdaminivanamali5931@gmail.com</v>
      </c>
      <c r="O90" s="74" t="str">
        <f>IFERROR(__xludf.DUMMYFUNCTION("""COMPUTED_VALUE"""),"SEM-7")</f>
        <v>SEM-7</v>
      </c>
      <c r="P90" s="74"/>
      <c r="Q90" s="74"/>
      <c r="R90" s="74"/>
      <c r="S90" s="74"/>
      <c r="T90" s="74"/>
      <c r="U90" s="74"/>
      <c r="V90" s="74"/>
      <c r="W90" s="74"/>
      <c r="X90" s="74"/>
      <c r="Y90" s="74"/>
    </row>
    <row r="91" ht="26.25" customHeight="1">
      <c r="A91" s="74" t="str">
        <f>IFERROR(__xludf.DUMMYFUNCTION("""COMPUTED_VALUE"""),"syed ali zulfekar")</f>
        <v>syed ali zulfekar</v>
      </c>
      <c r="B91" s="74" t="str">
        <f>IFERROR(__xludf.DUMMYFUNCTION("""COMPUTED_VALUE"""),"18331A05E9")</f>
        <v>18331A05E9</v>
      </c>
      <c r="C91" s="90" t="str">
        <f>IFERROR(__xludf.DUMMYFUNCTION("""COMPUTED_VALUE"""),"CLA: Programming Essentials in C")</f>
        <v>CLA: Programming Essentials in C</v>
      </c>
      <c r="D91" s="74" t="str">
        <f>IFERROR(__xludf.DUMMYFUNCTION("""COMPUTED_VALUE"""),"cisco")</f>
        <v>cisco</v>
      </c>
      <c r="E91" s="74" t="str">
        <f>IFERROR(__xludf.DUMMYFUNCTION("""COMPUTED_VALUE"""),"2 months")</f>
        <v>2 months</v>
      </c>
      <c r="F91" s="91">
        <f>IFERROR(__xludf.DUMMYFUNCTION("""COMPUTED_VALUE"""),43563.0)</f>
        <v>43563</v>
      </c>
      <c r="G91" s="91">
        <f>IFERROR(__xludf.DUMMYFUNCTION("""COMPUTED_VALUE"""),43564.0)</f>
        <v>43564</v>
      </c>
      <c r="H91" s="79">
        <f>IFERROR(__xludf.DUMMYFUNCTION("""COMPUTED_VALUE"""),43618.0)</f>
        <v>43618</v>
      </c>
      <c r="I91" s="92">
        <f>IFERROR(__xludf.DUMMYFUNCTION("""COMPUTED_VALUE"""),90.0)</f>
        <v>90</v>
      </c>
      <c r="J91" s="74" t="str">
        <f>IFERROR(__xludf.DUMMYFUNCTION("""COMPUTED_VALUE"""),"ravikiran varma")</f>
        <v>ravikiran varma</v>
      </c>
      <c r="K91" s="80" t="str">
        <f>IFERROR(__xludf.DUMMYFUNCTION("""COMPUTED_VALUE"""),"https://drive.google.com/open?id=1lz_Bl-sFcaCSf5bLkeZNU00wIlLysyUY")</f>
        <v>https://drive.google.com/open?id=1lz_Bl-sFcaCSf5bLkeZNU00wIlLysyUY</v>
      </c>
      <c r="L91" s="74" t="str">
        <f>IFERROR(__xludf.DUMMYFUNCTION("""COMPUTED_VALUE"""),"2018-2022")</f>
        <v>2018-2022</v>
      </c>
      <c r="M91" s="74" t="str">
        <f>IFERROR(__xludf.DUMMYFUNCTION("""COMPUTED_VALUE"""),"S4: Student Certifications")</f>
        <v>S4: Student Certifications</v>
      </c>
      <c r="N91" s="74" t="str">
        <f>IFERROR(__xludf.DUMMYFUNCTION("""COMPUTED_VALUE"""),"tillu812@gmail.com")</f>
        <v>tillu812@gmail.com</v>
      </c>
      <c r="O91" s="74" t="str">
        <f>IFERROR(__xludf.DUMMYFUNCTION("""COMPUTED_VALUE"""),"SEM-8")</f>
        <v>SEM-8</v>
      </c>
      <c r="P91" s="74"/>
      <c r="Q91" s="74"/>
      <c r="R91" s="74"/>
      <c r="S91" s="74"/>
      <c r="T91" s="74"/>
      <c r="U91" s="74"/>
      <c r="V91" s="74"/>
      <c r="W91" s="74"/>
      <c r="X91" s="74"/>
      <c r="Y91" s="74"/>
    </row>
    <row r="92" ht="26.25" customHeight="1">
      <c r="A92" s="74" t="str">
        <f>IFERROR(__xludf.DUMMYFUNCTION("""COMPUTED_VALUE"""),"syed ali zulfekar")</f>
        <v>syed ali zulfekar</v>
      </c>
      <c r="B92" s="74" t="str">
        <f>IFERROR(__xludf.DUMMYFUNCTION("""COMPUTED_VALUE"""),"18331A05E9")</f>
        <v>18331A05E9</v>
      </c>
      <c r="C92" s="90" t="str">
        <f>IFERROR(__xludf.DUMMYFUNCTION("""COMPUTED_VALUE"""),"Cybersecurity Essentials")</f>
        <v>Cybersecurity Essentials</v>
      </c>
      <c r="D92" s="74" t="str">
        <f>IFERROR(__xludf.DUMMYFUNCTION("""COMPUTED_VALUE"""),"cisco")</f>
        <v>cisco</v>
      </c>
      <c r="E92" s="74" t="str">
        <f>IFERROR(__xludf.DUMMYFUNCTION("""COMPUTED_VALUE"""),"2 months")</f>
        <v>2 months</v>
      </c>
      <c r="F92" s="91">
        <f>IFERROR(__xludf.DUMMYFUNCTION("""COMPUTED_VALUE"""),43615.0)</f>
        <v>43615</v>
      </c>
      <c r="G92" s="91">
        <f>IFERROR(__xludf.DUMMYFUNCTION("""COMPUTED_VALUE"""),43676.0)</f>
        <v>43676</v>
      </c>
      <c r="H92" s="79">
        <f>IFERROR(__xludf.DUMMYFUNCTION("""COMPUTED_VALUE"""),43676.0)</f>
        <v>43676</v>
      </c>
      <c r="I92" s="92">
        <f>IFERROR(__xludf.DUMMYFUNCTION("""COMPUTED_VALUE"""),90.0)</f>
        <v>90</v>
      </c>
      <c r="J92" s="74" t="str">
        <f>IFERROR(__xludf.DUMMYFUNCTION("""COMPUTED_VALUE"""),"ravi kiran varma")</f>
        <v>ravi kiran varma</v>
      </c>
      <c r="K92" s="80" t="str">
        <f>IFERROR(__xludf.DUMMYFUNCTION("""COMPUTED_VALUE"""),"https://drive.google.com/open?id=1Xptl1fq8dz1QeoTmoamjU_iN5PqHa11t")</f>
        <v>https://drive.google.com/open?id=1Xptl1fq8dz1QeoTmoamjU_iN5PqHa11t</v>
      </c>
      <c r="L92" s="74" t="str">
        <f>IFERROR(__xludf.DUMMYFUNCTION("""COMPUTED_VALUE"""),"2018-2022")</f>
        <v>2018-2022</v>
      </c>
      <c r="M92" s="74" t="str">
        <f>IFERROR(__xludf.DUMMYFUNCTION("""COMPUTED_VALUE"""),"S4: Student Certifications")</f>
        <v>S4: Student Certifications</v>
      </c>
      <c r="N92" s="74" t="str">
        <f>IFERROR(__xludf.DUMMYFUNCTION("""COMPUTED_VALUE"""),"tillu812@gmail.com")</f>
        <v>tillu812@gmail.com</v>
      </c>
      <c r="O92" s="74" t="str">
        <f>IFERROR(__xludf.DUMMYFUNCTION("""COMPUTED_VALUE"""),"SEM-8")</f>
        <v>SEM-8</v>
      </c>
      <c r="P92" s="74"/>
      <c r="Q92" s="74"/>
      <c r="R92" s="74"/>
      <c r="S92" s="74"/>
      <c r="T92" s="74"/>
      <c r="U92" s="74"/>
      <c r="V92" s="74"/>
      <c r="W92" s="74"/>
      <c r="X92" s="74"/>
      <c r="Y92" s="74"/>
    </row>
    <row r="93" ht="26.25" customHeight="1">
      <c r="A93" s="74" t="str">
        <f>IFERROR(__xludf.DUMMYFUNCTION("""COMPUTED_VALUE"""),"syed ali zulfekar")</f>
        <v>syed ali zulfekar</v>
      </c>
      <c r="B93" s="74" t="str">
        <f>IFERROR(__xludf.DUMMYFUNCTION("""COMPUTED_VALUE"""),"18331A05E9")</f>
        <v>18331A05E9</v>
      </c>
      <c r="C93" s="90" t="str">
        <f>IFERROR(__xludf.DUMMYFUNCTION("""COMPUTED_VALUE"""),"CCNAv7: Introduction to Networks")</f>
        <v>CCNAv7: Introduction to Networks</v>
      </c>
      <c r="D93" s="74" t="str">
        <f>IFERROR(__xludf.DUMMYFUNCTION("""COMPUTED_VALUE"""),"cisco")</f>
        <v>cisco</v>
      </c>
      <c r="E93" s="74" t="str">
        <f>IFERROR(__xludf.DUMMYFUNCTION("""COMPUTED_VALUE"""),"2 months")</f>
        <v>2 months</v>
      </c>
      <c r="F93" s="91">
        <f>IFERROR(__xludf.DUMMYFUNCTION("""COMPUTED_VALUE"""),43920.0)</f>
        <v>43920</v>
      </c>
      <c r="G93" s="91">
        <f>IFERROR(__xludf.DUMMYFUNCTION("""COMPUTED_VALUE"""),43964.0)</f>
        <v>43964</v>
      </c>
      <c r="H93" s="79">
        <f>IFERROR(__xludf.DUMMYFUNCTION("""COMPUTED_VALUE"""),43981.0)</f>
        <v>43981</v>
      </c>
      <c r="I93" s="92">
        <f>IFERROR(__xludf.DUMMYFUNCTION("""COMPUTED_VALUE"""),90.0)</f>
        <v>90</v>
      </c>
      <c r="J93" s="74" t="str">
        <f>IFERROR(__xludf.DUMMYFUNCTION("""COMPUTED_VALUE"""),"ravi kiran varma")</f>
        <v>ravi kiran varma</v>
      </c>
      <c r="K93" s="80" t="str">
        <f>IFERROR(__xludf.DUMMYFUNCTION("""COMPUTED_VALUE"""),"https://drive.google.com/open?id=1p8mCPDMdTmkYsb9TbiBpyzyVeoOg4PP8")</f>
        <v>https://drive.google.com/open?id=1p8mCPDMdTmkYsb9TbiBpyzyVeoOg4PP8</v>
      </c>
      <c r="L93" s="74" t="str">
        <f>IFERROR(__xludf.DUMMYFUNCTION("""COMPUTED_VALUE"""),"2018-2022")</f>
        <v>2018-2022</v>
      </c>
      <c r="M93" s="74" t="str">
        <f>IFERROR(__xludf.DUMMYFUNCTION("""COMPUTED_VALUE"""),"S4: Student Certifications")</f>
        <v>S4: Student Certifications</v>
      </c>
      <c r="N93" s="74" t="str">
        <f>IFERROR(__xludf.DUMMYFUNCTION("""COMPUTED_VALUE"""),"tillu812@gmail.com")</f>
        <v>tillu812@gmail.com</v>
      </c>
      <c r="O93" s="74" t="str">
        <f>IFERROR(__xludf.DUMMYFUNCTION("""COMPUTED_VALUE"""),"SEM-8")</f>
        <v>SEM-8</v>
      </c>
      <c r="P93" s="74"/>
      <c r="Q93" s="74"/>
      <c r="R93" s="74"/>
      <c r="S93" s="74"/>
      <c r="T93" s="74"/>
      <c r="U93" s="74"/>
      <c r="V93" s="74"/>
      <c r="W93" s="74"/>
      <c r="X93" s="74"/>
      <c r="Y93" s="74"/>
    </row>
    <row r="94" ht="26.25" customHeight="1">
      <c r="A94" s="74" t="str">
        <f>IFERROR(__xludf.DUMMYFUNCTION("""COMPUTED_VALUE"""),"syed ali zulfekar")</f>
        <v>syed ali zulfekar</v>
      </c>
      <c r="B94" s="74" t="str">
        <f>IFERROR(__xludf.DUMMYFUNCTION("""COMPUTED_VALUE"""),"18331A05E9")</f>
        <v>18331A05E9</v>
      </c>
      <c r="C94" s="90" t="str">
        <f>IFERROR(__xludf.DUMMYFUNCTION("""COMPUTED_VALUE"""),"CCNAv7: Switching, Routing, and Wireless Essentials")</f>
        <v>CCNAv7: Switching, Routing, and Wireless Essentials</v>
      </c>
      <c r="D94" s="74" t="str">
        <f>IFERROR(__xludf.DUMMYFUNCTION("""COMPUTED_VALUE"""),"cisco")</f>
        <v>cisco</v>
      </c>
      <c r="E94" s="74" t="str">
        <f>IFERROR(__xludf.DUMMYFUNCTION("""COMPUTED_VALUE"""),"2 months")</f>
        <v>2 months</v>
      </c>
      <c r="F94" s="91">
        <f>IFERROR(__xludf.DUMMYFUNCTION("""COMPUTED_VALUE"""),43930.0)</f>
        <v>43930</v>
      </c>
      <c r="G94" s="91">
        <f>IFERROR(__xludf.DUMMYFUNCTION("""COMPUTED_VALUE"""),43991.0)</f>
        <v>43991</v>
      </c>
      <c r="H94" s="79">
        <f>IFERROR(__xludf.DUMMYFUNCTION("""COMPUTED_VALUE"""),43991.0)</f>
        <v>43991</v>
      </c>
      <c r="I94" s="92">
        <f>IFERROR(__xludf.DUMMYFUNCTION("""COMPUTED_VALUE"""),90.0)</f>
        <v>90</v>
      </c>
      <c r="J94" s="74" t="str">
        <f>IFERROR(__xludf.DUMMYFUNCTION("""COMPUTED_VALUE"""),"dr.ravi kiran varma")</f>
        <v>dr.ravi kiran varma</v>
      </c>
      <c r="K94" s="80" t="str">
        <f>IFERROR(__xludf.DUMMYFUNCTION("""COMPUTED_VALUE"""),"https://drive.google.com/open?id=15xS7hw95edEQiA3Z0-2edZvwijii28YG")</f>
        <v>https://drive.google.com/open?id=15xS7hw95edEQiA3Z0-2edZvwijii28YG</v>
      </c>
      <c r="L94" s="74" t="str">
        <f>IFERROR(__xludf.DUMMYFUNCTION("""COMPUTED_VALUE"""),"2018-2022")</f>
        <v>2018-2022</v>
      </c>
      <c r="M94" s="74" t="str">
        <f>IFERROR(__xludf.DUMMYFUNCTION("""COMPUTED_VALUE"""),"S4: Student Certifications")</f>
        <v>S4: Student Certifications</v>
      </c>
      <c r="N94" s="74" t="str">
        <f>IFERROR(__xludf.DUMMYFUNCTION("""COMPUTED_VALUE"""),"tillu812@gmail.com")</f>
        <v>tillu812@gmail.com</v>
      </c>
      <c r="O94" s="74" t="str">
        <f>IFERROR(__xludf.DUMMYFUNCTION("""COMPUTED_VALUE"""),"SEM-8")</f>
        <v>SEM-8</v>
      </c>
      <c r="P94" s="74"/>
      <c r="Q94" s="74"/>
      <c r="R94" s="74"/>
      <c r="S94" s="74"/>
      <c r="T94" s="74"/>
      <c r="U94" s="74"/>
      <c r="V94" s="74"/>
      <c r="W94" s="74"/>
      <c r="X94" s="74"/>
      <c r="Y94" s="74"/>
    </row>
    <row r="95" ht="26.25" customHeight="1">
      <c r="A95" s="74" t="str">
        <f>IFERROR(__xludf.DUMMYFUNCTION("""COMPUTED_VALUE"""),"syed ali zulfekar")</f>
        <v>syed ali zulfekar</v>
      </c>
      <c r="B95" s="74" t="str">
        <f>IFERROR(__xludf.DUMMYFUNCTION("""COMPUTED_VALUE"""),"18331A05E9")</f>
        <v>18331A05E9</v>
      </c>
      <c r="C95" s="90" t="str">
        <f>IFERROR(__xludf.DUMMYFUNCTION("""COMPUTED_VALUE"""),"CCNAv7: Enterprise Networking, Security, and Automation")</f>
        <v>CCNAv7: Enterprise Networking, Security, and Automation</v>
      </c>
      <c r="D95" s="74" t="str">
        <f>IFERROR(__xludf.DUMMYFUNCTION("""COMPUTED_VALUE"""),"cisco")</f>
        <v>cisco</v>
      </c>
      <c r="E95" s="74" t="str">
        <f>IFERROR(__xludf.DUMMYFUNCTION("""COMPUTED_VALUE"""),"2 months")</f>
        <v>2 months</v>
      </c>
      <c r="F95" s="91">
        <f>IFERROR(__xludf.DUMMYFUNCTION("""COMPUTED_VALUE"""),43981.0)</f>
        <v>43981</v>
      </c>
      <c r="G95" s="91">
        <f>IFERROR(__xludf.DUMMYFUNCTION("""COMPUTED_VALUE"""),44042.0)</f>
        <v>44042</v>
      </c>
      <c r="H95" s="79">
        <f>IFERROR(__xludf.DUMMYFUNCTION("""COMPUTED_VALUE"""),44042.0)</f>
        <v>44042</v>
      </c>
      <c r="I95" s="92">
        <f>IFERROR(__xludf.DUMMYFUNCTION("""COMPUTED_VALUE"""),82.0)</f>
        <v>82</v>
      </c>
      <c r="J95" s="74" t="str">
        <f>IFERROR(__xludf.DUMMYFUNCTION("""COMPUTED_VALUE"""),"dr.ravi kiran varma")</f>
        <v>dr.ravi kiran varma</v>
      </c>
      <c r="K95" s="80" t="str">
        <f>IFERROR(__xludf.DUMMYFUNCTION("""COMPUTED_VALUE"""),"https://drive.google.com/open?id=181GeCtBVogSFrpfprg4RD4Ah_1lWhBn7")</f>
        <v>https://drive.google.com/open?id=181GeCtBVogSFrpfprg4RD4Ah_1lWhBn7</v>
      </c>
      <c r="L95" s="74" t="str">
        <f>IFERROR(__xludf.DUMMYFUNCTION("""COMPUTED_VALUE"""),"2018-2022")</f>
        <v>2018-2022</v>
      </c>
      <c r="M95" s="74" t="str">
        <f>IFERROR(__xludf.DUMMYFUNCTION("""COMPUTED_VALUE"""),"S4: Student Certifications")</f>
        <v>S4: Student Certifications</v>
      </c>
      <c r="N95" s="74" t="str">
        <f>IFERROR(__xludf.DUMMYFUNCTION("""COMPUTED_VALUE"""),"tillu812@gmail.com")</f>
        <v>tillu812@gmail.com</v>
      </c>
      <c r="O95" s="74" t="str">
        <f>IFERROR(__xludf.DUMMYFUNCTION("""COMPUTED_VALUE"""),"SEM-8")</f>
        <v>SEM-8</v>
      </c>
      <c r="P95" s="74"/>
      <c r="Q95" s="74"/>
      <c r="R95" s="74"/>
      <c r="S95" s="74"/>
      <c r="T95" s="74"/>
      <c r="U95" s="74"/>
      <c r="V95" s="74"/>
      <c r="W95" s="74"/>
      <c r="X95" s="74"/>
      <c r="Y95" s="74"/>
    </row>
    <row r="96" ht="26.25" customHeight="1">
      <c r="A96" s="74" t="str">
        <f>IFERROR(__xludf.DUMMYFUNCTION("""COMPUTED_VALUE"""),"syed ali zulfekar")</f>
        <v>syed ali zulfekar</v>
      </c>
      <c r="B96" s="74" t="str">
        <f>IFERROR(__xludf.DUMMYFUNCTION("""COMPUTED_VALUE"""),"18331A05E9")</f>
        <v>18331A05E9</v>
      </c>
      <c r="C96" s="90" t="str">
        <f>IFERROR(__xludf.DUMMYFUNCTION("""COMPUTED_VALUE"""),"PCAP: Programming Essentials in Python")</f>
        <v>PCAP: Programming Essentials in Python</v>
      </c>
      <c r="D96" s="74" t="str">
        <f>IFERROR(__xludf.DUMMYFUNCTION("""COMPUTED_VALUE"""),"cisco")</f>
        <v>cisco</v>
      </c>
      <c r="E96" s="74" t="str">
        <f>IFERROR(__xludf.DUMMYFUNCTION("""COMPUTED_VALUE"""),"2 months")</f>
        <v>2 months</v>
      </c>
      <c r="F96" s="91">
        <f>IFERROR(__xludf.DUMMYFUNCTION("""COMPUTED_VALUE"""),44012.0)</f>
        <v>44012</v>
      </c>
      <c r="G96" s="91">
        <f>IFERROR(__xludf.DUMMYFUNCTION("""COMPUTED_VALUE"""),44047.0)</f>
        <v>44047</v>
      </c>
      <c r="H96" s="79">
        <f>IFERROR(__xludf.DUMMYFUNCTION("""COMPUTED_VALUE"""),44047.0)</f>
        <v>44047</v>
      </c>
      <c r="I96" s="92">
        <f>IFERROR(__xludf.DUMMYFUNCTION("""COMPUTED_VALUE"""),84.0)</f>
        <v>84</v>
      </c>
      <c r="J96" s="74" t="str">
        <f>IFERROR(__xludf.DUMMYFUNCTION("""COMPUTED_VALUE"""),"dr.ravi kiran varma")</f>
        <v>dr.ravi kiran varma</v>
      </c>
      <c r="K96" s="80" t="str">
        <f>IFERROR(__xludf.DUMMYFUNCTION("""COMPUTED_VALUE"""),"https://drive.google.com/open?id=1Mty3rxcbLKf2IeeWugKzvR_8RUp42v3Y")</f>
        <v>https://drive.google.com/open?id=1Mty3rxcbLKf2IeeWugKzvR_8RUp42v3Y</v>
      </c>
      <c r="L96" s="74" t="str">
        <f>IFERROR(__xludf.DUMMYFUNCTION("""COMPUTED_VALUE"""),"2018-2022")</f>
        <v>2018-2022</v>
      </c>
      <c r="M96" s="74" t="str">
        <f>IFERROR(__xludf.DUMMYFUNCTION("""COMPUTED_VALUE"""),"S4: Student Certifications")</f>
        <v>S4: Student Certifications</v>
      </c>
      <c r="N96" s="74" t="str">
        <f>IFERROR(__xludf.DUMMYFUNCTION("""COMPUTED_VALUE"""),"tillu812@gmail.com")</f>
        <v>tillu812@gmail.com</v>
      </c>
      <c r="O96" s="74" t="str">
        <f>IFERROR(__xludf.DUMMYFUNCTION("""COMPUTED_VALUE"""),"SEM-8")</f>
        <v>SEM-8</v>
      </c>
      <c r="P96" s="74"/>
      <c r="Q96" s="74"/>
      <c r="R96" s="74"/>
      <c r="S96" s="74"/>
      <c r="T96" s="74"/>
      <c r="U96" s="74"/>
      <c r="V96" s="74"/>
      <c r="W96" s="74"/>
      <c r="X96" s="74"/>
      <c r="Y96" s="74"/>
    </row>
    <row r="97" ht="26.25" customHeight="1">
      <c r="A97" s="74" t="str">
        <f>IFERROR(__xludf.DUMMYFUNCTION("""COMPUTED_VALUE"""),"syed ali zulfekar")</f>
        <v>syed ali zulfekar</v>
      </c>
      <c r="B97" s="74" t="str">
        <f>IFERROR(__xludf.DUMMYFUNCTION("""COMPUTED_VALUE"""),"18331A05E9")</f>
        <v>18331A05E9</v>
      </c>
      <c r="C97" s="90" t="str">
        <f>IFERROR(__xludf.DUMMYFUNCTION("""COMPUTED_VALUE"""),"AWS Academy Graduate - AWS Academy Cloud Foundations")</f>
        <v>AWS Academy Graduate - AWS Academy Cloud Foundations</v>
      </c>
      <c r="D97" s="74" t="str">
        <f>IFERROR(__xludf.DUMMYFUNCTION("""COMPUTED_VALUE"""),"aws")</f>
        <v>aws</v>
      </c>
      <c r="E97" s="74" t="str">
        <f>IFERROR(__xludf.DUMMYFUNCTION("""COMPUTED_VALUE"""),"1 month")</f>
        <v>1 month</v>
      </c>
      <c r="F97" s="91">
        <f>IFERROR(__xludf.DUMMYFUNCTION("""COMPUTED_VALUE"""),44512.0)</f>
        <v>44512</v>
      </c>
      <c r="G97" s="91">
        <f>IFERROR(__xludf.DUMMYFUNCTION("""COMPUTED_VALUE"""),44542.0)</f>
        <v>44542</v>
      </c>
      <c r="H97" s="79">
        <f>IFERROR(__xludf.DUMMYFUNCTION("""COMPUTED_VALUE"""),44542.0)</f>
        <v>44542</v>
      </c>
      <c r="I97" s="92">
        <f>IFERROR(__xludf.DUMMYFUNCTION("""COMPUTED_VALUE"""),90.0)</f>
        <v>90</v>
      </c>
      <c r="J97" s="74" t="str">
        <f>IFERROR(__xludf.DUMMYFUNCTION("""COMPUTED_VALUE"""),"dr.ravi kiran varma")</f>
        <v>dr.ravi kiran varma</v>
      </c>
      <c r="K97" s="80" t="str">
        <f>IFERROR(__xludf.DUMMYFUNCTION("""COMPUTED_VALUE"""),"https://drive.google.com/open?id=12MytZyqxTtur7HDjKk7tzk42J7to-H0B")</f>
        <v>https://drive.google.com/open?id=12MytZyqxTtur7HDjKk7tzk42J7to-H0B</v>
      </c>
      <c r="L97" s="74" t="str">
        <f>IFERROR(__xludf.DUMMYFUNCTION("""COMPUTED_VALUE"""),"2018-2022")</f>
        <v>2018-2022</v>
      </c>
      <c r="M97" s="74" t="str">
        <f>IFERROR(__xludf.DUMMYFUNCTION("""COMPUTED_VALUE"""),"S4: Student Certifications")</f>
        <v>S4: Student Certifications</v>
      </c>
      <c r="N97" s="74" t="str">
        <f>IFERROR(__xludf.DUMMYFUNCTION("""COMPUTED_VALUE"""),"tillu812@gmail.com")</f>
        <v>tillu812@gmail.com</v>
      </c>
      <c r="O97" s="74" t="str">
        <f>IFERROR(__xludf.DUMMYFUNCTION("""COMPUTED_VALUE"""),"SEM-8")</f>
        <v>SEM-8</v>
      </c>
      <c r="P97" s="74"/>
      <c r="Q97" s="74"/>
      <c r="R97" s="74"/>
      <c r="S97" s="74"/>
      <c r="T97" s="74"/>
      <c r="U97" s="74"/>
      <c r="V97" s="74"/>
      <c r="W97" s="74"/>
      <c r="X97" s="74"/>
      <c r="Y97" s="74"/>
    </row>
    <row r="98" ht="26.25" customHeight="1">
      <c r="A98" s="74" t="str">
        <f>IFERROR(__xludf.DUMMYFUNCTION("""COMPUTED_VALUE"""),"Yuvaraj Chowdary Ratnala")</f>
        <v>Yuvaraj Chowdary Ratnala</v>
      </c>
      <c r="B98" s="74" t="str">
        <f>IFERROR(__xludf.DUMMYFUNCTION("""COMPUTED_VALUE"""),"18331A05C3")</f>
        <v>18331A05C3</v>
      </c>
      <c r="C98" s="90" t="str">
        <f>IFERROR(__xludf.DUMMYFUNCTION("""COMPUTED_VALUE"""),"CCNA module 1")</f>
        <v>CCNA module 1</v>
      </c>
      <c r="D98" s="74" t="str">
        <f>IFERROR(__xludf.DUMMYFUNCTION("""COMPUTED_VALUE"""),"Cisco")</f>
        <v>Cisco</v>
      </c>
      <c r="E98" s="74" t="str">
        <f>IFERROR(__xludf.DUMMYFUNCTION("""COMPUTED_VALUE"""),"-")</f>
        <v>-</v>
      </c>
      <c r="F98" s="91">
        <f>IFERROR(__xludf.DUMMYFUNCTION("""COMPUTED_VALUE"""),43818.0)</f>
        <v>43818</v>
      </c>
      <c r="G98" s="91">
        <f>IFERROR(__xludf.DUMMYFUNCTION("""COMPUTED_VALUE"""),43837.0)</f>
        <v>43837</v>
      </c>
      <c r="H98" s="79">
        <f>IFERROR(__xludf.DUMMYFUNCTION("""COMPUTED_VALUE"""),43837.0)</f>
        <v>43837</v>
      </c>
      <c r="I98" s="92">
        <f>IFERROR(__xludf.DUMMYFUNCTION("""COMPUTED_VALUE"""),85.0)</f>
        <v>85</v>
      </c>
      <c r="J98" s="74" t="str">
        <f>IFERROR(__xludf.DUMMYFUNCTION("""COMPUTED_VALUE"""),"Dr. Ravi Kiran Varma")</f>
        <v>Dr. Ravi Kiran Varma</v>
      </c>
      <c r="K98" s="80" t="str">
        <f>IFERROR(__xludf.DUMMYFUNCTION("""COMPUTED_VALUE"""),"https://drive.google.com/open?id=1rdisy0xDoX3c9uFLxKm_19fszA7Dhi4f")</f>
        <v>https://drive.google.com/open?id=1rdisy0xDoX3c9uFLxKm_19fszA7Dhi4f</v>
      </c>
      <c r="L98" s="74" t="str">
        <f>IFERROR(__xludf.DUMMYFUNCTION("""COMPUTED_VALUE"""),"2018-2022")</f>
        <v>2018-2022</v>
      </c>
      <c r="M98" s="74" t="str">
        <f>IFERROR(__xludf.DUMMYFUNCTION("""COMPUTED_VALUE"""),"S4: Student Certifications")</f>
        <v>S4: Student Certifications</v>
      </c>
      <c r="N98" s="74" t="str">
        <f>IFERROR(__xludf.DUMMYFUNCTION("""COMPUTED_VALUE"""),"18331A05C3@mvgrce.edu.in")</f>
        <v>18331A05C3@mvgrce.edu.in</v>
      </c>
      <c r="O98" s="74" t="str">
        <f>IFERROR(__xludf.DUMMYFUNCTION("""COMPUTED_VALUE"""),"SEM-8")</f>
        <v>SEM-8</v>
      </c>
      <c r="P98" s="74"/>
      <c r="Q98" s="74"/>
      <c r="R98" s="74"/>
      <c r="S98" s="74"/>
      <c r="T98" s="74"/>
      <c r="U98" s="74"/>
      <c r="V98" s="74"/>
      <c r="W98" s="74"/>
      <c r="X98" s="74"/>
      <c r="Y98" s="74"/>
    </row>
    <row r="99" ht="26.25" customHeight="1">
      <c r="A99" s="74" t="str">
        <f>IFERROR(__xludf.DUMMYFUNCTION("""COMPUTED_VALUE"""),"Yuvaraj Chowdary Ratnals")</f>
        <v>Yuvaraj Chowdary Ratnals</v>
      </c>
      <c r="B99" s="74" t="str">
        <f>IFERROR(__xludf.DUMMYFUNCTION("""COMPUTED_VALUE"""),"18331A05C3")</f>
        <v>18331A05C3</v>
      </c>
      <c r="C99" s="90" t="str">
        <f>IFERROR(__xludf.DUMMYFUNCTION("""COMPUTED_VALUE"""),"CCNA module 2")</f>
        <v>CCNA module 2</v>
      </c>
      <c r="D99" s="74" t="str">
        <f>IFERROR(__xludf.DUMMYFUNCTION("""COMPUTED_VALUE"""),"Cisco")</f>
        <v>Cisco</v>
      </c>
      <c r="E99" s="74" t="str">
        <f>IFERROR(__xludf.DUMMYFUNCTION("""COMPUTED_VALUE"""),"-")</f>
        <v>-</v>
      </c>
      <c r="F99" s="91">
        <f>IFERROR(__xludf.DUMMYFUNCTION("""COMPUTED_VALUE"""),43818.0)</f>
        <v>43818</v>
      </c>
      <c r="G99" s="91">
        <f>IFERROR(__xludf.DUMMYFUNCTION("""COMPUTED_VALUE"""),44013.0)</f>
        <v>44013</v>
      </c>
      <c r="H99" s="79">
        <f>IFERROR(__xludf.DUMMYFUNCTION("""COMPUTED_VALUE"""),44013.0)</f>
        <v>44013</v>
      </c>
      <c r="I99" s="92">
        <f>IFERROR(__xludf.DUMMYFUNCTION("""COMPUTED_VALUE"""),85.0)</f>
        <v>85</v>
      </c>
      <c r="J99" s="74" t="str">
        <f>IFERROR(__xludf.DUMMYFUNCTION("""COMPUTED_VALUE"""),"Dr. Ravi Kiran Varma")</f>
        <v>Dr. Ravi Kiran Varma</v>
      </c>
      <c r="K99" s="80" t="str">
        <f>IFERROR(__xludf.DUMMYFUNCTION("""COMPUTED_VALUE"""),"https://drive.google.com/open?id=1tHgTeOmv4x6dEn_N61Fd6rPcGaAfx2RS")</f>
        <v>https://drive.google.com/open?id=1tHgTeOmv4x6dEn_N61Fd6rPcGaAfx2RS</v>
      </c>
      <c r="L99" s="74" t="str">
        <f>IFERROR(__xludf.DUMMYFUNCTION("""COMPUTED_VALUE"""),"2018-2022")</f>
        <v>2018-2022</v>
      </c>
      <c r="M99" s="74" t="str">
        <f>IFERROR(__xludf.DUMMYFUNCTION("""COMPUTED_VALUE"""),"S4: Student Certifications")</f>
        <v>S4: Student Certifications</v>
      </c>
      <c r="N99" s="74" t="str">
        <f>IFERROR(__xludf.DUMMYFUNCTION("""COMPUTED_VALUE"""),"18331A05C3@mvgrce.edu.in")</f>
        <v>18331A05C3@mvgrce.edu.in</v>
      </c>
      <c r="O99" s="74" t="str">
        <f>IFERROR(__xludf.DUMMYFUNCTION("""COMPUTED_VALUE"""),"SEM-8")</f>
        <v>SEM-8</v>
      </c>
      <c r="P99" s="74"/>
      <c r="Q99" s="74"/>
      <c r="R99" s="74"/>
      <c r="S99" s="74"/>
      <c r="T99" s="74"/>
      <c r="U99" s="74"/>
      <c r="V99" s="74"/>
      <c r="W99" s="74"/>
      <c r="X99" s="74"/>
      <c r="Y99" s="74"/>
    </row>
    <row r="100" ht="26.25" customHeight="1">
      <c r="A100" s="74" t="str">
        <f>IFERROR(__xludf.DUMMYFUNCTION("""COMPUTED_VALUE"""),"Yuvaraj Chowdary Ratnala")</f>
        <v>Yuvaraj Chowdary Ratnala</v>
      </c>
      <c r="B100" s="74" t="str">
        <f>IFERROR(__xludf.DUMMYFUNCTION("""COMPUTED_VALUE"""),"18331A05C3")</f>
        <v>18331A05C3</v>
      </c>
      <c r="C100" s="90" t="str">
        <f>IFERROR(__xludf.DUMMYFUNCTION("""COMPUTED_VALUE"""),"CCNA module 3")</f>
        <v>CCNA module 3</v>
      </c>
      <c r="D100" s="74" t="str">
        <f>IFERROR(__xludf.DUMMYFUNCTION("""COMPUTED_VALUE"""),"Cisco")</f>
        <v>Cisco</v>
      </c>
      <c r="E100" s="74" t="str">
        <f>IFERROR(__xludf.DUMMYFUNCTION("""COMPUTED_VALUE"""),"-")</f>
        <v>-</v>
      </c>
      <c r="F100" s="91">
        <f>IFERROR(__xludf.DUMMYFUNCTION("""COMPUTED_VALUE"""),43818.0)</f>
        <v>43818</v>
      </c>
      <c r="G100" s="91">
        <f>IFERROR(__xludf.DUMMYFUNCTION("""COMPUTED_VALUE"""),44013.0)</f>
        <v>44013</v>
      </c>
      <c r="H100" s="79">
        <f>IFERROR(__xludf.DUMMYFUNCTION("""COMPUTED_VALUE"""),44013.0)</f>
        <v>44013</v>
      </c>
      <c r="I100" s="92">
        <f>IFERROR(__xludf.DUMMYFUNCTION("""COMPUTED_VALUE"""),85.0)</f>
        <v>85</v>
      </c>
      <c r="J100" s="74" t="str">
        <f>IFERROR(__xludf.DUMMYFUNCTION("""COMPUTED_VALUE"""),"Dr. Ravi Kiran Varma")</f>
        <v>Dr. Ravi Kiran Varma</v>
      </c>
      <c r="K100" s="80" t="str">
        <f>IFERROR(__xludf.DUMMYFUNCTION("""COMPUTED_VALUE"""),"https://drive.google.com/open?id=1hRUVOirhtpE6w5Buo_hQrdNvEfdzHtBY")</f>
        <v>https://drive.google.com/open?id=1hRUVOirhtpE6w5Buo_hQrdNvEfdzHtBY</v>
      </c>
      <c r="L100" s="74" t="str">
        <f>IFERROR(__xludf.DUMMYFUNCTION("""COMPUTED_VALUE"""),"2018-2022")</f>
        <v>2018-2022</v>
      </c>
      <c r="M100" s="74" t="str">
        <f>IFERROR(__xludf.DUMMYFUNCTION("""COMPUTED_VALUE"""),"S4: Student Certifications")</f>
        <v>S4: Student Certifications</v>
      </c>
      <c r="N100" s="74" t="str">
        <f>IFERROR(__xludf.DUMMYFUNCTION("""COMPUTED_VALUE"""),"18331A05C3@mvgrce.edu.in")</f>
        <v>18331A05C3@mvgrce.edu.in</v>
      </c>
      <c r="O100" s="74" t="str">
        <f>IFERROR(__xludf.DUMMYFUNCTION("""COMPUTED_VALUE"""),"SEM-8")</f>
        <v>SEM-8</v>
      </c>
      <c r="P100" s="74"/>
      <c r="Q100" s="74"/>
      <c r="R100" s="74"/>
      <c r="S100" s="74"/>
      <c r="T100" s="74"/>
      <c r="U100" s="74"/>
      <c r="V100" s="74"/>
      <c r="W100" s="74"/>
      <c r="X100" s="74"/>
      <c r="Y100" s="74"/>
    </row>
    <row r="101" ht="26.25" customHeight="1">
      <c r="A101" s="74" t="str">
        <f>IFERROR(__xludf.DUMMYFUNCTION("""COMPUTED_VALUE"""),"Yuvaraj Chowdary Ratnala")</f>
        <v>Yuvaraj Chowdary Ratnala</v>
      </c>
      <c r="B101" s="74" t="str">
        <f>IFERROR(__xludf.DUMMYFUNCTION("""COMPUTED_VALUE"""),"18331A05C3")</f>
        <v>18331A05C3</v>
      </c>
      <c r="C101" s="90" t="str">
        <f>IFERROR(__xludf.DUMMYFUNCTION("""COMPUTED_VALUE"""),"Python Programming")</f>
        <v>Python Programming</v>
      </c>
      <c r="D101" s="74" t="str">
        <f>IFERROR(__xludf.DUMMYFUNCTION("""COMPUTED_VALUE"""),"Cisco")</f>
        <v>Cisco</v>
      </c>
      <c r="E101" s="74" t="str">
        <f>IFERROR(__xludf.DUMMYFUNCTION("""COMPUTED_VALUE"""),"-")</f>
        <v>-</v>
      </c>
      <c r="F101" s="91">
        <f>IFERROR(__xludf.DUMMYFUNCTION("""COMPUTED_VALUE"""),43818.0)</f>
        <v>43818</v>
      </c>
      <c r="G101" s="91">
        <f>IFERROR(__xludf.DUMMYFUNCTION("""COMPUTED_VALUE"""),44013.0)</f>
        <v>44013</v>
      </c>
      <c r="H101" s="79">
        <f>IFERROR(__xludf.DUMMYFUNCTION("""COMPUTED_VALUE"""),44013.0)</f>
        <v>44013</v>
      </c>
      <c r="I101" s="92">
        <f>IFERROR(__xludf.DUMMYFUNCTION("""COMPUTED_VALUE"""),85.0)</f>
        <v>85</v>
      </c>
      <c r="J101" s="74" t="str">
        <f>IFERROR(__xludf.DUMMYFUNCTION("""COMPUTED_VALUE"""),"Dr. Ravi Kiran Varma")</f>
        <v>Dr. Ravi Kiran Varma</v>
      </c>
      <c r="K101" s="80" t="str">
        <f>IFERROR(__xludf.DUMMYFUNCTION("""COMPUTED_VALUE"""),"https://drive.google.com/open?id=1h9YhIgUXtK2rBnqbP6g_f9Dx3QrR_pnD")</f>
        <v>https://drive.google.com/open?id=1h9YhIgUXtK2rBnqbP6g_f9Dx3QrR_pnD</v>
      </c>
      <c r="L101" s="74" t="str">
        <f>IFERROR(__xludf.DUMMYFUNCTION("""COMPUTED_VALUE"""),"2018-2022")</f>
        <v>2018-2022</v>
      </c>
      <c r="M101" s="74" t="str">
        <f>IFERROR(__xludf.DUMMYFUNCTION("""COMPUTED_VALUE"""),"S4: Student Certifications")</f>
        <v>S4: Student Certifications</v>
      </c>
      <c r="N101" s="74" t="str">
        <f>IFERROR(__xludf.DUMMYFUNCTION("""COMPUTED_VALUE"""),"18331A05C3@mvgrce.edu.in")</f>
        <v>18331A05C3@mvgrce.edu.in</v>
      </c>
      <c r="O101" s="74" t="str">
        <f>IFERROR(__xludf.DUMMYFUNCTION("""COMPUTED_VALUE"""),"SEM-8")</f>
        <v>SEM-8</v>
      </c>
      <c r="P101" s="74"/>
      <c r="Q101" s="74"/>
      <c r="R101" s="74"/>
      <c r="S101" s="74"/>
      <c r="T101" s="74"/>
      <c r="U101" s="74"/>
      <c r="V101" s="74"/>
      <c r="W101" s="74"/>
      <c r="X101" s="74"/>
      <c r="Y101" s="74"/>
    </row>
    <row r="102" ht="26.25" customHeight="1">
      <c r="A102" s="74" t="str">
        <f>IFERROR(__xludf.DUMMYFUNCTION("""COMPUTED_VALUE"""),"Yuvaraj Chowdary Ratnala")</f>
        <v>Yuvaraj Chowdary Ratnala</v>
      </c>
      <c r="B102" s="74" t="str">
        <f>IFERROR(__xludf.DUMMYFUNCTION("""COMPUTED_VALUE"""),"18331A05C3")</f>
        <v>18331A05C3</v>
      </c>
      <c r="C102" s="90" t="str">
        <f>IFERROR(__xludf.DUMMYFUNCTION("""COMPUTED_VALUE"""),"Linux Essentials")</f>
        <v>Linux Essentials</v>
      </c>
      <c r="D102" s="74" t="str">
        <f>IFERROR(__xludf.DUMMYFUNCTION("""COMPUTED_VALUE"""),"Cisco")</f>
        <v>Cisco</v>
      </c>
      <c r="E102" s="74" t="str">
        <f>IFERROR(__xludf.DUMMYFUNCTION("""COMPUTED_VALUE"""),"-")</f>
        <v>-</v>
      </c>
      <c r="F102" s="91">
        <f>IFERROR(__xludf.DUMMYFUNCTION("""COMPUTED_VALUE"""),43818.0)</f>
        <v>43818</v>
      </c>
      <c r="G102" s="91">
        <f>IFERROR(__xludf.DUMMYFUNCTION("""COMPUTED_VALUE"""),44013.0)</f>
        <v>44013</v>
      </c>
      <c r="H102" s="79">
        <f>IFERROR(__xludf.DUMMYFUNCTION("""COMPUTED_VALUE"""),44013.0)</f>
        <v>44013</v>
      </c>
      <c r="I102" s="92">
        <f>IFERROR(__xludf.DUMMYFUNCTION("""COMPUTED_VALUE"""),85.0)</f>
        <v>85</v>
      </c>
      <c r="J102" s="74" t="str">
        <f>IFERROR(__xludf.DUMMYFUNCTION("""COMPUTED_VALUE"""),"Dr. Ravi Kiran Varma")</f>
        <v>Dr. Ravi Kiran Varma</v>
      </c>
      <c r="K102" s="80" t="str">
        <f>IFERROR(__xludf.DUMMYFUNCTION("""COMPUTED_VALUE"""),"https://drive.google.com/open?id=1Ya1eh77EFYh1RmxrFdj0Bgk9t3YDTADS")</f>
        <v>https://drive.google.com/open?id=1Ya1eh77EFYh1RmxrFdj0Bgk9t3YDTADS</v>
      </c>
      <c r="L102" s="74" t="str">
        <f>IFERROR(__xludf.DUMMYFUNCTION("""COMPUTED_VALUE"""),"2018-2022")</f>
        <v>2018-2022</v>
      </c>
      <c r="M102" s="74" t="str">
        <f>IFERROR(__xludf.DUMMYFUNCTION("""COMPUTED_VALUE"""),"S4: Student Certifications")</f>
        <v>S4: Student Certifications</v>
      </c>
      <c r="N102" s="74" t="str">
        <f>IFERROR(__xludf.DUMMYFUNCTION("""COMPUTED_VALUE"""),"18331A05C3@mvgrce.edu.in")</f>
        <v>18331A05C3@mvgrce.edu.in</v>
      </c>
      <c r="O102" s="74" t="str">
        <f>IFERROR(__xludf.DUMMYFUNCTION("""COMPUTED_VALUE"""),"SEM-8")</f>
        <v>SEM-8</v>
      </c>
      <c r="P102" s="74"/>
      <c r="Q102" s="74"/>
      <c r="R102" s="74"/>
      <c r="S102" s="74"/>
      <c r="T102" s="74"/>
      <c r="U102" s="74"/>
      <c r="V102" s="74"/>
      <c r="W102" s="74"/>
      <c r="X102" s="74"/>
      <c r="Y102" s="74"/>
    </row>
    <row r="103" ht="26.25" customHeight="1">
      <c r="A103" s="74" t="str">
        <f>IFERROR(__xludf.DUMMYFUNCTION("""COMPUTED_VALUE"""),"Yuvaraj Chowdary Ratnala")</f>
        <v>Yuvaraj Chowdary Ratnala</v>
      </c>
      <c r="B103" s="74" t="str">
        <f>IFERROR(__xludf.DUMMYFUNCTION("""COMPUTED_VALUE"""),"18331A05C3")</f>
        <v>18331A05C3</v>
      </c>
      <c r="C103" s="90" t="str">
        <f>IFERROR(__xludf.DUMMYFUNCTION("""COMPUTED_VALUE"""),"C++ essestials")</f>
        <v>C++ essestials</v>
      </c>
      <c r="D103" s="74" t="str">
        <f>IFERROR(__xludf.DUMMYFUNCTION("""COMPUTED_VALUE"""),"Cisco")</f>
        <v>Cisco</v>
      </c>
      <c r="E103" s="74" t="str">
        <f>IFERROR(__xludf.DUMMYFUNCTION("""COMPUTED_VALUE"""),"-")</f>
        <v>-</v>
      </c>
      <c r="F103" s="91">
        <f>IFERROR(__xludf.DUMMYFUNCTION("""COMPUTED_VALUE"""),43475.0)</f>
        <v>43475</v>
      </c>
      <c r="G103" s="91">
        <f>IFERROR(__xludf.DUMMYFUNCTION("""COMPUTED_VALUE"""),43617.0)</f>
        <v>43617</v>
      </c>
      <c r="H103" s="79">
        <f>IFERROR(__xludf.DUMMYFUNCTION("""COMPUTED_VALUE"""),43617.0)</f>
        <v>43617</v>
      </c>
      <c r="I103" s="92">
        <f>IFERROR(__xludf.DUMMYFUNCTION("""COMPUTED_VALUE"""),85.0)</f>
        <v>85</v>
      </c>
      <c r="J103" s="74" t="str">
        <f>IFERROR(__xludf.DUMMYFUNCTION("""COMPUTED_VALUE"""),"Dr. Ravi Kiran Varma")</f>
        <v>Dr. Ravi Kiran Varma</v>
      </c>
      <c r="K103" s="80" t="str">
        <f>IFERROR(__xludf.DUMMYFUNCTION("""COMPUTED_VALUE"""),"https://drive.google.com/open?id=140nJceU32DcUPhZT_yhidWWeYTPZkYVC")</f>
        <v>https://drive.google.com/open?id=140nJceU32DcUPhZT_yhidWWeYTPZkYVC</v>
      </c>
      <c r="L103" s="74" t="str">
        <f>IFERROR(__xludf.DUMMYFUNCTION("""COMPUTED_VALUE"""),"2018-2022")</f>
        <v>2018-2022</v>
      </c>
      <c r="M103" s="74" t="str">
        <f>IFERROR(__xludf.DUMMYFUNCTION("""COMPUTED_VALUE"""),"S4: Student Certifications")</f>
        <v>S4: Student Certifications</v>
      </c>
      <c r="N103" s="74" t="str">
        <f>IFERROR(__xludf.DUMMYFUNCTION("""COMPUTED_VALUE"""),"18331A05C3@mvgrce.edu.in")</f>
        <v>18331A05C3@mvgrce.edu.in</v>
      </c>
      <c r="O103" s="74" t="str">
        <f>IFERROR(__xludf.DUMMYFUNCTION("""COMPUTED_VALUE"""),"SEM-8")</f>
        <v>SEM-8</v>
      </c>
      <c r="P103" s="74"/>
      <c r="Q103" s="74"/>
      <c r="R103" s="74"/>
      <c r="S103" s="74"/>
      <c r="T103" s="74"/>
      <c r="U103" s="74"/>
      <c r="V103" s="74"/>
      <c r="W103" s="74"/>
      <c r="X103" s="74"/>
      <c r="Y103" s="74"/>
    </row>
    <row r="104" ht="26.25" customHeight="1">
      <c r="A104" s="74" t="str">
        <f>IFERROR(__xludf.DUMMYFUNCTION("""COMPUTED_VALUE"""),"Yuvaraj Chowdary Ratnala")</f>
        <v>Yuvaraj Chowdary Ratnala</v>
      </c>
      <c r="B104" s="74" t="str">
        <f>IFERROR(__xludf.DUMMYFUNCTION("""COMPUTED_VALUE"""),"18331A05C3")</f>
        <v>18331A05C3</v>
      </c>
      <c r="C104" s="90" t="str">
        <f>IFERROR(__xludf.DUMMYFUNCTION("""COMPUTED_VALUE"""),"C programming")</f>
        <v>C programming</v>
      </c>
      <c r="D104" s="74" t="str">
        <f>IFERROR(__xludf.DUMMYFUNCTION("""COMPUTED_VALUE"""),"Cisco")</f>
        <v>Cisco</v>
      </c>
      <c r="E104" s="74" t="str">
        <f>IFERROR(__xludf.DUMMYFUNCTION("""COMPUTED_VALUE"""),"-")</f>
        <v>-</v>
      </c>
      <c r="F104" s="91">
        <f>IFERROR(__xludf.DUMMYFUNCTION("""COMPUTED_VALUE"""),43475.0)</f>
        <v>43475</v>
      </c>
      <c r="G104" s="91">
        <f>IFERROR(__xludf.DUMMYFUNCTION("""COMPUTED_VALUE"""),43617.0)</f>
        <v>43617</v>
      </c>
      <c r="H104" s="79">
        <f>IFERROR(__xludf.DUMMYFUNCTION("""COMPUTED_VALUE"""),43617.0)</f>
        <v>43617</v>
      </c>
      <c r="I104" s="92">
        <f>IFERROR(__xludf.DUMMYFUNCTION("""COMPUTED_VALUE"""),85.0)</f>
        <v>85</v>
      </c>
      <c r="J104" s="74" t="str">
        <f>IFERROR(__xludf.DUMMYFUNCTION("""COMPUTED_VALUE"""),"Dr. Ravi Kiran Varma")</f>
        <v>Dr. Ravi Kiran Varma</v>
      </c>
      <c r="K104" s="80" t="str">
        <f>IFERROR(__xludf.DUMMYFUNCTION("""COMPUTED_VALUE"""),"https://drive.google.com/open?id=1Yf2zDUoI8_xkNYtSbliWFcbfmxkzIlSp")</f>
        <v>https://drive.google.com/open?id=1Yf2zDUoI8_xkNYtSbliWFcbfmxkzIlSp</v>
      </c>
      <c r="L104" s="74" t="str">
        <f>IFERROR(__xludf.DUMMYFUNCTION("""COMPUTED_VALUE"""),"2018-2022")</f>
        <v>2018-2022</v>
      </c>
      <c r="M104" s="74" t="str">
        <f>IFERROR(__xludf.DUMMYFUNCTION("""COMPUTED_VALUE"""),"S4: Student Certifications")</f>
        <v>S4: Student Certifications</v>
      </c>
      <c r="N104" s="74" t="str">
        <f>IFERROR(__xludf.DUMMYFUNCTION("""COMPUTED_VALUE"""),"18331A05C3@mvgrce.edu.in")</f>
        <v>18331A05C3@mvgrce.edu.in</v>
      </c>
      <c r="O104" s="74" t="str">
        <f>IFERROR(__xludf.DUMMYFUNCTION("""COMPUTED_VALUE"""),"SEM-8")</f>
        <v>SEM-8</v>
      </c>
      <c r="P104" s="74"/>
      <c r="Q104" s="74"/>
      <c r="R104" s="74"/>
      <c r="S104" s="74"/>
      <c r="T104" s="74"/>
      <c r="U104" s="74"/>
      <c r="V104" s="74"/>
      <c r="W104" s="74"/>
      <c r="X104" s="74"/>
      <c r="Y104" s="74"/>
    </row>
    <row r="105" ht="26.25" customHeight="1">
      <c r="A105" s="74" t="str">
        <f>IFERROR(__xludf.DUMMYFUNCTION("""COMPUTED_VALUE"""),"Yuvaraj Chowdary Ratnala")</f>
        <v>Yuvaraj Chowdary Ratnala</v>
      </c>
      <c r="B105" s="74" t="str">
        <f>IFERROR(__xludf.DUMMYFUNCTION("""COMPUTED_VALUE"""),"18331A05C3")</f>
        <v>18331A05C3</v>
      </c>
      <c r="C105" s="90" t="str">
        <f>IFERROR(__xludf.DUMMYFUNCTION("""COMPUTED_VALUE"""),"Introduction to CyberSecurity")</f>
        <v>Introduction to CyberSecurity</v>
      </c>
      <c r="D105" s="74" t="str">
        <f>IFERROR(__xludf.DUMMYFUNCTION("""COMPUTED_VALUE"""),"Cisco")</f>
        <v>Cisco</v>
      </c>
      <c r="E105" s="74" t="str">
        <f>IFERROR(__xludf.DUMMYFUNCTION("""COMPUTED_VALUE"""),"-")</f>
        <v>-</v>
      </c>
      <c r="F105" s="91">
        <f>IFERROR(__xludf.DUMMYFUNCTION("""COMPUTED_VALUE"""),43818.0)</f>
        <v>43818</v>
      </c>
      <c r="G105" s="91">
        <f>IFERROR(__xludf.DUMMYFUNCTION("""COMPUTED_VALUE"""),43983.0)</f>
        <v>43983</v>
      </c>
      <c r="H105" s="79">
        <f>IFERROR(__xludf.DUMMYFUNCTION("""COMPUTED_VALUE"""),43983.0)</f>
        <v>43983</v>
      </c>
      <c r="I105" s="92">
        <f>IFERROR(__xludf.DUMMYFUNCTION("""COMPUTED_VALUE"""),85.0)</f>
        <v>85</v>
      </c>
      <c r="J105" s="74" t="str">
        <f>IFERROR(__xludf.DUMMYFUNCTION("""COMPUTED_VALUE"""),"Dr. Ravi Kiran Varma")</f>
        <v>Dr. Ravi Kiran Varma</v>
      </c>
      <c r="K105" s="80" t="str">
        <f>IFERROR(__xludf.DUMMYFUNCTION("""COMPUTED_VALUE"""),"https://drive.google.com/open?id=1VKlnt2b-FZFjBtRvA1PX9qSc4nwCLvid")</f>
        <v>https://drive.google.com/open?id=1VKlnt2b-FZFjBtRvA1PX9qSc4nwCLvid</v>
      </c>
      <c r="L105" s="74" t="str">
        <f>IFERROR(__xludf.DUMMYFUNCTION("""COMPUTED_VALUE"""),"2018-2022")</f>
        <v>2018-2022</v>
      </c>
      <c r="M105" s="74" t="str">
        <f>IFERROR(__xludf.DUMMYFUNCTION("""COMPUTED_VALUE"""),"S4: Student Certifications")</f>
        <v>S4: Student Certifications</v>
      </c>
      <c r="N105" s="74" t="str">
        <f>IFERROR(__xludf.DUMMYFUNCTION("""COMPUTED_VALUE"""),"18331A05C3@mvgrce.edu.in")</f>
        <v>18331A05C3@mvgrce.edu.in</v>
      </c>
      <c r="O105" s="74" t="str">
        <f>IFERROR(__xludf.DUMMYFUNCTION("""COMPUTED_VALUE"""),"SEM-8")</f>
        <v>SEM-8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/>
    </row>
    <row r="106" ht="26.25" customHeight="1">
      <c r="A106" s="74" t="str">
        <f>IFERROR(__xludf.DUMMYFUNCTION("""COMPUTED_VALUE"""),"Yuvaraj Chowday Ratnala")</f>
        <v>Yuvaraj Chowday Ratnala</v>
      </c>
      <c r="B106" s="74" t="str">
        <f>IFERROR(__xludf.DUMMYFUNCTION("""COMPUTED_VALUE"""),"18331A05C3")</f>
        <v>18331A05C3</v>
      </c>
      <c r="C106" s="90" t="str">
        <f>IFERROR(__xludf.DUMMYFUNCTION("""COMPUTED_VALUE"""),"Cyber security Essestials")</f>
        <v>Cyber security Essestials</v>
      </c>
      <c r="D106" s="74" t="str">
        <f>IFERROR(__xludf.DUMMYFUNCTION("""COMPUTED_VALUE"""),"Cisco")</f>
        <v>Cisco</v>
      </c>
      <c r="E106" s="74" t="str">
        <f>IFERROR(__xludf.DUMMYFUNCTION("""COMPUTED_VALUE"""),"-")</f>
        <v>-</v>
      </c>
      <c r="F106" s="91">
        <f>IFERROR(__xludf.DUMMYFUNCTION("""COMPUTED_VALUE"""),43818.0)</f>
        <v>43818</v>
      </c>
      <c r="G106" s="91">
        <f>IFERROR(__xludf.DUMMYFUNCTION("""COMPUTED_VALUE"""),43983.0)</f>
        <v>43983</v>
      </c>
      <c r="H106" s="79">
        <f>IFERROR(__xludf.DUMMYFUNCTION("""COMPUTED_VALUE"""),43983.0)</f>
        <v>43983</v>
      </c>
      <c r="I106" s="92">
        <f>IFERROR(__xludf.DUMMYFUNCTION("""COMPUTED_VALUE"""),85.0)</f>
        <v>85</v>
      </c>
      <c r="J106" s="74" t="str">
        <f>IFERROR(__xludf.DUMMYFUNCTION("""COMPUTED_VALUE"""),"Dr. Ravi Kiran Varma")</f>
        <v>Dr. Ravi Kiran Varma</v>
      </c>
      <c r="K106" s="80" t="str">
        <f>IFERROR(__xludf.DUMMYFUNCTION("""COMPUTED_VALUE"""),"https://drive.google.com/open?id=1-7cOBptRB-DD8CcNF69wOnEx9CBw8ZuN")</f>
        <v>https://drive.google.com/open?id=1-7cOBptRB-DD8CcNF69wOnEx9CBw8ZuN</v>
      </c>
      <c r="L106" s="74" t="str">
        <f>IFERROR(__xludf.DUMMYFUNCTION("""COMPUTED_VALUE"""),"2018-2022")</f>
        <v>2018-2022</v>
      </c>
      <c r="M106" s="74" t="str">
        <f>IFERROR(__xludf.DUMMYFUNCTION("""COMPUTED_VALUE"""),"S4: Student Certifications")</f>
        <v>S4: Student Certifications</v>
      </c>
      <c r="N106" s="74" t="str">
        <f>IFERROR(__xludf.DUMMYFUNCTION("""COMPUTED_VALUE"""),"18331A05C3@mvgrce.edu.in")</f>
        <v>18331A05C3@mvgrce.edu.in</v>
      </c>
      <c r="O106" s="74" t="str">
        <f>IFERROR(__xludf.DUMMYFUNCTION("""COMPUTED_VALUE"""),"SEM-8")</f>
        <v>SEM-8</v>
      </c>
      <c r="P106" s="74"/>
      <c r="Q106" s="74"/>
      <c r="R106" s="74"/>
      <c r="S106" s="74"/>
      <c r="T106" s="74"/>
      <c r="U106" s="74"/>
      <c r="V106" s="74"/>
      <c r="W106" s="74"/>
      <c r="X106" s="74"/>
      <c r="Y106" s="74"/>
    </row>
    <row r="107" ht="26.25" customHeight="1">
      <c r="A107" s="74" t="str">
        <f>IFERROR(__xludf.DUMMYFUNCTION("""COMPUTED_VALUE"""),"Yuvaraj Chowdary Ratnala")</f>
        <v>Yuvaraj Chowdary Ratnala</v>
      </c>
      <c r="B107" s="74" t="str">
        <f>IFERROR(__xludf.DUMMYFUNCTION("""COMPUTED_VALUE"""),"18331A05C3")</f>
        <v>18331A05C3</v>
      </c>
      <c r="C107" s="90" t="str">
        <f>IFERROR(__xludf.DUMMYFUNCTION("""COMPUTED_VALUE"""),"Introduction to Packet tracer")</f>
        <v>Introduction to Packet tracer</v>
      </c>
      <c r="D107" s="74" t="str">
        <f>IFERROR(__xludf.DUMMYFUNCTION("""COMPUTED_VALUE"""),"Cisco")</f>
        <v>Cisco</v>
      </c>
      <c r="E107" s="74" t="str">
        <f>IFERROR(__xludf.DUMMYFUNCTION("""COMPUTED_VALUE"""),"-")</f>
        <v>-</v>
      </c>
      <c r="F107" s="91">
        <f>IFERROR(__xludf.DUMMYFUNCTION("""COMPUTED_VALUE"""),43818.0)</f>
        <v>43818</v>
      </c>
      <c r="G107" s="91">
        <f>IFERROR(__xludf.DUMMYFUNCTION("""COMPUTED_VALUE"""),43983.0)</f>
        <v>43983</v>
      </c>
      <c r="H107" s="79">
        <f>IFERROR(__xludf.DUMMYFUNCTION("""COMPUTED_VALUE"""),43983.0)</f>
        <v>43983</v>
      </c>
      <c r="I107" s="92">
        <f>IFERROR(__xludf.DUMMYFUNCTION("""COMPUTED_VALUE"""),85.0)</f>
        <v>85</v>
      </c>
      <c r="J107" s="74" t="str">
        <f>IFERROR(__xludf.DUMMYFUNCTION("""COMPUTED_VALUE"""),"Dr. Ravi Kiran Varma")</f>
        <v>Dr. Ravi Kiran Varma</v>
      </c>
      <c r="K107" s="80" t="str">
        <f>IFERROR(__xludf.DUMMYFUNCTION("""COMPUTED_VALUE"""),"https://drive.google.com/open?id=1rafPhd2JGq6PbQEtzK_z-f8bXhTqly8M")</f>
        <v>https://drive.google.com/open?id=1rafPhd2JGq6PbQEtzK_z-f8bXhTqly8M</v>
      </c>
      <c r="L107" s="74" t="str">
        <f>IFERROR(__xludf.DUMMYFUNCTION("""COMPUTED_VALUE"""),"2018-2022")</f>
        <v>2018-2022</v>
      </c>
      <c r="M107" s="74" t="str">
        <f>IFERROR(__xludf.DUMMYFUNCTION("""COMPUTED_VALUE"""),"S4: Student Certifications")</f>
        <v>S4: Student Certifications</v>
      </c>
      <c r="N107" s="74" t="str">
        <f>IFERROR(__xludf.DUMMYFUNCTION("""COMPUTED_VALUE"""),"18331A05C3@mvgrce.edu.in")</f>
        <v>18331A05C3@mvgrce.edu.in</v>
      </c>
      <c r="O107" s="74" t="str">
        <f>IFERROR(__xludf.DUMMYFUNCTION("""COMPUTED_VALUE"""),"SEM-8")</f>
        <v>SEM-8</v>
      </c>
      <c r="P107" s="74"/>
      <c r="Q107" s="74"/>
      <c r="R107" s="74"/>
      <c r="S107" s="74"/>
      <c r="T107" s="74"/>
      <c r="U107" s="74"/>
      <c r="V107" s="74"/>
      <c r="W107" s="74"/>
      <c r="X107" s="74"/>
      <c r="Y107" s="74"/>
    </row>
    <row r="108" ht="26.25" customHeight="1">
      <c r="A108" s="74" t="str">
        <f>IFERROR(__xludf.DUMMYFUNCTION("""COMPUTED_VALUE"""),"METTA VAMSI PRANAV")</f>
        <v>METTA VAMSI PRANAV</v>
      </c>
      <c r="B108" s="74" t="str">
        <f>IFERROR(__xludf.DUMMYFUNCTION("""COMPUTED_VALUE"""),"18331A0598")</f>
        <v>18331A0598</v>
      </c>
      <c r="C108" s="90" t="str">
        <f>IFERROR(__xludf.DUMMYFUNCTION("""COMPUTED_VALUE"""),"AL For Everyone")</f>
        <v>AL For Everyone</v>
      </c>
      <c r="D108" s="74" t="str">
        <f>IFERROR(__xludf.DUMMYFUNCTION("""COMPUTED_VALUE"""),"Coursera")</f>
        <v>Coursera</v>
      </c>
      <c r="E108" s="74" t="str">
        <f>IFERROR(__xludf.DUMMYFUNCTION("""COMPUTED_VALUE"""),"2 months")</f>
        <v>2 months</v>
      </c>
      <c r="F108" s="91">
        <f>IFERROR(__xludf.DUMMYFUNCTION("""COMPUTED_VALUE"""),43908.0)</f>
        <v>43908</v>
      </c>
      <c r="G108" s="91">
        <f>IFERROR(__xludf.DUMMYFUNCTION("""COMPUTED_VALUE"""),43969.0)</f>
        <v>43969</v>
      </c>
      <c r="H108" s="79">
        <f>IFERROR(__xludf.DUMMYFUNCTION("""COMPUTED_VALUE"""),43969.0)</f>
        <v>43969</v>
      </c>
      <c r="I108" s="92">
        <f>IFERROR(__xludf.DUMMYFUNCTION("""COMPUTED_VALUE"""),100.0)</f>
        <v>100</v>
      </c>
      <c r="J108" s="74" t="str">
        <f>IFERROR(__xludf.DUMMYFUNCTION("""COMPUTED_VALUE"""),"Self Learning")</f>
        <v>Self Learning</v>
      </c>
      <c r="K108" s="80" t="str">
        <f>IFERROR(__xludf.DUMMYFUNCTION("""COMPUTED_VALUE"""),"https://drive.google.com/open?id=13C09EPcX1B9VGsXLB2h1XTf93qbuA80k")</f>
        <v>https://drive.google.com/open?id=13C09EPcX1B9VGsXLB2h1XTf93qbuA80k</v>
      </c>
      <c r="L108" s="74" t="str">
        <f>IFERROR(__xludf.DUMMYFUNCTION("""COMPUTED_VALUE"""),"2018-2022")</f>
        <v>2018-2022</v>
      </c>
      <c r="M108" s="74" t="str">
        <f>IFERROR(__xludf.DUMMYFUNCTION("""COMPUTED_VALUE"""),"S4: Student Certifications")</f>
        <v>S4: Student Certifications</v>
      </c>
      <c r="N108" s="74" t="str">
        <f>IFERROR(__xludf.DUMMYFUNCTION("""COMPUTED_VALUE"""),"vamsipranav9948@gmail.com")</f>
        <v>vamsipranav9948@gmail.com</v>
      </c>
      <c r="O108" s="74" t="str">
        <f>IFERROR(__xludf.DUMMYFUNCTION("""COMPUTED_VALUE"""),"SEM-4")</f>
        <v>SEM-4</v>
      </c>
      <c r="P108" s="74"/>
      <c r="Q108" s="74"/>
      <c r="R108" s="74"/>
      <c r="S108" s="74"/>
      <c r="T108" s="74"/>
      <c r="U108" s="74"/>
      <c r="V108" s="74"/>
      <c r="W108" s="74"/>
      <c r="X108" s="74"/>
      <c r="Y108" s="74"/>
    </row>
    <row r="109" ht="26.25" customHeight="1">
      <c r="A109" s="74" t="str">
        <f>IFERROR(__xludf.DUMMYFUNCTION("""COMPUTED_VALUE"""),"METTA VAMSI PRANAV")</f>
        <v>METTA VAMSI PRANAV</v>
      </c>
      <c r="B109" s="74" t="str">
        <f>IFERROR(__xludf.DUMMYFUNCTION("""COMPUTED_VALUE"""),"18331A0598")</f>
        <v>18331A0598</v>
      </c>
      <c r="C109" s="90" t="str">
        <f>IFERROR(__xludf.DUMMYFUNCTION("""COMPUTED_VALUE""")," Java")</f>
        <v> Java</v>
      </c>
      <c r="D109" s="74" t="str">
        <f>IFERROR(__xludf.DUMMYFUNCTION("""COMPUTED_VALUE"""),"Coursera")</f>
        <v>Coursera</v>
      </c>
      <c r="E109" s="74" t="str">
        <f>IFERROR(__xludf.DUMMYFUNCTION("""COMPUTED_VALUE"""),"2 months")</f>
        <v>2 months</v>
      </c>
      <c r="F109" s="91">
        <f>IFERROR(__xludf.DUMMYFUNCTION("""COMPUTED_VALUE"""),43881.0)</f>
        <v>43881</v>
      </c>
      <c r="G109" s="91">
        <f>IFERROR(__xludf.DUMMYFUNCTION("""COMPUTED_VALUE"""),43941.0)</f>
        <v>43941</v>
      </c>
      <c r="H109" s="79">
        <f>IFERROR(__xludf.DUMMYFUNCTION("""COMPUTED_VALUE"""),43941.0)</f>
        <v>43941</v>
      </c>
      <c r="I109" s="92">
        <f>IFERROR(__xludf.DUMMYFUNCTION("""COMPUTED_VALUE"""),100.0)</f>
        <v>100</v>
      </c>
      <c r="J109" s="74" t="str">
        <f>IFERROR(__xludf.DUMMYFUNCTION("""COMPUTED_VALUE"""),"Self Learn")</f>
        <v>Self Learn</v>
      </c>
      <c r="K109" s="80" t="str">
        <f>IFERROR(__xludf.DUMMYFUNCTION("""COMPUTED_VALUE"""),"https://drive.google.com/open?id=1IWEHEfz3lbGYZAmHqbWoBE51TIggD5nL")</f>
        <v>https://drive.google.com/open?id=1IWEHEfz3lbGYZAmHqbWoBE51TIggD5nL</v>
      </c>
      <c r="L109" s="74" t="str">
        <f>IFERROR(__xludf.DUMMYFUNCTION("""COMPUTED_VALUE"""),"2018-2022")</f>
        <v>2018-2022</v>
      </c>
      <c r="M109" s="74" t="str">
        <f>IFERROR(__xludf.DUMMYFUNCTION("""COMPUTED_VALUE"""),"S4: Student Certifications")</f>
        <v>S4: Student Certifications</v>
      </c>
      <c r="N109" s="74" t="str">
        <f>IFERROR(__xludf.DUMMYFUNCTION("""COMPUTED_VALUE"""),"vamsipranav9948@gmail.com")</f>
        <v>vamsipranav9948@gmail.com</v>
      </c>
      <c r="O109" s="74" t="str">
        <f>IFERROR(__xludf.DUMMYFUNCTION("""COMPUTED_VALUE"""),"SEM-4")</f>
        <v>SEM-4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</row>
    <row r="110" ht="26.25" customHeight="1">
      <c r="A110" s="74" t="str">
        <f>IFERROR(__xludf.DUMMYFUNCTION("""COMPUTED_VALUE"""),"Kusuma Patnaik Murahari")</f>
        <v>Kusuma Patnaik Murahari</v>
      </c>
      <c r="B110" s="74" t="str">
        <f>IFERROR(__xludf.DUMMYFUNCTION("""COMPUTED_VALUE"""),"18331A0584")</f>
        <v>18331A0584</v>
      </c>
      <c r="C110" s="90" t="str">
        <f>IFERROR(__xludf.DUMMYFUNCTION("""COMPUTED_VALUE"""),"CLA Programming Essentials in C")</f>
        <v>CLA Programming Essentials in C</v>
      </c>
      <c r="D110" s="74" t="str">
        <f>IFERROR(__xludf.DUMMYFUNCTION("""COMPUTED_VALUE"""),"Cisco")</f>
        <v>Cisco</v>
      </c>
      <c r="E110" s="74" t="str">
        <f>IFERROR(__xludf.DUMMYFUNCTION("""COMPUTED_VALUE"""),"2 months")</f>
        <v>2 months</v>
      </c>
      <c r="F110" s="91">
        <f>IFERROR(__xludf.DUMMYFUNCTION("""COMPUTED_VALUE"""),43586.0)</f>
        <v>43586</v>
      </c>
      <c r="G110" s="91">
        <f>IFERROR(__xludf.DUMMYFUNCTION("""COMPUTED_VALUE"""),43646.0)</f>
        <v>43646</v>
      </c>
      <c r="H110" s="79">
        <f>IFERROR(__xludf.DUMMYFUNCTION("""COMPUTED_VALUE"""),43652.0)</f>
        <v>43652</v>
      </c>
      <c r="I110" s="92">
        <f>IFERROR(__xludf.DUMMYFUNCTION("""COMPUTED_VALUE"""),100.0)</f>
        <v>100</v>
      </c>
      <c r="J110" s="74" t="str">
        <f>IFERROR(__xludf.DUMMYFUNCTION("""COMPUTED_VALUE"""),"VAMSI KRISHNA MAHABHASHYAM")</f>
        <v>VAMSI KRISHNA MAHABHASHYAM</v>
      </c>
      <c r="K110" s="80" t="str">
        <f>IFERROR(__xludf.DUMMYFUNCTION("""COMPUTED_VALUE"""),"https://drive.google.com/open?id=1JY06WZOLqu14PhonWHVOlvTMYjZ6411P")</f>
        <v>https://drive.google.com/open?id=1JY06WZOLqu14PhonWHVOlvTMYjZ6411P</v>
      </c>
      <c r="L110" s="74" t="str">
        <f>IFERROR(__xludf.DUMMYFUNCTION("""COMPUTED_VALUE"""),"2018-2022")</f>
        <v>2018-2022</v>
      </c>
      <c r="M110" s="74" t="str">
        <f>IFERROR(__xludf.DUMMYFUNCTION("""COMPUTED_VALUE"""),"S4: Student Certifications")</f>
        <v>S4: Student Certifications</v>
      </c>
      <c r="N110" s="74" t="str">
        <f>IFERROR(__xludf.DUMMYFUNCTION("""COMPUTED_VALUE"""),"muraharikusum2000@gmail.com")</f>
        <v>muraharikusum2000@gmail.com</v>
      </c>
      <c r="O110" s="74" t="str">
        <f>IFERROR(__xludf.DUMMYFUNCTION("""COMPUTED_VALUE"""),"SEM-8")</f>
        <v>SEM-8</v>
      </c>
      <c r="P110" s="74"/>
      <c r="Q110" s="74"/>
      <c r="R110" s="74"/>
      <c r="S110" s="74"/>
      <c r="T110" s="74"/>
      <c r="U110" s="74"/>
      <c r="V110" s="74"/>
      <c r="W110" s="74"/>
      <c r="X110" s="74"/>
      <c r="Y110" s="74"/>
    </row>
    <row r="111" ht="26.25" customHeight="1">
      <c r="A111" s="74" t="str">
        <f>IFERROR(__xludf.DUMMYFUNCTION("""COMPUTED_VALUE"""),"Kusuma Patnaik Murahari")</f>
        <v>Kusuma Patnaik Murahari</v>
      </c>
      <c r="B111" s="74" t="str">
        <f>IFERROR(__xludf.DUMMYFUNCTION("""COMPUTED_VALUE"""),"18331A0584")</f>
        <v>18331A0584</v>
      </c>
      <c r="C111" s="90" t="str">
        <f>IFERROR(__xludf.DUMMYFUNCTION("""COMPUTED_VALUE"""),"Cybersecurity Essentials")</f>
        <v>Cybersecurity Essentials</v>
      </c>
      <c r="D111" s="74" t="str">
        <f>IFERROR(__xludf.DUMMYFUNCTION("""COMPUTED_VALUE"""),"Cisco")</f>
        <v>Cisco</v>
      </c>
      <c r="E111" s="74" t="str">
        <f>IFERROR(__xludf.DUMMYFUNCTION("""COMPUTED_VALUE"""),"2 months")</f>
        <v>2 months</v>
      </c>
      <c r="F111" s="91">
        <f>IFERROR(__xludf.DUMMYFUNCTION("""COMPUTED_VALUE"""),43586.0)</f>
        <v>43586</v>
      </c>
      <c r="G111" s="91">
        <f>IFERROR(__xludf.DUMMYFUNCTION("""COMPUTED_VALUE"""),43646.0)</f>
        <v>43646</v>
      </c>
      <c r="H111" s="79">
        <f>IFERROR(__xludf.DUMMYFUNCTION("""COMPUTED_VALUE"""),43672.0)</f>
        <v>43672</v>
      </c>
      <c r="I111" s="92">
        <f>IFERROR(__xludf.DUMMYFUNCTION("""COMPUTED_VALUE"""),100.0)</f>
        <v>100</v>
      </c>
      <c r="J111" s="74" t="str">
        <f>IFERROR(__xludf.DUMMYFUNCTION("""COMPUTED_VALUE"""),"Subba Raju K V")</f>
        <v>Subba Raju K V</v>
      </c>
      <c r="K111" s="80" t="str">
        <f>IFERROR(__xludf.DUMMYFUNCTION("""COMPUTED_VALUE"""),"https://drive.google.com/open?id=1byWGeZTZx-0YwRF5T9ijQuTz8yqdfnDb")</f>
        <v>https://drive.google.com/open?id=1byWGeZTZx-0YwRF5T9ijQuTz8yqdfnDb</v>
      </c>
      <c r="L111" s="74" t="str">
        <f>IFERROR(__xludf.DUMMYFUNCTION("""COMPUTED_VALUE"""),"2018-2022")</f>
        <v>2018-2022</v>
      </c>
      <c r="M111" s="74" t="str">
        <f>IFERROR(__xludf.DUMMYFUNCTION("""COMPUTED_VALUE"""),"S4: Student Certifications")</f>
        <v>S4: Student Certifications</v>
      </c>
      <c r="N111" s="74" t="str">
        <f>IFERROR(__xludf.DUMMYFUNCTION("""COMPUTED_VALUE"""),"muraharikusum2000@gmail.com")</f>
        <v>muraharikusum2000@gmail.com</v>
      </c>
      <c r="O111" s="74" t="str">
        <f>IFERROR(__xludf.DUMMYFUNCTION("""COMPUTED_VALUE"""),"SEM-8")</f>
        <v>SEM-8</v>
      </c>
      <c r="P111" s="74"/>
      <c r="Q111" s="74"/>
      <c r="R111" s="74"/>
      <c r="S111" s="74"/>
      <c r="T111" s="74"/>
      <c r="U111" s="74"/>
      <c r="V111" s="74"/>
      <c r="W111" s="74"/>
      <c r="X111" s="74"/>
      <c r="Y111" s="74"/>
    </row>
    <row r="112" ht="26.25" customHeight="1">
      <c r="A112" s="74" t="str">
        <f>IFERROR(__xludf.DUMMYFUNCTION("""COMPUTED_VALUE"""),"Kusuma Patnaik Murahari")</f>
        <v>Kusuma Patnaik Murahari</v>
      </c>
      <c r="B112" s="74" t="str">
        <f>IFERROR(__xludf.DUMMYFUNCTION("""COMPUTED_VALUE"""),"18331A0584")</f>
        <v>18331A0584</v>
      </c>
      <c r="C112" s="90" t="str">
        <f>IFERROR(__xludf.DUMMYFUNCTION("""COMPUTED_VALUE"""),"Introduction to Cybersecurity")</f>
        <v>Introduction to Cybersecurity</v>
      </c>
      <c r="D112" s="74" t="str">
        <f>IFERROR(__xludf.DUMMYFUNCTION("""COMPUTED_VALUE"""),"Cisco")</f>
        <v>Cisco</v>
      </c>
      <c r="E112" s="74" t="str">
        <f>IFERROR(__xludf.DUMMYFUNCTION("""COMPUTED_VALUE"""),"2 months")</f>
        <v>2 months</v>
      </c>
      <c r="F112" s="91">
        <f>IFERROR(__xludf.DUMMYFUNCTION("""COMPUTED_VALUE"""),44287.0)</f>
        <v>44287</v>
      </c>
      <c r="G112" s="91">
        <f>IFERROR(__xludf.DUMMYFUNCTION("""COMPUTED_VALUE"""),44346.0)</f>
        <v>44346</v>
      </c>
      <c r="H112" s="79">
        <f>IFERROR(__xludf.DUMMYFUNCTION("""COMPUTED_VALUE"""),44374.0)</f>
        <v>44374</v>
      </c>
      <c r="I112" s="92">
        <f>IFERROR(__xludf.DUMMYFUNCTION("""COMPUTED_VALUE"""),100.0)</f>
        <v>100</v>
      </c>
      <c r="J112" s="74" t="str">
        <f>IFERROR(__xludf.DUMMYFUNCTION("""COMPUTED_VALUE"""),"Subba Raju K V")</f>
        <v>Subba Raju K V</v>
      </c>
      <c r="K112" s="80" t="str">
        <f>IFERROR(__xludf.DUMMYFUNCTION("""COMPUTED_VALUE"""),"https://drive.google.com/open?id=1Xt0pIDVap4OLOIehCGYbKilh3Ncco4Ld")</f>
        <v>https://drive.google.com/open?id=1Xt0pIDVap4OLOIehCGYbKilh3Ncco4Ld</v>
      </c>
      <c r="L112" s="74" t="str">
        <f>IFERROR(__xludf.DUMMYFUNCTION("""COMPUTED_VALUE"""),"2018-2022")</f>
        <v>2018-2022</v>
      </c>
      <c r="M112" s="74" t="str">
        <f>IFERROR(__xludf.DUMMYFUNCTION("""COMPUTED_VALUE"""),"S4: Student Certifications")</f>
        <v>S4: Student Certifications</v>
      </c>
      <c r="N112" s="74" t="str">
        <f>IFERROR(__xludf.DUMMYFUNCTION("""COMPUTED_VALUE"""),"muraharikusum2000@gmail.com")</f>
        <v>muraharikusum2000@gmail.com</v>
      </c>
      <c r="O112" s="74" t="str">
        <f>IFERROR(__xludf.DUMMYFUNCTION("""COMPUTED_VALUE"""),"SEM-8")</f>
        <v>SEM-8</v>
      </c>
      <c r="P112" s="74"/>
      <c r="Q112" s="74"/>
      <c r="R112" s="74"/>
      <c r="S112" s="74"/>
      <c r="T112" s="74"/>
      <c r="U112" s="74"/>
      <c r="V112" s="74"/>
      <c r="W112" s="74"/>
      <c r="X112" s="74"/>
      <c r="Y112" s="74"/>
    </row>
    <row r="113" ht="26.25" customHeight="1">
      <c r="A113" s="74" t="str">
        <f>IFERROR(__xludf.DUMMYFUNCTION("""COMPUTED_VALUE"""),"METTA VAMSI PRANAV")</f>
        <v>METTA VAMSI PRANAV</v>
      </c>
      <c r="B113" s="74" t="str">
        <f>IFERROR(__xludf.DUMMYFUNCTION("""COMPUTED_VALUE"""),"18331A0598")</f>
        <v>18331A0598</v>
      </c>
      <c r="C113" s="90" t="str">
        <f>IFERROR(__xludf.DUMMYFUNCTION("""COMPUTED_VALUE"""),"Programming for Everybody(Python)")</f>
        <v>Programming for Everybody(Python)</v>
      </c>
      <c r="D113" s="74" t="str">
        <f>IFERROR(__xludf.DUMMYFUNCTION("""COMPUTED_VALUE"""),"University Of MICHIGAN")</f>
        <v>University Of MICHIGAN</v>
      </c>
      <c r="E113" s="74" t="str">
        <f>IFERROR(__xludf.DUMMYFUNCTION("""COMPUTED_VALUE"""),"2 months")</f>
        <v>2 months</v>
      </c>
      <c r="F113" s="91">
        <f>IFERROR(__xludf.DUMMYFUNCTION("""COMPUTED_VALUE"""),43881.0)</f>
        <v>43881</v>
      </c>
      <c r="G113" s="91">
        <f>IFERROR(__xludf.DUMMYFUNCTION("""COMPUTED_VALUE"""),43941.0)</f>
        <v>43941</v>
      </c>
      <c r="H113" s="79">
        <f>IFERROR(__xludf.DUMMYFUNCTION("""COMPUTED_VALUE"""),43941.0)</f>
        <v>43941</v>
      </c>
      <c r="I113" s="92">
        <f>IFERROR(__xludf.DUMMYFUNCTION("""COMPUTED_VALUE"""),100.0)</f>
        <v>100</v>
      </c>
      <c r="J113" s="74" t="str">
        <f>IFERROR(__xludf.DUMMYFUNCTION("""COMPUTED_VALUE"""),"Self Learn")</f>
        <v>Self Learn</v>
      </c>
      <c r="K113" s="80" t="str">
        <f>IFERROR(__xludf.DUMMYFUNCTION("""COMPUTED_VALUE"""),"https://drive.google.com/open?id=1SHO-5VD9JUEPjog22cWO832kaqajphQy")</f>
        <v>https://drive.google.com/open?id=1SHO-5VD9JUEPjog22cWO832kaqajphQy</v>
      </c>
      <c r="L113" s="74" t="str">
        <f>IFERROR(__xludf.DUMMYFUNCTION("""COMPUTED_VALUE"""),"2018-2022")</f>
        <v>2018-2022</v>
      </c>
      <c r="M113" s="74" t="str">
        <f>IFERROR(__xludf.DUMMYFUNCTION("""COMPUTED_VALUE"""),"S4: Student Certifications")</f>
        <v>S4: Student Certifications</v>
      </c>
      <c r="N113" s="74" t="str">
        <f>IFERROR(__xludf.DUMMYFUNCTION("""COMPUTED_VALUE"""),"vamsipranav9948@gmail.com")</f>
        <v>vamsipranav9948@gmail.com</v>
      </c>
      <c r="O113" s="74" t="str">
        <f>IFERROR(__xludf.DUMMYFUNCTION("""COMPUTED_VALUE"""),"SEM-4")</f>
        <v>SEM-4</v>
      </c>
      <c r="P113" s="74"/>
      <c r="Q113" s="74"/>
      <c r="R113" s="74"/>
      <c r="S113" s="74"/>
      <c r="T113" s="74"/>
      <c r="U113" s="74"/>
      <c r="V113" s="74"/>
      <c r="W113" s="74"/>
      <c r="X113" s="74"/>
      <c r="Y113" s="74"/>
    </row>
    <row r="114" ht="26.25" customHeight="1">
      <c r="A114" s="74" t="str">
        <f>IFERROR(__xludf.DUMMYFUNCTION("""COMPUTED_VALUE"""),"Kusuma Patnaik Murahari")</f>
        <v>Kusuma Patnaik Murahari</v>
      </c>
      <c r="B114" s="74" t="str">
        <f>IFERROR(__xludf.DUMMYFUNCTION("""COMPUTED_VALUE"""),"18331A0584")</f>
        <v>18331A0584</v>
      </c>
      <c r="C114" s="90" t="str">
        <f>IFERROR(__xludf.DUMMYFUNCTION("""COMPUTED_VALUE"""),"Introduction to Packet Tracer")</f>
        <v>Introduction to Packet Tracer</v>
      </c>
      <c r="D114" s="74" t="str">
        <f>IFERROR(__xludf.DUMMYFUNCTION("""COMPUTED_VALUE"""),"Cisco")</f>
        <v>Cisco</v>
      </c>
      <c r="E114" s="74" t="str">
        <f>IFERROR(__xludf.DUMMYFUNCTION("""COMPUTED_VALUE"""),"2 months")</f>
        <v>2 months</v>
      </c>
      <c r="F114" s="91">
        <f>IFERROR(__xludf.DUMMYFUNCTION("""COMPUTED_VALUE"""),44317.0)</f>
        <v>44317</v>
      </c>
      <c r="G114" s="91">
        <f>IFERROR(__xludf.DUMMYFUNCTION("""COMPUTED_VALUE"""),44377.0)</f>
        <v>44377</v>
      </c>
      <c r="H114" s="79">
        <f>IFERROR(__xludf.DUMMYFUNCTION("""COMPUTED_VALUE"""),44384.0)</f>
        <v>44384</v>
      </c>
      <c r="I114" s="92">
        <f>IFERROR(__xludf.DUMMYFUNCTION("""COMPUTED_VALUE"""),100.0)</f>
        <v>100</v>
      </c>
      <c r="J114" s="74" t="str">
        <f>IFERROR(__xludf.DUMMYFUNCTION("""COMPUTED_VALUE"""),"DR. RAVI KIRAN VARMA PENMATSA")</f>
        <v>DR. RAVI KIRAN VARMA PENMATSA</v>
      </c>
      <c r="K114" s="80" t="str">
        <f>IFERROR(__xludf.DUMMYFUNCTION("""COMPUTED_VALUE"""),"https://drive.google.com/open?id=1o8gU9LI-eJ4hrwHkz7b6V6vX8bc2YFb7")</f>
        <v>https://drive.google.com/open?id=1o8gU9LI-eJ4hrwHkz7b6V6vX8bc2YFb7</v>
      </c>
      <c r="L114" s="74" t="str">
        <f>IFERROR(__xludf.DUMMYFUNCTION("""COMPUTED_VALUE"""),"2018-2022")</f>
        <v>2018-2022</v>
      </c>
      <c r="M114" s="74" t="str">
        <f>IFERROR(__xludf.DUMMYFUNCTION("""COMPUTED_VALUE"""),"S4: Student Certifications")</f>
        <v>S4: Student Certifications</v>
      </c>
      <c r="N114" s="74" t="str">
        <f>IFERROR(__xludf.DUMMYFUNCTION("""COMPUTED_VALUE"""),"muraharikusum2000@gmail.com")</f>
        <v>muraharikusum2000@gmail.com</v>
      </c>
      <c r="O114" s="74" t="str">
        <f>IFERROR(__xludf.DUMMYFUNCTION("""COMPUTED_VALUE"""),"SEM-8")</f>
        <v>SEM-8</v>
      </c>
      <c r="P114" s="74"/>
      <c r="Q114" s="74"/>
      <c r="R114" s="74"/>
      <c r="S114" s="74"/>
      <c r="T114" s="74"/>
      <c r="U114" s="74"/>
      <c r="V114" s="74"/>
      <c r="W114" s="74"/>
      <c r="X114" s="74"/>
      <c r="Y114" s="74"/>
    </row>
    <row r="115" ht="26.25" customHeight="1">
      <c r="A115" s="74" t="str">
        <f>IFERROR(__xludf.DUMMYFUNCTION("""COMPUTED_VALUE"""),"Kusuma Patnaik Murahari")</f>
        <v>Kusuma Patnaik Murahari</v>
      </c>
      <c r="B115" s="74" t="str">
        <f>IFERROR(__xludf.DUMMYFUNCTION("""COMPUTED_VALUE"""),"18331A0584")</f>
        <v>18331A0584</v>
      </c>
      <c r="C115" s="90" t="str">
        <f>IFERROR(__xludf.DUMMYFUNCTION("""COMPUTED_VALUE"""),"IT Essentials")</f>
        <v>IT Essentials</v>
      </c>
      <c r="D115" s="74" t="str">
        <f>IFERROR(__xludf.DUMMYFUNCTION("""COMPUTED_VALUE"""),"Cisco")</f>
        <v>Cisco</v>
      </c>
      <c r="E115" s="74" t="str">
        <f>IFERROR(__xludf.DUMMYFUNCTION("""COMPUTED_VALUE"""),"2 months")</f>
        <v>2 months</v>
      </c>
      <c r="F115" s="91">
        <f>IFERROR(__xludf.DUMMYFUNCTION("""COMPUTED_VALUE"""),43678.0)</f>
        <v>43678</v>
      </c>
      <c r="G115" s="91">
        <f>IFERROR(__xludf.DUMMYFUNCTION("""COMPUTED_VALUE"""),43738.0)</f>
        <v>43738</v>
      </c>
      <c r="H115" s="79">
        <f>IFERROR(__xludf.DUMMYFUNCTION("""COMPUTED_VALUE"""),43761.0)</f>
        <v>43761</v>
      </c>
      <c r="I115" s="92">
        <f>IFERROR(__xludf.DUMMYFUNCTION("""COMPUTED_VALUE"""),100.0)</f>
        <v>100</v>
      </c>
      <c r="J115" s="74" t="str">
        <f>IFERROR(__xludf.DUMMYFUNCTION("""COMPUTED_VALUE"""),"Dr. Suvarna Kumar Gogula")</f>
        <v>Dr. Suvarna Kumar Gogula</v>
      </c>
      <c r="K115" s="80" t="str">
        <f>IFERROR(__xludf.DUMMYFUNCTION("""COMPUTED_VALUE"""),"https://drive.google.com/open?id=1EfuGEnP_eBHvTjbT1pv_KO0PWBL4P-GW")</f>
        <v>https://drive.google.com/open?id=1EfuGEnP_eBHvTjbT1pv_KO0PWBL4P-GW</v>
      </c>
      <c r="L115" s="74" t="str">
        <f>IFERROR(__xludf.DUMMYFUNCTION("""COMPUTED_VALUE"""),"2018-2022")</f>
        <v>2018-2022</v>
      </c>
      <c r="M115" s="74" t="str">
        <f>IFERROR(__xludf.DUMMYFUNCTION("""COMPUTED_VALUE"""),"S4: Student Certifications")</f>
        <v>S4: Student Certifications</v>
      </c>
      <c r="N115" s="74" t="str">
        <f>IFERROR(__xludf.DUMMYFUNCTION("""COMPUTED_VALUE"""),"muraharikusum2000@gmail.com")</f>
        <v>muraharikusum2000@gmail.com</v>
      </c>
      <c r="O115" s="74" t="str">
        <f>IFERROR(__xludf.DUMMYFUNCTION("""COMPUTED_VALUE"""),"SEM-8")</f>
        <v>SEM-8</v>
      </c>
      <c r="P115" s="74"/>
      <c r="Q115" s="74"/>
      <c r="R115" s="74"/>
      <c r="S115" s="74"/>
      <c r="T115" s="74"/>
      <c r="U115" s="74"/>
      <c r="V115" s="74"/>
      <c r="W115" s="74"/>
      <c r="X115" s="74"/>
      <c r="Y115" s="74"/>
    </row>
    <row r="116" ht="26.25" customHeight="1">
      <c r="A116" s="74" t="str">
        <f>IFERROR(__xludf.DUMMYFUNCTION("""COMPUTED_VALUE"""),"KARUMURI SRI RAJ ARYAN")</f>
        <v>KARUMURI SRI RAJ ARYAN</v>
      </c>
      <c r="B116" s="74" t="str">
        <f>IFERROR(__xludf.DUMMYFUNCTION("""COMPUTED_VALUE"""),"18331A0571")</f>
        <v>18331A0571</v>
      </c>
      <c r="C116" s="90" t="str">
        <f>IFERROR(__xludf.DUMMYFUNCTION("""COMPUTED_VALUE"""),"MATLAB")</f>
        <v>MATLAB</v>
      </c>
      <c r="D116" s="74" t="str">
        <f>IFERROR(__xludf.DUMMYFUNCTION("""COMPUTED_VALUE"""),"MATLAB ONRAMP")</f>
        <v>MATLAB ONRAMP</v>
      </c>
      <c r="E116" s="74" t="str">
        <f>IFERROR(__xludf.DUMMYFUNCTION("""COMPUTED_VALUE"""),"2 MONTHS")</f>
        <v>2 MONTHS</v>
      </c>
      <c r="F116" s="91">
        <f>IFERROR(__xludf.DUMMYFUNCTION("""COMPUTED_VALUE"""),44190.0)</f>
        <v>44190</v>
      </c>
      <c r="G116" s="91">
        <f>IFERROR(__xludf.DUMMYFUNCTION("""COMPUTED_VALUE"""),44231.0)</f>
        <v>44231</v>
      </c>
      <c r="H116" s="79">
        <f>IFERROR(__xludf.DUMMYFUNCTION("""COMPUTED_VALUE"""),44231.0)</f>
        <v>44231</v>
      </c>
      <c r="I116" s="92">
        <f>IFERROR(__xludf.DUMMYFUNCTION("""COMPUTED_VALUE"""),100.0)</f>
        <v>100</v>
      </c>
      <c r="J116" s="74" t="str">
        <f>IFERROR(__xludf.DUMMYFUNCTION("""COMPUTED_VALUE"""),"SELF-LEARN")</f>
        <v>SELF-LEARN</v>
      </c>
      <c r="K116" s="80" t="str">
        <f>IFERROR(__xludf.DUMMYFUNCTION("""COMPUTED_VALUE"""),"https://drive.google.com/open?id=1YonZ6olGOZrggM5XjJjW_MC2fOeFo4X9")</f>
        <v>https://drive.google.com/open?id=1YonZ6olGOZrggM5XjJjW_MC2fOeFo4X9</v>
      </c>
      <c r="L116" s="74" t="str">
        <f>IFERROR(__xludf.DUMMYFUNCTION("""COMPUTED_VALUE"""),"2018-2022")</f>
        <v>2018-2022</v>
      </c>
      <c r="M116" s="74" t="str">
        <f>IFERROR(__xludf.DUMMYFUNCTION("""COMPUTED_VALUE"""),"S4: Student Certifications")</f>
        <v>S4: Student Certifications</v>
      </c>
      <c r="N116" s="74" t="str">
        <f>IFERROR(__xludf.DUMMYFUNCTION("""COMPUTED_VALUE"""),"aryankarumuri@gmail.com")</f>
        <v>aryankarumuri@gmail.com</v>
      </c>
      <c r="O116" s="74" t="str">
        <f>IFERROR(__xludf.DUMMYFUNCTION("""COMPUTED_VALUE"""),"SEM-1")</f>
        <v>SEM-1</v>
      </c>
      <c r="P116" s="74"/>
      <c r="Q116" s="74"/>
      <c r="R116" s="74"/>
      <c r="S116" s="74"/>
      <c r="T116" s="74"/>
      <c r="U116" s="74"/>
      <c r="V116" s="74"/>
      <c r="W116" s="74"/>
      <c r="X116" s="74"/>
      <c r="Y116" s="74"/>
    </row>
    <row r="117" ht="26.25" customHeight="1">
      <c r="A117" s="74" t="str">
        <f>IFERROR(__xludf.DUMMYFUNCTION("""COMPUTED_VALUE"""),"Kusuma Patnaik Murahari")</f>
        <v>Kusuma Patnaik Murahari</v>
      </c>
      <c r="B117" s="74" t="str">
        <f>IFERROR(__xludf.DUMMYFUNCTION("""COMPUTED_VALUE"""),"18331A0584")</f>
        <v>18331A0584</v>
      </c>
      <c r="C117" s="90" t="str">
        <f>IFERROR(__xludf.DUMMYFUNCTION("""COMPUTED_VALUE"""),"PCAP: Programming Essentials in Python")</f>
        <v>PCAP: Programming Essentials in Python</v>
      </c>
      <c r="D117" s="74" t="str">
        <f>IFERROR(__xludf.DUMMYFUNCTION("""COMPUTED_VALUE"""),"Cisco")</f>
        <v>Cisco</v>
      </c>
      <c r="E117" s="74" t="str">
        <f>IFERROR(__xludf.DUMMYFUNCTION("""COMPUTED_VALUE"""),"2 months")</f>
        <v>2 months</v>
      </c>
      <c r="F117" s="91">
        <f>IFERROR(__xludf.DUMMYFUNCTION("""COMPUTED_VALUE"""),43862.0)</f>
        <v>43862</v>
      </c>
      <c r="G117" s="91">
        <f>IFERROR(__xludf.DUMMYFUNCTION("""COMPUTED_VALUE"""),43921.0)</f>
        <v>43921</v>
      </c>
      <c r="H117" s="79">
        <f>IFERROR(__xludf.DUMMYFUNCTION("""COMPUTED_VALUE"""),43923.0)</f>
        <v>43923</v>
      </c>
      <c r="I117" s="92">
        <f>IFERROR(__xludf.DUMMYFUNCTION("""COMPUTED_VALUE"""),100.0)</f>
        <v>100</v>
      </c>
      <c r="J117" s="74" t="str">
        <f>IFERROR(__xludf.DUMMYFUNCTION("""COMPUTED_VALUE"""),"DR. RAVI KIRAN VARMA PENMATSA")</f>
        <v>DR. RAVI KIRAN VARMA PENMATSA</v>
      </c>
      <c r="K117" s="80" t="str">
        <f>IFERROR(__xludf.DUMMYFUNCTION("""COMPUTED_VALUE"""),"https://drive.google.com/open?id=1piUk9daAxG9HHSX9eiVkZqbXZtLN3M-g")</f>
        <v>https://drive.google.com/open?id=1piUk9daAxG9HHSX9eiVkZqbXZtLN3M-g</v>
      </c>
      <c r="L117" s="74" t="str">
        <f>IFERROR(__xludf.DUMMYFUNCTION("""COMPUTED_VALUE"""),"2018-2022")</f>
        <v>2018-2022</v>
      </c>
      <c r="M117" s="74" t="str">
        <f>IFERROR(__xludf.DUMMYFUNCTION("""COMPUTED_VALUE"""),"S4: Student Certifications")</f>
        <v>S4: Student Certifications</v>
      </c>
      <c r="N117" s="74" t="str">
        <f>IFERROR(__xludf.DUMMYFUNCTION("""COMPUTED_VALUE"""),"muraharikusum2000@gmail.com")</f>
        <v>muraharikusum2000@gmail.com</v>
      </c>
      <c r="O117" s="74" t="str">
        <f>IFERROR(__xludf.DUMMYFUNCTION("""COMPUTED_VALUE"""),"SEM-8")</f>
        <v>SEM-8</v>
      </c>
      <c r="P117" s="74"/>
      <c r="Q117" s="74"/>
      <c r="R117" s="74"/>
      <c r="S117" s="74"/>
      <c r="T117" s="74"/>
      <c r="U117" s="74"/>
      <c r="V117" s="74"/>
      <c r="W117" s="74"/>
      <c r="X117" s="74"/>
      <c r="Y117" s="74"/>
    </row>
    <row r="118" ht="26.25" customHeight="1">
      <c r="A118" s="74" t="str">
        <f>IFERROR(__xludf.DUMMYFUNCTION("""COMPUTED_VALUE"""),"METTA VAMSI PRANAV")</f>
        <v>METTA VAMSI PRANAV</v>
      </c>
      <c r="B118" s="74" t="str">
        <f>IFERROR(__xludf.DUMMYFUNCTION("""COMPUTED_VALUE"""),"18331A0598")</f>
        <v>18331A0598</v>
      </c>
      <c r="C118" s="90" t="str">
        <f>IFERROR(__xludf.DUMMYFUNCTION("""COMPUTED_VALUE"""),"CCNAv7: Introduction to Networks")</f>
        <v>CCNAv7: Introduction to Networks</v>
      </c>
      <c r="D118" s="74" t="str">
        <f>IFERROR(__xludf.DUMMYFUNCTION("""COMPUTED_VALUE"""),"Cisco")</f>
        <v>Cisco</v>
      </c>
      <c r="E118" s="74" t="str">
        <f>IFERROR(__xludf.DUMMYFUNCTION("""COMPUTED_VALUE"""),"2 months")</f>
        <v>2 months</v>
      </c>
      <c r="F118" s="91">
        <f>IFERROR(__xludf.DUMMYFUNCTION("""COMPUTED_VALUE"""),44383.0)</f>
        <v>44383</v>
      </c>
      <c r="G118" s="91">
        <f>IFERROR(__xludf.DUMMYFUNCTION("""COMPUTED_VALUE"""),44445.0)</f>
        <v>44445</v>
      </c>
      <c r="H118" s="79">
        <f>IFERROR(__xludf.DUMMYFUNCTION("""COMPUTED_VALUE"""),44445.0)</f>
        <v>44445</v>
      </c>
      <c r="I118" s="92">
        <f>IFERROR(__xludf.DUMMYFUNCTION("""COMPUTED_VALUE"""),100.0)</f>
        <v>100</v>
      </c>
      <c r="J118" s="74" t="str">
        <f>IFERROR(__xludf.DUMMYFUNCTION("""COMPUTED_VALUE"""),"DR. RAVI KIRAN VARMA PENMATSA")</f>
        <v>DR. RAVI KIRAN VARMA PENMATSA</v>
      </c>
      <c r="K118" s="80" t="str">
        <f>IFERROR(__xludf.DUMMYFUNCTION("""COMPUTED_VALUE"""),"https://drive.google.com/open?id=1AmiFS0aMD7bwcYvbhng9RsATTG5f7YaR")</f>
        <v>https://drive.google.com/open?id=1AmiFS0aMD7bwcYvbhng9RsATTG5f7YaR</v>
      </c>
      <c r="L118" s="74" t="str">
        <f>IFERROR(__xludf.DUMMYFUNCTION("""COMPUTED_VALUE"""),"2018-2022")</f>
        <v>2018-2022</v>
      </c>
      <c r="M118" s="74" t="str">
        <f>IFERROR(__xludf.DUMMYFUNCTION("""COMPUTED_VALUE"""),"S4: Student Certifications")</f>
        <v>S4: Student Certifications</v>
      </c>
      <c r="N118" s="74" t="str">
        <f>IFERROR(__xludf.DUMMYFUNCTION("""COMPUTED_VALUE"""),"vamsipranav9948@gmail.com")</f>
        <v>vamsipranav9948@gmail.com</v>
      </c>
      <c r="O118" s="74" t="str">
        <f>IFERROR(__xludf.DUMMYFUNCTION("""COMPUTED_VALUE"""),"SEM-6")</f>
        <v>SEM-6</v>
      </c>
      <c r="P118" s="74"/>
      <c r="Q118" s="74"/>
      <c r="R118" s="74"/>
      <c r="S118" s="74"/>
      <c r="T118" s="74"/>
      <c r="U118" s="74"/>
      <c r="V118" s="74"/>
      <c r="W118" s="74"/>
      <c r="X118" s="74"/>
      <c r="Y118" s="74"/>
    </row>
    <row r="119" ht="26.25" customHeight="1">
      <c r="A119" s="74" t="str">
        <f>IFERROR(__xludf.DUMMYFUNCTION("""COMPUTED_VALUE"""),"Kusuma Patnaik Murahari")</f>
        <v>Kusuma Patnaik Murahari</v>
      </c>
      <c r="B119" s="74" t="str">
        <f>IFERROR(__xludf.DUMMYFUNCTION("""COMPUTED_VALUE"""),"18331A0584")</f>
        <v>18331A0584</v>
      </c>
      <c r="C119" s="90" t="str">
        <f>IFERROR(__xludf.DUMMYFUNCTION("""COMPUTED_VALUE"""),"AWS Academy - Cloud Foundations")</f>
        <v>AWS Academy - Cloud Foundations</v>
      </c>
      <c r="D119" s="74" t="str">
        <f>IFERROR(__xludf.DUMMYFUNCTION("""COMPUTED_VALUE"""),"AWS")</f>
        <v>AWS</v>
      </c>
      <c r="E119" s="74" t="str">
        <f>IFERROR(__xludf.DUMMYFUNCTION("""COMPUTED_VALUE"""),"1 month")</f>
        <v>1 month</v>
      </c>
      <c r="F119" s="91">
        <f>IFERROR(__xludf.DUMMYFUNCTION("""COMPUTED_VALUE"""),44470.0)</f>
        <v>44470</v>
      </c>
      <c r="G119" s="91">
        <f>IFERROR(__xludf.DUMMYFUNCTION("""COMPUTED_VALUE"""),44500.0)</f>
        <v>44500</v>
      </c>
      <c r="H119" s="79">
        <f>IFERROR(__xludf.DUMMYFUNCTION("""COMPUTED_VALUE"""),44512.0)</f>
        <v>44512</v>
      </c>
      <c r="I119" s="92">
        <f>IFERROR(__xludf.DUMMYFUNCTION("""COMPUTED_VALUE"""),100.0)</f>
        <v>100</v>
      </c>
      <c r="J119" s="74" t="str">
        <f>IFERROR(__xludf.DUMMYFUNCTION("""COMPUTED_VALUE"""),"DR. RAVI KIRAN VARMA PENMATSA")</f>
        <v>DR. RAVI KIRAN VARMA PENMATSA</v>
      </c>
      <c r="K119" s="80" t="str">
        <f>IFERROR(__xludf.DUMMYFUNCTION("""COMPUTED_VALUE"""),"https://drive.google.com/open?id=1VUHajIfvsA2_Is5Aem3vaPKQ5aK14Pgy")</f>
        <v>https://drive.google.com/open?id=1VUHajIfvsA2_Is5Aem3vaPKQ5aK14Pgy</v>
      </c>
      <c r="L119" s="74" t="str">
        <f>IFERROR(__xludf.DUMMYFUNCTION("""COMPUTED_VALUE"""),"2018-2022")</f>
        <v>2018-2022</v>
      </c>
      <c r="M119" s="74" t="str">
        <f>IFERROR(__xludf.DUMMYFUNCTION("""COMPUTED_VALUE"""),"S4: Student Certifications")</f>
        <v>S4: Student Certifications</v>
      </c>
      <c r="N119" s="74" t="str">
        <f>IFERROR(__xludf.DUMMYFUNCTION("""COMPUTED_VALUE"""),"muraharikusum2000@gmail.com")</f>
        <v>muraharikusum2000@gmail.com</v>
      </c>
      <c r="O119" s="74" t="str">
        <f>IFERROR(__xludf.DUMMYFUNCTION("""COMPUTED_VALUE"""),"SEM-8")</f>
        <v>SEM-8</v>
      </c>
      <c r="P119" s="74"/>
      <c r="Q119" s="74"/>
      <c r="R119" s="74"/>
      <c r="S119" s="74"/>
      <c r="T119" s="74"/>
      <c r="U119" s="74"/>
      <c r="V119" s="74"/>
      <c r="W119" s="74"/>
      <c r="X119" s="74"/>
      <c r="Y119" s="74"/>
    </row>
    <row r="120" ht="26.25" customHeight="1">
      <c r="A120" s="78" t="str">
        <f>IFERROR(__xludf.DUMMYFUNCTION("""COMPUTED_VALUE"""),"KARUMURI SRI RAJ ARYAN")</f>
        <v>KARUMURI SRI RAJ ARYAN</v>
      </c>
      <c r="B120" s="78" t="str">
        <f>IFERROR(__xludf.DUMMYFUNCTION("""COMPUTED_VALUE"""),"18331A0571")</f>
        <v>18331A0571</v>
      </c>
      <c r="C120" s="93" t="str">
        <f>IFERROR(__xludf.DUMMYFUNCTION("""COMPUTED_VALUE"""),"ANDHRA PRADESH STATE SKILL DEVELOPMENT CORPORATION(APSSDC)")</f>
        <v>ANDHRA PRADESH STATE SKILL DEVELOPMENT CORPORATION(APSSDC)</v>
      </c>
      <c r="D120" s="78" t="str">
        <f>IFERROR(__xludf.DUMMYFUNCTION("""COMPUTED_VALUE"""),"ONLINE WEBINAR")</f>
        <v>ONLINE WEBINAR</v>
      </c>
      <c r="E120" s="78" t="str">
        <f>IFERROR(__xludf.DUMMYFUNCTION("""COMPUTED_VALUE"""),"3 HOURS")</f>
        <v>3 HOURS</v>
      </c>
      <c r="F120" s="94">
        <f>IFERROR(__xludf.DUMMYFUNCTION("""COMPUTED_VALUE"""),44033.0)</f>
        <v>44033</v>
      </c>
      <c r="G120" s="94">
        <f>IFERROR(__xludf.DUMMYFUNCTION("""COMPUTED_VALUE"""),44033.0)</f>
        <v>44033</v>
      </c>
      <c r="H120" s="84">
        <f>IFERROR(__xludf.DUMMYFUNCTION("""COMPUTED_VALUE"""),44033.0)</f>
        <v>44033</v>
      </c>
      <c r="I120" s="95">
        <f>IFERROR(__xludf.DUMMYFUNCTION("""COMPUTED_VALUE"""),100.0)</f>
        <v>100</v>
      </c>
      <c r="J120" s="78" t="str">
        <f>IFERROR(__xludf.DUMMYFUNCTION("""COMPUTED_VALUE"""),"SELF-LEARN")</f>
        <v>SELF-LEARN</v>
      </c>
      <c r="K120" s="85" t="str">
        <f>IFERROR(__xludf.DUMMYFUNCTION("""COMPUTED_VALUE"""),"https://drive.google.com/open?id=1kpORz2olsLac_KiQt0KQ39YxBR7-BvWk")</f>
        <v>https://drive.google.com/open?id=1kpORz2olsLac_KiQt0KQ39YxBR7-BvWk</v>
      </c>
      <c r="L120" s="78" t="str">
        <f>IFERROR(__xludf.DUMMYFUNCTION("""COMPUTED_VALUE"""),"2018-2022")</f>
        <v>2018-2022</v>
      </c>
      <c r="M120" s="78" t="str">
        <f>IFERROR(__xludf.DUMMYFUNCTION("""COMPUTED_VALUE"""),"S4: Student Certifications")</f>
        <v>S4: Student Certifications</v>
      </c>
      <c r="N120" s="78" t="str">
        <f>IFERROR(__xludf.DUMMYFUNCTION("""COMPUTED_VALUE"""),"aryankarumuri@gmail.com")</f>
        <v>aryankarumuri@gmail.com</v>
      </c>
      <c r="O120" s="78" t="str">
        <f>IFERROR(__xludf.DUMMYFUNCTION("""COMPUTED_VALUE"""),"SEM-8")</f>
        <v>SEM-8</v>
      </c>
      <c r="P120" s="78"/>
      <c r="Q120" s="78"/>
      <c r="R120" s="78"/>
      <c r="S120" s="78"/>
      <c r="T120" s="78"/>
      <c r="U120" s="78"/>
      <c r="V120" s="78"/>
      <c r="W120" s="78"/>
      <c r="X120" s="78"/>
      <c r="Y120" s="78"/>
    </row>
    <row r="121" ht="26.25" customHeight="1">
      <c r="A121" s="74" t="str">
        <f>IFERROR(__xludf.DUMMYFUNCTION("""COMPUTED_VALUE"""),"METTA VAMSI PRANAV")</f>
        <v>METTA VAMSI PRANAV</v>
      </c>
      <c r="B121" s="74" t="str">
        <f>IFERROR(__xludf.DUMMYFUNCTION("""COMPUTED_VALUE"""),"18331A0598")</f>
        <v>18331A0598</v>
      </c>
      <c r="C121" s="90" t="str">
        <f>IFERROR(__xludf.DUMMYFUNCTION("""COMPUTED_VALUE"""),"CCNAv7: Introduction to Networks")</f>
        <v>CCNAv7: Introduction to Networks</v>
      </c>
      <c r="D121" s="74" t="str">
        <f>IFERROR(__xludf.DUMMYFUNCTION("""COMPUTED_VALUE"""),"Cisco")</f>
        <v>Cisco</v>
      </c>
      <c r="E121" s="74" t="str">
        <f>IFERROR(__xludf.DUMMYFUNCTION("""COMPUTED_VALUE"""),"2 months")</f>
        <v>2 months</v>
      </c>
      <c r="F121" s="91">
        <f>IFERROR(__xludf.DUMMYFUNCTION("""COMPUTED_VALUE"""),44322.0)</f>
        <v>44322</v>
      </c>
      <c r="G121" s="91">
        <f>IFERROR(__xludf.DUMMYFUNCTION("""COMPUTED_VALUE"""),44383.0)</f>
        <v>44383</v>
      </c>
      <c r="H121" s="79">
        <f>IFERROR(__xludf.DUMMYFUNCTION("""COMPUTED_VALUE"""),44383.0)</f>
        <v>44383</v>
      </c>
      <c r="I121" s="92">
        <f>IFERROR(__xludf.DUMMYFUNCTION("""COMPUTED_VALUE"""),100.0)</f>
        <v>100</v>
      </c>
      <c r="J121" s="74" t="str">
        <f>IFERROR(__xludf.DUMMYFUNCTION("""COMPUTED_VALUE"""),"DR. RAVI KIRAN VARMA PENMATSA")</f>
        <v>DR. RAVI KIRAN VARMA PENMATSA</v>
      </c>
      <c r="K121" s="80" t="str">
        <f>IFERROR(__xludf.DUMMYFUNCTION("""COMPUTED_VALUE"""),"https://drive.google.com/open?id=1kKr1bqJud7rueQacoJtL1uRgQoDkwQuk")</f>
        <v>https://drive.google.com/open?id=1kKr1bqJud7rueQacoJtL1uRgQoDkwQuk</v>
      </c>
      <c r="L121" s="74" t="str">
        <f>IFERROR(__xludf.DUMMYFUNCTION("""COMPUTED_VALUE"""),"2018-2022")</f>
        <v>2018-2022</v>
      </c>
      <c r="M121" s="74" t="str">
        <f>IFERROR(__xludf.DUMMYFUNCTION("""COMPUTED_VALUE"""),"S4: Student Certifications")</f>
        <v>S4: Student Certifications</v>
      </c>
      <c r="N121" s="74" t="str">
        <f>IFERROR(__xludf.DUMMYFUNCTION("""COMPUTED_VALUE"""),"vamsipranav9948@gmail.com")</f>
        <v>vamsipranav9948@gmail.com</v>
      </c>
      <c r="O121" s="74" t="str">
        <f>IFERROR(__xludf.DUMMYFUNCTION("""COMPUTED_VALUE"""),"SEM-6")</f>
        <v>SEM-6</v>
      </c>
      <c r="P121" s="74"/>
      <c r="Q121" s="74"/>
      <c r="R121" s="74"/>
      <c r="S121" s="74"/>
      <c r="T121" s="74"/>
      <c r="U121" s="74"/>
      <c r="V121" s="74"/>
      <c r="W121" s="74"/>
      <c r="X121" s="74"/>
      <c r="Y121" s="74"/>
    </row>
    <row r="122" ht="26.25" customHeight="1">
      <c r="A122" s="74" t="str">
        <f>IFERROR(__xludf.DUMMYFUNCTION("""COMPUTED_VALUE"""),"Kusuma Patnaik Murahari")</f>
        <v>Kusuma Patnaik Murahari</v>
      </c>
      <c r="B122" s="74" t="str">
        <f>IFERROR(__xludf.DUMMYFUNCTION("""COMPUTED_VALUE"""),"18331A0584")</f>
        <v>18331A0584</v>
      </c>
      <c r="C122" s="90" t="str">
        <f>IFERROR(__xludf.DUMMYFUNCTION("""COMPUTED_VALUE"""),"Red Hat System Administration I")</f>
        <v>Red Hat System Administration I</v>
      </c>
      <c r="D122" s="74" t="str">
        <f>IFERROR(__xludf.DUMMYFUNCTION("""COMPUTED_VALUE"""),"Red Hat")</f>
        <v>Red Hat</v>
      </c>
      <c r="E122" s="74" t="str">
        <f>IFERROR(__xludf.DUMMYFUNCTION("""COMPUTED_VALUE"""),"1 month")</f>
        <v>1 month</v>
      </c>
      <c r="F122" s="91">
        <f>IFERROR(__xludf.DUMMYFUNCTION("""COMPUTED_VALUE"""),44621.0)</f>
        <v>44621</v>
      </c>
      <c r="G122" s="91">
        <f>IFERROR(__xludf.DUMMYFUNCTION("""COMPUTED_VALUE"""),44651.0)</f>
        <v>44651</v>
      </c>
      <c r="H122" s="79">
        <f>IFERROR(__xludf.DUMMYFUNCTION("""COMPUTED_VALUE"""),44658.0)</f>
        <v>44658</v>
      </c>
      <c r="I122" s="92">
        <f>IFERROR(__xludf.DUMMYFUNCTION("""COMPUTED_VALUE"""),100.0)</f>
        <v>100</v>
      </c>
      <c r="J122" s="74" t="str">
        <f>IFERROR(__xludf.DUMMYFUNCTION("""COMPUTED_VALUE"""),"Subba Raju K V")</f>
        <v>Subba Raju K V</v>
      </c>
      <c r="K122" s="80" t="str">
        <f>IFERROR(__xludf.DUMMYFUNCTION("""COMPUTED_VALUE"""),"https://drive.google.com/open?id=1w0iKuQmyjwGbJ7rYkESG66j1--K7Kw9x")</f>
        <v>https://drive.google.com/open?id=1w0iKuQmyjwGbJ7rYkESG66j1--K7Kw9x</v>
      </c>
      <c r="L122" s="74" t="str">
        <f>IFERROR(__xludf.DUMMYFUNCTION("""COMPUTED_VALUE"""),"2018-2022")</f>
        <v>2018-2022</v>
      </c>
      <c r="M122" s="74" t="str">
        <f>IFERROR(__xludf.DUMMYFUNCTION("""COMPUTED_VALUE"""),"S4: Student Certifications")</f>
        <v>S4: Student Certifications</v>
      </c>
      <c r="N122" s="74" t="str">
        <f>IFERROR(__xludf.DUMMYFUNCTION("""COMPUTED_VALUE"""),"muraharikusum2000@gmail.com")</f>
        <v>muraharikusum2000@gmail.com</v>
      </c>
      <c r="O122" s="74" t="str">
        <f>IFERROR(__xludf.DUMMYFUNCTION("""COMPUTED_VALUE"""),"SEM-8")</f>
        <v>SEM-8</v>
      </c>
      <c r="P122" s="74"/>
      <c r="Q122" s="74"/>
      <c r="R122" s="74"/>
      <c r="S122" s="74"/>
      <c r="T122" s="74"/>
      <c r="U122" s="74"/>
      <c r="V122" s="74"/>
      <c r="W122" s="74"/>
      <c r="X122" s="74"/>
      <c r="Y122" s="74"/>
    </row>
    <row r="123" ht="26.25" customHeight="1">
      <c r="A123" s="74" t="str">
        <f>IFERROR(__xludf.DUMMYFUNCTION("""COMPUTED_VALUE"""),"METTA VAMSI PRANAV")</f>
        <v>METTA VAMSI PRANAV</v>
      </c>
      <c r="B123" s="74" t="str">
        <f>IFERROR(__xludf.DUMMYFUNCTION("""COMPUTED_VALUE"""),"18331A0598")</f>
        <v>18331A0598</v>
      </c>
      <c r="C123" s="90" t="str">
        <f>IFERROR(__xludf.DUMMYFUNCTION("""COMPUTED_VALUE"""),"Introduction to Cybersecurity")</f>
        <v>Introduction to Cybersecurity</v>
      </c>
      <c r="D123" s="74" t="str">
        <f>IFERROR(__xludf.DUMMYFUNCTION("""COMPUTED_VALUE"""),"Cisco")</f>
        <v>Cisco</v>
      </c>
      <c r="E123" s="74" t="str">
        <f>IFERROR(__xludf.DUMMYFUNCTION("""COMPUTED_VALUE"""),"2 months")</f>
        <v>2 months</v>
      </c>
      <c r="F123" s="91">
        <f>IFERROR(__xludf.DUMMYFUNCTION("""COMPUTED_VALUE"""),44275.0)</f>
        <v>44275</v>
      </c>
      <c r="G123" s="91">
        <f>IFERROR(__xludf.DUMMYFUNCTION("""COMPUTED_VALUE"""),44336.0)</f>
        <v>44336</v>
      </c>
      <c r="H123" s="79">
        <f>IFERROR(__xludf.DUMMYFUNCTION("""COMPUTED_VALUE"""),44336.0)</f>
        <v>44336</v>
      </c>
      <c r="I123" s="92">
        <f>IFERROR(__xludf.DUMMYFUNCTION("""COMPUTED_VALUE"""),100.0)</f>
        <v>100</v>
      </c>
      <c r="J123" s="74" t="str">
        <f>IFERROR(__xludf.DUMMYFUNCTION("""COMPUTED_VALUE"""),"DR. RAVI KIRAN VARMA PENMATSA")</f>
        <v>DR. RAVI KIRAN VARMA PENMATSA</v>
      </c>
      <c r="K123" s="80" t="str">
        <f>IFERROR(__xludf.DUMMYFUNCTION("""COMPUTED_VALUE"""),"https://drive.google.com/open?id=15fJA4e5vCmqFwiHh6LlpgGNYDCeSn6_o")</f>
        <v>https://drive.google.com/open?id=15fJA4e5vCmqFwiHh6LlpgGNYDCeSn6_o</v>
      </c>
      <c r="L123" s="74" t="str">
        <f>IFERROR(__xludf.DUMMYFUNCTION("""COMPUTED_VALUE"""),"2018-2022")</f>
        <v>2018-2022</v>
      </c>
      <c r="M123" s="74" t="str">
        <f>IFERROR(__xludf.DUMMYFUNCTION("""COMPUTED_VALUE"""),"S4: Student Certifications")</f>
        <v>S4: Student Certifications</v>
      </c>
      <c r="N123" s="74" t="str">
        <f>IFERROR(__xludf.DUMMYFUNCTION("""COMPUTED_VALUE"""),"vamsipranav9948@gmail.com")</f>
        <v>vamsipranav9948@gmail.com</v>
      </c>
      <c r="O123" s="74" t="str">
        <f>IFERROR(__xludf.DUMMYFUNCTION("""COMPUTED_VALUE"""),"SEM-6")</f>
        <v>SEM-6</v>
      </c>
      <c r="P123" s="74"/>
      <c r="Q123" s="74"/>
      <c r="R123" s="74"/>
      <c r="S123" s="74"/>
      <c r="T123" s="74"/>
      <c r="U123" s="74"/>
      <c r="V123" s="74"/>
      <c r="W123" s="74"/>
      <c r="X123" s="74"/>
      <c r="Y123" s="74"/>
    </row>
    <row r="124" ht="26.25" customHeight="1">
      <c r="A124" s="74" t="str">
        <f>IFERROR(__xludf.DUMMYFUNCTION("""COMPUTED_VALUE"""),"METTA VAMSI PRANAV")</f>
        <v>METTA VAMSI PRANAV</v>
      </c>
      <c r="B124" s="74" t="str">
        <f>IFERROR(__xludf.DUMMYFUNCTION("""COMPUTED_VALUE"""),"18331A0598")</f>
        <v>18331A0598</v>
      </c>
      <c r="C124" s="90" t="str">
        <f>IFERROR(__xludf.DUMMYFUNCTION("""COMPUTED_VALUE"""),"AWS Academy Graduate - AWS Academy Cloud Foundations")</f>
        <v>AWS Academy Graduate - AWS Academy Cloud Foundations</v>
      </c>
      <c r="D124" s="74" t="str">
        <f>IFERROR(__xludf.DUMMYFUNCTION("""COMPUTED_VALUE"""),"AWS")</f>
        <v>AWS</v>
      </c>
      <c r="E124" s="74" t="str">
        <f>IFERROR(__xludf.DUMMYFUNCTION("""COMPUTED_VALUE"""),"2 Months")</f>
        <v>2 Months</v>
      </c>
      <c r="F124" s="91">
        <f>IFERROR(__xludf.DUMMYFUNCTION("""COMPUTED_VALUE"""),44479.0)</f>
        <v>44479</v>
      </c>
      <c r="G124" s="91">
        <f>IFERROR(__xludf.DUMMYFUNCTION("""COMPUTED_VALUE"""),44561.0)</f>
        <v>44561</v>
      </c>
      <c r="H124" s="79">
        <f>IFERROR(__xludf.DUMMYFUNCTION("""COMPUTED_VALUE"""),44561.0)</f>
        <v>44561</v>
      </c>
      <c r="I124" s="92">
        <f>IFERROR(__xludf.DUMMYFUNCTION("""COMPUTED_VALUE"""),100.0)</f>
        <v>100</v>
      </c>
      <c r="J124" s="74" t="str">
        <f>IFERROR(__xludf.DUMMYFUNCTION("""COMPUTED_VALUE"""),"Ravi Kiran Varma Penmatsa")</f>
        <v>Ravi Kiran Varma Penmatsa</v>
      </c>
      <c r="K124" s="80" t="str">
        <f>IFERROR(__xludf.DUMMYFUNCTION("""COMPUTED_VALUE"""),"https://drive.google.com/open?id=1lBR2uMs4Crdx2pUdhIF8OqE50WSzxF0M")</f>
        <v>https://drive.google.com/open?id=1lBR2uMs4Crdx2pUdhIF8OqE50WSzxF0M</v>
      </c>
      <c r="L124" s="74" t="str">
        <f>IFERROR(__xludf.DUMMYFUNCTION("""COMPUTED_VALUE"""),"2018-2022")</f>
        <v>2018-2022</v>
      </c>
      <c r="M124" s="74" t="str">
        <f>IFERROR(__xludf.DUMMYFUNCTION("""COMPUTED_VALUE"""),"S4: Student Certifications")</f>
        <v>S4: Student Certifications</v>
      </c>
      <c r="N124" s="74" t="str">
        <f>IFERROR(__xludf.DUMMYFUNCTION("""COMPUTED_VALUE"""),"vamsipranav9948@gmail.com")</f>
        <v>vamsipranav9948@gmail.com</v>
      </c>
      <c r="O124" s="74" t="str">
        <f>IFERROR(__xludf.DUMMYFUNCTION("""COMPUTED_VALUE"""),"SEM-7")</f>
        <v>SEM-7</v>
      </c>
      <c r="P124" s="74"/>
      <c r="Q124" s="74"/>
      <c r="R124" s="74"/>
      <c r="S124" s="74"/>
      <c r="T124" s="74"/>
      <c r="U124" s="74"/>
      <c r="V124" s="74"/>
      <c r="W124" s="74"/>
      <c r="X124" s="74"/>
      <c r="Y124" s="74"/>
    </row>
    <row r="125" ht="26.25" customHeight="1">
      <c r="A125" s="74" t="str">
        <f>IFERROR(__xludf.DUMMYFUNCTION("""COMPUTED_VALUE"""),"METTA VAMSI PRANAV")</f>
        <v>METTA VAMSI PRANAV</v>
      </c>
      <c r="B125" s="74" t="str">
        <f>IFERROR(__xludf.DUMMYFUNCTION("""COMPUTED_VALUE"""),"18331A0598")</f>
        <v>18331A0598</v>
      </c>
      <c r="C125" s="90" t="str">
        <f>IFERROR(__xludf.DUMMYFUNCTION("""COMPUTED_VALUE"""),"Cyber Security Foundation")</f>
        <v>Cyber Security Foundation</v>
      </c>
      <c r="D125" s="74" t="str">
        <f>IFERROR(__xludf.DUMMYFUNCTION("""COMPUTED_VALUE"""),"Palo Alto Networks Cyber Security Academy")</f>
        <v>Palo Alto Networks Cyber Security Academy</v>
      </c>
      <c r="E125" s="74" t="str">
        <f>IFERROR(__xludf.DUMMYFUNCTION("""COMPUTED_VALUE"""),"1 month")</f>
        <v>1 month</v>
      </c>
      <c r="F125" s="91">
        <f>IFERROR(__xludf.DUMMYFUNCTION("""COMPUTED_VALUE"""),44371.0)</f>
        <v>44371</v>
      </c>
      <c r="G125" s="91">
        <f>IFERROR(__xludf.DUMMYFUNCTION("""COMPUTED_VALUE"""),44401.0)</f>
        <v>44401</v>
      </c>
      <c r="H125" s="79">
        <f>IFERROR(__xludf.DUMMYFUNCTION("""COMPUTED_VALUE"""),44401.0)</f>
        <v>44401</v>
      </c>
      <c r="I125" s="92">
        <f>IFERROR(__xludf.DUMMYFUNCTION("""COMPUTED_VALUE"""),100.0)</f>
        <v>100</v>
      </c>
      <c r="J125" s="74" t="str">
        <f>IFERROR(__xludf.DUMMYFUNCTION("""COMPUTED_VALUE"""),"DR. RAVI KIRAN VARMA PENMATSA")</f>
        <v>DR. RAVI KIRAN VARMA PENMATSA</v>
      </c>
      <c r="K125" s="80" t="str">
        <f>IFERROR(__xludf.DUMMYFUNCTION("""COMPUTED_VALUE"""),"https://drive.google.com/open?id=1IqL4FoPNCX1j8hfwDq8zIaDgZf34hk3P")</f>
        <v>https://drive.google.com/open?id=1IqL4FoPNCX1j8hfwDq8zIaDgZf34hk3P</v>
      </c>
      <c r="L125" s="74" t="str">
        <f>IFERROR(__xludf.DUMMYFUNCTION("""COMPUTED_VALUE"""),"2018-2022")</f>
        <v>2018-2022</v>
      </c>
      <c r="M125" s="74" t="str">
        <f>IFERROR(__xludf.DUMMYFUNCTION("""COMPUTED_VALUE"""),"S4: Student Certifications")</f>
        <v>S4: Student Certifications</v>
      </c>
      <c r="N125" s="74" t="str">
        <f>IFERROR(__xludf.DUMMYFUNCTION("""COMPUTED_VALUE"""),"vamsipranav9948@gmail.com")</f>
        <v>vamsipranav9948@gmail.com</v>
      </c>
      <c r="O125" s="74" t="str">
        <f>IFERROR(__xludf.DUMMYFUNCTION("""COMPUTED_VALUE"""),"SEM-6")</f>
        <v>SEM-6</v>
      </c>
      <c r="P125" s="74"/>
      <c r="Q125" s="74"/>
      <c r="R125" s="74"/>
      <c r="S125" s="74"/>
      <c r="T125" s="74"/>
      <c r="U125" s="74"/>
      <c r="V125" s="74"/>
      <c r="W125" s="74"/>
      <c r="X125" s="74"/>
      <c r="Y125" s="74"/>
    </row>
    <row r="126" ht="26.25" customHeight="1">
      <c r="A126" s="74" t="str">
        <f>IFERROR(__xludf.DUMMYFUNCTION("""COMPUTED_VALUE"""),"KARUMURI SRI RAJ ARYAN")</f>
        <v>KARUMURI SRI RAJ ARYAN</v>
      </c>
      <c r="B126" s="74" t="str">
        <f>IFERROR(__xludf.DUMMYFUNCTION("""COMPUTED_VALUE"""),"18331A0571")</f>
        <v>18331A0571</v>
      </c>
      <c r="C126" s="90" t="str">
        <f>IFERROR(__xludf.DUMMYFUNCTION("""COMPUTED_VALUE"""),"CCNA module 1")</f>
        <v>CCNA module 1</v>
      </c>
      <c r="D126" s="74" t="str">
        <f>IFERROR(__xludf.DUMMYFUNCTION("""COMPUTED_VALUE"""),"CISCO")</f>
        <v>CISCO</v>
      </c>
      <c r="E126" s="74" t="str">
        <f>IFERROR(__xludf.DUMMYFUNCTION("""COMPUTED_VALUE"""),"3 months")</f>
        <v>3 months</v>
      </c>
      <c r="F126" s="91">
        <f>IFERROR(__xludf.DUMMYFUNCTION("""COMPUTED_VALUE"""),43515.0)</f>
        <v>43515</v>
      </c>
      <c r="G126" s="91">
        <f>IFERROR(__xludf.DUMMYFUNCTION("""COMPUTED_VALUE"""),43964.0)</f>
        <v>43964</v>
      </c>
      <c r="H126" s="79">
        <f>IFERROR(__xludf.DUMMYFUNCTION("""COMPUTED_VALUE"""),43964.0)</f>
        <v>43964</v>
      </c>
      <c r="I126" s="92">
        <f>IFERROR(__xludf.DUMMYFUNCTION("""COMPUTED_VALUE"""),90.0)</f>
        <v>90</v>
      </c>
      <c r="J126" s="74" t="str">
        <f>IFERROR(__xludf.DUMMYFUNCTION("""COMPUTED_VALUE"""),"Dr. Ravi Kiran Varma")</f>
        <v>Dr. Ravi Kiran Varma</v>
      </c>
      <c r="K126" s="80" t="str">
        <f>IFERROR(__xludf.DUMMYFUNCTION("""COMPUTED_VALUE"""),"https://drive.google.com/open?id=1b3VHZTk5JSmej9BlE4_egVB0SC9_mGf8")</f>
        <v>https://drive.google.com/open?id=1b3VHZTk5JSmej9BlE4_egVB0SC9_mGf8</v>
      </c>
      <c r="L126" s="74" t="str">
        <f>IFERROR(__xludf.DUMMYFUNCTION("""COMPUTED_VALUE"""),"2018-2022")</f>
        <v>2018-2022</v>
      </c>
      <c r="M126" s="74" t="str">
        <f>IFERROR(__xludf.DUMMYFUNCTION("""COMPUTED_VALUE"""),"S4: Student Certifications")</f>
        <v>S4: Student Certifications</v>
      </c>
      <c r="N126" s="74" t="str">
        <f>IFERROR(__xludf.DUMMYFUNCTION("""COMPUTED_VALUE"""),"aryankarumuri@gmail.com")</f>
        <v>aryankarumuri@gmail.com</v>
      </c>
      <c r="O126" s="74" t="str">
        <f>IFERROR(__xludf.DUMMYFUNCTION("""COMPUTED_VALUE"""),"SEM-8")</f>
        <v>SEM-8</v>
      </c>
      <c r="P126" s="74"/>
      <c r="Q126" s="74"/>
      <c r="R126" s="74"/>
      <c r="S126" s="74"/>
      <c r="T126" s="74"/>
      <c r="U126" s="74"/>
      <c r="V126" s="74"/>
      <c r="W126" s="74"/>
      <c r="X126" s="74"/>
      <c r="Y126" s="74"/>
    </row>
    <row r="127" ht="26.25" customHeight="1">
      <c r="A127" s="74" t="str">
        <f>IFERROR(__xludf.DUMMYFUNCTION("""COMPUTED_VALUE"""),"KARUMURI SRI RAJ ARYAN")</f>
        <v>KARUMURI SRI RAJ ARYAN</v>
      </c>
      <c r="B127" s="74" t="str">
        <f>IFERROR(__xludf.DUMMYFUNCTION("""COMPUTED_VALUE"""),"18331A0571")</f>
        <v>18331A0571</v>
      </c>
      <c r="C127" s="90" t="str">
        <f>IFERROR(__xludf.DUMMYFUNCTION("""COMPUTED_VALUE"""),"CCNA module 2")</f>
        <v>CCNA module 2</v>
      </c>
      <c r="D127" s="74" t="str">
        <f>IFERROR(__xludf.DUMMYFUNCTION("""COMPUTED_VALUE"""),"CISCO")</f>
        <v>CISCO</v>
      </c>
      <c r="E127" s="74" t="str">
        <f>IFERROR(__xludf.DUMMYFUNCTION("""COMPUTED_VALUE"""),"2 MONTHS")</f>
        <v>2 MONTHS</v>
      </c>
      <c r="F127" s="91">
        <f>IFERROR(__xludf.DUMMYFUNCTION("""COMPUTED_VALUE"""),43929.0)</f>
        <v>43929</v>
      </c>
      <c r="G127" s="91">
        <f>IFERROR(__xludf.DUMMYFUNCTION("""COMPUTED_VALUE"""),43991.0)</f>
        <v>43991</v>
      </c>
      <c r="H127" s="79">
        <f>IFERROR(__xludf.DUMMYFUNCTION("""COMPUTED_VALUE"""),43991.0)</f>
        <v>43991</v>
      </c>
      <c r="I127" s="92">
        <f>IFERROR(__xludf.DUMMYFUNCTION("""COMPUTED_VALUE"""),90.0)</f>
        <v>90</v>
      </c>
      <c r="J127" s="74" t="str">
        <f>IFERROR(__xludf.DUMMYFUNCTION("""COMPUTED_VALUE"""),"Dr. Ravi Kiran Varma")</f>
        <v>Dr. Ravi Kiran Varma</v>
      </c>
      <c r="K127" s="80" t="str">
        <f>IFERROR(__xludf.DUMMYFUNCTION("""COMPUTED_VALUE"""),"https://drive.google.com/open?id=1IZY82G5m3K69SqYjyhhh8SYU1Lr1Ps6M")</f>
        <v>https://drive.google.com/open?id=1IZY82G5m3K69SqYjyhhh8SYU1Lr1Ps6M</v>
      </c>
      <c r="L127" s="74" t="str">
        <f>IFERROR(__xludf.DUMMYFUNCTION("""COMPUTED_VALUE"""),"2018-2022")</f>
        <v>2018-2022</v>
      </c>
      <c r="M127" s="74" t="str">
        <f>IFERROR(__xludf.DUMMYFUNCTION("""COMPUTED_VALUE"""),"S4: Student Certifications")</f>
        <v>S4: Student Certifications</v>
      </c>
      <c r="N127" s="74" t="str">
        <f>IFERROR(__xludf.DUMMYFUNCTION("""COMPUTED_VALUE"""),"aryankarumuri@gmail.com")</f>
        <v>aryankarumuri@gmail.com</v>
      </c>
      <c r="O127" s="74" t="str">
        <f>IFERROR(__xludf.DUMMYFUNCTION("""COMPUTED_VALUE"""),"SEM-8")</f>
        <v>SEM-8</v>
      </c>
      <c r="P127" s="74"/>
      <c r="Q127" s="74"/>
      <c r="R127" s="74"/>
      <c r="S127" s="74"/>
      <c r="T127" s="74"/>
      <c r="U127" s="74"/>
      <c r="V127" s="74"/>
      <c r="W127" s="74"/>
      <c r="X127" s="74"/>
      <c r="Y127" s="74"/>
    </row>
    <row r="128" ht="26.25" customHeight="1">
      <c r="A128" s="74" t="str">
        <f>IFERROR(__xludf.DUMMYFUNCTION("""COMPUTED_VALUE"""),"KARUMURI SRI RAJ ARYAN")</f>
        <v>KARUMURI SRI RAJ ARYAN</v>
      </c>
      <c r="B128" s="74" t="str">
        <f>IFERROR(__xludf.DUMMYFUNCTION("""COMPUTED_VALUE"""),"18331A0571")</f>
        <v>18331A0571</v>
      </c>
      <c r="C128" s="90" t="str">
        <f>IFERROR(__xludf.DUMMYFUNCTION("""COMPUTED_VALUE"""),"CCNA module 3")</f>
        <v>CCNA module 3</v>
      </c>
      <c r="D128" s="74" t="str">
        <f>IFERROR(__xludf.DUMMYFUNCTION("""COMPUTED_VALUE"""),"Cisco")</f>
        <v>Cisco</v>
      </c>
      <c r="E128" s="74" t="str">
        <f>IFERROR(__xludf.DUMMYFUNCTION("""COMPUTED_VALUE"""),"1 Month")</f>
        <v>1 Month</v>
      </c>
      <c r="F128" s="91">
        <f>IFERROR(__xludf.DUMMYFUNCTION("""COMPUTED_VALUE"""),43994.0)</f>
        <v>43994</v>
      </c>
      <c r="G128" s="91">
        <f>IFERROR(__xludf.DUMMYFUNCTION("""COMPUTED_VALUE"""),44024.0)</f>
        <v>44024</v>
      </c>
      <c r="H128" s="79">
        <f>IFERROR(__xludf.DUMMYFUNCTION("""COMPUTED_VALUE"""),44024.0)</f>
        <v>44024</v>
      </c>
      <c r="I128" s="92">
        <f>IFERROR(__xludf.DUMMYFUNCTION("""COMPUTED_VALUE"""),94.0)</f>
        <v>94</v>
      </c>
      <c r="J128" s="74" t="str">
        <f>IFERROR(__xludf.DUMMYFUNCTION("""COMPUTED_VALUE"""),"Dr. Ravi Kiran Varma")</f>
        <v>Dr. Ravi Kiran Varma</v>
      </c>
      <c r="K128" s="80" t="str">
        <f>IFERROR(__xludf.DUMMYFUNCTION("""COMPUTED_VALUE"""),"https://drive.google.com/open?id=1KVm4N3gzrXfXIagHc0ay7TGiDHr14cyf")</f>
        <v>https://drive.google.com/open?id=1KVm4N3gzrXfXIagHc0ay7TGiDHr14cyf</v>
      </c>
      <c r="L128" s="74" t="str">
        <f>IFERROR(__xludf.DUMMYFUNCTION("""COMPUTED_VALUE"""),"2018-2022")</f>
        <v>2018-2022</v>
      </c>
      <c r="M128" s="74" t="str">
        <f>IFERROR(__xludf.DUMMYFUNCTION("""COMPUTED_VALUE"""),"S4: Student Certifications")</f>
        <v>S4: Student Certifications</v>
      </c>
      <c r="N128" s="74" t="str">
        <f>IFERROR(__xludf.DUMMYFUNCTION("""COMPUTED_VALUE"""),"aryankarumuri@gmail.com")</f>
        <v>aryankarumuri@gmail.com</v>
      </c>
      <c r="O128" s="74" t="str">
        <f>IFERROR(__xludf.DUMMYFUNCTION("""COMPUTED_VALUE"""),"SEM-8")</f>
        <v>SEM-8</v>
      </c>
      <c r="P128" s="74"/>
      <c r="Q128" s="74"/>
      <c r="R128" s="74"/>
      <c r="S128" s="74"/>
      <c r="T128" s="74"/>
      <c r="U128" s="74"/>
      <c r="V128" s="74"/>
      <c r="W128" s="74"/>
      <c r="X128" s="74"/>
      <c r="Y128" s="74"/>
    </row>
    <row r="129" ht="26.25" customHeight="1">
      <c r="A129" s="74" t="str">
        <f>IFERROR(__xludf.DUMMYFUNCTION("""COMPUTED_VALUE"""),"KARUMURI SRI RAJ ARYAN")</f>
        <v>KARUMURI SRI RAJ ARYAN</v>
      </c>
      <c r="B129" s="74" t="str">
        <f>IFERROR(__xludf.DUMMYFUNCTION("""COMPUTED_VALUE"""),"18331A0571")</f>
        <v>18331A0571</v>
      </c>
      <c r="C129" s="90" t="str">
        <f>IFERROR(__xludf.DUMMYFUNCTION("""COMPUTED_VALUE"""),"C PROGRAMMING")</f>
        <v>C PROGRAMMING</v>
      </c>
      <c r="D129" s="74" t="str">
        <f>IFERROR(__xludf.DUMMYFUNCTION("""COMPUTED_VALUE"""),"CISCO")</f>
        <v>CISCO</v>
      </c>
      <c r="E129" s="74" t="str">
        <f>IFERROR(__xludf.DUMMYFUNCTION("""COMPUTED_VALUE"""),"1 MONTH")</f>
        <v>1 MONTH</v>
      </c>
      <c r="F129" s="91">
        <f>IFERROR(__xludf.DUMMYFUNCTION("""COMPUTED_VALUE"""),43622.0)</f>
        <v>43622</v>
      </c>
      <c r="G129" s="91">
        <f>IFERROR(__xludf.DUMMYFUNCTION("""COMPUTED_VALUE"""),43652.0)</f>
        <v>43652</v>
      </c>
      <c r="H129" s="79">
        <f>IFERROR(__xludf.DUMMYFUNCTION("""COMPUTED_VALUE"""),43652.0)</f>
        <v>43652</v>
      </c>
      <c r="I129" s="92">
        <f>IFERROR(__xludf.DUMMYFUNCTION("""COMPUTED_VALUE"""),89.0)</f>
        <v>89</v>
      </c>
      <c r="J129" s="74" t="str">
        <f>IFERROR(__xludf.DUMMYFUNCTION("""COMPUTED_VALUE"""),"K.V. Subba Raju")</f>
        <v>K.V. Subba Raju</v>
      </c>
      <c r="K129" s="80" t="str">
        <f>IFERROR(__xludf.DUMMYFUNCTION("""COMPUTED_VALUE"""),"https://drive.google.com/open?id=1K0hyaMAaPsme28BcbSbWerGiglJgibIZ")</f>
        <v>https://drive.google.com/open?id=1K0hyaMAaPsme28BcbSbWerGiglJgibIZ</v>
      </c>
      <c r="L129" s="74" t="str">
        <f>IFERROR(__xludf.DUMMYFUNCTION("""COMPUTED_VALUE"""),"2018-2022")</f>
        <v>2018-2022</v>
      </c>
      <c r="M129" s="74" t="str">
        <f>IFERROR(__xludf.DUMMYFUNCTION("""COMPUTED_VALUE"""),"S4: Student Certifications")</f>
        <v>S4: Student Certifications</v>
      </c>
      <c r="N129" s="74" t="str">
        <f>IFERROR(__xludf.DUMMYFUNCTION("""COMPUTED_VALUE"""),"aryankarumuri@gmail.com")</f>
        <v>aryankarumuri@gmail.com</v>
      </c>
      <c r="O129" s="74" t="str">
        <f>IFERROR(__xludf.DUMMYFUNCTION("""COMPUTED_VALUE"""),"SEM-8")</f>
        <v>SEM-8</v>
      </c>
      <c r="P129" s="74"/>
      <c r="Q129" s="74"/>
      <c r="R129" s="74"/>
      <c r="S129" s="74"/>
      <c r="T129" s="74"/>
      <c r="U129" s="74"/>
      <c r="V129" s="74"/>
      <c r="W129" s="74"/>
      <c r="X129" s="74"/>
      <c r="Y129" s="74"/>
    </row>
    <row r="130" ht="26.25" customHeight="1">
      <c r="A130" s="74" t="str">
        <f>IFERROR(__xludf.DUMMYFUNCTION("""COMPUTED_VALUE"""),"KARUMURI SRI RAJ ARYAN")</f>
        <v>KARUMURI SRI RAJ ARYAN</v>
      </c>
      <c r="B130" s="74" t="str">
        <f>IFERROR(__xludf.DUMMYFUNCTION("""COMPUTED_VALUE"""),"18331A0571")</f>
        <v>18331A0571</v>
      </c>
      <c r="C130" s="90" t="str">
        <f>IFERROR(__xludf.DUMMYFUNCTION("""COMPUTED_VALUE"""),"PYTHON")</f>
        <v>PYTHON</v>
      </c>
      <c r="D130" s="74" t="str">
        <f>IFERROR(__xludf.DUMMYFUNCTION("""COMPUTED_VALUE"""),"CISCO")</f>
        <v>CISCO</v>
      </c>
      <c r="E130" s="74" t="str">
        <f>IFERROR(__xludf.DUMMYFUNCTION("""COMPUTED_VALUE"""),"1 MONTH")</f>
        <v>1 MONTH</v>
      </c>
      <c r="F130" s="91">
        <f>IFERROR(__xludf.DUMMYFUNCTION("""COMPUTED_VALUE"""),43910.0)</f>
        <v>43910</v>
      </c>
      <c r="G130" s="91">
        <f>IFERROR(__xludf.DUMMYFUNCTION("""COMPUTED_VALUE"""),43941.0)</f>
        <v>43941</v>
      </c>
      <c r="H130" s="79">
        <f>IFERROR(__xludf.DUMMYFUNCTION("""COMPUTED_VALUE"""),43941.0)</f>
        <v>43941</v>
      </c>
      <c r="I130" s="92">
        <f>IFERROR(__xludf.DUMMYFUNCTION("""COMPUTED_VALUE"""),96.0)</f>
        <v>96</v>
      </c>
      <c r="J130" s="74" t="str">
        <f>IFERROR(__xludf.DUMMYFUNCTION("""COMPUTED_VALUE"""),"Dr. Ravi Kiran Varma")</f>
        <v>Dr. Ravi Kiran Varma</v>
      </c>
      <c r="K130" s="80" t="str">
        <f>IFERROR(__xludf.DUMMYFUNCTION("""COMPUTED_VALUE"""),"https://drive.google.com/open?id=1ng_BFT84CIRQXxhWSzRE95sFg53StfXT")</f>
        <v>https://drive.google.com/open?id=1ng_BFT84CIRQXxhWSzRE95sFg53StfXT</v>
      </c>
      <c r="L130" s="74" t="str">
        <f>IFERROR(__xludf.DUMMYFUNCTION("""COMPUTED_VALUE"""),"2018-2022")</f>
        <v>2018-2022</v>
      </c>
      <c r="M130" s="74" t="str">
        <f>IFERROR(__xludf.DUMMYFUNCTION("""COMPUTED_VALUE"""),"S4: Student Certifications")</f>
        <v>S4: Student Certifications</v>
      </c>
      <c r="N130" s="74" t="str">
        <f>IFERROR(__xludf.DUMMYFUNCTION("""COMPUTED_VALUE"""),"aryankarumuri@gmail.com")</f>
        <v>aryankarumuri@gmail.com</v>
      </c>
      <c r="O130" s="74" t="str">
        <f>IFERROR(__xludf.DUMMYFUNCTION("""COMPUTED_VALUE"""),"SEM-8")</f>
        <v>SEM-8</v>
      </c>
      <c r="P130" s="74"/>
      <c r="Q130" s="74"/>
      <c r="R130" s="74"/>
      <c r="S130" s="74"/>
      <c r="T130" s="74"/>
      <c r="U130" s="74"/>
      <c r="V130" s="74"/>
      <c r="W130" s="74"/>
      <c r="X130" s="74"/>
      <c r="Y130" s="74"/>
    </row>
    <row r="131" ht="26.25" customHeight="1">
      <c r="A131" s="74" t="str">
        <f>IFERROR(__xludf.DUMMYFUNCTION("""COMPUTED_VALUE"""),"KARUMURI SRI RAJ ARYAN")</f>
        <v>KARUMURI SRI RAJ ARYAN</v>
      </c>
      <c r="B131" s="74" t="str">
        <f>IFERROR(__xludf.DUMMYFUNCTION("""COMPUTED_VALUE"""),"18331A0571")</f>
        <v>18331A0571</v>
      </c>
      <c r="C131" s="90" t="str">
        <f>IFERROR(__xludf.DUMMYFUNCTION("""COMPUTED_VALUE"""),"CODE RIDERS 2021")</f>
        <v>CODE RIDERS 2021</v>
      </c>
      <c r="D131" s="74" t="str">
        <f>IFERROR(__xludf.DUMMYFUNCTION("""COMPUTED_VALUE"""),"EduSkills")</f>
        <v>EduSkills</v>
      </c>
      <c r="E131" s="74" t="str">
        <f>IFERROR(__xludf.DUMMYFUNCTION("""COMPUTED_VALUE"""),"2 Months")</f>
        <v>2 Months</v>
      </c>
      <c r="F131" s="91">
        <f>IFERROR(__xludf.DUMMYFUNCTION("""COMPUTED_VALUE"""),44353.0)</f>
        <v>44353</v>
      </c>
      <c r="G131" s="91">
        <f>IFERROR(__xludf.DUMMYFUNCTION("""COMPUTED_VALUE"""),44406.0)</f>
        <v>44406</v>
      </c>
      <c r="H131" s="79">
        <f>IFERROR(__xludf.DUMMYFUNCTION("""COMPUTED_VALUE"""),44406.0)</f>
        <v>44406</v>
      </c>
      <c r="I131" s="92">
        <f>IFERROR(__xludf.DUMMYFUNCTION("""COMPUTED_VALUE"""),95.0)</f>
        <v>95</v>
      </c>
      <c r="J131" s="74" t="str">
        <f>IFERROR(__xludf.DUMMYFUNCTION("""COMPUTED_VALUE"""),"Dr. Ravi Kiran Varma")</f>
        <v>Dr. Ravi Kiran Varma</v>
      </c>
      <c r="K131" s="80" t="str">
        <f>IFERROR(__xludf.DUMMYFUNCTION("""COMPUTED_VALUE"""),"https://drive.google.com/open?id=1mdMxQKViLW6ytSLD-Vbdi4e36jaHSc9u")</f>
        <v>https://drive.google.com/open?id=1mdMxQKViLW6ytSLD-Vbdi4e36jaHSc9u</v>
      </c>
      <c r="L131" s="74" t="str">
        <f>IFERROR(__xludf.DUMMYFUNCTION("""COMPUTED_VALUE"""),"2018-2022")</f>
        <v>2018-2022</v>
      </c>
      <c r="M131" s="74" t="str">
        <f>IFERROR(__xludf.DUMMYFUNCTION("""COMPUTED_VALUE"""),"S4: Student Certifications")</f>
        <v>S4: Student Certifications</v>
      </c>
      <c r="N131" s="74" t="str">
        <f>IFERROR(__xludf.DUMMYFUNCTION("""COMPUTED_VALUE"""),"aryankarumuri@gmail.com")</f>
        <v>aryankarumuri@gmail.com</v>
      </c>
      <c r="O131" s="74" t="str">
        <f>IFERROR(__xludf.DUMMYFUNCTION("""COMPUTED_VALUE"""),"SEM-8")</f>
        <v>SEM-8</v>
      </c>
      <c r="P131" s="74"/>
      <c r="Q131" s="74"/>
      <c r="R131" s="74"/>
      <c r="S131" s="74"/>
      <c r="T131" s="74"/>
      <c r="U131" s="74"/>
      <c r="V131" s="74"/>
      <c r="W131" s="74"/>
      <c r="X131" s="74"/>
      <c r="Y131" s="74"/>
    </row>
    <row r="132" ht="26.25" customHeight="1">
      <c r="A132" s="74" t="str">
        <f>IFERROR(__xludf.DUMMYFUNCTION("""COMPUTED_VALUE"""),"Korlapu.Neelima")</f>
        <v>Korlapu.Neelima</v>
      </c>
      <c r="B132" s="74" t="str">
        <f>IFERROR(__xludf.DUMMYFUNCTION("""COMPUTED_VALUE"""),"19335A0508")</f>
        <v>19335A0508</v>
      </c>
      <c r="C132" s="90" t="str">
        <f>IFERROR(__xludf.DUMMYFUNCTION("""COMPUTED_VALUE"""),"AWS cloud solution architecture")</f>
        <v>AWS cloud solution architecture</v>
      </c>
      <c r="D132" s="74" t="str">
        <f>IFERROR(__xludf.DUMMYFUNCTION("""COMPUTED_VALUE"""),"AWS academy")</f>
        <v>AWS academy</v>
      </c>
      <c r="E132" s="74" t="str">
        <f>IFERROR(__xludf.DUMMYFUNCTION("""COMPUTED_VALUE"""),"3 months")</f>
        <v>3 months</v>
      </c>
      <c r="F132" s="91">
        <f>IFERROR(__xludf.DUMMYFUNCTION("""COMPUTED_VALUE"""),44477.0)</f>
        <v>44477</v>
      </c>
      <c r="G132" s="91">
        <f>IFERROR(__xludf.DUMMYFUNCTION("""COMPUTED_VALUE"""),44659.0)</f>
        <v>44659</v>
      </c>
      <c r="H132" s="79">
        <f>IFERROR(__xludf.DUMMYFUNCTION("""COMPUTED_VALUE"""),44596.0)</f>
        <v>44596</v>
      </c>
      <c r="I132" s="92">
        <f>IFERROR(__xludf.DUMMYFUNCTION("""COMPUTED_VALUE"""),100.0)</f>
        <v>100</v>
      </c>
      <c r="J132" s="74" t="str">
        <f>IFERROR(__xludf.DUMMYFUNCTION("""COMPUTED_VALUE"""),"P.Ravikiranvarma")</f>
        <v>P.Ravikiranvarma</v>
      </c>
      <c r="K132" s="80" t="str">
        <f>IFERROR(__xludf.DUMMYFUNCTION("""COMPUTED_VALUE"""),"https://drive.google.com/open?id=17Z1Pj0_3s3CNdVQcwfvjW-EQpt6p9MI8")</f>
        <v>https://drive.google.com/open?id=17Z1Pj0_3s3CNdVQcwfvjW-EQpt6p9MI8</v>
      </c>
      <c r="L132" s="74" t="str">
        <f>IFERROR(__xludf.DUMMYFUNCTION("""COMPUTED_VALUE"""),"2018-2022")</f>
        <v>2018-2022</v>
      </c>
      <c r="M132" s="74" t="str">
        <f>IFERROR(__xludf.DUMMYFUNCTION("""COMPUTED_VALUE"""),"S4: Student Certifications")</f>
        <v>S4: Student Certifications</v>
      </c>
      <c r="N132" s="74" t="str">
        <f>IFERROR(__xludf.DUMMYFUNCTION("""COMPUTED_VALUE"""),"kneelima2001@gmail.com")</f>
        <v>kneelima2001@gmail.com</v>
      </c>
      <c r="O132" s="74" t="str">
        <f>IFERROR(__xludf.DUMMYFUNCTION("""COMPUTED_VALUE"""),"SEM-7")</f>
        <v>SEM-7</v>
      </c>
      <c r="P132" s="74"/>
      <c r="Q132" s="74"/>
      <c r="R132" s="74"/>
      <c r="S132" s="74"/>
      <c r="T132" s="74"/>
      <c r="U132" s="74"/>
      <c r="V132" s="74"/>
      <c r="W132" s="74"/>
      <c r="X132" s="74"/>
      <c r="Y132" s="74"/>
    </row>
    <row r="133" ht="26.25" customHeight="1">
      <c r="A133" s="74" t="str">
        <f>IFERROR(__xludf.DUMMYFUNCTION("""COMPUTED_VALUE"""),"Korlapu. Neelima")</f>
        <v>Korlapu. Neelima</v>
      </c>
      <c r="B133" s="74" t="str">
        <f>IFERROR(__xludf.DUMMYFUNCTION("""COMPUTED_VALUE"""),"19335A0508")</f>
        <v>19335A0508</v>
      </c>
      <c r="C133" s="90" t="str">
        <f>IFERROR(__xludf.DUMMYFUNCTION("""COMPUTED_VALUE"""),"paloalto")</f>
        <v>paloalto</v>
      </c>
      <c r="D133" s="74" t="str">
        <f>IFERROR(__xludf.DUMMYFUNCTION("""COMPUTED_VALUE"""),"paloalto networks cybersecurity academy")</f>
        <v>paloalto networks cybersecurity academy</v>
      </c>
      <c r="E133" s="74" t="str">
        <f>IFERROR(__xludf.DUMMYFUNCTION("""COMPUTED_VALUE"""),"1month")</f>
        <v>1month</v>
      </c>
      <c r="F133" s="91">
        <f>IFERROR(__xludf.DUMMYFUNCTION("""COMPUTED_VALUE"""),44368.0)</f>
        <v>44368</v>
      </c>
      <c r="G133" s="91">
        <f>IFERROR(__xludf.DUMMYFUNCTION("""COMPUTED_VALUE"""),44398.0)</f>
        <v>44398</v>
      </c>
      <c r="H133" s="79">
        <f>IFERROR(__xludf.DUMMYFUNCTION("""COMPUTED_VALUE"""),44402.0)</f>
        <v>44402</v>
      </c>
      <c r="I133" s="92">
        <f>IFERROR(__xludf.DUMMYFUNCTION("""COMPUTED_VALUE"""),100.0)</f>
        <v>100</v>
      </c>
      <c r="J133" s="74" t="str">
        <f>IFERROR(__xludf.DUMMYFUNCTION("""COMPUTED_VALUE"""),"p. Ravikiranvarma")</f>
        <v>p. Ravikiranvarma</v>
      </c>
      <c r="K133" s="80" t="str">
        <f>IFERROR(__xludf.DUMMYFUNCTION("""COMPUTED_VALUE"""),"https://drive.google.com/open?id=12xA8tdA87ytI4YDWfbXDbBh_21lGhlC6")</f>
        <v>https://drive.google.com/open?id=12xA8tdA87ytI4YDWfbXDbBh_21lGhlC6</v>
      </c>
      <c r="L133" s="74" t="str">
        <f>IFERROR(__xludf.DUMMYFUNCTION("""COMPUTED_VALUE"""),"2018-2022")</f>
        <v>2018-2022</v>
      </c>
      <c r="M133" s="74" t="str">
        <f>IFERROR(__xludf.DUMMYFUNCTION("""COMPUTED_VALUE"""),"S4: Student Certifications")</f>
        <v>S4: Student Certifications</v>
      </c>
      <c r="N133" s="74" t="str">
        <f>IFERROR(__xludf.DUMMYFUNCTION("""COMPUTED_VALUE"""),"kneelima2001@gmail.com")</f>
        <v>kneelima2001@gmail.com</v>
      </c>
      <c r="O133" s="74" t="str">
        <f>IFERROR(__xludf.DUMMYFUNCTION("""COMPUTED_VALUE"""),"SEM-6")</f>
        <v>SEM-6</v>
      </c>
      <c r="P133" s="74"/>
      <c r="Q133" s="74"/>
      <c r="R133" s="74"/>
      <c r="S133" s="74"/>
      <c r="T133" s="74"/>
      <c r="U133" s="74"/>
      <c r="V133" s="74"/>
      <c r="W133" s="74"/>
      <c r="X133" s="74"/>
      <c r="Y133" s="74"/>
    </row>
    <row r="134" ht="26.25" customHeight="1">
      <c r="A134" s="74" t="str">
        <f>IFERROR(__xludf.DUMMYFUNCTION("""COMPUTED_VALUE"""),"SUBHASH VADLANA")</f>
        <v>SUBHASH VADLANA</v>
      </c>
      <c r="B134" s="74" t="str">
        <f>IFERROR(__xludf.DUMMYFUNCTION("""COMPUTED_VALUE"""),"18331A05G3")</f>
        <v>18331A05G3</v>
      </c>
      <c r="C134" s="90" t="str">
        <f>IFERROR(__xludf.DUMMYFUNCTION("""COMPUTED_VALUE"""),"Programming Essentials in Python")</f>
        <v>Programming Essentials in Python</v>
      </c>
      <c r="D134" s="74" t="str">
        <f>IFERROR(__xludf.DUMMYFUNCTION("""COMPUTED_VALUE"""),"CISCO")</f>
        <v>CISCO</v>
      </c>
      <c r="E134" s="74" t="str">
        <f>IFERROR(__xludf.DUMMYFUNCTION("""COMPUTED_VALUE"""),"4 weeks")</f>
        <v>4 weeks</v>
      </c>
      <c r="F134" s="91">
        <f>IFERROR(__xludf.DUMMYFUNCTION("""COMPUTED_VALUE"""),44362.0)</f>
        <v>44362</v>
      </c>
      <c r="G134" s="91">
        <f>IFERROR(__xludf.DUMMYFUNCTION("""COMPUTED_VALUE"""),44408.0)</f>
        <v>44408</v>
      </c>
      <c r="H134" s="79">
        <f>IFERROR(__xludf.DUMMYFUNCTION("""COMPUTED_VALUE"""),44386.0)</f>
        <v>44386</v>
      </c>
      <c r="I134" s="92">
        <f>IFERROR(__xludf.DUMMYFUNCTION("""COMPUTED_VALUE"""),80.0)</f>
        <v>80</v>
      </c>
      <c r="J134" s="74" t="str">
        <f>IFERROR(__xludf.DUMMYFUNCTION("""COMPUTED_VALUE"""),"DR. RAVI KIRAN VARMA PENMATSA")</f>
        <v>DR. RAVI KIRAN VARMA PENMATSA</v>
      </c>
      <c r="K134" s="80" t="str">
        <f>IFERROR(__xludf.DUMMYFUNCTION("""COMPUTED_VALUE"""),"https://drive.google.com/open?id=1UCYsFcfdCkQbSjAfAGs7hvKdplw9pvJo")</f>
        <v>https://drive.google.com/open?id=1UCYsFcfdCkQbSjAfAGs7hvKdplw9pvJo</v>
      </c>
      <c r="L134" s="74" t="str">
        <f>IFERROR(__xludf.DUMMYFUNCTION("""COMPUTED_VALUE"""),"2018-2022")</f>
        <v>2018-2022</v>
      </c>
      <c r="M134" s="74" t="str">
        <f>IFERROR(__xludf.DUMMYFUNCTION("""COMPUTED_VALUE"""),"S4: Student Certifications")</f>
        <v>S4: Student Certifications</v>
      </c>
      <c r="N134" s="74" t="str">
        <f>IFERROR(__xludf.DUMMYFUNCTION("""COMPUTED_VALUE"""),"subhash12345696@gmail.com")</f>
        <v>subhash12345696@gmail.com</v>
      </c>
      <c r="O134" s="74" t="str">
        <f>IFERROR(__xludf.DUMMYFUNCTION("""COMPUTED_VALUE"""),"SEM-8")</f>
        <v>SEM-8</v>
      </c>
      <c r="P134" s="74"/>
      <c r="Q134" s="74"/>
      <c r="R134" s="74"/>
      <c r="S134" s="74"/>
      <c r="T134" s="74"/>
      <c r="U134" s="74"/>
      <c r="V134" s="74"/>
      <c r="W134" s="74"/>
      <c r="X134" s="74"/>
      <c r="Y134" s="74"/>
    </row>
    <row r="135" ht="26.25" customHeight="1">
      <c r="A135" s="74" t="str">
        <f>IFERROR(__xludf.DUMMYFUNCTION("""COMPUTED_VALUE"""),"SUBHASH VADLANA")</f>
        <v>SUBHASH VADLANA</v>
      </c>
      <c r="B135" s="74" t="str">
        <f>IFERROR(__xludf.DUMMYFUNCTION("""COMPUTED_VALUE"""),"18331A05G3")</f>
        <v>18331A05G3</v>
      </c>
      <c r="C135" s="90" t="str">
        <f>IFERROR(__xludf.DUMMYFUNCTION("""COMPUTED_VALUE"""),"Introduction to Packet Tracer")</f>
        <v>Introduction to Packet Tracer</v>
      </c>
      <c r="D135" s="74" t="str">
        <f>IFERROR(__xludf.DUMMYFUNCTION("""COMPUTED_VALUE"""),"CISCO")</f>
        <v>CISCO</v>
      </c>
      <c r="E135" s="74" t="str">
        <f>IFERROR(__xludf.DUMMYFUNCTION("""COMPUTED_VALUE"""),"4 weeks")</f>
        <v>4 weeks</v>
      </c>
      <c r="F135" s="91">
        <f>IFERROR(__xludf.DUMMYFUNCTION("""COMPUTED_VALUE"""),44362.0)</f>
        <v>44362</v>
      </c>
      <c r="G135" s="91">
        <f>IFERROR(__xludf.DUMMYFUNCTION("""COMPUTED_VALUE"""),44408.0)</f>
        <v>44408</v>
      </c>
      <c r="H135" s="79">
        <f>IFERROR(__xludf.DUMMYFUNCTION("""COMPUTED_VALUE"""),44385.0)</f>
        <v>44385</v>
      </c>
      <c r="I135" s="92">
        <f>IFERROR(__xludf.DUMMYFUNCTION("""COMPUTED_VALUE"""),80.0)</f>
        <v>80</v>
      </c>
      <c r="J135" s="74" t="str">
        <f>IFERROR(__xludf.DUMMYFUNCTION("""COMPUTED_VALUE"""),"DR. RAVI KIRAN VARMA PENMATSA")</f>
        <v>DR. RAVI KIRAN VARMA PENMATSA</v>
      </c>
      <c r="K135" s="80" t="str">
        <f>IFERROR(__xludf.DUMMYFUNCTION("""COMPUTED_VALUE"""),"https://drive.google.com/open?id=1yH6xTcHoOf9YKgRhzLt1vsdSEVe9vBnF")</f>
        <v>https://drive.google.com/open?id=1yH6xTcHoOf9YKgRhzLt1vsdSEVe9vBnF</v>
      </c>
      <c r="L135" s="74" t="str">
        <f>IFERROR(__xludf.DUMMYFUNCTION("""COMPUTED_VALUE"""),"2018-2022")</f>
        <v>2018-2022</v>
      </c>
      <c r="M135" s="74" t="str">
        <f>IFERROR(__xludf.DUMMYFUNCTION("""COMPUTED_VALUE"""),"S4: Student Certifications")</f>
        <v>S4: Student Certifications</v>
      </c>
      <c r="N135" s="74" t="str">
        <f>IFERROR(__xludf.DUMMYFUNCTION("""COMPUTED_VALUE"""),"subhash12345696@gmail.com")</f>
        <v>subhash12345696@gmail.com</v>
      </c>
      <c r="O135" s="74" t="str">
        <f>IFERROR(__xludf.DUMMYFUNCTION("""COMPUTED_VALUE"""),"SEM-8")</f>
        <v>SEM-8</v>
      </c>
      <c r="P135" s="74"/>
      <c r="Q135" s="74"/>
      <c r="R135" s="74"/>
      <c r="S135" s="74"/>
      <c r="T135" s="74"/>
      <c r="U135" s="74"/>
      <c r="V135" s="74"/>
      <c r="W135" s="74"/>
      <c r="X135" s="74"/>
      <c r="Y135" s="74"/>
    </row>
    <row r="136" ht="26.25" customHeight="1">
      <c r="A136" s="74" t="str">
        <f>IFERROR(__xludf.DUMMYFUNCTION("""COMPUTED_VALUE"""),"SUBHASH VADLANA")</f>
        <v>SUBHASH VADLANA</v>
      </c>
      <c r="B136" s="74" t="str">
        <f>IFERROR(__xludf.DUMMYFUNCTION("""COMPUTED_VALUE"""),"18331A05G3")</f>
        <v>18331A05G3</v>
      </c>
      <c r="C136" s="90" t="str">
        <f>IFERROR(__xludf.DUMMYFUNCTION("""COMPUTED_VALUE"""),"Introduction to Cybersecurity")</f>
        <v>Introduction to Cybersecurity</v>
      </c>
      <c r="D136" s="74" t="str">
        <f>IFERROR(__xludf.DUMMYFUNCTION("""COMPUTED_VALUE"""),"CISCO")</f>
        <v>CISCO</v>
      </c>
      <c r="E136" s="74" t="str">
        <f>IFERROR(__xludf.DUMMYFUNCTION("""COMPUTED_VALUE"""),"4 weeks")</f>
        <v>4 weeks</v>
      </c>
      <c r="F136" s="91">
        <f>IFERROR(__xludf.DUMMYFUNCTION("""COMPUTED_VALUE"""),44311.0)</f>
        <v>44311</v>
      </c>
      <c r="G136" s="91">
        <f>IFERROR(__xludf.DUMMYFUNCTION("""COMPUTED_VALUE"""),44347.0)</f>
        <v>44347</v>
      </c>
      <c r="H136" s="79">
        <f>IFERROR(__xludf.DUMMYFUNCTION("""COMPUTED_VALUE"""),44336.0)</f>
        <v>44336</v>
      </c>
      <c r="I136" s="92">
        <f>IFERROR(__xludf.DUMMYFUNCTION("""COMPUTED_VALUE"""),80.0)</f>
        <v>80</v>
      </c>
      <c r="J136" s="74" t="str">
        <f>IFERROR(__xludf.DUMMYFUNCTION("""COMPUTED_VALUE"""),"DR. RAVI KIRAN VARMA PENMATSA")</f>
        <v>DR. RAVI KIRAN VARMA PENMATSA</v>
      </c>
      <c r="K136" s="80" t="str">
        <f>IFERROR(__xludf.DUMMYFUNCTION("""COMPUTED_VALUE"""),"https://drive.google.com/open?id=1LhLl8wf-mab2ISMydvdASHJw2x8W0HOp")</f>
        <v>https://drive.google.com/open?id=1LhLl8wf-mab2ISMydvdASHJw2x8W0HOp</v>
      </c>
      <c r="L136" s="74" t="str">
        <f>IFERROR(__xludf.DUMMYFUNCTION("""COMPUTED_VALUE"""),"2018-2022")</f>
        <v>2018-2022</v>
      </c>
      <c r="M136" s="74" t="str">
        <f>IFERROR(__xludf.DUMMYFUNCTION("""COMPUTED_VALUE"""),"S4: Student Certifications")</f>
        <v>S4: Student Certifications</v>
      </c>
      <c r="N136" s="74" t="str">
        <f>IFERROR(__xludf.DUMMYFUNCTION("""COMPUTED_VALUE"""),"subhash12345696@gmail.com")</f>
        <v>subhash12345696@gmail.com</v>
      </c>
      <c r="O136" s="74" t="str">
        <f>IFERROR(__xludf.DUMMYFUNCTION("""COMPUTED_VALUE"""),"SEM-8")</f>
        <v>SEM-8</v>
      </c>
      <c r="P136" s="74"/>
      <c r="Q136" s="74"/>
      <c r="R136" s="74"/>
      <c r="S136" s="74"/>
      <c r="T136" s="74"/>
      <c r="U136" s="74"/>
      <c r="V136" s="74"/>
      <c r="W136" s="74"/>
      <c r="X136" s="74"/>
      <c r="Y136" s="74"/>
    </row>
    <row r="137" ht="26.25" customHeight="1">
      <c r="A137" s="74" t="str">
        <f>IFERROR(__xludf.DUMMYFUNCTION("""COMPUTED_VALUE"""),"SUBHASH VADLANA")</f>
        <v>SUBHASH VADLANA</v>
      </c>
      <c r="B137" s="74" t="str">
        <f>IFERROR(__xludf.DUMMYFUNCTION("""COMPUTED_VALUE"""),"18331A05G3")</f>
        <v>18331A05G3</v>
      </c>
      <c r="C137" s="90" t="str">
        <f>IFERROR(__xludf.DUMMYFUNCTION("""COMPUTED_VALUE"""),"CCNAv7: Introduction to Networks")</f>
        <v>CCNAv7: Introduction to Networks</v>
      </c>
      <c r="D137" s="74" t="str">
        <f>IFERROR(__xludf.DUMMYFUNCTION("""COMPUTED_VALUE"""),"CISCO")</f>
        <v>CISCO</v>
      </c>
      <c r="E137" s="74" t="str">
        <f>IFERROR(__xludf.DUMMYFUNCTION("""COMPUTED_VALUE"""),"6 weeks")</f>
        <v>6 weeks</v>
      </c>
      <c r="F137" s="91">
        <f>IFERROR(__xludf.DUMMYFUNCTION("""COMPUTED_VALUE"""),43936.0)</f>
        <v>43936</v>
      </c>
      <c r="G137" s="91">
        <f>IFERROR(__xludf.DUMMYFUNCTION("""COMPUTED_VALUE"""),43982.0)</f>
        <v>43982</v>
      </c>
      <c r="H137" s="79">
        <f>IFERROR(__xludf.DUMMYFUNCTION("""COMPUTED_VALUE"""),43965.0)</f>
        <v>43965</v>
      </c>
      <c r="I137" s="92">
        <f>IFERROR(__xludf.DUMMYFUNCTION("""COMPUTED_VALUE"""),80.0)</f>
        <v>80</v>
      </c>
      <c r="J137" s="74" t="str">
        <f>IFERROR(__xludf.DUMMYFUNCTION("""COMPUTED_VALUE"""),"DR. RAVI KIRAN VARMA PENMATSA")</f>
        <v>DR. RAVI KIRAN VARMA PENMATSA</v>
      </c>
      <c r="K137" s="80" t="str">
        <f>IFERROR(__xludf.DUMMYFUNCTION("""COMPUTED_VALUE"""),"https://drive.google.com/open?id=1iwLu_bWwmWVWWsS1xqwK7HIQDR5WiX5h")</f>
        <v>https://drive.google.com/open?id=1iwLu_bWwmWVWWsS1xqwK7HIQDR5WiX5h</v>
      </c>
      <c r="L137" s="74" t="str">
        <f>IFERROR(__xludf.DUMMYFUNCTION("""COMPUTED_VALUE"""),"2018-2022")</f>
        <v>2018-2022</v>
      </c>
      <c r="M137" s="74" t="str">
        <f>IFERROR(__xludf.DUMMYFUNCTION("""COMPUTED_VALUE"""),"S4: Student Certifications")</f>
        <v>S4: Student Certifications</v>
      </c>
      <c r="N137" s="74" t="str">
        <f>IFERROR(__xludf.DUMMYFUNCTION("""COMPUTED_VALUE"""),"subhash12345696@gmail.com")</f>
        <v>subhash12345696@gmail.com</v>
      </c>
      <c r="O137" s="74" t="str">
        <f>IFERROR(__xludf.DUMMYFUNCTION("""COMPUTED_VALUE"""),"SEM-8")</f>
        <v>SEM-8</v>
      </c>
      <c r="P137" s="74"/>
      <c r="Q137" s="74"/>
      <c r="R137" s="74"/>
      <c r="S137" s="74"/>
      <c r="T137" s="74"/>
      <c r="U137" s="74"/>
      <c r="V137" s="74"/>
      <c r="W137" s="74"/>
      <c r="X137" s="74"/>
      <c r="Y137" s="74"/>
    </row>
    <row r="138" ht="26.25" customHeight="1">
      <c r="A138" s="74" t="str">
        <f>IFERROR(__xludf.DUMMYFUNCTION("""COMPUTED_VALUE"""),"SUBHASH VADLANA")</f>
        <v>SUBHASH VADLANA</v>
      </c>
      <c r="B138" s="74" t="str">
        <f>IFERROR(__xludf.DUMMYFUNCTION("""COMPUTED_VALUE"""),"18331A05G3")</f>
        <v>18331A05G3</v>
      </c>
      <c r="C138" s="90" t="str">
        <f>IFERROR(__xludf.DUMMYFUNCTION("""COMPUTED_VALUE"""),"CCNAv7: Switching, Routing, and Wireless Essentials")</f>
        <v>CCNAv7: Switching, Routing, and Wireless Essentials</v>
      </c>
      <c r="D138" s="74" t="str">
        <f>IFERROR(__xludf.DUMMYFUNCTION("""COMPUTED_VALUE"""),"CISCO")</f>
        <v>CISCO</v>
      </c>
      <c r="E138" s="74" t="str">
        <f>IFERROR(__xludf.DUMMYFUNCTION("""COMPUTED_VALUE"""),"6 weeks")</f>
        <v>6 weeks</v>
      </c>
      <c r="F138" s="91">
        <f>IFERROR(__xludf.DUMMYFUNCTION("""COMPUTED_VALUE"""),43966.0)</f>
        <v>43966</v>
      </c>
      <c r="G138" s="91">
        <f>IFERROR(__xludf.DUMMYFUNCTION("""COMPUTED_VALUE"""),44012.0)</f>
        <v>44012</v>
      </c>
      <c r="H138" s="79">
        <f>IFERROR(__xludf.DUMMYFUNCTION("""COMPUTED_VALUE"""),43991.0)</f>
        <v>43991</v>
      </c>
      <c r="I138" s="92">
        <f>IFERROR(__xludf.DUMMYFUNCTION("""COMPUTED_VALUE"""),80.0)</f>
        <v>80</v>
      </c>
      <c r="J138" s="74" t="str">
        <f>IFERROR(__xludf.DUMMYFUNCTION("""COMPUTED_VALUE"""),"DR. RAVI KIRAN VARMA PENMATSA")</f>
        <v>DR. RAVI KIRAN VARMA PENMATSA</v>
      </c>
      <c r="K138" s="80" t="str">
        <f>IFERROR(__xludf.DUMMYFUNCTION("""COMPUTED_VALUE"""),"https://drive.google.com/open?id=1UUOc2bc6eY3QzSTHXsUfbAZ3XLFm1tgt")</f>
        <v>https://drive.google.com/open?id=1UUOc2bc6eY3QzSTHXsUfbAZ3XLFm1tgt</v>
      </c>
      <c r="L138" s="74" t="str">
        <f>IFERROR(__xludf.DUMMYFUNCTION("""COMPUTED_VALUE"""),"2018-2022")</f>
        <v>2018-2022</v>
      </c>
      <c r="M138" s="74" t="str">
        <f>IFERROR(__xludf.DUMMYFUNCTION("""COMPUTED_VALUE"""),"S4: Student Certifications")</f>
        <v>S4: Student Certifications</v>
      </c>
      <c r="N138" s="74" t="str">
        <f>IFERROR(__xludf.DUMMYFUNCTION("""COMPUTED_VALUE"""),"subhash12345696@gmail.com")</f>
        <v>subhash12345696@gmail.com</v>
      </c>
      <c r="O138" s="74" t="str">
        <f>IFERROR(__xludf.DUMMYFUNCTION("""COMPUTED_VALUE"""),"SEM-8")</f>
        <v>SEM-8</v>
      </c>
      <c r="P138" s="74"/>
      <c r="Q138" s="74"/>
      <c r="R138" s="74"/>
      <c r="S138" s="74"/>
      <c r="T138" s="74"/>
      <c r="U138" s="74"/>
      <c r="V138" s="74"/>
      <c r="W138" s="74"/>
      <c r="X138" s="74"/>
      <c r="Y138" s="74"/>
    </row>
    <row r="139" ht="26.25" customHeight="1">
      <c r="A139" s="74" t="str">
        <f>IFERROR(__xludf.DUMMYFUNCTION("""COMPUTED_VALUE"""),"SUBHASH VADLANA")</f>
        <v>SUBHASH VADLANA</v>
      </c>
      <c r="B139" s="74" t="str">
        <f>IFERROR(__xludf.DUMMYFUNCTION("""COMPUTED_VALUE"""),"18331A05G3")</f>
        <v>18331A05G3</v>
      </c>
      <c r="C139" s="90" t="str">
        <f>IFERROR(__xludf.DUMMYFUNCTION("""COMPUTED_VALUE"""),"CCNAv7: Enterprise Networking, Security, and Automation")</f>
        <v>CCNAv7: Enterprise Networking, Security, and Automation</v>
      </c>
      <c r="D139" s="74" t="str">
        <f>IFERROR(__xludf.DUMMYFUNCTION("""COMPUTED_VALUE"""),"CISCO")</f>
        <v>CISCO</v>
      </c>
      <c r="E139" s="74" t="str">
        <f>IFERROR(__xludf.DUMMYFUNCTION("""COMPUTED_VALUE"""),"6 weeks")</f>
        <v>6 weeks</v>
      </c>
      <c r="F139" s="91">
        <f>IFERROR(__xludf.DUMMYFUNCTION("""COMPUTED_VALUE"""),44012.0)</f>
        <v>44012</v>
      </c>
      <c r="G139" s="91">
        <f>IFERROR(__xludf.DUMMYFUNCTION("""COMPUTED_VALUE"""),44043.0)</f>
        <v>44043</v>
      </c>
      <c r="H139" s="79">
        <f>IFERROR(__xludf.DUMMYFUNCTION("""COMPUTED_VALUE"""),44025.0)</f>
        <v>44025</v>
      </c>
      <c r="I139" s="92">
        <f>IFERROR(__xludf.DUMMYFUNCTION("""COMPUTED_VALUE"""),80.0)</f>
        <v>80</v>
      </c>
      <c r="J139" s="74" t="str">
        <f>IFERROR(__xludf.DUMMYFUNCTION("""COMPUTED_VALUE"""),"DR. RAVI KIRAN VARMA PENMATSA")</f>
        <v>DR. RAVI KIRAN VARMA PENMATSA</v>
      </c>
      <c r="K139" s="80" t="str">
        <f>IFERROR(__xludf.DUMMYFUNCTION("""COMPUTED_VALUE"""),"https://drive.google.com/open?id=1jBcezeHcAVh8Ra03iYZ5Gb6UyE3hDAEu")</f>
        <v>https://drive.google.com/open?id=1jBcezeHcAVh8Ra03iYZ5Gb6UyE3hDAEu</v>
      </c>
      <c r="L139" s="74" t="str">
        <f>IFERROR(__xludf.DUMMYFUNCTION("""COMPUTED_VALUE"""),"2018-2022")</f>
        <v>2018-2022</v>
      </c>
      <c r="M139" s="74" t="str">
        <f>IFERROR(__xludf.DUMMYFUNCTION("""COMPUTED_VALUE"""),"S4: Student Certifications")</f>
        <v>S4: Student Certifications</v>
      </c>
      <c r="N139" s="74" t="str">
        <f>IFERROR(__xludf.DUMMYFUNCTION("""COMPUTED_VALUE"""),"subhash12345696@gmail.com")</f>
        <v>subhash12345696@gmail.com</v>
      </c>
      <c r="O139" s="74" t="str">
        <f>IFERROR(__xludf.DUMMYFUNCTION("""COMPUTED_VALUE"""),"SEM-8")</f>
        <v>SEM-8</v>
      </c>
      <c r="P139" s="74"/>
      <c r="Q139" s="74"/>
      <c r="R139" s="74"/>
      <c r="S139" s="74"/>
      <c r="T139" s="74"/>
      <c r="U139" s="74"/>
      <c r="V139" s="74"/>
      <c r="W139" s="74"/>
      <c r="X139" s="74"/>
      <c r="Y139" s="74"/>
    </row>
    <row r="140" ht="26.25" customHeight="1">
      <c r="A140" s="74" t="str">
        <f>IFERROR(__xludf.DUMMYFUNCTION("""COMPUTED_VALUE"""),"SUBHASH VADLANA")</f>
        <v>SUBHASH VADLANA</v>
      </c>
      <c r="B140" s="74" t="str">
        <f>IFERROR(__xludf.DUMMYFUNCTION("""COMPUTED_VALUE"""),"18331A05G3")</f>
        <v>18331A05G3</v>
      </c>
      <c r="C140" s="90" t="str">
        <f>IFERROR(__xludf.DUMMYFUNCTION("""COMPUTED_VALUE"""),"Cybersecurity Essentials")</f>
        <v>Cybersecurity Essentials</v>
      </c>
      <c r="D140" s="74" t="str">
        <f>IFERROR(__xludf.DUMMYFUNCTION("""COMPUTED_VALUE"""),"CISCO")</f>
        <v>CISCO</v>
      </c>
      <c r="E140" s="74" t="str">
        <f>IFERROR(__xludf.DUMMYFUNCTION("""COMPUTED_VALUE"""),"4 weeks")</f>
        <v>4 weeks</v>
      </c>
      <c r="F140" s="91">
        <f>IFERROR(__xludf.DUMMYFUNCTION("""COMPUTED_VALUE"""),43641.0)</f>
        <v>43641</v>
      </c>
      <c r="G140" s="91">
        <f>IFERROR(__xludf.DUMMYFUNCTION("""COMPUTED_VALUE"""),43677.0)</f>
        <v>43677</v>
      </c>
      <c r="H140" s="79">
        <f>IFERROR(__xludf.DUMMYFUNCTION("""COMPUTED_VALUE"""),43676.0)</f>
        <v>43676</v>
      </c>
      <c r="I140" s="92">
        <f>IFERROR(__xludf.DUMMYFUNCTION("""COMPUTED_VALUE"""),80.0)</f>
        <v>80</v>
      </c>
      <c r="J140" s="74" t="str">
        <f>IFERROR(__xludf.DUMMYFUNCTION("""COMPUTED_VALUE"""),"DR. RAVI KIRAN VARMA PENMATSA")</f>
        <v>DR. RAVI KIRAN VARMA PENMATSA</v>
      </c>
      <c r="K140" s="80" t="str">
        <f>IFERROR(__xludf.DUMMYFUNCTION("""COMPUTED_VALUE"""),"https://drive.google.com/open?id=1ma_stHfWBNm3aii_BEU928E9YL2sHdt2")</f>
        <v>https://drive.google.com/open?id=1ma_stHfWBNm3aii_BEU928E9YL2sHdt2</v>
      </c>
      <c r="L140" s="74" t="str">
        <f>IFERROR(__xludf.DUMMYFUNCTION("""COMPUTED_VALUE"""),"2018-2022")</f>
        <v>2018-2022</v>
      </c>
      <c r="M140" s="74" t="str">
        <f>IFERROR(__xludf.DUMMYFUNCTION("""COMPUTED_VALUE"""),"S4: Student Certifications")</f>
        <v>S4: Student Certifications</v>
      </c>
      <c r="N140" s="74" t="str">
        <f>IFERROR(__xludf.DUMMYFUNCTION("""COMPUTED_VALUE"""),"subhash12345696@gmail.com")</f>
        <v>subhash12345696@gmail.com</v>
      </c>
      <c r="O140" s="74" t="str">
        <f>IFERROR(__xludf.DUMMYFUNCTION("""COMPUTED_VALUE"""),"SEM-8")</f>
        <v>SEM-8</v>
      </c>
      <c r="P140" s="74"/>
      <c r="Q140" s="74"/>
      <c r="R140" s="74"/>
      <c r="S140" s="74"/>
      <c r="T140" s="74"/>
      <c r="U140" s="74"/>
      <c r="V140" s="74"/>
      <c r="W140" s="74"/>
      <c r="X140" s="74"/>
      <c r="Y140" s="74"/>
    </row>
    <row r="141" ht="26.25" customHeight="1">
      <c r="A141" s="74" t="str">
        <f>IFERROR(__xludf.DUMMYFUNCTION("""COMPUTED_VALUE"""),"YASHWANTH BOGGARAPU")</f>
        <v>YASHWANTH BOGGARAPU</v>
      </c>
      <c r="B141" s="74" t="str">
        <f>IFERROR(__xludf.DUMMYFUNCTION("""COMPUTED_VALUE"""),"18331A0517")</f>
        <v>18331A0517</v>
      </c>
      <c r="C141" s="90" t="str">
        <f>IFERROR(__xludf.DUMMYFUNCTION("""COMPUTED_VALUE"""),"Python Data Structures")</f>
        <v>Python Data Structures</v>
      </c>
      <c r="D141" s="74" t="str">
        <f>IFERROR(__xludf.DUMMYFUNCTION("""COMPUTED_VALUE"""),"Course era")</f>
        <v>Course era</v>
      </c>
      <c r="E141" s="74" t="str">
        <f>IFERROR(__xludf.DUMMYFUNCTION("""COMPUTED_VALUE"""),"2 months")</f>
        <v>2 months</v>
      </c>
      <c r="F141" s="91">
        <f>IFERROR(__xludf.DUMMYFUNCTION("""COMPUTED_VALUE"""),43908.0)</f>
        <v>43908</v>
      </c>
      <c r="G141" s="91">
        <f>IFERROR(__xludf.DUMMYFUNCTION("""COMPUTED_VALUE"""),43967.0)</f>
        <v>43967</v>
      </c>
      <c r="H141" s="79">
        <f>IFERROR(__xludf.DUMMYFUNCTION("""COMPUTED_VALUE"""),43967.0)</f>
        <v>43967</v>
      </c>
      <c r="I141" s="92">
        <f>IFERROR(__xludf.DUMMYFUNCTION("""COMPUTED_VALUE"""),82.0)</f>
        <v>82</v>
      </c>
      <c r="J141" s="74" t="str">
        <f>IFERROR(__xludf.DUMMYFUNCTION("""COMPUTED_VALUE"""),"Self Learning")</f>
        <v>Self Learning</v>
      </c>
      <c r="K141" s="80" t="str">
        <f>IFERROR(__xludf.DUMMYFUNCTION("""COMPUTED_VALUE"""),"https://drive.google.com/open?id=1Dzwq6M6F0MneFVTbr_uNPH4It9kXbuBR")</f>
        <v>https://drive.google.com/open?id=1Dzwq6M6F0MneFVTbr_uNPH4It9kXbuBR</v>
      </c>
      <c r="L141" s="74" t="str">
        <f>IFERROR(__xludf.DUMMYFUNCTION("""COMPUTED_VALUE"""),"2018-2022")</f>
        <v>2018-2022</v>
      </c>
      <c r="M141" s="74" t="str">
        <f>IFERROR(__xludf.DUMMYFUNCTION("""COMPUTED_VALUE"""),"S4: Student Certifications")</f>
        <v>S4: Student Certifications</v>
      </c>
      <c r="N141" s="74" t="str">
        <f>IFERROR(__xludf.DUMMYFUNCTION("""COMPUTED_VALUE"""),"yashwanthboggarapu2000@gmail.com")</f>
        <v>yashwanthboggarapu2000@gmail.com</v>
      </c>
      <c r="O141" s="74" t="str">
        <f>IFERROR(__xludf.DUMMYFUNCTION("""COMPUTED_VALUE"""),"SEM-6")</f>
        <v>SEM-6</v>
      </c>
      <c r="P141" s="74"/>
      <c r="Q141" s="74"/>
      <c r="R141" s="74"/>
      <c r="S141" s="74"/>
      <c r="T141" s="74"/>
      <c r="U141" s="74"/>
      <c r="V141" s="74"/>
      <c r="W141" s="74"/>
      <c r="X141" s="74"/>
      <c r="Y141" s="74"/>
    </row>
    <row r="142" ht="26.25" customHeight="1">
      <c r="A142" s="74" t="str">
        <f>IFERROR(__xludf.DUMMYFUNCTION("""COMPUTED_VALUE"""),"SUBHASH VADLANA")</f>
        <v>SUBHASH VADLANA</v>
      </c>
      <c r="B142" s="74" t="str">
        <f>IFERROR(__xludf.DUMMYFUNCTION("""COMPUTED_VALUE"""),"18331A05G3")</f>
        <v>18331A05G3</v>
      </c>
      <c r="C142" s="90" t="str">
        <f>IFERROR(__xludf.DUMMYFUNCTION("""COMPUTED_VALUE"""),"Programming Essentials in C")</f>
        <v>Programming Essentials in C</v>
      </c>
      <c r="D142" s="74" t="str">
        <f>IFERROR(__xludf.DUMMYFUNCTION("""COMPUTED_VALUE"""),"CISCO")</f>
        <v>CISCO</v>
      </c>
      <c r="E142" s="74" t="str">
        <f>IFERROR(__xludf.DUMMYFUNCTION("""COMPUTED_VALUE"""),"6 weeks")</f>
        <v>6 weeks</v>
      </c>
      <c r="F142" s="91">
        <f>IFERROR(__xludf.DUMMYFUNCTION("""COMPUTED_VALUE"""),43549.0)</f>
        <v>43549</v>
      </c>
      <c r="G142" s="91">
        <f>IFERROR(__xludf.DUMMYFUNCTION("""COMPUTED_VALUE"""),43600.0)</f>
        <v>43600</v>
      </c>
      <c r="H142" s="79">
        <f>IFERROR(__xludf.DUMMYFUNCTION("""COMPUTED_VALUE"""),43585.0)</f>
        <v>43585</v>
      </c>
      <c r="I142" s="92">
        <f>IFERROR(__xludf.DUMMYFUNCTION("""COMPUTED_VALUE"""),80.0)</f>
        <v>80</v>
      </c>
      <c r="J142" s="74" t="str">
        <f>IFERROR(__xludf.DUMMYFUNCTION("""COMPUTED_VALUE"""),"DR. RAVI KIRAN VARMA PENMATSA")</f>
        <v>DR. RAVI KIRAN VARMA PENMATSA</v>
      </c>
      <c r="K142" s="80" t="str">
        <f>IFERROR(__xludf.DUMMYFUNCTION("""COMPUTED_VALUE"""),"https://drive.google.com/open?id=1MECCJigW9kZNViIwA4VPXhY5cUjsAjyS")</f>
        <v>https://drive.google.com/open?id=1MECCJigW9kZNViIwA4VPXhY5cUjsAjyS</v>
      </c>
      <c r="L142" s="74" t="str">
        <f>IFERROR(__xludf.DUMMYFUNCTION("""COMPUTED_VALUE"""),"2018-2022")</f>
        <v>2018-2022</v>
      </c>
      <c r="M142" s="74" t="str">
        <f>IFERROR(__xludf.DUMMYFUNCTION("""COMPUTED_VALUE"""),"S4: Student Certifications")</f>
        <v>S4: Student Certifications</v>
      </c>
      <c r="N142" s="74" t="str">
        <f>IFERROR(__xludf.DUMMYFUNCTION("""COMPUTED_VALUE"""),"subhash12345696@gmail.com")</f>
        <v>subhash12345696@gmail.com</v>
      </c>
      <c r="O142" s="74" t="str">
        <f>IFERROR(__xludf.DUMMYFUNCTION("""COMPUTED_VALUE"""),"SEM-8")</f>
        <v>SEM-8</v>
      </c>
      <c r="P142" s="74"/>
      <c r="Q142" s="74"/>
      <c r="R142" s="74"/>
      <c r="S142" s="74"/>
      <c r="T142" s="74"/>
      <c r="U142" s="74"/>
      <c r="V142" s="74"/>
      <c r="W142" s="74"/>
      <c r="X142" s="74"/>
      <c r="Y142" s="74"/>
    </row>
    <row r="143" ht="26.25" customHeight="1">
      <c r="A143" s="74" t="str">
        <f>IFERROR(__xludf.DUMMYFUNCTION("""COMPUTED_VALUE"""),"Bankupalli Srinidhi")</f>
        <v>Bankupalli Srinidhi</v>
      </c>
      <c r="B143" s="74" t="str">
        <f>IFERROR(__xludf.DUMMYFUNCTION("""COMPUTED_VALUE"""),"18331A0511")</f>
        <v>18331A0511</v>
      </c>
      <c r="C143" s="90" t="str">
        <f>IFERROR(__xludf.DUMMYFUNCTION("""COMPUTED_VALUE"""),"Introduction to css, html, JavaScript ")</f>
        <v>Introduction to css, html, JavaScript </v>
      </c>
      <c r="D143" s="74" t="str">
        <f>IFERROR(__xludf.DUMMYFUNCTION("""COMPUTED_VALUE"""),"Coursera")</f>
        <v>Coursera</v>
      </c>
      <c r="E143" s="74" t="str">
        <f>IFERROR(__xludf.DUMMYFUNCTION("""COMPUTED_VALUE"""),"3")</f>
        <v>3</v>
      </c>
      <c r="F143" s="91">
        <f>IFERROR(__xludf.DUMMYFUNCTION("""COMPUTED_VALUE"""),43983.0)</f>
        <v>43983</v>
      </c>
      <c r="G143" s="91">
        <f>IFERROR(__xludf.DUMMYFUNCTION("""COMPUTED_VALUE"""),44075.0)</f>
        <v>44075</v>
      </c>
      <c r="H143" s="79">
        <f>IFERROR(__xludf.DUMMYFUNCTION("""COMPUTED_VALUE"""),44084.0)</f>
        <v>44084</v>
      </c>
      <c r="I143" s="92">
        <f>IFERROR(__xludf.DUMMYFUNCTION("""COMPUTED_VALUE"""),80.0)</f>
        <v>80</v>
      </c>
      <c r="J143" s="74" t="str">
        <f>IFERROR(__xludf.DUMMYFUNCTION("""COMPUTED_VALUE"""),"MR. Ram santhosh Naidu")</f>
        <v>MR. Ram santhosh Naidu</v>
      </c>
      <c r="K143" s="80" t="str">
        <f>IFERROR(__xludf.DUMMYFUNCTION("""COMPUTED_VALUE"""),"https://drive.google.com/open?id=1UBOwEJ9I9SCa4QjFoguP6K2cUsxIiAtY")</f>
        <v>https://drive.google.com/open?id=1UBOwEJ9I9SCa4QjFoguP6K2cUsxIiAtY</v>
      </c>
      <c r="L143" s="74" t="str">
        <f>IFERROR(__xludf.DUMMYFUNCTION("""COMPUTED_VALUE"""),"2018-2022")</f>
        <v>2018-2022</v>
      </c>
      <c r="M143" s="74" t="str">
        <f>IFERROR(__xludf.DUMMYFUNCTION("""COMPUTED_VALUE"""),"S4: Student Certifications")</f>
        <v>S4: Student Certifications</v>
      </c>
      <c r="N143" s="74" t="str">
        <f>IFERROR(__xludf.DUMMYFUNCTION("""COMPUTED_VALUE"""),"srinidhivishwanath01@gmail.com")</f>
        <v>srinidhivishwanath01@gmail.com</v>
      </c>
      <c r="O143" s="74" t="str">
        <f>IFERROR(__xludf.DUMMYFUNCTION("""COMPUTED_VALUE"""),"SEM-8")</f>
        <v>SEM-8</v>
      </c>
      <c r="P143" s="74"/>
      <c r="Q143" s="74"/>
      <c r="R143" s="74"/>
      <c r="S143" s="74"/>
      <c r="T143" s="74"/>
      <c r="U143" s="74"/>
      <c r="V143" s="74"/>
      <c r="W143" s="74"/>
      <c r="X143" s="74"/>
      <c r="Y143" s="74"/>
    </row>
    <row r="144" ht="26.25" customHeight="1">
      <c r="A144" s="74" t="str">
        <f>IFERROR(__xludf.DUMMYFUNCTION("""COMPUTED_VALUE"""),"ASHOK KUMAR KORNU")</f>
        <v>ASHOK KUMAR KORNU</v>
      </c>
      <c r="B144" s="74" t="str">
        <f>IFERROR(__xludf.DUMMYFUNCTION("""COMPUTED_VALUE"""),"19335a0509")</f>
        <v>19335a0509</v>
      </c>
      <c r="C144" s="90" t="str">
        <f>IFERROR(__xludf.DUMMYFUNCTION("""COMPUTED_VALUE"""),"Cybersecurity Foundation")</f>
        <v>Cybersecurity Foundation</v>
      </c>
      <c r="D144" s="74" t="str">
        <f>IFERROR(__xludf.DUMMYFUNCTION("""COMPUTED_VALUE"""),"paloalto networks cybersecurity academy")</f>
        <v>paloalto networks cybersecurity academy</v>
      </c>
      <c r="E144" s="74" t="str">
        <f>IFERROR(__xludf.DUMMYFUNCTION("""COMPUTED_VALUE"""),"1 Month")</f>
        <v>1 Month</v>
      </c>
      <c r="F144" s="91">
        <f>IFERROR(__xludf.DUMMYFUNCTION("""COMPUTED_VALUE"""),44371.0)</f>
        <v>44371</v>
      </c>
      <c r="G144" s="91">
        <f>IFERROR(__xludf.DUMMYFUNCTION("""COMPUTED_VALUE"""),44401.0)</f>
        <v>44401</v>
      </c>
      <c r="H144" s="79">
        <f>IFERROR(__xludf.DUMMYFUNCTION("""COMPUTED_VALUE"""),44401.0)</f>
        <v>44401</v>
      </c>
      <c r="I144" s="92">
        <f>IFERROR(__xludf.DUMMYFUNCTION("""COMPUTED_VALUE"""),100.0)</f>
        <v>100</v>
      </c>
      <c r="J144" s="74" t="str">
        <f>IFERROR(__xludf.DUMMYFUNCTION("""COMPUTED_VALUE"""),"DR. RAVI KIRAN VARMA PENMATSA")</f>
        <v>DR. RAVI KIRAN VARMA PENMATSA</v>
      </c>
      <c r="K144" s="80" t="str">
        <f>IFERROR(__xludf.DUMMYFUNCTION("""COMPUTED_VALUE"""),"https://drive.google.com/open?id=1gtaQNNyKbecMF1hVt0kUst-Ow5gy0n_U")</f>
        <v>https://drive.google.com/open?id=1gtaQNNyKbecMF1hVt0kUst-Ow5gy0n_U</v>
      </c>
      <c r="L144" s="74" t="str">
        <f>IFERROR(__xludf.DUMMYFUNCTION("""COMPUTED_VALUE"""),"2019-2023")</f>
        <v>2019-2023</v>
      </c>
      <c r="M144" s="74" t="str">
        <f>IFERROR(__xludf.DUMMYFUNCTION("""COMPUTED_VALUE"""),"S4: Student Certifications")</f>
        <v>S4: Student Certifications</v>
      </c>
      <c r="N144" s="74" t="str">
        <f>IFERROR(__xludf.DUMMYFUNCTION("""COMPUTED_VALUE"""),"ashokkumarkornu2000@gmail.com")</f>
        <v>ashokkumarkornu2000@gmail.com</v>
      </c>
      <c r="O144" s="74" t="str">
        <f>IFERROR(__xludf.DUMMYFUNCTION("""COMPUTED_VALUE"""),"SEM-6")</f>
        <v>SEM-6</v>
      </c>
      <c r="P144" s="74"/>
      <c r="Q144" s="74"/>
      <c r="R144" s="74"/>
      <c r="S144" s="74"/>
      <c r="T144" s="74"/>
      <c r="U144" s="74"/>
      <c r="V144" s="74"/>
      <c r="W144" s="74"/>
      <c r="X144" s="74"/>
      <c r="Y144" s="74"/>
    </row>
    <row r="145" ht="26.25" customHeight="1">
      <c r="A145" s="74" t="str">
        <f>IFERROR(__xludf.DUMMYFUNCTION("""COMPUTED_VALUE"""),"Dabbiru Haneesh")</f>
        <v>Dabbiru Haneesh</v>
      </c>
      <c r="B145" s="74" t="str">
        <f>IFERROR(__xludf.DUMMYFUNCTION("""COMPUTED_VALUE"""),"18331A0528")</f>
        <v>18331A0528</v>
      </c>
      <c r="C145" s="90" t="str">
        <f>IFERROR(__xludf.DUMMYFUNCTION("""COMPUTED_VALUE"""),"MATLAB Onramp")</f>
        <v>MATLAB Onramp</v>
      </c>
      <c r="D145" s="74" t="str">
        <f>IFERROR(__xludf.DUMMYFUNCTION("""COMPUTED_VALUE"""),"math works")</f>
        <v>math works</v>
      </c>
      <c r="E145" s="74" t="str">
        <f>IFERROR(__xludf.DUMMYFUNCTION("""COMPUTED_VALUE"""),"2")</f>
        <v>2</v>
      </c>
      <c r="F145" s="91">
        <f>IFERROR(__xludf.DUMMYFUNCTION("""COMPUTED_VALUE"""),44166.0)</f>
        <v>44166</v>
      </c>
      <c r="G145" s="91">
        <f>IFERROR(__xludf.DUMMYFUNCTION("""COMPUTED_VALUE"""),44239.0)</f>
        <v>44239</v>
      </c>
      <c r="H145" s="79">
        <f>IFERROR(__xludf.DUMMYFUNCTION("""COMPUTED_VALUE"""),44239.0)</f>
        <v>44239</v>
      </c>
      <c r="I145" s="92">
        <f>IFERROR(__xludf.DUMMYFUNCTION("""COMPUTED_VALUE"""),100.0)</f>
        <v>100</v>
      </c>
      <c r="J145" s="74" t="str">
        <f>IFERROR(__xludf.DUMMYFUNCTION("""COMPUTED_VALUE"""),"patnaik sir")</f>
        <v>patnaik sir</v>
      </c>
      <c r="K145" s="80" t="str">
        <f>IFERROR(__xludf.DUMMYFUNCTION("""COMPUTED_VALUE"""),"https://drive.google.com/open?id=1QcqfuFaHa6H053vRvriHTe-x9DfBwCd5")</f>
        <v>https://drive.google.com/open?id=1QcqfuFaHa6H053vRvriHTe-x9DfBwCd5</v>
      </c>
      <c r="L145" s="74" t="str">
        <f>IFERROR(__xludf.DUMMYFUNCTION("""COMPUTED_VALUE"""),"2018-2022")</f>
        <v>2018-2022</v>
      </c>
      <c r="M145" s="74" t="str">
        <f>IFERROR(__xludf.DUMMYFUNCTION("""COMPUTED_VALUE"""),"S4: Student Certifications")</f>
        <v>S4: Student Certifications</v>
      </c>
      <c r="N145" s="74" t="str">
        <f>IFERROR(__xludf.DUMMYFUNCTION("""COMPUTED_VALUE"""),"dabbiruhaneesh@gmail.com")</f>
        <v>dabbiruhaneesh@gmail.com</v>
      </c>
      <c r="O145" s="74" t="str">
        <f>IFERROR(__xludf.DUMMYFUNCTION("""COMPUTED_VALUE"""),"SEM-8")</f>
        <v>SEM-8</v>
      </c>
      <c r="P145" s="74"/>
      <c r="Q145" s="74"/>
      <c r="R145" s="74"/>
      <c r="S145" s="74"/>
      <c r="T145" s="74"/>
      <c r="U145" s="74"/>
      <c r="V145" s="74"/>
      <c r="W145" s="74"/>
      <c r="X145" s="74"/>
      <c r="Y145" s="74"/>
    </row>
    <row r="146" ht="26.25" customHeight="1">
      <c r="A146" s="74" t="str">
        <f>IFERROR(__xludf.DUMMYFUNCTION("""COMPUTED_VALUE"""),"Arisetty Koulini priya")</f>
        <v>Arisetty Koulini priya</v>
      </c>
      <c r="B146" s="74" t="str">
        <f>IFERROR(__xludf.DUMMYFUNCTION("""COMPUTED_VALUE"""),"18331A0507")</f>
        <v>18331A0507</v>
      </c>
      <c r="C146" s="90" t="str">
        <f>IFERROR(__xludf.DUMMYFUNCTION("""COMPUTED_VALUE"""),"introduction to cloud identity,HTML,CSS,JavaScript,web development,advanced styling with responsive design")</f>
        <v>introduction to cloud identity,HTML,CSS,JavaScript,web development,advanced styling with responsive design</v>
      </c>
      <c r="D146" s="74" t="str">
        <f>IFERROR(__xludf.DUMMYFUNCTION("""COMPUTED_VALUE"""),"Google cloud,university of Michigan")</f>
        <v>Google cloud,university of Michigan</v>
      </c>
      <c r="E146" s="74" t="str">
        <f>IFERROR(__xludf.DUMMYFUNCTION("""COMPUTED_VALUE"""),"3 months")</f>
        <v>3 months</v>
      </c>
      <c r="F146" s="91">
        <f>IFERROR(__xludf.DUMMYFUNCTION("""COMPUTED_VALUE"""),43983.0)</f>
        <v>43983</v>
      </c>
      <c r="G146" s="91">
        <f>IFERROR(__xludf.DUMMYFUNCTION("""COMPUTED_VALUE"""),44075.0)</f>
        <v>44075</v>
      </c>
      <c r="H146" s="79">
        <f>IFERROR(__xludf.DUMMYFUNCTION("""COMPUTED_VALUE"""),44084.0)</f>
        <v>44084</v>
      </c>
      <c r="I146" s="92">
        <f>IFERROR(__xludf.DUMMYFUNCTION("""COMPUTED_VALUE"""),92.0)</f>
        <v>92</v>
      </c>
      <c r="J146" s="74" t="str">
        <f>IFERROR(__xludf.DUMMYFUNCTION("""COMPUTED_VALUE"""),"Lakshman rao")</f>
        <v>Lakshman rao</v>
      </c>
      <c r="K146" s="80" t="str">
        <f>IFERROR(__xludf.DUMMYFUNCTION("""COMPUTED_VALUE"""),"https://drive.google.com/open?id=1xOtwg-_8p-fxQ4Pa_pf12b4F16TkwHwQ")</f>
        <v>https://drive.google.com/open?id=1xOtwg-_8p-fxQ4Pa_pf12b4F16TkwHwQ</v>
      </c>
      <c r="L146" s="74" t="str">
        <f>IFERROR(__xludf.DUMMYFUNCTION("""COMPUTED_VALUE"""),"2018-2022")</f>
        <v>2018-2022</v>
      </c>
      <c r="M146" s="74" t="str">
        <f>IFERROR(__xludf.DUMMYFUNCTION("""COMPUTED_VALUE"""),"S4: Student Certifications")</f>
        <v>S4: Student Certifications</v>
      </c>
      <c r="N146" s="74" t="str">
        <f>IFERROR(__xludf.DUMMYFUNCTION("""COMPUTED_VALUE"""),"koulinipriya984984@gmail.com")</f>
        <v>koulinipriya984984@gmail.com</v>
      </c>
      <c r="O146" s="74" t="str">
        <f>IFERROR(__xludf.DUMMYFUNCTION("""COMPUTED_VALUE"""),"SEM-8")</f>
        <v>SEM-8</v>
      </c>
      <c r="P146" s="74"/>
      <c r="Q146" s="74"/>
      <c r="R146" s="74"/>
      <c r="S146" s="74"/>
      <c r="T146" s="74"/>
      <c r="U146" s="74"/>
      <c r="V146" s="74"/>
      <c r="W146" s="74"/>
      <c r="X146" s="74"/>
      <c r="Y146" s="74"/>
    </row>
    <row r="147" ht="26.25" customHeight="1">
      <c r="A147" s="74" t="str">
        <f>IFERROR(__xludf.DUMMYFUNCTION("""COMPUTED_VALUE"""),"Dabbiru Haneesh")</f>
        <v>Dabbiru Haneesh</v>
      </c>
      <c r="B147" s="74" t="str">
        <f>IFERROR(__xludf.DUMMYFUNCTION("""COMPUTED_VALUE"""),"18331A0528")</f>
        <v>18331A0528</v>
      </c>
      <c r="C147" s="90" t="str">
        <f>IFERROR(__xludf.DUMMYFUNCTION("""COMPUTED_VALUE"""),"python(Basic)")</f>
        <v>python(Basic)</v>
      </c>
      <c r="D147" s="74" t="str">
        <f>IFERROR(__xludf.DUMMYFUNCTION("""COMPUTED_VALUE"""),"hackerrank")</f>
        <v>hackerrank</v>
      </c>
      <c r="E147" s="74" t="str">
        <f>IFERROR(__xludf.DUMMYFUNCTION("""COMPUTED_VALUE"""),"0")</f>
        <v>0</v>
      </c>
      <c r="F147" s="91">
        <f>IFERROR(__xludf.DUMMYFUNCTION("""COMPUTED_VALUE"""),43991.0)</f>
        <v>43991</v>
      </c>
      <c r="G147" s="91">
        <f>IFERROR(__xludf.DUMMYFUNCTION("""COMPUTED_VALUE"""),43991.0)</f>
        <v>43991</v>
      </c>
      <c r="H147" s="79">
        <f>IFERROR(__xludf.DUMMYFUNCTION("""COMPUTED_VALUE"""),43991.0)</f>
        <v>43991</v>
      </c>
      <c r="I147" s="92">
        <f>IFERROR(__xludf.DUMMYFUNCTION("""COMPUTED_VALUE"""),100.0)</f>
        <v>100</v>
      </c>
      <c r="J147" s="74" t="str">
        <f>IFERROR(__xludf.DUMMYFUNCTION("""COMPUTED_VALUE"""),"None")</f>
        <v>None</v>
      </c>
      <c r="K147" s="80" t="str">
        <f>IFERROR(__xludf.DUMMYFUNCTION("""COMPUTED_VALUE"""),"https://drive.google.com/open?id=15V76iEt4CxmdQlVon3hNfEC99jdl_76T")</f>
        <v>https://drive.google.com/open?id=15V76iEt4CxmdQlVon3hNfEC99jdl_76T</v>
      </c>
      <c r="L147" s="74" t="str">
        <f>IFERROR(__xludf.DUMMYFUNCTION("""COMPUTED_VALUE"""),"2018-2022")</f>
        <v>2018-2022</v>
      </c>
      <c r="M147" s="74" t="str">
        <f>IFERROR(__xludf.DUMMYFUNCTION("""COMPUTED_VALUE"""),"S4: Student Certifications")</f>
        <v>S4: Student Certifications</v>
      </c>
      <c r="N147" s="74" t="str">
        <f>IFERROR(__xludf.DUMMYFUNCTION("""COMPUTED_VALUE"""),"dabbiruhaneesh@gmail.com")</f>
        <v>dabbiruhaneesh@gmail.com</v>
      </c>
      <c r="O147" s="74" t="str">
        <f>IFERROR(__xludf.DUMMYFUNCTION("""COMPUTED_VALUE"""),"SEM-8")</f>
        <v>SEM-8</v>
      </c>
      <c r="P147" s="74"/>
      <c r="Q147" s="74"/>
      <c r="R147" s="74"/>
      <c r="S147" s="74"/>
      <c r="T147" s="74"/>
      <c r="U147" s="74"/>
      <c r="V147" s="74"/>
      <c r="W147" s="74"/>
      <c r="X147" s="74"/>
      <c r="Y147" s="74"/>
    </row>
    <row r="148" ht="26.25" customHeight="1">
      <c r="A148" s="74" t="str">
        <f>IFERROR(__xludf.DUMMYFUNCTION("""COMPUTED_VALUE"""),"UMANANDAN SAGAR CHUKKA")</f>
        <v>UMANANDAN SAGAR CHUKKA</v>
      </c>
      <c r="B148" s="74" t="str">
        <f>IFERROR(__xludf.DUMMYFUNCTION("""COMPUTED_VALUE"""),"18331A05G1")</f>
        <v>18331A05G1</v>
      </c>
      <c r="C148" s="90" t="str">
        <f>IFERROR(__xludf.DUMMYFUNCTION("""COMPUTED_VALUE"""),"Cybersecurity Essentials")</f>
        <v>Cybersecurity Essentials</v>
      </c>
      <c r="D148" s="74" t="str">
        <f>IFERROR(__xludf.DUMMYFUNCTION("""COMPUTED_VALUE"""),"cisco")</f>
        <v>cisco</v>
      </c>
      <c r="E148" s="74" t="str">
        <f>IFERROR(__xludf.DUMMYFUNCTION("""COMPUTED_VALUE"""),"8 weeks")</f>
        <v>8 weeks</v>
      </c>
      <c r="F148" s="91">
        <f>IFERROR(__xludf.DUMMYFUNCTION("""COMPUTED_VALUE"""),43615.0)</f>
        <v>43615</v>
      </c>
      <c r="G148" s="91">
        <f>IFERROR(__xludf.DUMMYFUNCTION("""COMPUTED_VALUE"""),44660.0)</f>
        <v>44660</v>
      </c>
      <c r="H148" s="79">
        <f>IFERROR(__xludf.DUMMYFUNCTION("""COMPUTED_VALUE"""),43677.0)</f>
        <v>43677</v>
      </c>
      <c r="I148" s="92">
        <f>IFERROR(__xludf.DUMMYFUNCTION("""COMPUTED_VALUE"""),100.0)</f>
        <v>100</v>
      </c>
      <c r="J148" s="74" t="str">
        <f>IFERROR(__xludf.DUMMYFUNCTION("""COMPUTED_VALUE"""),"Dr,Ravi Kiran Varma Penmatsa")</f>
        <v>Dr,Ravi Kiran Varma Penmatsa</v>
      </c>
      <c r="K148" s="80" t="str">
        <f>IFERROR(__xludf.DUMMYFUNCTION("""COMPUTED_VALUE"""),"https://drive.google.com/open?id=1GfiUIYmtc5lHuKVXjJFvcD_dMpiJydpn")</f>
        <v>https://drive.google.com/open?id=1GfiUIYmtc5lHuKVXjJFvcD_dMpiJydpn</v>
      </c>
      <c r="L148" s="74" t="str">
        <f>IFERROR(__xludf.DUMMYFUNCTION("""COMPUTED_VALUE"""),"2018-2022")</f>
        <v>2018-2022</v>
      </c>
      <c r="M148" s="74" t="str">
        <f>IFERROR(__xludf.DUMMYFUNCTION("""COMPUTED_VALUE"""),"S4: Student Certifications")</f>
        <v>S4: Student Certifications</v>
      </c>
      <c r="N148" s="74" t="str">
        <f>IFERROR(__xludf.DUMMYFUNCTION("""COMPUTED_VALUE"""),"cusagar@gmail.com")</f>
        <v>cusagar@gmail.com</v>
      </c>
      <c r="O148" s="74" t="str">
        <f>IFERROR(__xludf.DUMMYFUNCTION("""COMPUTED_VALUE"""),"SEM-8")</f>
        <v>SEM-8</v>
      </c>
      <c r="P148" s="74"/>
      <c r="Q148" s="74"/>
      <c r="R148" s="74"/>
      <c r="S148" s="74"/>
      <c r="T148" s="74"/>
      <c r="U148" s="74"/>
      <c r="V148" s="74"/>
      <c r="W148" s="74"/>
      <c r="X148" s="74"/>
      <c r="Y148" s="74"/>
    </row>
    <row r="149" ht="26.25" customHeight="1">
      <c r="A149" s="74" t="str">
        <f>IFERROR(__xludf.DUMMYFUNCTION("""COMPUTED_VALUE"""),"ASHOK KUMAR KORNU")</f>
        <v>ASHOK KUMAR KORNU</v>
      </c>
      <c r="B149" s="74" t="str">
        <f>IFERROR(__xludf.DUMMYFUNCTION("""COMPUTED_VALUE"""),"19335A0509")</f>
        <v>19335A0509</v>
      </c>
      <c r="C149" s="90" t="str">
        <f>IFERROR(__xludf.DUMMYFUNCTION("""COMPUTED_VALUE"""),"Red Hat System Administration I (RH124)")</f>
        <v>Red Hat System Administration I (RH124)</v>
      </c>
      <c r="D149" s="74" t="str">
        <f>IFERROR(__xludf.DUMMYFUNCTION("""COMPUTED_VALUE"""),"AICTE")</f>
        <v>AICTE</v>
      </c>
      <c r="E149" s="74" t="str">
        <f>IFERROR(__xludf.DUMMYFUNCTION("""COMPUTED_VALUE"""),"1 Months")</f>
        <v>1 Months</v>
      </c>
      <c r="F149" s="91">
        <f>IFERROR(__xludf.DUMMYFUNCTION("""COMPUTED_VALUE"""),44652.0)</f>
        <v>44652</v>
      </c>
      <c r="G149" s="91">
        <f>IFERROR(__xludf.DUMMYFUNCTION("""COMPUTED_VALUE"""),44681.0)</f>
        <v>44681</v>
      </c>
      <c r="H149" s="79">
        <f>IFERROR(__xludf.DUMMYFUNCTION("""COMPUTED_VALUE"""),44624.0)</f>
        <v>44624</v>
      </c>
      <c r="I149" s="92">
        <f>IFERROR(__xludf.DUMMYFUNCTION("""COMPUTED_VALUE"""),100.0)</f>
        <v>100</v>
      </c>
      <c r="J149" s="74" t="str">
        <f>IFERROR(__xludf.DUMMYFUNCTION("""COMPUTED_VALUE"""),"Subba Raju K V")</f>
        <v>Subba Raju K V</v>
      </c>
      <c r="K149" s="80" t="str">
        <f>IFERROR(__xludf.DUMMYFUNCTION("""COMPUTED_VALUE"""),"https://drive.google.com/open?id=1mDHA3t9wZzaCRSYZW_V_mQyWBk9Pz8ex")</f>
        <v>https://drive.google.com/open?id=1mDHA3t9wZzaCRSYZW_V_mQyWBk9Pz8ex</v>
      </c>
      <c r="L149" s="74" t="str">
        <f>IFERROR(__xludf.DUMMYFUNCTION("""COMPUTED_VALUE"""),"2018-2022")</f>
        <v>2018-2022</v>
      </c>
      <c r="M149" s="74" t="str">
        <f>IFERROR(__xludf.DUMMYFUNCTION("""COMPUTED_VALUE"""),"S4: Student Certifications")</f>
        <v>S4: Student Certifications</v>
      </c>
      <c r="N149" s="74" t="str">
        <f>IFERROR(__xludf.DUMMYFUNCTION("""COMPUTED_VALUE"""),"ashokkumarkornu2000@gmail.com")</f>
        <v>ashokkumarkornu2000@gmail.com</v>
      </c>
      <c r="O149" s="74" t="str">
        <f>IFERROR(__xludf.DUMMYFUNCTION("""COMPUTED_VALUE"""),"SEM-8")</f>
        <v>SEM-8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</row>
    <row r="150" ht="26.25" customHeight="1">
      <c r="A150" s="74" t="str">
        <f>IFERROR(__xludf.DUMMYFUNCTION("""COMPUTED_VALUE"""),"yegireddi sharmila")</f>
        <v>yegireddi sharmila</v>
      </c>
      <c r="B150" s="74" t="str">
        <f>IFERROR(__xludf.DUMMYFUNCTION("""COMPUTED_VALUE"""),"19335A0519")</f>
        <v>19335A0519</v>
      </c>
      <c r="C150" s="90" t="str">
        <f>IFERROR(__xludf.DUMMYFUNCTION("""COMPUTED_VALUE"""),"Cisco certification on essential programming in Python")</f>
        <v>Cisco certification on essential programming in Python</v>
      </c>
      <c r="D150" s="74" t="str">
        <f>IFERROR(__xludf.DUMMYFUNCTION("""COMPUTED_VALUE""")," Subba raju k v ")</f>
        <v> Subba raju k v </v>
      </c>
      <c r="E150" s="74" t="str">
        <f>IFERROR(__xludf.DUMMYFUNCTION("""COMPUTED_VALUE"""),"2 months")</f>
        <v>2 months</v>
      </c>
      <c r="F150" s="91">
        <f>IFERROR(__xludf.DUMMYFUNCTION("""COMPUTED_VALUE"""),44322.0)</f>
        <v>44322</v>
      </c>
      <c r="G150" s="91">
        <f>IFERROR(__xludf.DUMMYFUNCTION("""COMPUTED_VALUE"""),44353.0)</f>
        <v>44353</v>
      </c>
      <c r="H150" s="79">
        <f>IFERROR(__xludf.DUMMYFUNCTION("""COMPUTED_VALUE"""),44383.0)</f>
        <v>44383</v>
      </c>
      <c r="I150" s="92">
        <f>IFERROR(__xludf.DUMMYFUNCTION("""COMPUTED_VALUE"""),88.0)</f>
        <v>88</v>
      </c>
      <c r="J150" s="74" t="str">
        <f>IFERROR(__xludf.DUMMYFUNCTION("""COMPUTED_VALUE"""),"Subba raju k v ")</f>
        <v>Subba raju k v </v>
      </c>
      <c r="K150" s="80" t="str">
        <f>IFERROR(__xludf.DUMMYFUNCTION("""COMPUTED_VALUE"""),"https://drive.google.com/open?id=1eVFF13KuKupbFEOlXh1v8SIRQmQg4b71")</f>
        <v>https://drive.google.com/open?id=1eVFF13KuKupbFEOlXh1v8SIRQmQg4b71</v>
      </c>
      <c r="L150" s="74" t="str">
        <f>IFERROR(__xludf.DUMMYFUNCTION("""COMPUTED_VALUE"""),"2018-2022")</f>
        <v>2018-2022</v>
      </c>
      <c r="M150" s="74" t="str">
        <f>IFERROR(__xludf.DUMMYFUNCTION("""COMPUTED_VALUE"""),"S4: Student Certifications")</f>
        <v>S4: Student Certifications</v>
      </c>
      <c r="N150" s="74" t="str">
        <f>IFERROR(__xludf.DUMMYFUNCTION("""COMPUTED_VALUE"""),"sharmilayegireddi@gmail.com")</f>
        <v>sharmilayegireddi@gmail.com</v>
      </c>
      <c r="O150" s="74" t="str">
        <f>IFERROR(__xludf.DUMMYFUNCTION("""COMPUTED_VALUE"""),"SEM-8")</f>
        <v>SEM-8</v>
      </c>
      <c r="P150" s="74"/>
      <c r="Q150" s="74"/>
      <c r="R150" s="74"/>
      <c r="S150" s="74"/>
      <c r="T150" s="74"/>
      <c r="U150" s="74"/>
      <c r="V150" s="74"/>
      <c r="W150" s="74"/>
      <c r="X150" s="74"/>
      <c r="Y150" s="74"/>
    </row>
    <row r="151" ht="26.25" customHeight="1">
      <c r="A151" s="74" t="str">
        <f>IFERROR(__xludf.DUMMYFUNCTION("""COMPUTED_VALUE"""),"yegireddi sharmila")</f>
        <v>yegireddi sharmila</v>
      </c>
      <c r="B151" s="74" t="str">
        <f>IFERROR(__xludf.DUMMYFUNCTION("""COMPUTED_VALUE"""),"19335A0519")</f>
        <v>19335A0519</v>
      </c>
      <c r="C151" s="90" t="str">
        <f>IFERROR(__xludf.DUMMYFUNCTION("""COMPUTED_VALUE"""),"CCNA on networking")</f>
        <v>CCNA on networking</v>
      </c>
      <c r="D151" s="74" t="str">
        <f>IFERROR(__xludf.DUMMYFUNCTION("""COMPUTED_VALUE"""),"Mvgr college of engineering")</f>
        <v>Mvgr college of engineering</v>
      </c>
      <c r="E151" s="74" t="str">
        <f>IFERROR(__xludf.DUMMYFUNCTION("""COMPUTED_VALUE"""),"2 months")</f>
        <v>2 months</v>
      </c>
      <c r="F151" s="91">
        <f>IFERROR(__xludf.DUMMYFUNCTION("""COMPUTED_VALUE"""),44320.0)</f>
        <v>44320</v>
      </c>
      <c r="G151" s="91">
        <f>IFERROR(__xludf.DUMMYFUNCTION("""COMPUTED_VALUE"""),44381.0)</f>
        <v>44381</v>
      </c>
      <c r="H151" s="79">
        <f>IFERROR(__xludf.DUMMYFUNCTION("""COMPUTED_VALUE"""),44290.0)</f>
        <v>44290</v>
      </c>
      <c r="I151" s="92">
        <f>IFERROR(__xludf.DUMMYFUNCTION("""COMPUTED_VALUE"""),90.0)</f>
        <v>90</v>
      </c>
      <c r="J151" s="74" t="str">
        <f>IFERROR(__xludf.DUMMYFUNCTION("""COMPUTED_VALUE"""),"Subba raju k v ")</f>
        <v>Subba raju k v </v>
      </c>
      <c r="K151" s="80" t="str">
        <f>IFERROR(__xludf.DUMMYFUNCTION("""COMPUTED_VALUE"""),"https://drive.google.com/open?id=1w-IsasqP3t24jS8fpAoDARXoUNdVPN0Y")</f>
        <v>https://drive.google.com/open?id=1w-IsasqP3t24jS8fpAoDARXoUNdVPN0Y</v>
      </c>
      <c r="L151" s="74" t="str">
        <f>IFERROR(__xludf.DUMMYFUNCTION("""COMPUTED_VALUE"""),"2018-2022")</f>
        <v>2018-2022</v>
      </c>
      <c r="M151" s="74" t="str">
        <f>IFERROR(__xludf.DUMMYFUNCTION("""COMPUTED_VALUE"""),"S4: Student Certifications")</f>
        <v>S4: Student Certifications</v>
      </c>
      <c r="N151" s="74" t="str">
        <f>IFERROR(__xludf.DUMMYFUNCTION("""COMPUTED_VALUE"""),"sharmilayegireddi@gmail.com")</f>
        <v>sharmilayegireddi@gmail.com</v>
      </c>
      <c r="O151" s="74" t="str">
        <f>IFERROR(__xludf.DUMMYFUNCTION("""COMPUTED_VALUE"""),"SEM-8")</f>
        <v>SEM-8</v>
      </c>
      <c r="P151" s="74"/>
      <c r="Q151" s="74"/>
      <c r="R151" s="74"/>
      <c r="S151" s="74"/>
      <c r="T151" s="74"/>
      <c r="U151" s="74"/>
      <c r="V151" s="74"/>
      <c r="W151" s="74"/>
      <c r="X151" s="74"/>
      <c r="Y151" s="74"/>
    </row>
    <row r="152" ht="26.25" customHeight="1">
      <c r="A152" s="74" t="str">
        <f>IFERROR(__xludf.DUMMYFUNCTION("""COMPUTED_VALUE"""),"ASHOK KUMAR KORNU")</f>
        <v>ASHOK KUMAR KORNU</v>
      </c>
      <c r="B152" s="74" t="str">
        <f>IFERROR(__xludf.DUMMYFUNCTION("""COMPUTED_VALUE"""),"19335A0509")</f>
        <v>19335A0509</v>
      </c>
      <c r="C152" s="90" t="str">
        <f>IFERROR(__xludf.DUMMYFUNCTION("""COMPUTED_VALUE"""),"CCNA")</f>
        <v>CCNA</v>
      </c>
      <c r="D152" s="74" t="str">
        <f>IFERROR(__xludf.DUMMYFUNCTION("""COMPUTED_VALUE"""),"CISCO")</f>
        <v>CISCO</v>
      </c>
      <c r="E152" s="74" t="str">
        <f>IFERROR(__xludf.DUMMYFUNCTION("""COMPUTED_VALUE"""),"1 Month")</f>
        <v>1 Month</v>
      </c>
      <c r="F152" s="91">
        <f>IFERROR(__xludf.DUMMYFUNCTION("""COMPUTED_VALUE"""),43928.0)</f>
        <v>43928</v>
      </c>
      <c r="G152" s="91">
        <f>IFERROR(__xludf.DUMMYFUNCTION("""COMPUTED_VALUE"""),43958.0)</f>
        <v>43958</v>
      </c>
      <c r="H152" s="79">
        <f>IFERROR(__xludf.DUMMYFUNCTION("""COMPUTED_VALUE"""),43958.0)</f>
        <v>43958</v>
      </c>
      <c r="I152" s="92">
        <f>IFERROR(__xludf.DUMMYFUNCTION("""COMPUTED_VALUE"""),100.0)</f>
        <v>100</v>
      </c>
      <c r="J152" s="74" t="str">
        <f>IFERROR(__xludf.DUMMYFUNCTION("""COMPUTED_VALUE"""),"Subba Raju K V")</f>
        <v>Subba Raju K V</v>
      </c>
      <c r="K152" s="80" t="str">
        <f>IFERROR(__xludf.DUMMYFUNCTION("""COMPUTED_VALUE"""),"https://drive.google.com/open?id=1pnUEp9JInySqXlPxfO-l_p6EtXy4QLJb")</f>
        <v>https://drive.google.com/open?id=1pnUEp9JInySqXlPxfO-l_p6EtXy4QLJb</v>
      </c>
      <c r="L152" s="74" t="str">
        <f>IFERROR(__xludf.DUMMYFUNCTION("""COMPUTED_VALUE"""),"2018-2022")</f>
        <v>2018-2022</v>
      </c>
      <c r="M152" s="74" t="str">
        <f>IFERROR(__xludf.DUMMYFUNCTION("""COMPUTED_VALUE"""),"S4: Student Certifications")</f>
        <v>S4: Student Certifications</v>
      </c>
      <c r="N152" s="74" t="str">
        <f>IFERROR(__xludf.DUMMYFUNCTION("""COMPUTED_VALUE"""),"ashokkumarkornu2000@gmail.com")</f>
        <v>ashokkumarkornu2000@gmail.com</v>
      </c>
      <c r="O152" s="74" t="str">
        <f>IFERROR(__xludf.DUMMYFUNCTION("""COMPUTED_VALUE"""),"SEM-4")</f>
        <v>SEM-4</v>
      </c>
      <c r="P152" s="74"/>
      <c r="Q152" s="74"/>
      <c r="R152" s="74"/>
      <c r="S152" s="74"/>
      <c r="T152" s="74"/>
      <c r="U152" s="74"/>
      <c r="V152" s="74"/>
      <c r="W152" s="74"/>
      <c r="X152" s="74"/>
      <c r="Y152" s="74"/>
    </row>
    <row r="153" ht="26.25" customHeight="1">
      <c r="A153" s="78" t="str">
        <f>IFERROR(__xludf.DUMMYFUNCTION("""COMPUTED_VALUE"""),"Venkata Jaswanth Potnuru")</f>
        <v>Venkata Jaswanth Potnuru</v>
      </c>
      <c r="B153" s="78" t="str">
        <f>IFERROR(__xludf.DUMMYFUNCTION("""COMPUTED_VALUE"""),"19335A0513")</f>
        <v>19335A0513</v>
      </c>
      <c r="C153" s="93" t="str">
        <f>IFERROR(__xludf.DUMMYFUNCTION("""COMPUTED_VALUE"""),"Web Technology")</f>
        <v>Web Technology</v>
      </c>
      <c r="D153" s="78" t="str">
        <f>IFERROR(__xludf.DUMMYFUNCTION("""COMPUTED_VALUE"""),"ShapeAi")</f>
        <v>ShapeAi</v>
      </c>
      <c r="E153" s="78" t="str">
        <f>IFERROR(__xludf.DUMMYFUNCTION("""COMPUTED_VALUE"""),"1 Month")</f>
        <v>1 Month</v>
      </c>
      <c r="F153" s="94">
        <f>IFERROR(__xludf.DUMMYFUNCTION("""COMPUTED_VALUE"""),44420.0)</f>
        <v>44420</v>
      </c>
      <c r="G153" s="94">
        <f>IFERROR(__xludf.DUMMYFUNCTION("""COMPUTED_VALUE"""),44451.0)</f>
        <v>44451</v>
      </c>
      <c r="H153" s="84">
        <f>IFERROR(__xludf.DUMMYFUNCTION("""COMPUTED_VALUE"""),44451.0)</f>
        <v>44451</v>
      </c>
      <c r="I153" s="95">
        <f>IFERROR(__xludf.DUMMYFUNCTION("""COMPUTED_VALUE"""),90.0)</f>
        <v>90</v>
      </c>
      <c r="J153" s="78" t="str">
        <f>IFERROR(__xludf.DUMMYFUNCTION("""COMPUTED_VALUE"""),"-")</f>
        <v>-</v>
      </c>
      <c r="K153" s="85" t="str">
        <f>IFERROR(__xludf.DUMMYFUNCTION("""COMPUTED_VALUE"""),"https://drive.google.com/open?id=1C1cf7JpQvnbLHJbkSl_GcfXU09Em_cL1")</f>
        <v>https://drive.google.com/open?id=1C1cf7JpQvnbLHJbkSl_GcfXU09Em_cL1</v>
      </c>
      <c r="L153" s="78" t="str">
        <f>IFERROR(__xludf.DUMMYFUNCTION("""COMPUTED_VALUE"""),"2018-2022")</f>
        <v>2018-2022</v>
      </c>
      <c r="M153" s="78" t="str">
        <f>IFERROR(__xludf.DUMMYFUNCTION("""COMPUTED_VALUE"""),"S4: Student Certifications")</f>
        <v>S4: Student Certifications</v>
      </c>
      <c r="N153" s="78" t="str">
        <f>IFERROR(__xludf.DUMMYFUNCTION("""COMPUTED_VALUE"""),"venkatajaswanth10@gmail.com")</f>
        <v>venkatajaswanth10@gmail.com</v>
      </c>
      <c r="O153" s="78" t="str">
        <f>IFERROR(__xludf.DUMMYFUNCTION("""COMPUTED_VALUE"""),"SEM-6")</f>
        <v>SEM-6</v>
      </c>
      <c r="P153" s="78"/>
      <c r="Q153" s="78"/>
      <c r="R153" s="78"/>
      <c r="S153" s="78"/>
      <c r="T153" s="78"/>
      <c r="U153" s="78"/>
      <c r="V153" s="78"/>
      <c r="W153" s="78"/>
      <c r="X153" s="78"/>
      <c r="Y153" s="78"/>
    </row>
    <row r="154" ht="26.25" customHeight="1">
      <c r="A154" s="78" t="str">
        <f>IFERROR(__xludf.DUMMYFUNCTION("""COMPUTED_VALUE"""),"Venkata Jaswanth Potnuru")</f>
        <v>Venkata Jaswanth Potnuru</v>
      </c>
      <c r="B154" s="78" t="str">
        <f>IFERROR(__xludf.DUMMYFUNCTION("""COMPUTED_VALUE"""),"19335A0513")</f>
        <v>19335A0513</v>
      </c>
      <c r="C154" s="93" t="str">
        <f>IFERROR(__xludf.DUMMYFUNCTION("""COMPUTED_VALUE"""),"Python Programming For Everyone")</f>
        <v>Python Programming For Everyone</v>
      </c>
      <c r="D154" s="78" t="str">
        <f>IFERROR(__xludf.DUMMYFUNCTION("""COMPUTED_VALUE"""),"Sri Venkateswara College of Engineering &amp; Technology")</f>
        <v>Sri Venkateswara College of Engineering &amp; Technology</v>
      </c>
      <c r="E154" s="78" t="str">
        <f>IFERROR(__xludf.DUMMYFUNCTION("""COMPUTED_VALUE"""),"1 Day")</f>
        <v>1 Day</v>
      </c>
      <c r="F154" s="94">
        <f>IFERROR(__xludf.DUMMYFUNCTION("""COMPUTED_VALUE"""),44350.0)</f>
        <v>44350</v>
      </c>
      <c r="G154" s="94">
        <f>IFERROR(__xludf.DUMMYFUNCTION("""COMPUTED_VALUE"""),44350.0)</f>
        <v>44350</v>
      </c>
      <c r="H154" s="84">
        <f>IFERROR(__xludf.DUMMYFUNCTION("""COMPUTED_VALUE"""),44350.0)</f>
        <v>44350</v>
      </c>
      <c r="I154" s="95">
        <f>IFERROR(__xludf.DUMMYFUNCTION("""COMPUTED_VALUE"""),90.0)</f>
        <v>90</v>
      </c>
      <c r="J154" s="78" t="str">
        <f>IFERROR(__xludf.DUMMYFUNCTION("""COMPUTED_VALUE"""),"-")</f>
        <v>-</v>
      </c>
      <c r="K154" s="85" t="str">
        <f>IFERROR(__xludf.DUMMYFUNCTION("""COMPUTED_VALUE"""),"https://drive.google.com/open?id=1Rgp9RcpL0amYzwFCwfvoSHP8-_qz7L8J")</f>
        <v>https://drive.google.com/open?id=1Rgp9RcpL0amYzwFCwfvoSHP8-_qz7L8J</v>
      </c>
      <c r="L154" s="78" t="str">
        <f>IFERROR(__xludf.DUMMYFUNCTION("""COMPUTED_VALUE"""),"2018-2022")</f>
        <v>2018-2022</v>
      </c>
      <c r="M154" s="78" t="str">
        <f>IFERROR(__xludf.DUMMYFUNCTION("""COMPUTED_VALUE"""),"S4: Student Certifications")</f>
        <v>S4: Student Certifications</v>
      </c>
      <c r="N154" s="78" t="str">
        <f>IFERROR(__xludf.DUMMYFUNCTION("""COMPUTED_VALUE"""),"venkatajaswanth10@gmail.com")</f>
        <v>venkatajaswanth10@gmail.com</v>
      </c>
      <c r="O154" s="78" t="str">
        <f>IFERROR(__xludf.DUMMYFUNCTION("""COMPUTED_VALUE"""),"SEM-5")</f>
        <v>SEM-5</v>
      </c>
      <c r="P154" s="78"/>
      <c r="Q154" s="78"/>
      <c r="R154" s="78"/>
      <c r="S154" s="78"/>
      <c r="T154" s="78"/>
      <c r="U154" s="78"/>
      <c r="V154" s="78"/>
      <c r="W154" s="78"/>
      <c r="X154" s="78"/>
      <c r="Y154" s="78"/>
    </row>
    <row r="155" ht="26.25" customHeight="1">
      <c r="A155" s="74" t="str">
        <f>IFERROR(__xludf.DUMMYFUNCTION("""COMPUTED_VALUE"""),"yegireddi sharmila")</f>
        <v>yegireddi sharmila</v>
      </c>
      <c r="B155" s="74" t="str">
        <f>IFERROR(__xludf.DUMMYFUNCTION("""COMPUTED_VALUE"""),"19335A0519")</f>
        <v>19335A0519</v>
      </c>
      <c r="C155" s="90" t="str">
        <f>IFERROR(__xludf.DUMMYFUNCTION("""COMPUTED_VALUE"""),"Palo alto on cyber security")</f>
        <v>Palo alto on cyber security</v>
      </c>
      <c r="D155" s="74" t="str">
        <f>IFERROR(__xludf.DUMMYFUNCTION("""COMPUTED_VALUE"""),"Mvgr college of engineering")</f>
        <v>Mvgr college of engineering</v>
      </c>
      <c r="E155" s="74" t="str">
        <f>IFERROR(__xludf.DUMMYFUNCTION("""COMPUTED_VALUE"""),"1 month")</f>
        <v>1 month</v>
      </c>
      <c r="F155" s="91">
        <f>IFERROR(__xludf.DUMMYFUNCTION("""COMPUTED_VALUE"""),44371.0)</f>
        <v>44371</v>
      </c>
      <c r="G155" s="91">
        <f>IFERROR(__xludf.DUMMYFUNCTION("""COMPUTED_VALUE"""),44401.0)</f>
        <v>44401</v>
      </c>
      <c r="H155" s="79">
        <f>IFERROR(__xludf.DUMMYFUNCTION("""COMPUTED_VALUE"""),44310.0)</f>
        <v>44310</v>
      </c>
      <c r="I155" s="92">
        <f>IFERROR(__xludf.DUMMYFUNCTION("""COMPUTED_VALUE"""),91.0)</f>
        <v>91</v>
      </c>
      <c r="J155" s="74" t="str">
        <f>IFERROR(__xludf.DUMMYFUNCTION("""COMPUTED_VALUE"""),"Ravi kiran varma")</f>
        <v>Ravi kiran varma</v>
      </c>
      <c r="K155" s="80" t="str">
        <f>IFERROR(__xludf.DUMMYFUNCTION("""COMPUTED_VALUE"""),"https://drive.google.com/open?id=1nMcjeDp3LFt1z1cRZug48GyfV1fbyZTG")</f>
        <v>https://drive.google.com/open?id=1nMcjeDp3LFt1z1cRZug48GyfV1fbyZTG</v>
      </c>
      <c r="L155" s="74" t="str">
        <f>IFERROR(__xludf.DUMMYFUNCTION("""COMPUTED_VALUE"""),"2018-2022")</f>
        <v>2018-2022</v>
      </c>
      <c r="M155" s="74" t="str">
        <f>IFERROR(__xludf.DUMMYFUNCTION("""COMPUTED_VALUE"""),"S4: Student Certifications")</f>
        <v>S4: Student Certifications</v>
      </c>
      <c r="N155" s="74" t="str">
        <f>IFERROR(__xludf.DUMMYFUNCTION("""COMPUTED_VALUE"""),"sharmilayegireddi@gmail.com")</f>
        <v>sharmilayegireddi@gmail.com</v>
      </c>
      <c r="O155" s="74" t="str">
        <f>IFERROR(__xludf.DUMMYFUNCTION("""COMPUTED_VALUE"""),"SEM-8")</f>
        <v>SEM-8</v>
      </c>
      <c r="P155" s="74"/>
      <c r="Q155" s="74"/>
      <c r="R155" s="74"/>
      <c r="S155" s="74"/>
      <c r="T155" s="74"/>
      <c r="U155" s="74"/>
      <c r="V155" s="74"/>
      <c r="W155" s="74"/>
      <c r="X155" s="74"/>
      <c r="Y155" s="74"/>
    </row>
    <row r="156" ht="26.25" customHeight="1">
      <c r="A156" s="78" t="str">
        <f>IFERROR(__xludf.DUMMYFUNCTION("""COMPUTED_VALUE"""),"ASHOK KUMAR KORNU")</f>
        <v>ASHOK KUMAR KORNU</v>
      </c>
      <c r="B156" s="78" t="str">
        <f>IFERROR(__xludf.DUMMYFUNCTION("""COMPUTED_VALUE"""),"19335A0509")</f>
        <v>19335A0509</v>
      </c>
      <c r="C156" s="93" t="str">
        <f>IFERROR(__xludf.DUMMYFUNCTION("""COMPUTED_VALUE"""),"CCNA")</f>
        <v>CCNA</v>
      </c>
      <c r="D156" s="78" t="str">
        <f>IFERROR(__xludf.DUMMYFUNCTION("""COMPUTED_VALUE"""),"CISCO")</f>
        <v>CISCO</v>
      </c>
      <c r="E156" s="78" t="str">
        <f>IFERROR(__xludf.DUMMYFUNCTION("""COMPUTED_VALUE"""),"1 Month")</f>
        <v>1 Month</v>
      </c>
      <c r="F156" s="94">
        <f>IFERROR(__xludf.DUMMYFUNCTION("""COMPUTED_VALUE"""),44287.0)</f>
        <v>44287</v>
      </c>
      <c r="G156" s="94">
        <f>IFERROR(__xludf.DUMMYFUNCTION("""COMPUTED_VALUE"""),44317.0)</f>
        <v>44317</v>
      </c>
      <c r="H156" s="84">
        <f>IFERROR(__xludf.DUMMYFUNCTION("""COMPUTED_VALUE"""),44317.0)</f>
        <v>44317</v>
      </c>
      <c r="I156" s="95">
        <f>IFERROR(__xludf.DUMMYFUNCTION("""COMPUTED_VALUE"""),100.0)</f>
        <v>100</v>
      </c>
      <c r="J156" s="78" t="str">
        <f>IFERROR(__xludf.DUMMYFUNCTION("""COMPUTED_VALUE"""),"Subba Raju K V")</f>
        <v>Subba Raju K V</v>
      </c>
      <c r="K156" s="85" t="str">
        <f>IFERROR(__xludf.DUMMYFUNCTION("""COMPUTED_VALUE"""),"https://drive.google.com/open?id=1_x0w13DUxgU5mRVbSDHa4RMMIgT0_CiY")</f>
        <v>https://drive.google.com/open?id=1_x0w13DUxgU5mRVbSDHa4RMMIgT0_CiY</v>
      </c>
      <c r="L156" s="78" t="str">
        <f>IFERROR(__xludf.DUMMYFUNCTION("""COMPUTED_VALUE"""),"2018-2022")</f>
        <v>2018-2022</v>
      </c>
      <c r="M156" s="78" t="str">
        <f>IFERROR(__xludf.DUMMYFUNCTION("""COMPUTED_VALUE"""),"S4: Student Certifications")</f>
        <v>S4: Student Certifications</v>
      </c>
      <c r="N156" s="78" t="str">
        <f>IFERROR(__xludf.DUMMYFUNCTION("""COMPUTED_VALUE"""),"ashokkumarkornu2000@gmail.com")</f>
        <v>ashokkumarkornu2000@gmail.com</v>
      </c>
      <c r="O156" s="78" t="str">
        <f>IFERROR(__xludf.DUMMYFUNCTION("""COMPUTED_VALUE"""),"SEM-4")</f>
        <v>SEM-4</v>
      </c>
      <c r="P156" s="78"/>
      <c r="Q156" s="78"/>
      <c r="R156" s="78"/>
      <c r="S156" s="78"/>
      <c r="T156" s="78"/>
      <c r="U156" s="78"/>
      <c r="V156" s="78"/>
      <c r="W156" s="78"/>
      <c r="X156" s="78"/>
      <c r="Y156" s="78"/>
    </row>
    <row r="157" ht="26.25" customHeight="1">
      <c r="A157" s="74" t="str">
        <f>IFERROR(__xludf.DUMMYFUNCTION("""COMPUTED_VALUE"""),"ASHOK KUMAR KORNU")</f>
        <v>ASHOK KUMAR KORNU</v>
      </c>
      <c r="B157" s="74" t="str">
        <f>IFERROR(__xludf.DUMMYFUNCTION("""COMPUTED_VALUE"""),"19335A0509")</f>
        <v>19335A0509</v>
      </c>
      <c r="C157" s="90" t="str">
        <f>IFERROR(__xludf.DUMMYFUNCTION("""COMPUTED_VALUE"""),"Introduction to Cybersecurity")</f>
        <v>Introduction to Cybersecurity</v>
      </c>
      <c r="D157" s="74" t="str">
        <f>IFERROR(__xludf.DUMMYFUNCTION("""COMPUTED_VALUE"""),"CISCO")</f>
        <v>CISCO</v>
      </c>
      <c r="E157" s="74" t="str">
        <f>IFERROR(__xludf.DUMMYFUNCTION("""COMPUTED_VALUE"""),"1 MONTH")</f>
        <v>1 MONTH</v>
      </c>
      <c r="F157" s="91">
        <f>IFERROR(__xludf.DUMMYFUNCTION("""COMPUTED_VALUE"""),44287.0)</f>
        <v>44287</v>
      </c>
      <c r="G157" s="91">
        <f>IFERROR(__xludf.DUMMYFUNCTION("""COMPUTED_VALUE"""),44317.0)</f>
        <v>44317</v>
      </c>
      <c r="H157" s="79">
        <f>IFERROR(__xludf.DUMMYFUNCTION("""COMPUTED_VALUE"""),44287.0)</f>
        <v>44287</v>
      </c>
      <c r="I157" s="92">
        <f>IFERROR(__xludf.DUMMYFUNCTION("""COMPUTED_VALUE"""),100.0)</f>
        <v>100</v>
      </c>
      <c r="J157" s="74" t="str">
        <f>IFERROR(__xludf.DUMMYFUNCTION("""COMPUTED_VALUE"""),"DR. RAVI KIRAN VARMA PENMATSA")</f>
        <v>DR. RAVI KIRAN VARMA PENMATSA</v>
      </c>
      <c r="K157" s="80" t="str">
        <f>IFERROR(__xludf.DUMMYFUNCTION("""COMPUTED_VALUE"""),"https://drive.google.com/open?id=1vZ6h6NmWY4HXvyOSIHu-uiERHOWH-pa3")</f>
        <v>https://drive.google.com/open?id=1vZ6h6NmWY4HXvyOSIHu-uiERHOWH-pa3</v>
      </c>
      <c r="L157" s="74" t="str">
        <f>IFERROR(__xludf.DUMMYFUNCTION("""COMPUTED_VALUE"""),"2018-2022")</f>
        <v>2018-2022</v>
      </c>
      <c r="M157" s="74" t="str">
        <f>IFERROR(__xludf.DUMMYFUNCTION("""COMPUTED_VALUE"""),"S4: Student Certifications")</f>
        <v>S4: Student Certifications</v>
      </c>
      <c r="N157" s="74" t="str">
        <f>IFERROR(__xludf.DUMMYFUNCTION("""COMPUTED_VALUE"""),"ashokkumarkornu2000@gmail.com")</f>
        <v>ashokkumarkornu2000@gmail.com</v>
      </c>
      <c r="O157" s="74" t="str">
        <f>IFERROR(__xludf.DUMMYFUNCTION("""COMPUTED_VALUE"""),"SEM-4")</f>
        <v>SEM-4</v>
      </c>
      <c r="P157" s="74"/>
      <c r="Q157" s="74"/>
      <c r="R157" s="74"/>
      <c r="S157" s="74"/>
      <c r="T157" s="74"/>
      <c r="U157" s="74"/>
      <c r="V157" s="74"/>
      <c r="W157" s="74"/>
      <c r="X157" s="74"/>
      <c r="Y157" s="74"/>
    </row>
    <row r="158" ht="26.25" customHeight="1">
      <c r="A158" s="74" t="str">
        <f>IFERROR(__xludf.DUMMYFUNCTION("""COMPUTED_VALUE"""),"ASHOK KUMAR KORNU")</f>
        <v>ASHOK KUMAR KORNU</v>
      </c>
      <c r="B158" s="74" t="str">
        <f>IFERROR(__xludf.DUMMYFUNCTION("""COMPUTED_VALUE"""),"19335A0509")</f>
        <v>19335A0509</v>
      </c>
      <c r="C158" s="90" t="str">
        <f>IFERROR(__xludf.DUMMYFUNCTION("""COMPUTED_VALUE"""),"Introduction to Packet Tracer")</f>
        <v>Introduction to Packet Tracer</v>
      </c>
      <c r="D158" s="74" t="str">
        <f>IFERROR(__xludf.DUMMYFUNCTION("""COMPUTED_VALUE"""),"CISCO")</f>
        <v>CISCO</v>
      </c>
      <c r="E158" s="74" t="str">
        <f>IFERROR(__xludf.DUMMYFUNCTION("""COMPUTED_VALUE"""),"1 MONTH")</f>
        <v>1 MONTH</v>
      </c>
      <c r="F158" s="91">
        <f>IFERROR(__xludf.DUMMYFUNCTION("""COMPUTED_VALUE"""),44287.0)</f>
        <v>44287</v>
      </c>
      <c r="G158" s="91">
        <f>IFERROR(__xludf.DUMMYFUNCTION("""COMPUTED_VALUE"""),44287.0)</f>
        <v>44287</v>
      </c>
      <c r="H158" s="79">
        <f>IFERROR(__xludf.DUMMYFUNCTION("""COMPUTED_VALUE"""),44287.0)</f>
        <v>44287</v>
      </c>
      <c r="I158" s="92">
        <f>IFERROR(__xludf.DUMMYFUNCTION("""COMPUTED_VALUE"""),100.0)</f>
        <v>100</v>
      </c>
      <c r="J158" s="74" t="str">
        <f>IFERROR(__xludf.DUMMYFUNCTION("""COMPUTED_VALUE"""),"DR. RAVI KIRAN VARMA PENMATSA")</f>
        <v>DR. RAVI KIRAN VARMA PENMATSA</v>
      </c>
      <c r="K158" s="80" t="str">
        <f>IFERROR(__xludf.DUMMYFUNCTION("""COMPUTED_VALUE"""),"https://drive.google.com/open?id=1jdJWtZhz8H41QJNUaf5RtjX52LNo8Api")</f>
        <v>https://drive.google.com/open?id=1jdJWtZhz8H41QJNUaf5RtjX52LNo8Api</v>
      </c>
      <c r="L158" s="74" t="str">
        <f>IFERROR(__xludf.DUMMYFUNCTION("""COMPUTED_VALUE"""),"2018-2022")</f>
        <v>2018-2022</v>
      </c>
      <c r="M158" s="74" t="str">
        <f>IFERROR(__xludf.DUMMYFUNCTION("""COMPUTED_VALUE"""),"S4: Student Certifications")</f>
        <v>S4: Student Certifications</v>
      </c>
      <c r="N158" s="74" t="str">
        <f>IFERROR(__xludf.DUMMYFUNCTION("""COMPUTED_VALUE"""),"ashokkumarkornu2000@gmail.com")</f>
        <v>ashokkumarkornu2000@gmail.com</v>
      </c>
      <c r="O158" s="74" t="str">
        <f>IFERROR(__xludf.DUMMYFUNCTION("""COMPUTED_VALUE"""),"SEM-4")</f>
        <v>SEM-4</v>
      </c>
      <c r="P158" s="74"/>
      <c r="Q158" s="74"/>
      <c r="R158" s="74"/>
      <c r="S158" s="74"/>
      <c r="T158" s="74"/>
      <c r="U158" s="74"/>
      <c r="V158" s="74"/>
      <c r="W158" s="74"/>
      <c r="X158" s="74"/>
      <c r="Y158" s="74"/>
    </row>
    <row r="159" ht="26.25" customHeight="1">
      <c r="A159" s="74" t="str">
        <f>IFERROR(__xludf.DUMMYFUNCTION("""COMPUTED_VALUE"""),"ASHOK KUMAR KORNU")</f>
        <v>ASHOK KUMAR KORNU</v>
      </c>
      <c r="B159" s="74" t="str">
        <f>IFERROR(__xludf.DUMMYFUNCTION("""COMPUTED_VALUE"""),"19335A0509")</f>
        <v>19335A0509</v>
      </c>
      <c r="C159" s="90" t="str">
        <f>IFERROR(__xludf.DUMMYFUNCTION("""COMPUTED_VALUE"""),"Coderiders")</f>
        <v>Coderiders</v>
      </c>
      <c r="D159" s="74" t="str">
        <f>IFERROR(__xludf.DUMMYFUNCTION("""COMPUTED_VALUE"""),"CISCO")</f>
        <v>CISCO</v>
      </c>
      <c r="E159" s="74" t="str">
        <f>IFERROR(__xludf.DUMMYFUNCTION("""COMPUTED_VALUE"""),"1 MONTH")</f>
        <v>1 MONTH</v>
      </c>
      <c r="F159" s="91">
        <f>IFERROR(__xludf.DUMMYFUNCTION("""COMPUTED_VALUE"""),44348.0)</f>
        <v>44348</v>
      </c>
      <c r="G159" s="91">
        <f>IFERROR(__xludf.DUMMYFUNCTION("""COMPUTED_VALUE"""),44378.0)</f>
        <v>44378</v>
      </c>
      <c r="H159" s="79">
        <f>IFERROR(__xludf.DUMMYFUNCTION("""COMPUTED_VALUE"""),44378.0)</f>
        <v>44378</v>
      </c>
      <c r="I159" s="92">
        <f>IFERROR(__xludf.DUMMYFUNCTION("""COMPUTED_VALUE"""),100.0)</f>
        <v>100</v>
      </c>
      <c r="J159" s="74" t="str">
        <f>IFERROR(__xludf.DUMMYFUNCTION("""COMPUTED_VALUE"""),"NA")</f>
        <v>NA</v>
      </c>
      <c r="K159" s="80" t="str">
        <f>IFERROR(__xludf.DUMMYFUNCTION("""COMPUTED_VALUE"""),"https://drive.google.com/open?id=1nRDBC7pTdfCiYyaiOh-weXyRCKy4G_dh")</f>
        <v>https://drive.google.com/open?id=1nRDBC7pTdfCiYyaiOh-weXyRCKy4G_dh</v>
      </c>
      <c r="L159" s="74" t="str">
        <f>IFERROR(__xludf.DUMMYFUNCTION("""COMPUTED_VALUE"""),"2018-2022")</f>
        <v>2018-2022</v>
      </c>
      <c r="M159" s="74" t="str">
        <f>IFERROR(__xludf.DUMMYFUNCTION("""COMPUTED_VALUE"""),"S4: Student Certifications")</f>
        <v>S4: Student Certifications</v>
      </c>
      <c r="N159" s="74" t="str">
        <f>IFERROR(__xludf.DUMMYFUNCTION("""COMPUTED_VALUE"""),"ashokkumarkornu2000@gmail.com")</f>
        <v>ashokkumarkornu2000@gmail.com</v>
      </c>
      <c r="O159" s="74" t="str">
        <f>IFERROR(__xludf.DUMMYFUNCTION("""COMPUTED_VALUE"""),"SEM-5")</f>
        <v>SEM-5</v>
      </c>
      <c r="P159" s="74"/>
      <c r="Q159" s="74"/>
      <c r="R159" s="74"/>
      <c r="S159" s="74"/>
      <c r="T159" s="74"/>
      <c r="U159" s="74"/>
      <c r="V159" s="74"/>
      <c r="W159" s="74"/>
      <c r="X159" s="74"/>
      <c r="Y159" s="74"/>
    </row>
    <row r="160" ht="26.25" customHeight="1">
      <c r="A160" s="74" t="str">
        <f>IFERROR(__xludf.DUMMYFUNCTION("""COMPUTED_VALUE"""),"Bankupalli Srinidhi")</f>
        <v>Bankupalli Srinidhi</v>
      </c>
      <c r="B160" s="74" t="str">
        <f>IFERROR(__xludf.DUMMYFUNCTION("""COMPUTED_VALUE"""),"18331A0511")</f>
        <v>18331A0511</v>
      </c>
      <c r="C160" s="90" t="str">
        <f>IFERROR(__xludf.DUMMYFUNCTION("""COMPUTED_VALUE"""),"Html")</f>
        <v>Html</v>
      </c>
      <c r="D160" s="74" t="str">
        <f>IFERROR(__xludf.DUMMYFUNCTION("""COMPUTED_VALUE"""),"Coursera")</f>
        <v>Coursera</v>
      </c>
      <c r="E160" s="74" t="str">
        <f>IFERROR(__xludf.DUMMYFUNCTION("""COMPUTED_VALUE"""),"3 months ")</f>
        <v>3 months </v>
      </c>
      <c r="F160" s="91">
        <f>IFERROR(__xludf.DUMMYFUNCTION("""COMPUTED_VALUE"""),43983.0)</f>
        <v>43983</v>
      </c>
      <c r="G160" s="91">
        <f>IFERROR(__xludf.DUMMYFUNCTION("""COMPUTED_VALUE"""),44075.0)</f>
        <v>44075</v>
      </c>
      <c r="H160" s="79">
        <f>IFERROR(__xludf.DUMMYFUNCTION("""COMPUTED_VALUE"""),44084.0)</f>
        <v>44084</v>
      </c>
      <c r="I160" s="92">
        <f>IFERROR(__xludf.DUMMYFUNCTION("""COMPUTED_VALUE"""),80.0)</f>
        <v>80</v>
      </c>
      <c r="J160" s="74" t="str">
        <f>IFERROR(__xludf.DUMMYFUNCTION("""COMPUTED_VALUE"""),"Ram santhosh naidu ")</f>
        <v>Ram santhosh naidu </v>
      </c>
      <c r="K160" s="80" t="str">
        <f>IFERROR(__xludf.DUMMYFUNCTION("""COMPUTED_VALUE"""),"https://drive.google.com/open?id=10DIYGLHZ9tYfI1fQ5KChqCTvurgWNlZo")</f>
        <v>https://drive.google.com/open?id=10DIYGLHZ9tYfI1fQ5KChqCTvurgWNlZo</v>
      </c>
      <c r="L160" s="74" t="str">
        <f>IFERROR(__xludf.DUMMYFUNCTION("""COMPUTED_VALUE"""),"2018-2022")</f>
        <v>2018-2022</v>
      </c>
      <c r="M160" s="74" t="str">
        <f>IFERROR(__xludf.DUMMYFUNCTION("""COMPUTED_VALUE"""),"S4: Student Certifications")</f>
        <v>S4: Student Certifications</v>
      </c>
      <c r="N160" s="74" t="str">
        <f>IFERROR(__xludf.DUMMYFUNCTION("""COMPUTED_VALUE"""),"srinidhivishwanath01@gmail.com")</f>
        <v>srinidhivishwanath01@gmail.com</v>
      </c>
      <c r="O160" s="74" t="str">
        <f>IFERROR(__xludf.DUMMYFUNCTION("""COMPUTED_VALUE"""),"SEM-8")</f>
        <v>SEM-8</v>
      </c>
      <c r="P160" s="74"/>
      <c r="Q160" s="74"/>
      <c r="R160" s="74"/>
      <c r="S160" s="74"/>
      <c r="T160" s="74"/>
      <c r="U160" s="74"/>
      <c r="V160" s="74"/>
      <c r="W160" s="74"/>
      <c r="X160" s="74"/>
      <c r="Y160" s="74"/>
    </row>
    <row r="161" ht="26.25" customHeight="1">
      <c r="A161" s="74" t="str">
        <f>IFERROR(__xludf.DUMMYFUNCTION("""COMPUTED_VALUE"""),"Bankupalli Srinidhi")</f>
        <v>Bankupalli Srinidhi</v>
      </c>
      <c r="B161" s="74" t="str">
        <f>IFERROR(__xludf.DUMMYFUNCTION("""COMPUTED_VALUE"""),"18331A0511")</f>
        <v>18331A0511</v>
      </c>
      <c r="C161" s="90" t="str">
        <f>IFERROR(__xludf.DUMMYFUNCTION("""COMPUTED_VALUE"""),"Javascript")</f>
        <v>Javascript</v>
      </c>
      <c r="D161" s="74" t="str">
        <f>IFERROR(__xludf.DUMMYFUNCTION("""COMPUTED_VALUE"""),"Coursera")</f>
        <v>Coursera</v>
      </c>
      <c r="E161" s="74" t="str">
        <f>IFERROR(__xludf.DUMMYFUNCTION("""COMPUTED_VALUE"""),"3 months")</f>
        <v>3 months</v>
      </c>
      <c r="F161" s="91">
        <f>IFERROR(__xludf.DUMMYFUNCTION("""COMPUTED_VALUE"""),43983.0)</f>
        <v>43983</v>
      </c>
      <c r="G161" s="91">
        <f>IFERROR(__xludf.DUMMYFUNCTION("""COMPUTED_VALUE"""),44075.0)</f>
        <v>44075</v>
      </c>
      <c r="H161" s="79">
        <f>IFERROR(__xludf.DUMMYFUNCTION("""COMPUTED_VALUE"""),44084.0)</f>
        <v>44084</v>
      </c>
      <c r="I161" s="92">
        <f>IFERROR(__xludf.DUMMYFUNCTION("""COMPUTED_VALUE"""),80.0)</f>
        <v>80</v>
      </c>
      <c r="J161" s="74" t="str">
        <f>IFERROR(__xludf.DUMMYFUNCTION("""COMPUTED_VALUE"""),"Ram santhosh naidu")</f>
        <v>Ram santhosh naidu</v>
      </c>
      <c r="K161" s="80" t="str">
        <f>IFERROR(__xludf.DUMMYFUNCTION("""COMPUTED_VALUE"""),"https://drive.google.com/open?id=1Nir40EKmnh1bKY3MAizZPSeaLrKAGV1h")</f>
        <v>https://drive.google.com/open?id=1Nir40EKmnh1bKY3MAizZPSeaLrKAGV1h</v>
      </c>
      <c r="L161" s="74" t="str">
        <f>IFERROR(__xludf.DUMMYFUNCTION("""COMPUTED_VALUE"""),"2018-2022")</f>
        <v>2018-2022</v>
      </c>
      <c r="M161" s="74" t="str">
        <f>IFERROR(__xludf.DUMMYFUNCTION("""COMPUTED_VALUE"""),"S4: Student Certifications")</f>
        <v>S4: Student Certifications</v>
      </c>
      <c r="N161" s="74" t="str">
        <f>IFERROR(__xludf.DUMMYFUNCTION("""COMPUTED_VALUE"""),"srinidhivishwanath01@gmail.com")</f>
        <v>srinidhivishwanath01@gmail.com</v>
      </c>
      <c r="O161" s="74" t="str">
        <f>IFERROR(__xludf.DUMMYFUNCTION("""COMPUTED_VALUE"""),"SEM-8")</f>
        <v>SEM-8</v>
      </c>
      <c r="P161" s="74"/>
      <c r="Q161" s="74"/>
      <c r="R161" s="74"/>
      <c r="S161" s="74"/>
      <c r="T161" s="74"/>
      <c r="U161" s="74"/>
      <c r="V161" s="74"/>
      <c r="W161" s="74"/>
      <c r="X161" s="74"/>
      <c r="Y161" s="74"/>
    </row>
    <row r="162" ht="26.25" customHeight="1">
      <c r="A162" s="78" t="str">
        <f>IFERROR(__xludf.DUMMYFUNCTION("""COMPUTED_VALUE"""),"ASHOK KUMAR KORNU")</f>
        <v>ASHOK KUMAR KORNU</v>
      </c>
      <c r="B162" s="78" t="str">
        <f>IFERROR(__xludf.DUMMYFUNCTION("""COMPUTED_VALUE"""),"19335A0509")</f>
        <v>19335A0509</v>
      </c>
      <c r="C162" s="93" t="str">
        <f>IFERROR(__xludf.DUMMYFUNCTION("""COMPUTED_VALUE"""),"SQL QUIZ")</f>
        <v>SQL QUIZ</v>
      </c>
      <c r="D162" s="78" t="str">
        <f>IFERROR(__xludf.DUMMYFUNCTION("""COMPUTED_VALUE"""),"Vignan’s Institute of Engineering")</f>
        <v>Vignan’s Institute of Engineering</v>
      </c>
      <c r="E162" s="78" t="str">
        <f>IFERROR(__xludf.DUMMYFUNCTION("""COMPUTED_VALUE"""),"1 DAY")</f>
        <v>1 DAY</v>
      </c>
      <c r="F162" s="94">
        <f>IFERROR(__xludf.DUMMYFUNCTION("""COMPUTED_VALUE"""),43979.0)</f>
        <v>43979</v>
      </c>
      <c r="G162" s="94">
        <f>IFERROR(__xludf.DUMMYFUNCTION("""COMPUTED_VALUE"""),43979.0)</f>
        <v>43979</v>
      </c>
      <c r="H162" s="84">
        <f>IFERROR(__xludf.DUMMYFUNCTION("""COMPUTED_VALUE"""),43979.0)</f>
        <v>43979</v>
      </c>
      <c r="I162" s="95">
        <f>IFERROR(__xludf.DUMMYFUNCTION("""COMPUTED_VALUE"""),100.0)</f>
        <v>100</v>
      </c>
      <c r="J162" s="78" t="str">
        <f>IFERROR(__xludf.DUMMYFUNCTION("""COMPUTED_VALUE"""),"NA")</f>
        <v>NA</v>
      </c>
      <c r="K162" s="85" t="str">
        <f>IFERROR(__xludf.DUMMYFUNCTION("""COMPUTED_VALUE"""),"https://drive.google.com/open?id=1ZF9MwusSUKSs-S0c6iZa-SxEZTgYzEi5")</f>
        <v>https://drive.google.com/open?id=1ZF9MwusSUKSs-S0c6iZa-SxEZTgYzEi5</v>
      </c>
      <c r="L162" s="78" t="str">
        <f>IFERROR(__xludf.DUMMYFUNCTION("""COMPUTED_VALUE"""),"2018-2022")</f>
        <v>2018-2022</v>
      </c>
      <c r="M162" s="78" t="str">
        <f>IFERROR(__xludf.DUMMYFUNCTION("""COMPUTED_VALUE"""),"S4: Student Certifications")</f>
        <v>S4: Student Certifications</v>
      </c>
      <c r="N162" s="78" t="str">
        <f>IFERROR(__xludf.DUMMYFUNCTION("""COMPUTED_VALUE"""),"ashokkumarkornu2000@gmail.com")</f>
        <v>ashokkumarkornu2000@gmail.com</v>
      </c>
      <c r="O162" s="78" t="str">
        <f>IFERROR(__xludf.DUMMYFUNCTION("""COMPUTED_VALUE"""),"SEM-4")</f>
        <v>SEM-4</v>
      </c>
      <c r="P162" s="78"/>
      <c r="Q162" s="78"/>
      <c r="R162" s="78"/>
      <c r="S162" s="78"/>
      <c r="T162" s="78"/>
      <c r="U162" s="78"/>
      <c r="V162" s="78"/>
      <c r="W162" s="78"/>
      <c r="X162" s="78"/>
      <c r="Y162" s="78"/>
    </row>
    <row r="163" ht="26.25" customHeight="1">
      <c r="A163" s="74" t="str">
        <f>IFERROR(__xludf.DUMMYFUNCTION("""COMPUTED_VALUE"""),"Bankupalli Srinidhi")</f>
        <v>Bankupalli Srinidhi</v>
      </c>
      <c r="B163" s="74" t="str">
        <f>IFERROR(__xludf.DUMMYFUNCTION("""COMPUTED_VALUE"""),"18331A0511")</f>
        <v>18331A0511</v>
      </c>
      <c r="C163" s="90" t="str">
        <f>IFERROR(__xludf.DUMMYFUNCTION("""COMPUTED_VALUE"""),"Css")</f>
        <v>Css</v>
      </c>
      <c r="D163" s="74" t="str">
        <f>IFERROR(__xludf.DUMMYFUNCTION("""COMPUTED_VALUE"""),"Coursera")</f>
        <v>Coursera</v>
      </c>
      <c r="E163" s="74" t="str">
        <f>IFERROR(__xludf.DUMMYFUNCTION("""COMPUTED_VALUE"""),"3 months")</f>
        <v>3 months</v>
      </c>
      <c r="F163" s="91">
        <f>IFERROR(__xludf.DUMMYFUNCTION("""COMPUTED_VALUE"""),43983.0)</f>
        <v>43983</v>
      </c>
      <c r="G163" s="91">
        <f>IFERROR(__xludf.DUMMYFUNCTION("""COMPUTED_VALUE"""),44075.0)</f>
        <v>44075</v>
      </c>
      <c r="H163" s="79">
        <f>IFERROR(__xludf.DUMMYFUNCTION("""COMPUTED_VALUE"""),44084.0)</f>
        <v>44084</v>
      </c>
      <c r="I163" s="92">
        <f>IFERROR(__xludf.DUMMYFUNCTION("""COMPUTED_VALUE"""),80.0)</f>
        <v>80</v>
      </c>
      <c r="J163" s="74" t="str">
        <f>IFERROR(__xludf.DUMMYFUNCTION("""COMPUTED_VALUE"""),"Ram santhosh naidu")</f>
        <v>Ram santhosh naidu</v>
      </c>
      <c r="K163" s="80" t="str">
        <f>IFERROR(__xludf.DUMMYFUNCTION("""COMPUTED_VALUE"""),"https://drive.google.com/open?id=16YuOgPrHQn_L_0OMIhQ71G9-Q5oVq_75")</f>
        <v>https://drive.google.com/open?id=16YuOgPrHQn_L_0OMIhQ71G9-Q5oVq_75</v>
      </c>
      <c r="L163" s="74" t="str">
        <f>IFERROR(__xludf.DUMMYFUNCTION("""COMPUTED_VALUE"""),"2018-2022")</f>
        <v>2018-2022</v>
      </c>
      <c r="M163" s="74" t="str">
        <f>IFERROR(__xludf.DUMMYFUNCTION("""COMPUTED_VALUE"""),"S4: Student Certifications")</f>
        <v>S4: Student Certifications</v>
      </c>
      <c r="N163" s="74" t="str">
        <f>IFERROR(__xludf.DUMMYFUNCTION("""COMPUTED_VALUE"""),"srinidhivishwanath01@gmail.com")</f>
        <v>srinidhivishwanath01@gmail.com</v>
      </c>
      <c r="O163" s="74" t="str">
        <f>IFERROR(__xludf.DUMMYFUNCTION("""COMPUTED_VALUE"""),"SEM-8")</f>
        <v>SEM-8</v>
      </c>
      <c r="P163" s="74"/>
      <c r="Q163" s="74"/>
      <c r="R163" s="74"/>
      <c r="S163" s="74"/>
      <c r="T163" s="74"/>
      <c r="U163" s="74"/>
      <c r="V163" s="74"/>
      <c r="W163" s="74"/>
      <c r="X163" s="74"/>
      <c r="Y163" s="74"/>
    </row>
    <row r="164" ht="26.25" customHeight="1">
      <c r="A164" s="74" t="str">
        <f>IFERROR(__xludf.DUMMYFUNCTION("""COMPUTED_VALUE"""),"GUMMALURI A V LAKSHMI SRI LEKHA")</f>
        <v>GUMMALURI A V LAKSHMI SRI LEKHA</v>
      </c>
      <c r="B164" s="74" t="str">
        <f>IFERROR(__xludf.DUMMYFUNCTION("""COMPUTED_VALUE"""),"18331A0555")</f>
        <v>18331A0555</v>
      </c>
      <c r="C164" s="90" t="str">
        <f>IFERROR(__xludf.DUMMYFUNCTION("""COMPUTED_VALUE"""),"css3")</f>
        <v>css3</v>
      </c>
      <c r="D164" s="74" t="str">
        <f>IFERROR(__xludf.DUMMYFUNCTION("""COMPUTED_VALUE"""),"University of Michigan")</f>
        <v>University of Michigan</v>
      </c>
      <c r="E164" s="74" t="str">
        <f>IFERROR(__xludf.DUMMYFUNCTION("""COMPUTED_VALUE"""),"1mnth")</f>
        <v>1mnth</v>
      </c>
      <c r="F164" s="91">
        <f>IFERROR(__xludf.DUMMYFUNCTION("""COMPUTED_VALUE"""),43952.0)</f>
        <v>43952</v>
      </c>
      <c r="G164" s="91">
        <f>IFERROR(__xludf.DUMMYFUNCTION("""COMPUTED_VALUE"""),43986.0)</f>
        <v>43986</v>
      </c>
      <c r="H164" s="79">
        <f>IFERROR(__xludf.DUMMYFUNCTION("""COMPUTED_VALUE"""),43986.0)</f>
        <v>43986</v>
      </c>
      <c r="I164" s="92">
        <f>IFERROR(__xludf.DUMMYFUNCTION("""COMPUTED_VALUE"""),88.0)</f>
        <v>88</v>
      </c>
      <c r="J164" s="74" t="str">
        <f>IFERROR(__xludf.DUMMYFUNCTION("""COMPUTED_VALUE"""),"NA")</f>
        <v>NA</v>
      </c>
      <c r="K164" s="80" t="str">
        <f>IFERROR(__xludf.DUMMYFUNCTION("""COMPUTED_VALUE"""),"https://drive.google.com/open?id=1wr-9g-h1nNPln7TH18Vd8LrJ__ulov_d")</f>
        <v>https://drive.google.com/open?id=1wr-9g-h1nNPln7TH18Vd8LrJ__ulov_d</v>
      </c>
      <c r="L164" s="74" t="str">
        <f>IFERROR(__xludf.DUMMYFUNCTION("""COMPUTED_VALUE"""),"2018-2022")</f>
        <v>2018-2022</v>
      </c>
      <c r="M164" s="74" t="str">
        <f>IFERROR(__xludf.DUMMYFUNCTION("""COMPUTED_VALUE"""),"S4: Student Certifications")</f>
        <v>S4: Student Certifications</v>
      </c>
      <c r="N164" s="74" t="str">
        <f>IFERROR(__xludf.DUMMYFUNCTION("""COMPUTED_VALUE"""),"lekhasree1430@gmail.com")</f>
        <v>lekhasree1430@gmail.com</v>
      </c>
      <c r="O164" s="74" t="str">
        <f>IFERROR(__xludf.DUMMYFUNCTION("""COMPUTED_VALUE"""),"SEM-8")</f>
        <v>SEM-8</v>
      </c>
      <c r="P164" s="74"/>
      <c r="Q164" s="74"/>
      <c r="R164" s="74"/>
      <c r="S164" s="74"/>
      <c r="T164" s="74"/>
      <c r="U164" s="74"/>
      <c r="V164" s="74"/>
      <c r="W164" s="74"/>
      <c r="X164" s="74"/>
      <c r="Y164" s="74"/>
    </row>
    <row r="165" ht="26.25" customHeight="1">
      <c r="A165" s="74" t="str">
        <f>IFERROR(__xludf.DUMMYFUNCTION("""COMPUTED_VALUE"""),"ASHOK KUMAR KORNU")</f>
        <v>ASHOK KUMAR KORNU</v>
      </c>
      <c r="B165" s="74" t="str">
        <f>IFERROR(__xludf.DUMMYFUNCTION("""COMPUTED_VALUE"""),"19335A0509")</f>
        <v>19335A0509</v>
      </c>
      <c r="C165" s="90" t="str">
        <f>IFERROR(__xludf.DUMMYFUNCTION("""COMPUTED_VALUE"""),"AL For Everyone")</f>
        <v>AL For Everyone</v>
      </c>
      <c r="D165" s="74" t="str">
        <f>IFERROR(__xludf.DUMMYFUNCTION("""COMPUTED_VALUE"""),"Coursera")</f>
        <v>Coursera</v>
      </c>
      <c r="E165" s="74" t="str">
        <f>IFERROR(__xludf.DUMMYFUNCTION("""COMPUTED_VALUE"""),"1 MONTH")</f>
        <v>1 MONTH</v>
      </c>
      <c r="F165" s="91">
        <f>IFERROR(__xludf.DUMMYFUNCTION("""COMPUTED_VALUE"""),44434.0)</f>
        <v>44434</v>
      </c>
      <c r="G165" s="91">
        <f>IFERROR(__xludf.DUMMYFUNCTION("""COMPUTED_VALUE"""),44465.0)</f>
        <v>44465</v>
      </c>
      <c r="H165" s="79">
        <f>IFERROR(__xludf.DUMMYFUNCTION("""COMPUTED_VALUE"""),44465.0)</f>
        <v>44465</v>
      </c>
      <c r="I165" s="92">
        <f>IFERROR(__xludf.DUMMYFUNCTION("""COMPUTED_VALUE"""),100.0)</f>
        <v>100</v>
      </c>
      <c r="J165" s="74" t="str">
        <f>IFERROR(__xludf.DUMMYFUNCTION("""COMPUTED_VALUE"""),"NA")</f>
        <v>NA</v>
      </c>
      <c r="K165" s="80" t="str">
        <f>IFERROR(__xludf.DUMMYFUNCTION("""COMPUTED_VALUE"""),"https://drive.google.com/open?id=16XuY4EmUqK2kjZQKWp85qX6PVR4EofpK")</f>
        <v>https://drive.google.com/open?id=16XuY4EmUqK2kjZQKWp85qX6PVR4EofpK</v>
      </c>
      <c r="L165" s="74" t="str">
        <f>IFERROR(__xludf.DUMMYFUNCTION("""COMPUTED_VALUE"""),"2018-2022")</f>
        <v>2018-2022</v>
      </c>
      <c r="M165" s="74" t="str">
        <f>IFERROR(__xludf.DUMMYFUNCTION("""COMPUTED_VALUE"""),"S4: Student Certifications")</f>
        <v>S4: Student Certifications</v>
      </c>
      <c r="N165" s="74" t="str">
        <f>IFERROR(__xludf.DUMMYFUNCTION("""COMPUTED_VALUE"""),"ashokkumarkornu2000@gmail.com")</f>
        <v>ashokkumarkornu2000@gmail.com</v>
      </c>
      <c r="O165" s="74" t="str">
        <f>IFERROR(__xludf.DUMMYFUNCTION("""COMPUTED_VALUE"""),"SEM-6")</f>
        <v>SEM-6</v>
      </c>
      <c r="P165" s="74"/>
      <c r="Q165" s="74"/>
      <c r="R165" s="74"/>
      <c r="S165" s="74"/>
      <c r="T165" s="74"/>
      <c r="U165" s="74"/>
      <c r="V165" s="74"/>
      <c r="W165" s="74"/>
      <c r="X165" s="74"/>
      <c r="Y165" s="74"/>
    </row>
    <row r="166" ht="26.25" customHeight="1">
      <c r="A166" s="74" t="str">
        <f>IFERROR(__xludf.DUMMYFUNCTION("""COMPUTED_VALUE"""),"GUMMALURI A V LAKSHMI SRI LEKHA")</f>
        <v>GUMMALURI A V LAKSHMI SRI LEKHA</v>
      </c>
      <c r="B166" s="74" t="str">
        <f>IFERROR(__xludf.DUMMYFUNCTION("""COMPUTED_VALUE"""),"18331A0555")</f>
        <v>18331A0555</v>
      </c>
      <c r="C166" s="90" t="str">
        <f>IFERROR(__xludf.DUMMYFUNCTION("""COMPUTED_VALUE"""),"Programming for everybody(getting started with python)")</f>
        <v>Programming for everybody(getting started with python)</v>
      </c>
      <c r="D166" s="74" t="str">
        <f>IFERROR(__xludf.DUMMYFUNCTION("""COMPUTED_VALUE"""),"University of Michigan(Coursera)")</f>
        <v>University of Michigan(Coursera)</v>
      </c>
      <c r="E166" s="74" t="str">
        <f>IFERROR(__xludf.DUMMYFUNCTION("""COMPUTED_VALUE"""),"1month")</f>
        <v>1month</v>
      </c>
      <c r="F166" s="91">
        <f>IFERROR(__xludf.DUMMYFUNCTION("""COMPUTED_VALUE"""),43952.0)</f>
        <v>43952</v>
      </c>
      <c r="G166" s="91">
        <f>IFERROR(__xludf.DUMMYFUNCTION("""COMPUTED_VALUE"""),43984.0)</f>
        <v>43984</v>
      </c>
      <c r="H166" s="79">
        <f>IFERROR(__xludf.DUMMYFUNCTION("""COMPUTED_VALUE"""),43984.0)</f>
        <v>43984</v>
      </c>
      <c r="I166" s="92">
        <f>IFERROR(__xludf.DUMMYFUNCTION("""COMPUTED_VALUE"""),90.0)</f>
        <v>90</v>
      </c>
      <c r="J166" s="74" t="str">
        <f>IFERROR(__xludf.DUMMYFUNCTION("""COMPUTED_VALUE"""),"NA")</f>
        <v>NA</v>
      </c>
      <c r="K166" s="80" t="str">
        <f>IFERROR(__xludf.DUMMYFUNCTION("""COMPUTED_VALUE"""),"https://drive.google.com/open?id=1lkOA7apObZaQGPC_yRymnEcyRs5JFC-y")</f>
        <v>https://drive.google.com/open?id=1lkOA7apObZaQGPC_yRymnEcyRs5JFC-y</v>
      </c>
      <c r="L166" s="74" t="str">
        <f>IFERROR(__xludf.DUMMYFUNCTION("""COMPUTED_VALUE"""),"2018-2022")</f>
        <v>2018-2022</v>
      </c>
      <c r="M166" s="74" t="str">
        <f>IFERROR(__xludf.DUMMYFUNCTION("""COMPUTED_VALUE"""),"S4: Student Certifications")</f>
        <v>S4: Student Certifications</v>
      </c>
      <c r="N166" s="74" t="str">
        <f>IFERROR(__xludf.DUMMYFUNCTION("""COMPUTED_VALUE"""),"lekhasree1430@gmail.com")</f>
        <v>lekhasree1430@gmail.com</v>
      </c>
      <c r="O166" s="74" t="str">
        <f>IFERROR(__xludf.DUMMYFUNCTION("""COMPUTED_VALUE"""),"SEM-8")</f>
        <v>SEM-8</v>
      </c>
      <c r="P166" s="74"/>
      <c r="Q166" s="74"/>
      <c r="R166" s="74"/>
      <c r="S166" s="74"/>
      <c r="T166" s="74"/>
      <c r="U166" s="74"/>
      <c r="V166" s="74"/>
      <c r="W166" s="74"/>
      <c r="X166" s="74"/>
      <c r="Y166" s="74"/>
    </row>
    <row r="167" ht="26.25" customHeight="1">
      <c r="A167" s="74" t="str">
        <f>IFERROR(__xludf.DUMMYFUNCTION("""COMPUTED_VALUE"""),"ASHOK KUMAR KORNU")</f>
        <v>ASHOK KUMAR KORNU</v>
      </c>
      <c r="B167" s="74" t="str">
        <f>IFERROR(__xludf.DUMMYFUNCTION("""COMPUTED_VALUE"""),"19335A0509")</f>
        <v>19335A0509</v>
      </c>
      <c r="C167" s="90" t="str">
        <f>IFERROR(__xludf.DUMMYFUNCTION("""COMPUTED_VALUE"""),"Crash Course on Python")</f>
        <v>Crash Course on Python</v>
      </c>
      <c r="D167" s="74" t="str">
        <f>IFERROR(__xludf.DUMMYFUNCTION("""COMPUTED_VALUE"""),"Coursera")</f>
        <v>Coursera</v>
      </c>
      <c r="E167" s="74" t="str">
        <f>IFERROR(__xludf.DUMMYFUNCTION("""COMPUTED_VALUE"""),"1 MONTH")</f>
        <v>1 MONTH</v>
      </c>
      <c r="F167" s="91">
        <f>IFERROR(__xludf.DUMMYFUNCTION("""COMPUTED_VALUE"""),44438.0)</f>
        <v>44438</v>
      </c>
      <c r="G167" s="91">
        <f>IFERROR(__xludf.DUMMYFUNCTION("""COMPUTED_VALUE"""),44469.0)</f>
        <v>44469</v>
      </c>
      <c r="H167" s="79">
        <f>IFERROR(__xludf.DUMMYFUNCTION("""COMPUTED_VALUE"""),44469.0)</f>
        <v>44469</v>
      </c>
      <c r="I167" s="92">
        <f>IFERROR(__xludf.DUMMYFUNCTION("""COMPUTED_VALUE"""),100.0)</f>
        <v>100</v>
      </c>
      <c r="J167" s="74" t="str">
        <f>IFERROR(__xludf.DUMMYFUNCTION("""COMPUTED_VALUE"""),"NA")</f>
        <v>NA</v>
      </c>
      <c r="K167" s="80" t="str">
        <f>IFERROR(__xludf.DUMMYFUNCTION("""COMPUTED_VALUE"""),"https://drive.google.com/open?id=1a01qIrRTj6Es2vSmI86QnjWKufkpZF5_")</f>
        <v>https://drive.google.com/open?id=1a01qIrRTj6Es2vSmI86QnjWKufkpZF5_</v>
      </c>
      <c r="L167" s="74" t="str">
        <f>IFERROR(__xludf.DUMMYFUNCTION("""COMPUTED_VALUE"""),"2018-2022")</f>
        <v>2018-2022</v>
      </c>
      <c r="M167" s="74" t="str">
        <f>IFERROR(__xludf.DUMMYFUNCTION("""COMPUTED_VALUE"""),"S4: Student Certifications")</f>
        <v>S4: Student Certifications</v>
      </c>
      <c r="N167" s="74" t="str">
        <f>IFERROR(__xludf.DUMMYFUNCTION("""COMPUTED_VALUE"""),"ashokkumarkornu2000@gmail.com")</f>
        <v>ashokkumarkornu2000@gmail.com</v>
      </c>
      <c r="O167" s="74" t="str">
        <f>IFERROR(__xludf.DUMMYFUNCTION("""COMPUTED_VALUE"""),"SEM-6")</f>
        <v>SEM-6</v>
      </c>
      <c r="P167" s="74"/>
      <c r="Q167" s="74"/>
      <c r="R167" s="74"/>
      <c r="S167" s="74"/>
      <c r="T167" s="74"/>
      <c r="U167" s="74"/>
      <c r="V167" s="74"/>
      <c r="W167" s="74"/>
      <c r="X167" s="74"/>
      <c r="Y167" s="74"/>
    </row>
    <row r="168" ht="26.25" customHeight="1">
      <c r="A168" s="74" t="str">
        <f>IFERROR(__xludf.DUMMYFUNCTION("""COMPUTED_VALUE"""),"GUMMALURI A V LAKSHMI SRI LEKHA")</f>
        <v>GUMMALURI A V LAKSHMI SRI LEKHA</v>
      </c>
      <c r="B168" s="74" t="str">
        <f>IFERROR(__xludf.DUMMYFUNCTION("""COMPUTED_VALUE"""),"18331A0555")</f>
        <v>18331A0555</v>
      </c>
      <c r="C168" s="90" t="str">
        <f>IFERROR(__xludf.DUMMYFUNCTION("""COMPUTED_VALUE"""),"Cloud Identity")</f>
        <v>Cloud Identity</v>
      </c>
      <c r="D168" s="74" t="str">
        <f>IFERROR(__xludf.DUMMYFUNCTION("""COMPUTED_VALUE"""),"University of Michigan(Coursera)")</f>
        <v>University of Michigan(Coursera)</v>
      </c>
      <c r="E168" s="74" t="str">
        <f>IFERROR(__xludf.DUMMYFUNCTION("""COMPUTED_VALUE"""),"1month")</f>
        <v>1month</v>
      </c>
      <c r="F168" s="91">
        <f>IFERROR(__xludf.DUMMYFUNCTION("""COMPUTED_VALUE"""),43952.0)</f>
        <v>43952</v>
      </c>
      <c r="G168" s="91">
        <f>IFERROR(__xludf.DUMMYFUNCTION("""COMPUTED_VALUE"""),43984.0)</f>
        <v>43984</v>
      </c>
      <c r="H168" s="79">
        <f>IFERROR(__xludf.DUMMYFUNCTION("""COMPUTED_VALUE"""),43984.0)</f>
        <v>43984</v>
      </c>
      <c r="I168" s="92">
        <f>IFERROR(__xludf.DUMMYFUNCTION("""COMPUTED_VALUE"""),87.0)</f>
        <v>87</v>
      </c>
      <c r="J168" s="74" t="str">
        <f>IFERROR(__xludf.DUMMYFUNCTION("""COMPUTED_VALUE"""),"NA")</f>
        <v>NA</v>
      </c>
      <c r="K168" s="80" t="str">
        <f>IFERROR(__xludf.DUMMYFUNCTION("""COMPUTED_VALUE"""),"https://drive.google.com/open?id=1usRNj28J-Yv6kinZKevnEFcpZdFjXnlv")</f>
        <v>https://drive.google.com/open?id=1usRNj28J-Yv6kinZKevnEFcpZdFjXnlv</v>
      </c>
      <c r="L168" s="74" t="str">
        <f>IFERROR(__xludf.DUMMYFUNCTION("""COMPUTED_VALUE"""),"2018-2022")</f>
        <v>2018-2022</v>
      </c>
      <c r="M168" s="74" t="str">
        <f>IFERROR(__xludf.DUMMYFUNCTION("""COMPUTED_VALUE"""),"S4: Student Certifications")</f>
        <v>S4: Student Certifications</v>
      </c>
      <c r="N168" s="74" t="str">
        <f>IFERROR(__xludf.DUMMYFUNCTION("""COMPUTED_VALUE"""),"lekhasree1430@gmail.com")</f>
        <v>lekhasree1430@gmail.com</v>
      </c>
      <c r="O168" s="74" t="str">
        <f>IFERROR(__xludf.DUMMYFUNCTION("""COMPUTED_VALUE"""),"SEM-8")</f>
        <v>SEM-8</v>
      </c>
      <c r="P168" s="74"/>
      <c r="Q168" s="74"/>
      <c r="R168" s="74"/>
      <c r="S168" s="74"/>
      <c r="T168" s="74"/>
      <c r="U168" s="74"/>
      <c r="V168" s="74"/>
      <c r="W168" s="74"/>
      <c r="X168" s="74"/>
      <c r="Y168" s="74"/>
    </row>
    <row r="169" ht="26.25" customHeight="1">
      <c r="A169" s="74" t="str">
        <f>IFERROR(__xludf.DUMMYFUNCTION("""COMPUTED_VALUE"""),"ASHOK KUMAR KORNU")</f>
        <v>ASHOK KUMAR KORNU</v>
      </c>
      <c r="B169" s="74" t="str">
        <f>IFERROR(__xludf.DUMMYFUNCTION("""COMPUTED_VALUE"""),"19335A0509")</f>
        <v>19335A0509</v>
      </c>
      <c r="C169" s="90" t="str">
        <f>IFERROR(__xludf.DUMMYFUNCTION("""COMPUTED_VALUE"""),"Tracking Student Growth using Google Slides")</f>
        <v>Tracking Student Growth using Google Slides</v>
      </c>
      <c r="D169" s="74" t="str">
        <f>IFERROR(__xludf.DUMMYFUNCTION("""COMPUTED_VALUE"""),"Coursera")</f>
        <v>Coursera</v>
      </c>
      <c r="E169" s="74" t="str">
        <f>IFERROR(__xludf.DUMMYFUNCTION("""COMPUTED_VALUE"""),"1 MONTH")</f>
        <v>1 MONTH</v>
      </c>
      <c r="F169" s="91">
        <f>IFERROR(__xludf.DUMMYFUNCTION("""COMPUTED_VALUE"""),44438.0)</f>
        <v>44438</v>
      </c>
      <c r="G169" s="91">
        <f>IFERROR(__xludf.DUMMYFUNCTION("""COMPUTED_VALUE"""),44469.0)</f>
        <v>44469</v>
      </c>
      <c r="H169" s="79">
        <f>IFERROR(__xludf.DUMMYFUNCTION("""COMPUTED_VALUE"""),44469.0)</f>
        <v>44469</v>
      </c>
      <c r="I169" s="92">
        <f>IFERROR(__xludf.DUMMYFUNCTION("""COMPUTED_VALUE"""),100.0)</f>
        <v>100</v>
      </c>
      <c r="J169" s="74" t="str">
        <f>IFERROR(__xludf.DUMMYFUNCTION("""COMPUTED_VALUE"""),"NA")</f>
        <v>NA</v>
      </c>
      <c r="K169" s="80" t="str">
        <f>IFERROR(__xludf.DUMMYFUNCTION("""COMPUTED_VALUE"""),"https://drive.google.com/open?id=1MX5GaLHjFSuq5PDC4RNThxuwL5EraFCr")</f>
        <v>https://drive.google.com/open?id=1MX5GaLHjFSuq5PDC4RNThxuwL5EraFCr</v>
      </c>
      <c r="L169" s="74" t="str">
        <f>IFERROR(__xludf.DUMMYFUNCTION("""COMPUTED_VALUE"""),"2018-2022")</f>
        <v>2018-2022</v>
      </c>
      <c r="M169" s="74" t="str">
        <f>IFERROR(__xludf.DUMMYFUNCTION("""COMPUTED_VALUE"""),"S4: Student Certifications")</f>
        <v>S4: Student Certifications</v>
      </c>
      <c r="N169" s="74" t="str">
        <f>IFERROR(__xludf.DUMMYFUNCTION("""COMPUTED_VALUE"""),"ashokkumarkornu2000@gmail.com")</f>
        <v>ashokkumarkornu2000@gmail.com</v>
      </c>
      <c r="O169" s="74" t="str">
        <f>IFERROR(__xludf.DUMMYFUNCTION("""COMPUTED_VALUE"""),"SEM-6")</f>
        <v>SEM-6</v>
      </c>
      <c r="P169" s="74"/>
      <c r="Q169" s="74"/>
      <c r="R169" s="74"/>
      <c r="S169" s="74"/>
      <c r="T169" s="74"/>
      <c r="U169" s="74"/>
      <c r="V169" s="74"/>
      <c r="W169" s="74"/>
      <c r="X169" s="74"/>
      <c r="Y169" s="74"/>
    </row>
    <row r="170" ht="26.25" customHeight="1">
      <c r="A170" s="74" t="str">
        <f>IFERROR(__xludf.DUMMYFUNCTION("""COMPUTED_VALUE"""),"GUMMALURI A V LAKSHMI SRI LEKHA")</f>
        <v>GUMMALURI A V LAKSHMI SRI LEKHA</v>
      </c>
      <c r="B170" s="74" t="str">
        <f>IFERROR(__xludf.DUMMYFUNCTION("""COMPUTED_VALUE"""),"18331A0555")</f>
        <v>18331A0555</v>
      </c>
      <c r="C170" s="90" t="str">
        <f>IFERROR(__xludf.DUMMYFUNCTION("""COMPUTED_VALUE"""),"HTML5")</f>
        <v>HTML5</v>
      </c>
      <c r="D170" s="74" t="str">
        <f>IFERROR(__xludf.DUMMYFUNCTION("""COMPUTED_VALUE"""),"University of Michigan(Coursera)")</f>
        <v>University of Michigan(Coursera)</v>
      </c>
      <c r="E170" s="74" t="str">
        <f>IFERROR(__xludf.DUMMYFUNCTION("""COMPUTED_VALUE"""),"1month")</f>
        <v>1month</v>
      </c>
      <c r="F170" s="91">
        <f>IFERROR(__xludf.DUMMYFUNCTION("""COMPUTED_VALUE"""),43952.0)</f>
        <v>43952</v>
      </c>
      <c r="G170" s="91">
        <f>IFERROR(__xludf.DUMMYFUNCTION("""COMPUTED_VALUE"""),43982.0)</f>
        <v>43982</v>
      </c>
      <c r="H170" s="79">
        <f>IFERROR(__xludf.DUMMYFUNCTION("""COMPUTED_VALUE"""),43982.0)</f>
        <v>43982</v>
      </c>
      <c r="I170" s="92">
        <f>IFERROR(__xludf.DUMMYFUNCTION("""COMPUTED_VALUE"""),80.0)</f>
        <v>80</v>
      </c>
      <c r="J170" s="74" t="str">
        <f>IFERROR(__xludf.DUMMYFUNCTION("""COMPUTED_VALUE"""),"NA")</f>
        <v>NA</v>
      </c>
      <c r="K170" s="80" t="str">
        <f>IFERROR(__xludf.DUMMYFUNCTION("""COMPUTED_VALUE"""),"https://drive.google.com/open?id=1XD6n55u4083weBmzcpH610mjDGhsoYfd")</f>
        <v>https://drive.google.com/open?id=1XD6n55u4083weBmzcpH610mjDGhsoYfd</v>
      </c>
      <c r="L170" s="74" t="str">
        <f>IFERROR(__xludf.DUMMYFUNCTION("""COMPUTED_VALUE"""),"2018-2022")</f>
        <v>2018-2022</v>
      </c>
      <c r="M170" s="74" t="str">
        <f>IFERROR(__xludf.DUMMYFUNCTION("""COMPUTED_VALUE"""),"S4: Student Certifications")</f>
        <v>S4: Student Certifications</v>
      </c>
      <c r="N170" s="74" t="str">
        <f>IFERROR(__xludf.DUMMYFUNCTION("""COMPUTED_VALUE"""),"lekhasree1430@gmail.com")</f>
        <v>lekhasree1430@gmail.com</v>
      </c>
      <c r="O170" s="74" t="str">
        <f>IFERROR(__xludf.DUMMYFUNCTION("""COMPUTED_VALUE"""),"SEM-8")</f>
        <v>SEM-8</v>
      </c>
      <c r="P170" s="74"/>
      <c r="Q170" s="74"/>
      <c r="R170" s="74"/>
      <c r="S170" s="74"/>
      <c r="T170" s="74"/>
      <c r="U170" s="74"/>
      <c r="V170" s="74"/>
      <c r="W170" s="74"/>
      <c r="X170" s="74"/>
      <c r="Y170" s="74"/>
    </row>
    <row r="171" ht="26.25" customHeight="1">
      <c r="A171" s="74" t="str">
        <f>IFERROR(__xludf.DUMMYFUNCTION("""COMPUTED_VALUE"""),"GUMMALURI A V LAKSHMI SRI LEKHA")</f>
        <v>GUMMALURI A V LAKSHMI SRI LEKHA</v>
      </c>
      <c r="B171" s="74" t="str">
        <f>IFERROR(__xludf.DUMMYFUNCTION("""COMPUTED_VALUE"""),"18331A0555")</f>
        <v>18331A0555</v>
      </c>
      <c r="C171" s="90" t="str">
        <f>IFERROR(__xludf.DUMMYFUNCTION("""COMPUTED_VALUE"""),"JavaScript")</f>
        <v>JavaScript</v>
      </c>
      <c r="D171" s="74" t="str">
        <f>IFERROR(__xludf.DUMMYFUNCTION("""COMPUTED_VALUE"""),"University of Michigan(Coursera)")</f>
        <v>University of Michigan(Coursera)</v>
      </c>
      <c r="E171" s="74" t="str">
        <f>IFERROR(__xludf.DUMMYFUNCTION("""COMPUTED_VALUE"""),"1month")</f>
        <v>1month</v>
      </c>
      <c r="F171" s="91">
        <f>IFERROR(__xludf.DUMMYFUNCTION("""COMPUTED_VALUE"""),43952.0)</f>
        <v>43952</v>
      </c>
      <c r="G171" s="91">
        <f>IFERROR(__xludf.DUMMYFUNCTION("""COMPUTED_VALUE"""),43984.0)</f>
        <v>43984</v>
      </c>
      <c r="H171" s="79">
        <f>IFERROR(__xludf.DUMMYFUNCTION("""COMPUTED_VALUE"""),43984.0)</f>
        <v>43984</v>
      </c>
      <c r="I171" s="92">
        <f>IFERROR(__xludf.DUMMYFUNCTION("""COMPUTED_VALUE"""),78.0)</f>
        <v>78</v>
      </c>
      <c r="J171" s="74" t="str">
        <f>IFERROR(__xludf.DUMMYFUNCTION("""COMPUTED_VALUE"""),"NA")</f>
        <v>NA</v>
      </c>
      <c r="K171" s="80" t="str">
        <f>IFERROR(__xludf.DUMMYFUNCTION("""COMPUTED_VALUE"""),"https://drive.google.com/open?id=1fr51ofb1W2cxRhP0PDjYmOEyIGpYgfmd")</f>
        <v>https://drive.google.com/open?id=1fr51ofb1W2cxRhP0PDjYmOEyIGpYgfmd</v>
      </c>
      <c r="L171" s="74" t="str">
        <f>IFERROR(__xludf.DUMMYFUNCTION("""COMPUTED_VALUE"""),"2018-2022")</f>
        <v>2018-2022</v>
      </c>
      <c r="M171" s="74" t="str">
        <f>IFERROR(__xludf.DUMMYFUNCTION("""COMPUTED_VALUE"""),"S4: Student Certifications")</f>
        <v>S4: Student Certifications</v>
      </c>
      <c r="N171" s="74" t="str">
        <f>IFERROR(__xludf.DUMMYFUNCTION("""COMPUTED_VALUE"""),"lekhasree1430@gmail.com")</f>
        <v>lekhasree1430@gmail.com</v>
      </c>
      <c r="O171" s="74" t="str">
        <f>IFERROR(__xludf.DUMMYFUNCTION("""COMPUTED_VALUE"""),"SEM-8")</f>
        <v>SEM-8</v>
      </c>
      <c r="P171" s="74"/>
      <c r="Q171" s="74"/>
      <c r="R171" s="74"/>
      <c r="S171" s="74"/>
      <c r="T171" s="74"/>
      <c r="U171" s="74"/>
      <c r="V171" s="74"/>
      <c r="W171" s="74"/>
      <c r="X171" s="74"/>
      <c r="Y171" s="74"/>
    </row>
    <row r="172" ht="26.25" customHeight="1">
      <c r="A172" s="74" t="str">
        <f>IFERROR(__xludf.DUMMYFUNCTION("""COMPUTED_VALUE"""),"GUMMALURI A V LAKSHMI SRI LEKHA")</f>
        <v>GUMMALURI A V LAKSHMI SRI LEKHA</v>
      </c>
      <c r="B172" s="74" t="str">
        <f>IFERROR(__xludf.DUMMYFUNCTION("""COMPUTED_VALUE"""),"18331A0555")</f>
        <v>18331A0555</v>
      </c>
      <c r="C172" s="90" t="str">
        <f>IFERROR(__xludf.DUMMYFUNCTION("""COMPUTED_VALUE"""),"Webdevelopment")</f>
        <v>Webdevelopment</v>
      </c>
      <c r="D172" s="74" t="str">
        <f>IFERROR(__xludf.DUMMYFUNCTION("""COMPUTED_VALUE"""),"Coursera")</f>
        <v>Coursera</v>
      </c>
      <c r="E172" s="74" t="str">
        <f>IFERROR(__xludf.DUMMYFUNCTION("""COMPUTED_VALUE"""),"1month")</f>
        <v>1month</v>
      </c>
      <c r="F172" s="91">
        <f>IFERROR(__xludf.DUMMYFUNCTION("""COMPUTED_VALUE"""),43929.0)</f>
        <v>43929</v>
      </c>
      <c r="G172" s="91">
        <f>IFERROR(__xludf.DUMMYFUNCTION("""COMPUTED_VALUE"""),43960.0)</f>
        <v>43960</v>
      </c>
      <c r="H172" s="79">
        <f>IFERROR(__xludf.DUMMYFUNCTION("""COMPUTED_VALUE"""),43960.0)</f>
        <v>43960</v>
      </c>
      <c r="I172" s="92">
        <f>IFERROR(__xludf.DUMMYFUNCTION("""COMPUTED_VALUE"""),89.0)</f>
        <v>89</v>
      </c>
      <c r="J172" s="74" t="str">
        <f>IFERROR(__xludf.DUMMYFUNCTION("""COMPUTED_VALUE"""),"NA")</f>
        <v>NA</v>
      </c>
      <c r="K172" s="80" t="str">
        <f>IFERROR(__xludf.DUMMYFUNCTION("""COMPUTED_VALUE"""),"https://drive.google.com/open?id=1DYVycUg39LYXa1MTaM-5hZYiPhY52zHM")</f>
        <v>https://drive.google.com/open?id=1DYVycUg39LYXa1MTaM-5hZYiPhY52zHM</v>
      </c>
      <c r="L172" s="74" t="str">
        <f>IFERROR(__xludf.DUMMYFUNCTION("""COMPUTED_VALUE"""),"2018-2022")</f>
        <v>2018-2022</v>
      </c>
      <c r="M172" s="74" t="str">
        <f>IFERROR(__xludf.DUMMYFUNCTION("""COMPUTED_VALUE"""),"S4: Student Certifications")</f>
        <v>S4: Student Certifications</v>
      </c>
      <c r="N172" s="74" t="str">
        <f>IFERROR(__xludf.DUMMYFUNCTION("""COMPUTED_VALUE"""),"lekhasree1430@gmail.com")</f>
        <v>lekhasree1430@gmail.com</v>
      </c>
      <c r="O172" s="74" t="str">
        <f>IFERROR(__xludf.DUMMYFUNCTION("""COMPUTED_VALUE"""),"SEM-8")</f>
        <v>SEM-8</v>
      </c>
      <c r="P172" s="74"/>
      <c r="Q172" s="74"/>
      <c r="R172" s="74"/>
      <c r="S172" s="74"/>
      <c r="T172" s="74"/>
      <c r="U172" s="74"/>
      <c r="V172" s="74"/>
      <c r="W172" s="74"/>
      <c r="X172" s="74"/>
      <c r="Y172" s="74"/>
    </row>
    <row r="173" ht="26.25" customHeight="1">
      <c r="A173" s="74" t="str">
        <f>IFERROR(__xludf.DUMMYFUNCTION("""COMPUTED_VALUE"""),"GUMMALURI A V LAKSHMI SRI LEKHA")</f>
        <v>GUMMALURI A V LAKSHMI SRI LEKHA</v>
      </c>
      <c r="B173" s="74" t="str">
        <f>IFERROR(__xludf.DUMMYFUNCTION("""COMPUTED_VALUE"""),"18331A0555")</f>
        <v>18331A0555</v>
      </c>
      <c r="C173" s="90" t="str">
        <f>IFERROR(__xludf.DUMMYFUNCTION("""COMPUTED_VALUE"""),"Programming in C")</f>
        <v>Programming in C</v>
      </c>
      <c r="D173" s="74" t="str">
        <f>IFERROR(__xludf.DUMMYFUNCTION("""COMPUTED_VALUE"""),"Datapro")</f>
        <v>Datapro</v>
      </c>
      <c r="E173" s="74" t="str">
        <f>IFERROR(__xludf.DUMMYFUNCTION("""COMPUTED_VALUE"""),"100days")</f>
        <v>100days</v>
      </c>
      <c r="F173" s="91">
        <f>IFERROR(__xludf.DUMMYFUNCTION("""COMPUTED_VALUE"""),43237.0)</f>
        <v>43237</v>
      </c>
      <c r="G173" s="91">
        <f>IFERROR(__xludf.DUMMYFUNCTION("""COMPUTED_VALUE"""),43284.0)</f>
        <v>43284</v>
      </c>
      <c r="H173" s="79">
        <f>IFERROR(__xludf.DUMMYFUNCTION("""COMPUTED_VALUE"""),43348.0)</f>
        <v>43348</v>
      </c>
      <c r="I173" s="92">
        <f>IFERROR(__xludf.DUMMYFUNCTION("""COMPUTED_VALUE"""),74.0)</f>
        <v>74</v>
      </c>
      <c r="J173" s="74" t="str">
        <f>IFERROR(__xludf.DUMMYFUNCTION("""COMPUTED_VALUE"""),"NA")</f>
        <v>NA</v>
      </c>
      <c r="K173" s="80" t="str">
        <f>IFERROR(__xludf.DUMMYFUNCTION("""COMPUTED_VALUE"""),"https://drive.google.com/open?id=1jXktun-HZQccdZTo1gydXxzOLTvv5CnM")</f>
        <v>https://drive.google.com/open?id=1jXktun-HZQccdZTo1gydXxzOLTvv5CnM</v>
      </c>
      <c r="L173" s="74" t="str">
        <f>IFERROR(__xludf.DUMMYFUNCTION("""COMPUTED_VALUE"""),"2018-2022")</f>
        <v>2018-2022</v>
      </c>
      <c r="M173" s="74" t="str">
        <f>IFERROR(__xludf.DUMMYFUNCTION("""COMPUTED_VALUE"""),"S4: Student Certifications")</f>
        <v>S4: Student Certifications</v>
      </c>
      <c r="N173" s="74" t="str">
        <f>IFERROR(__xludf.DUMMYFUNCTION("""COMPUTED_VALUE"""),"lekhasree1430@gmail.com")</f>
        <v>lekhasree1430@gmail.com</v>
      </c>
      <c r="O173" s="74" t="str">
        <f>IFERROR(__xludf.DUMMYFUNCTION("""COMPUTED_VALUE"""),"SEM-8")</f>
        <v>SEM-8</v>
      </c>
      <c r="P173" s="74"/>
      <c r="Q173" s="74"/>
      <c r="R173" s="74"/>
      <c r="S173" s="74"/>
      <c r="T173" s="74"/>
      <c r="U173" s="74"/>
      <c r="V173" s="74"/>
      <c r="W173" s="74"/>
      <c r="X173" s="74"/>
      <c r="Y173" s="74"/>
    </row>
    <row r="174" ht="26.25" customHeight="1">
      <c r="A174" s="74" t="str">
        <f>IFERROR(__xludf.DUMMYFUNCTION("""COMPUTED_VALUE"""),"Srihita Gottimukkala")</f>
        <v>Srihita Gottimukkala</v>
      </c>
      <c r="B174" s="74" t="str">
        <f>IFERROR(__xludf.DUMMYFUNCTION("""COMPUTED_VALUE"""),"18331A0551")</f>
        <v>18331A0551</v>
      </c>
      <c r="C174" s="90" t="str">
        <f>IFERROR(__xludf.DUMMYFUNCTION("""COMPUTED_VALUE"""),"AWS Academy Cloud Foundations")</f>
        <v>AWS Academy Cloud Foundations</v>
      </c>
      <c r="D174" s="74" t="str">
        <f>IFERROR(__xludf.DUMMYFUNCTION("""COMPUTED_VALUE"""),"AWS Academy")</f>
        <v>AWS Academy</v>
      </c>
      <c r="E174" s="74" t="str">
        <f>IFERROR(__xludf.DUMMYFUNCTION("""COMPUTED_VALUE"""),"1 month")</f>
        <v>1 month</v>
      </c>
      <c r="F174" s="91">
        <f>IFERROR(__xludf.DUMMYFUNCTION("""COMPUTED_VALUE"""),44516.0)</f>
        <v>44516</v>
      </c>
      <c r="G174" s="91">
        <f>IFERROR(__xludf.DUMMYFUNCTION("""COMPUTED_VALUE"""),44546.0)</f>
        <v>44546</v>
      </c>
      <c r="H174" s="79">
        <f>IFERROR(__xludf.DUMMYFUNCTION("""COMPUTED_VALUE"""),44546.0)</f>
        <v>44546</v>
      </c>
      <c r="I174" s="92">
        <f>IFERROR(__xludf.DUMMYFUNCTION("""COMPUTED_VALUE"""),100.0)</f>
        <v>100</v>
      </c>
      <c r="J174" s="74" t="str">
        <f>IFERROR(__xludf.DUMMYFUNCTION("""COMPUTED_VALUE"""),"DR. Ravi Kiran Varma")</f>
        <v>DR. Ravi Kiran Varma</v>
      </c>
      <c r="K174" s="80" t="str">
        <f>IFERROR(__xludf.DUMMYFUNCTION("""COMPUTED_VALUE"""),"https://drive.google.com/open?id=1HEFFnq8T2crffT5UhOJ7A7csKpf6EYKP")</f>
        <v>https://drive.google.com/open?id=1HEFFnq8T2crffT5UhOJ7A7csKpf6EYKP</v>
      </c>
      <c r="L174" s="74" t="str">
        <f>IFERROR(__xludf.DUMMYFUNCTION("""COMPUTED_VALUE"""),"2018-2022")</f>
        <v>2018-2022</v>
      </c>
      <c r="M174" s="74" t="str">
        <f>IFERROR(__xludf.DUMMYFUNCTION("""COMPUTED_VALUE"""),"S4: Student Certifications")</f>
        <v>S4: Student Certifications</v>
      </c>
      <c r="N174" s="74" t="str">
        <f>IFERROR(__xludf.DUMMYFUNCTION("""COMPUTED_VALUE"""),"shrivarma29@gmail.com")</f>
        <v>shrivarma29@gmail.com</v>
      </c>
      <c r="O174" s="74" t="str">
        <f>IFERROR(__xludf.DUMMYFUNCTION("""COMPUTED_VALUE"""),"SEM-8")</f>
        <v>SEM-8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</row>
    <row r="175" ht="26.25" customHeight="1">
      <c r="A175" s="74" t="str">
        <f>IFERROR(__xludf.DUMMYFUNCTION("""COMPUTED_VALUE"""),"SATHWICK SADANALA")</f>
        <v>SATHWICK SADANALA</v>
      </c>
      <c r="B175" s="74" t="str">
        <f>IFERROR(__xludf.DUMMYFUNCTION("""COMPUTED_VALUE"""),"18331A05C6")</f>
        <v>18331A05C6</v>
      </c>
      <c r="C175" s="90" t="str">
        <f>IFERROR(__xludf.DUMMYFUNCTION("""COMPUTED_VALUE"""),"Code riders 2021")</f>
        <v>Code riders 2021</v>
      </c>
      <c r="D175" s="74" t="str">
        <f>IFERROR(__xludf.DUMMYFUNCTION("""COMPUTED_VALUE"""),"Eduskills ")</f>
        <v>Eduskills </v>
      </c>
      <c r="E175" s="74" t="str">
        <f>IFERROR(__xludf.DUMMYFUNCTION("""COMPUTED_VALUE"""),"June-july2021")</f>
        <v>June-july2021</v>
      </c>
      <c r="F175" s="91">
        <f>IFERROR(__xludf.DUMMYFUNCTION("""COMPUTED_VALUE"""),44348.0)</f>
        <v>44348</v>
      </c>
      <c r="G175" s="91">
        <f>IFERROR(__xludf.DUMMYFUNCTION("""COMPUTED_VALUE"""),44408.0)</f>
        <v>44408</v>
      </c>
      <c r="H175" s="79">
        <f>IFERROR(__xludf.DUMMYFUNCTION("""COMPUTED_VALUE"""),44408.0)</f>
        <v>44408</v>
      </c>
      <c r="I175" s="92">
        <f>IFERROR(__xludf.DUMMYFUNCTION("""COMPUTED_VALUE"""),87.0)</f>
        <v>87</v>
      </c>
      <c r="J175" s="74" t="str">
        <f>IFERROR(__xludf.DUMMYFUNCTION("""COMPUTED_VALUE"""),"Cisco")</f>
        <v>Cisco</v>
      </c>
      <c r="K175" s="80" t="str">
        <f>IFERROR(__xludf.DUMMYFUNCTION("""COMPUTED_VALUE"""),"https://drive.google.com/open?id=1uiOk2DJDaRpvDEfg1RYv1Q7VzJqGW4l0")</f>
        <v>https://drive.google.com/open?id=1uiOk2DJDaRpvDEfg1RYv1Q7VzJqGW4l0</v>
      </c>
      <c r="L175" s="74" t="str">
        <f>IFERROR(__xludf.DUMMYFUNCTION("""COMPUTED_VALUE"""),"2018-2022")</f>
        <v>2018-2022</v>
      </c>
      <c r="M175" s="74" t="str">
        <f>IFERROR(__xludf.DUMMYFUNCTION("""COMPUTED_VALUE"""),"S4: Student Certifications")</f>
        <v>S4: Student Certifications</v>
      </c>
      <c r="N175" s="74" t="str">
        <f>IFERROR(__xludf.DUMMYFUNCTION("""COMPUTED_VALUE"""),"sadanalasathwick@gmail.com")</f>
        <v>sadanalasathwick@gmail.com</v>
      </c>
      <c r="O175" s="74" t="str">
        <f>IFERROR(__xludf.DUMMYFUNCTION("""COMPUTED_VALUE"""),"SEM-5")</f>
        <v>SEM-5</v>
      </c>
      <c r="P175" s="74"/>
      <c r="Q175" s="74"/>
      <c r="R175" s="74"/>
      <c r="S175" s="74"/>
      <c r="T175" s="74"/>
      <c r="U175" s="74"/>
      <c r="V175" s="74"/>
      <c r="W175" s="74"/>
      <c r="X175" s="74"/>
      <c r="Y175" s="74"/>
    </row>
    <row r="176" ht="26.25" customHeight="1">
      <c r="A176" s="74" t="str">
        <f>IFERROR(__xludf.DUMMYFUNCTION("""COMPUTED_VALUE"""),"Srihita Gottimukkala")</f>
        <v>Srihita Gottimukkala</v>
      </c>
      <c r="B176" s="74" t="str">
        <f>IFERROR(__xludf.DUMMYFUNCTION("""COMPUTED_VALUE"""),"18331A0551")</f>
        <v>18331A0551</v>
      </c>
      <c r="C176" s="90" t="str">
        <f>IFERROR(__xludf.DUMMYFUNCTION("""COMPUTED_VALUE"""),"Cybersecurity Essentials")</f>
        <v>Cybersecurity Essentials</v>
      </c>
      <c r="D176" s="74" t="str">
        <f>IFERROR(__xludf.DUMMYFUNCTION("""COMPUTED_VALUE"""),"Cisco")</f>
        <v>Cisco</v>
      </c>
      <c r="E176" s="74" t="str">
        <f>IFERROR(__xludf.DUMMYFUNCTION("""COMPUTED_VALUE"""),"2 months")</f>
        <v>2 months</v>
      </c>
      <c r="F176" s="91">
        <f>IFERROR(__xludf.DUMMYFUNCTION("""COMPUTED_VALUE"""),43614.0)</f>
        <v>43614</v>
      </c>
      <c r="G176" s="91">
        <f>IFERROR(__xludf.DUMMYFUNCTION("""COMPUTED_VALUE"""),43675.0)</f>
        <v>43675</v>
      </c>
      <c r="H176" s="79">
        <f>IFERROR(__xludf.DUMMYFUNCTION("""COMPUTED_VALUE"""),43675.0)</f>
        <v>43675</v>
      </c>
      <c r="I176" s="92">
        <f>IFERROR(__xludf.DUMMYFUNCTION("""COMPUTED_VALUE"""),100.0)</f>
        <v>100</v>
      </c>
      <c r="J176" s="74" t="str">
        <f>IFERROR(__xludf.DUMMYFUNCTION("""COMPUTED_VALUE"""),"Dr P Ravi Kiran Varma")</f>
        <v>Dr P Ravi Kiran Varma</v>
      </c>
      <c r="K176" s="80" t="str">
        <f>IFERROR(__xludf.DUMMYFUNCTION("""COMPUTED_VALUE"""),"https://drive.google.com/open?id=1MiDY-YLGQZZKBUxNOYnsMV3T58qcYnWx")</f>
        <v>https://drive.google.com/open?id=1MiDY-YLGQZZKBUxNOYnsMV3T58qcYnWx</v>
      </c>
      <c r="L176" s="74" t="str">
        <f>IFERROR(__xludf.DUMMYFUNCTION("""COMPUTED_VALUE"""),"2018-2022")</f>
        <v>2018-2022</v>
      </c>
      <c r="M176" s="74" t="str">
        <f>IFERROR(__xludf.DUMMYFUNCTION("""COMPUTED_VALUE"""),"S4: Student Certifications")</f>
        <v>S4: Student Certifications</v>
      </c>
      <c r="N176" s="74" t="str">
        <f>IFERROR(__xludf.DUMMYFUNCTION("""COMPUTED_VALUE"""),"shrivarma29@gmail.com")</f>
        <v>shrivarma29@gmail.com</v>
      </c>
      <c r="O176" s="74" t="str">
        <f>IFERROR(__xludf.DUMMYFUNCTION("""COMPUTED_VALUE"""),"SEM-8")</f>
        <v>SEM-8</v>
      </c>
      <c r="P176" s="74"/>
      <c r="Q176" s="74"/>
      <c r="R176" s="74"/>
      <c r="S176" s="74"/>
      <c r="T176" s="74"/>
      <c r="U176" s="74"/>
      <c r="V176" s="74"/>
      <c r="W176" s="74"/>
      <c r="X176" s="74"/>
      <c r="Y176" s="74"/>
    </row>
    <row r="177" ht="26.25" customHeight="1">
      <c r="A177" s="74" t="str">
        <f>IFERROR(__xludf.DUMMYFUNCTION("""COMPUTED_VALUE"""),"Iddiboina Bala Kishore")</f>
        <v>Iddiboina Bala Kishore</v>
      </c>
      <c r="B177" s="74" t="str">
        <f>IFERROR(__xludf.DUMMYFUNCTION("""COMPUTED_VALUE"""),"18331A0558")</f>
        <v>18331A0558</v>
      </c>
      <c r="C177" s="90" t="str">
        <f>IFERROR(__xludf.DUMMYFUNCTION("""COMPUTED_VALUE"""),"AWS CLOUD FOUNDATIONS")</f>
        <v>AWS CLOUD FOUNDATIONS</v>
      </c>
      <c r="D177" s="74" t="str">
        <f>IFERROR(__xludf.DUMMYFUNCTION("""COMPUTED_VALUE"""),"AWS")</f>
        <v>AWS</v>
      </c>
      <c r="E177" s="74" t="str">
        <f>IFERROR(__xludf.DUMMYFUNCTION("""COMPUTED_VALUE"""),"10 weeks")</f>
        <v>10 weeks</v>
      </c>
      <c r="F177" s="91">
        <f>IFERROR(__xludf.DUMMYFUNCTION("""COMPUTED_VALUE"""),44489.0)</f>
        <v>44489</v>
      </c>
      <c r="G177" s="91">
        <f>IFERROR(__xludf.DUMMYFUNCTION("""COMPUTED_VALUE"""),44557.0)</f>
        <v>44557</v>
      </c>
      <c r="H177" s="79">
        <f>IFERROR(__xludf.DUMMYFUNCTION("""COMPUTED_VALUE"""),44556.0)</f>
        <v>44556</v>
      </c>
      <c r="I177" s="92">
        <f>IFERROR(__xludf.DUMMYFUNCTION("""COMPUTED_VALUE"""),0.0)</f>
        <v>0</v>
      </c>
      <c r="J177" s="74" t="str">
        <f>IFERROR(__xludf.DUMMYFUNCTION("""COMPUTED_VALUE"""),"P RAVI KIRAN VARMA")</f>
        <v>P RAVI KIRAN VARMA</v>
      </c>
      <c r="K177" s="80" t="str">
        <f>IFERROR(__xludf.DUMMYFUNCTION("""COMPUTED_VALUE"""),"https://drive.google.com/open?id=1GHLPz2KKWtbbMW9wN7c_o4y2rt_PJ1IG")</f>
        <v>https://drive.google.com/open?id=1GHLPz2KKWtbbMW9wN7c_o4y2rt_PJ1IG</v>
      </c>
      <c r="L177" s="74" t="str">
        <f>IFERROR(__xludf.DUMMYFUNCTION("""COMPUTED_VALUE"""),"2018-2022")</f>
        <v>2018-2022</v>
      </c>
      <c r="M177" s="74" t="str">
        <f>IFERROR(__xludf.DUMMYFUNCTION("""COMPUTED_VALUE"""),"S4: Student Certifications")</f>
        <v>S4: Student Certifications</v>
      </c>
      <c r="N177" s="74" t="str">
        <f>IFERROR(__xludf.DUMMYFUNCTION("""COMPUTED_VALUE"""),"balakishore810@gmail.com")</f>
        <v>balakishore810@gmail.com</v>
      </c>
      <c r="O177" s="74" t="str">
        <f>IFERROR(__xludf.DUMMYFUNCTION("""COMPUTED_VALUE"""),"SEM-8")</f>
        <v>SEM-8</v>
      </c>
      <c r="P177" s="74"/>
      <c r="Q177" s="74"/>
      <c r="R177" s="74"/>
      <c r="S177" s="74"/>
      <c r="T177" s="74"/>
      <c r="U177" s="74"/>
      <c r="V177" s="74"/>
      <c r="W177" s="74"/>
      <c r="X177" s="74"/>
      <c r="Y177" s="74"/>
    </row>
    <row r="178" ht="26.25" customHeight="1">
      <c r="A178" s="74" t="str">
        <f>IFERROR(__xludf.DUMMYFUNCTION("""COMPUTED_VALUE"""),"Srihita Gottimukkala")</f>
        <v>Srihita Gottimukkala</v>
      </c>
      <c r="B178" s="74" t="str">
        <f>IFERROR(__xludf.DUMMYFUNCTION("""COMPUTED_VALUE"""),"18331A0551")</f>
        <v>18331A0551</v>
      </c>
      <c r="C178" s="90" t="str">
        <f>IFERROR(__xludf.DUMMYFUNCTION("""COMPUTED_VALUE"""),"Introduction to packet Tracer")</f>
        <v>Introduction to packet Tracer</v>
      </c>
      <c r="D178" s="74" t="str">
        <f>IFERROR(__xludf.DUMMYFUNCTION("""COMPUTED_VALUE"""),"Cisco")</f>
        <v>Cisco</v>
      </c>
      <c r="E178" s="74" t="str">
        <f>IFERROR(__xludf.DUMMYFUNCTION("""COMPUTED_VALUE"""),"3 months")</f>
        <v>3 months</v>
      </c>
      <c r="F178" s="91">
        <f>IFERROR(__xludf.DUMMYFUNCTION("""COMPUTED_VALUE"""),44292.0)</f>
        <v>44292</v>
      </c>
      <c r="G178" s="91">
        <f>IFERROR(__xludf.DUMMYFUNCTION("""COMPUTED_VALUE"""),44383.0)</f>
        <v>44383</v>
      </c>
      <c r="H178" s="79">
        <f>IFERROR(__xludf.DUMMYFUNCTION("""COMPUTED_VALUE"""),44383.0)</f>
        <v>44383</v>
      </c>
      <c r="I178" s="92">
        <f>IFERROR(__xludf.DUMMYFUNCTION("""COMPUTED_VALUE"""),100.0)</f>
        <v>100</v>
      </c>
      <c r="J178" s="74" t="str">
        <f>IFERROR(__xludf.DUMMYFUNCTION("""COMPUTED_VALUE"""),"Dr P Ravi Kiran Varma")</f>
        <v>Dr P Ravi Kiran Varma</v>
      </c>
      <c r="K178" s="80" t="str">
        <f>IFERROR(__xludf.DUMMYFUNCTION("""COMPUTED_VALUE"""),"https://drive.google.com/open?id=1fppRokg8O_ztDJx0mkm7EqY01BpPMsrL")</f>
        <v>https://drive.google.com/open?id=1fppRokg8O_ztDJx0mkm7EqY01BpPMsrL</v>
      </c>
      <c r="L178" s="74" t="str">
        <f>IFERROR(__xludf.DUMMYFUNCTION("""COMPUTED_VALUE"""),"2018-2022")</f>
        <v>2018-2022</v>
      </c>
      <c r="M178" s="74" t="str">
        <f>IFERROR(__xludf.DUMMYFUNCTION("""COMPUTED_VALUE"""),"S4: Student Certifications")</f>
        <v>S4: Student Certifications</v>
      </c>
      <c r="N178" s="74" t="str">
        <f>IFERROR(__xludf.DUMMYFUNCTION("""COMPUTED_VALUE"""),"shrivarma29@gmail.com")</f>
        <v>shrivarma29@gmail.com</v>
      </c>
      <c r="O178" s="74" t="str">
        <f>IFERROR(__xludf.DUMMYFUNCTION("""COMPUTED_VALUE"""),"SEM-8")</f>
        <v>SEM-8</v>
      </c>
      <c r="P178" s="74"/>
      <c r="Q178" s="74"/>
      <c r="R178" s="74"/>
      <c r="S178" s="74"/>
      <c r="T178" s="74"/>
      <c r="U178" s="74"/>
      <c r="V178" s="74"/>
      <c r="W178" s="74"/>
      <c r="X178" s="74"/>
      <c r="Y178" s="74"/>
    </row>
    <row r="179" ht="26.25" customHeight="1">
      <c r="A179" s="74" t="str">
        <f>IFERROR(__xludf.DUMMYFUNCTION("""COMPUTED_VALUE"""),"Sathwick Sadanala")</f>
        <v>Sathwick Sadanala</v>
      </c>
      <c r="B179" s="74" t="str">
        <f>IFERROR(__xludf.DUMMYFUNCTION("""COMPUTED_VALUE"""),"18331A05C6 ")</f>
        <v>18331A05C6 </v>
      </c>
      <c r="C179" s="90" t="str">
        <f>IFERROR(__xludf.DUMMYFUNCTION("""COMPUTED_VALUE"""),"Programming essentials in C")</f>
        <v>Programming essentials in C</v>
      </c>
      <c r="D179" s="74" t="str">
        <f>IFERROR(__xludf.DUMMYFUNCTION("""COMPUTED_VALUE"""),"Cisco")</f>
        <v>Cisco</v>
      </c>
      <c r="E179" s="74" t="str">
        <f>IFERROR(__xludf.DUMMYFUNCTION("""COMPUTED_VALUE"""),"1month")</f>
        <v>1month</v>
      </c>
      <c r="F179" s="91">
        <f>IFERROR(__xludf.DUMMYFUNCTION("""COMPUTED_VALUE"""),43525.0)</f>
        <v>43525</v>
      </c>
      <c r="G179" s="91">
        <f>IFERROR(__xludf.DUMMYFUNCTION("""COMPUTED_VALUE"""),43585.0)</f>
        <v>43585</v>
      </c>
      <c r="H179" s="79">
        <f>IFERROR(__xludf.DUMMYFUNCTION("""COMPUTED_VALUE"""),43585.0)</f>
        <v>43585</v>
      </c>
      <c r="I179" s="92">
        <f>IFERROR(__xludf.DUMMYFUNCTION("""COMPUTED_VALUE"""),89.0)</f>
        <v>89</v>
      </c>
      <c r="J179" s="74" t="str">
        <f>IFERROR(__xludf.DUMMYFUNCTION("""COMPUTED_VALUE"""),"Dr.Ravin Kiran Varma Penmatsa")</f>
        <v>Dr.Ravin Kiran Varma Penmatsa</v>
      </c>
      <c r="K179" s="80" t="str">
        <f>IFERROR(__xludf.DUMMYFUNCTION("""COMPUTED_VALUE"""),"https://drive.google.com/open?id=1OD_4ylnlGP-3KVccawhDmymp_XieJ2JT")</f>
        <v>https://drive.google.com/open?id=1OD_4ylnlGP-3KVccawhDmymp_XieJ2JT</v>
      </c>
      <c r="L179" s="74" t="str">
        <f>IFERROR(__xludf.DUMMYFUNCTION("""COMPUTED_VALUE"""),"2018-2022")</f>
        <v>2018-2022</v>
      </c>
      <c r="M179" s="74" t="str">
        <f>IFERROR(__xludf.DUMMYFUNCTION("""COMPUTED_VALUE"""),"S4: Student Certifications")</f>
        <v>S4: Student Certifications</v>
      </c>
      <c r="N179" s="74" t="str">
        <f>IFERROR(__xludf.DUMMYFUNCTION("""COMPUTED_VALUE"""),"sadanalasathwick@gmail.com")</f>
        <v>sadanalasathwick@gmail.com</v>
      </c>
      <c r="O179" s="74" t="str">
        <f>IFERROR(__xludf.DUMMYFUNCTION("""COMPUTED_VALUE"""),"SEM-2")</f>
        <v>SEM-2</v>
      </c>
      <c r="P179" s="74"/>
      <c r="Q179" s="74"/>
      <c r="R179" s="74"/>
      <c r="S179" s="74"/>
      <c r="T179" s="74"/>
      <c r="U179" s="74"/>
      <c r="V179" s="74"/>
      <c r="W179" s="74"/>
      <c r="X179" s="74"/>
      <c r="Y179" s="74"/>
    </row>
    <row r="180" ht="26.25" customHeight="1">
      <c r="A180" s="74" t="str">
        <f>IFERROR(__xludf.DUMMYFUNCTION("""COMPUTED_VALUE"""),"Srihita Gottimukkala")</f>
        <v>Srihita Gottimukkala</v>
      </c>
      <c r="B180" s="74" t="str">
        <f>IFERROR(__xludf.DUMMYFUNCTION("""COMPUTED_VALUE"""),"18331A0551")</f>
        <v>18331A0551</v>
      </c>
      <c r="C180" s="90" t="str">
        <f>IFERROR(__xludf.DUMMYFUNCTION("""COMPUTED_VALUE"""),"Cybersecurity Foundation")</f>
        <v>Cybersecurity Foundation</v>
      </c>
      <c r="D180" s="74" t="str">
        <f>IFERROR(__xludf.DUMMYFUNCTION("""COMPUTED_VALUE"""),"Palo Alto Networks")</f>
        <v>Palo Alto Networks</v>
      </c>
      <c r="E180" s="74" t="str">
        <f>IFERROR(__xludf.DUMMYFUNCTION("""COMPUTED_VALUE"""),"1 month")</f>
        <v>1 month</v>
      </c>
      <c r="F180" s="91">
        <f>IFERROR(__xludf.DUMMYFUNCTION("""COMPUTED_VALUE"""),44371.0)</f>
        <v>44371</v>
      </c>
      <c r="G180" s="91">
        <f>IFERROR(__xludf.DUMMYFUNCTION("""COMPUTED_VALUE"""),44401.0)</f>
        <v>44401</v>
      </c>
      <c r="H180" s="79">
        <f>IFERROR(__xludf.DUMMYFUNCTION("""COMPUTED_VALUE"""),44401.0)</f>
        <v>44401</v>
      </c>
      <c r="I180" s="92">
        <f>IFERROR(__xludf.DUMMYFUNCTION("""COMPUTED_VALUE"""),100.0)</f>
        <v>100</v>
      </c>
      <c r="J180" s="74" t="str">
        <f>IFERROR(__xludf.DUMMYFUNCTION("""COMPUTED_VALUE"""),"DR P Ravi Kiran Varma")</f>
        <v>DR P Ravi Kiran Varma</v>
      </c>
      <c r="K180" s="80" t="str">
        <f>IFERROR(__xludf.DUMMYFUNCTION("""COMPUTED_VALUE"""),"https://drive.google.com/open?id=1_6uI5I0pLhwAN-tYYgmJI22WJ1ACcGYu")</f>
        <v>https://drive.google.com/open?id=1_6uI5I0pLhwAN-tYYgmJI22WJ1ACcGYu</v>
      </c>
      <c r="L180" s="74" t="str">
        <f>IFERROR(__xludf.DUMMYFUNCTION("""COMPUTED_VALUE"""),"2018-2022")</f>
        <v>2018-2022</v>
      </c>
      <c r="M180" s="74" t="str">
        <f>IFERROR(__xludf.DUMMYFUNCTION("""COMPUTED_VALUE"""),"S4: Student Certifications")</f>
        <v>S4: Student Certifications</v>
      </c>
      <c r="N180" s="74" t="str">
        <f>IFERROR(__xludf.DUMMYFUNCTION("""COMPUTED_VALUE"""),"shrivarma29@gmail.com")</f>
        <v>shrivarma29@gmail.com</v>
      </c>
      <c r="O180" s="74" t="str">
        <f>IFERROR(__xludf.DUMMYFUNCTION("""COMPUTED_VALUE"""),"SEM-8")</f>
        <v>SEM-8</v>
      </c>
      <c r="P180" s="74"/>
      <c r="Q180" s="74"/>
      <c r="R180" s="74"/>
      <c r="S180" s="74"/>
      <c r="T180" s="74"/>
      <c r="U180" s="74"/>
      <c r="V180" s="74"/>
      <c r="W180" s="74"/>
      <c r="X180" s="74"/>
      <c r="Y180" s="74"/>
    </row>
    <row r="181" ht="26.25" customHeight="1">
      <c r="A181" s="74" t="str">
        <f>IFERROR(__xludf.DUMMYFUNCTION("""COMPUTED_VALUE"""),"Sathwick Sadanala")</f>
        <v>Sathwick Sadanala</v>
      </c>
      <c r="B181" s="74" t="str">
        <f>IFERROR(__xludf.DUMMYFUNCTION("""COMPUTED_VALUE"""),"18331A05C6 ")</f>
        <v>18331A05C6 </v>
      </c>
      <c r="C181" s="90" t="str">
        <f>IFERROR(__xludf.DUMMYFUNCTION("""COMPUTED_VALUE"""),"Cybersecurity essentials")</f>
        <v>Cybersecurity essentials</v>
      </c>
      <c r="D181" s="74" t="str">
        <f>IFERROR(__xludf.DUMMYFUNCTION("""COMPUTED_VALUE"""),"Cisco")</f>
        <v>Cisco</v>
      </c>
      <c r="E181" s="74" t="str">
        <f>IFERROR(__xludf.DUMMYFUNCTION("""COMPUTED_VALUE"""),"1 month")</f>
        <v>1 month</v>
      </c>
      <c r="F181" s="91">
        <f>IFERROR(__xludf.DUMMYFUNCTION("""COMPUTED_VALUE"""),44256.0)</f>
        <v>44256</v>
      </c>
      <c r="G181" s="91">
        <f>IFERROR(__xludf.DUMMYFUNCTION("""COMPUTED_VALUE"""),44316.0)</f>
        <v>44316</v>
      </c>
      <c r="H181" s="79">
        <f>IFERROR(__xludf.DUMMYFUNCTION("""COMPUTED_VALUE"""),44316.0)</f>
        <v>44316</v>
      </c>
      <c r="I181" s="92">
        <f>IFERROR(__xludf.DUMMYFUNCTION("""COMPUTED_VALUE"""),85.0)</f>
        <v>85</v>
      </c>
      <c r="J181" s="74" t="str">
        <f>IFERROR(__xludf.DUMMYFUNCTION("""COMPUTED_VALUE"""),"Dr.Ravin Kiran Varma Penmatsa")</f>
        <v>Dr.Ravin Kiran Varma Penmatsa</v>
      </c>
      <c r="K181" s="80" t="str">
        <f>IFERROR(__xludf.DUMMYFUNCTION("""COMPUTED_VALUE"""),"https://drive.google.com/open?id=1VRlGOrW3Zj480S4jLzaknk543AyUWlZD")</f>
        <v>https://drive.google.com/open?id=1VRlGOrW3Zj480S4jLzaknk543AyUWlZD</v>
      </c>
      <c r="L181" s="74" t="str">
        <f>IFERROR(__xludf.DUMMYFUNCTION("""COMPUTED_VALUE"""),"2018-2022")</f>
        <v>2018-2022</v>
      </c>
      <c r="M181" s="74" t="str">
        <f>IFERROR(__xludf.DUMMYFUNCTION("""COMPUTED_VALUE"""),"S4: Student Certifications")</f>
        <v>S4: Student Certifications</v>
      </c>
      <c r="N181" s="74" t="str">
        <f>IFERROR(__xludf.DUMMYFUNCTION("""COMPUTED_VALUE"""),"sadanalasathwick@gmail.com")</f>
        <v>sadanalasathwick@gmail.com</v>
      </c>
      <c r="O181" s="74" t="str">
        <f>IFERROR(__xludf.DUMMYFUNCTION("""COMPUTED_VALUE"""),"SEM-5")</f>
        <v>SEM-5</v>
      </c>
      <c r="P181" s="74"/>
      <c r="Q181" s="74"/>
      <c r="R181" s="74"/>
      <c r="S181" s="74"/>
      <c r="T181" s="74"/>
      <c r="U181" s="74"/>
      <c r="V181" s="74"/>
      <c r="W181" s="74"/>
      <c r="X181" s="74"/>
      <c r="Y181" s="74"/>
    </row>
    <row r="182" ht="26.25" customHeight="1">
      <c r="A182" s="74" t="str">
        <f>IFERROR(__xludf.DUMMYFUNCTION("""COMPUTED_VALUE"""),"Sathwick Sadanala ")</f>
        <v>Sathwick Sadanala </v>
      </c>
      <c r="B182" s="74" t="str">
        <f>IFERROR(__xludf.DUMMYFUNCTION("""COMPUTED_VALUE"""),"18331A05C6 ")</f>
        <v>18331A05C6 </v>
      </c>
      <c r="C182" s="90" t="str">
        <f>IFERROR(__xludf.DUMMYFUNCTION("""COMPUTED_VALUE"""),"Introduction to Packet Tracer")</f>
        <v>Introduction to Packet Tracer</v>
      </c>
      <c r="D182" s="74" t="str">
        <f>IFERROR(__xludf.DUMMYFUNCTION("""COMPUTED_VALUE"""),"Cisco")</f>
        <v>Cisco</v>
      </c>
      <c r="E182" s="74" t="str">
        <f>IFERROR(__xludf.DUMMYFUNCTION("""COMPUTED_VALUE"""),"1month")</f>
        <v>1month</v>
      </c>
      <c r="F182" s="91">
        <f>IFERROR(__xludf.DUMMYFUNCTION("""COMPUTED_VALUE"""),44257.0)</f>
        <v>44257</v>
      </c>
      <c r="G182" s="91">
        <f>IFERROR(__xludf.DUMMYFUNCTION("""COMPUTED_VALUE"""),44315.0)</f>
        <v>44315</v>
      </c>
      <c r="H182" s="79">
        <f>IFERROR(__xludf.DUMMYFUNCTION("""COMPUTED_VALUE"""),44315.0)</f>
        <v>44315</v>
      </c>
      <c r="I182" s="92">
        <f>IFERROR(__xludf.DUMMYFUNCTION("""COMPUTED_VALUE"""),86.0)</f>
        <v>86</v>
      </c>
      <c r="J182" s="74" t="str">
        <f>IFERROR(__xludf.DUMMYFUNCTION("""COMPUTED_VALUE"""),"Dr.Ravi Kiran Varma Penmatsa")</f>
        <v>Dr.Ravi Kiran Varma Penmatsa</v>
      </c>
      <c r="K182" s="80" t="str">
        <f>IFERROR(__xludf.DUMMYFUNCTION("""COMPUTED_VALUE"""),"https://drive.google.com/open?id=1saIgyXhIKHIP0qj41JYjjetOKWSi9XTp")</f>
        <v>https://drive.google.com/open?id=1saIgyXhIKHIP0qj41JYjjetOKWSi9XTp</v>
      </c>
      <c r="L182" s="74" t="str">
        <f>IFERROR(__xludf.DUMMYFUNCTION("""COMPUTED_VALUE"""),"2018-2022")</f>
        <v>2018-2022</v>
      </c>
      <c r="M182" s="74" t="str">
        <f>IFERROR(__xludf.DUMMYFUNCTION("""COMPUTED_VALUE"""),"S4: Student Certifications")</f>
        <v>S4: Student Certifications</v>
      </c>
      <c r="N182" s="74" t="str">
        <f>IFERROR(__xludf.DUMMYFUNCTION("""COMPUTED_VALUE"""),"sadanalasathwick@gmail.com")</f>
        <v>sadanalasathwick@gmail.com</v>
      </c>
      <c r="O182" s="74" t="str">
        <f>IFERROR(__xludf.DUMMYFUNCTION("""COMPUTED_VALUE"""),"SEM-5")</f>
        <v>SEM-5</v>
      </c>
      <c r="P182" s="74"/>
      <c r="Q182" s="74"/>
      <c r="R182" s="74"/>
      <c r="S182" s="74"/>
      <c r="T182" s="74"/>
      <c r="U182" s="74"/>
      <c r="V182" s="74"/>
      <c r="W182" s="74"/>
      <c r="X182" s="74"/>
      <c r="Y182" s="74"/>
    </row>
    <row r="183" ht="26.25" customHeight="1">
      <c r="A183" s="74" t="str">
        <f>IFERROR(__xludf.DUMMYFUNCTION("""COMPUTED_VALUE"""),"Sagirisetty Teja sri")</f>
        <v>Sagirisetty Teja sri</v>
      </c>
      <c r="B183" s="74" t="str">
        <f>IFERROR(__xludf.DUMMYFUNCTION("""COMPUTED_VALUE"""),"18331A05D0")</f>
        <v>18331A05D0</v>
      </c>
      <c r="C183" s="90" t="str">
        <f>IFERROR(__xludf.DUMMYFUNCTION("""COMPUTED_VALUE"""),"CCNAv7 ")</f>
        <v>CCNAv7 </v>
      </c>
      <c r="D183" s="74" t="str">
        <f>IFERROR(__xludf.DUMMYFUNCTION("""COMPUTED_VALUE"""),"CISCO")</f>
        <v>CISCO</v>
      </c>
      <c r="E183" s="74" t="str">
        <f>IFERROR(__xludf.DUMMYFUNCTION("""COMPUTED_VALUE"""),"6 months")</f>
        <v>6 months</v>
      </c>
      <c r="F183" s="91">
        <f>IFERROR(__xludf.DUMMYFUNCTION("""COMPUTED_VALUE"""),44177.0)</f>
        <v>44177</v>
      </c>
      <c r="G183" s="91">
        <f>IFERROR(__xludf.DUMMYFUNCTION("""COMPUTED_VALUE"""),44307.0)</f>
        <v>44307</v>
      </c>
      <c r="H183" s="79">
        <f>IFERROR(__xludf.DUMMYFUNCTION("""COMPUTED_VALUE"""),44328.0)</f>
        <v>44328</v>
      </c>
      <c r="I183" s="92">
        <f>IFERROR(__xludf.DUMMYFUNCTION("""COMPUTED_VALUE"""),90.0)</f>
        <v>90</v>
      </c>
      <c r="J183" s="74" t="str">
        <f>IFERROR(__xludf.DUMMYFUNCTION("""COMPUTED_VALUE"""),"RAVI KIRAN VARMA")</f>
        <v>RAVI KIRAN VARMA</v>
      </c>
      <c r="K183" s="80" t="str">
        <f>IFERROR(__xludf.DUMMYFUNCTION("""COMPUTED_VALUE"""),"https://drive.google.com/open?id=1iMgoMdOng_18ssDd4lHi-8f00MaO0xdx")</f>
        <v>https://drive.google.com/open?id=1iMgoMdOng_18ssDd4lHi-8f00MaO0xdx</v>
      </c>
      <c r="L183" s="74" t="str">
        <f>IFERROR(__xludf.DUMMYFUNCTION("""COMPUTED_VALUE"""),"2018-2022")</f>
        <v>2018-2022</v>
      </c>
      <c r="M183" s="74" t="str">
        <f>IFERROR(__xludf.DUMMYFUNCTION("""COMPUTED_VALUE"""),"S4: Student Certifications")</f>
        <v>S4: Student Certifications</v>
      </c>
      <c r="N183" s="74" t="str">
        <f>IFERROR(__xludf.DUMMYFUNCTION("""COMPUTED_VALUE"""),"tejasri.sagirisetty@gmail.com")</f>
        <v>tejasri.sagirisetty@gmail.com</v>
      </c>
      <c r="O183" s="74" t="str">
        <f>IFERROR(__xludf.DUMMYFUNCTION("""COMPUTED_VALUE"""),"SEM-8")</f>
        <v>SEM-8</v>
      </c>
      <c r="P183" s="74"/>
      <c r="Q183" s="74"/>
      <c r="R183" s="74"/>
      <c r="S183" s="74"/>
      <c r="T183" s="74"/>
      <c r="U183" s="74"/>
      <c r="V183" s="74"/>
      <c r="W183" s="74"/>
      <c r="X183" s="74"/>
      <c r="Y183" s="74"/>
    </row>
    <row r="184" ht="26.25" customHeight="1">
      <c r="A184" s="78" t="str">
        <f>IFERROR(__xludf.DUMMYFUNCTION("""COMPUTED_VALUE"""),"AKASAPU HEMANTH KUMAR")</f>
        <v>AKASAPU HEMANTH KUMAR</v>
      </c>
      <c r="B184" s="78" t="str">
        <f>IFERROR(__xludf.DUMMYFUNCTION("""COMPUTED_VALUE"""),"18331A0502 ")</f>
        <v>18331A0502 </v>
      </c>
      <c r="C184" s="93" t="str">
        <f>IFERROR(__xludf.DUMMYFUNCTION("""COMPUTED_VALUE"""),"Coding ninja")</f>
        <v>Coding ninja</v>
      </c>
      <c r="D184" s="78" t="str">
        <f>IFERROR(__xludf.DUMMYFUNCTION("""COMPUTED_VALUE"""),"Coding ninja")</f>
        <v>Coding ninja</v>
      </c>
      <c r="E184" s="78" t="str">
        <f>IFERROR(__xludf.DUMMYFUNCTION("""COMPUTED_VALUE"""),"5days")</f>
        <v>5days</v>
      </c>
      <c r="F184" s="94">
        <f>IFERROR(__xludf.DUMMYFUNCTION("""COMPUTED_VALUE"""),44602.0)</f>
        <v>44602</v>
      </c>
      <c r="G184" s="94">
        <f>IFERROR(__xludf.DUMMYFUNCTION("""COMPUTED_VALUE"""),44666.0)</f>
        <v>44666</v>
      </c>
      <c r="H184" s="84">
        <f>IFERROR(__xludf.DUMMYFUNCTION("""COMPUTED_VALUE"""),44666.0)</f>
        <v>44666</v>
      </c>
      <c r="I184" s="95">
        <f>IFERROR(__xludf.DUMMYFUNCTION("""COMPUTED_VALUE"""),96.0)</f>
        <v>96</v>
      </c>
      <c r="J184" s="78" t="str">
        <f>IFERROR(__xludf.DUMMYFUNCTION("""COMPUTED_VALUE"""),"Self learn")</f>
        <v>Self learn</v>
      </c>
      <c r="K184" s="85" t="str">
        <f>IFERROR(__xludf.DUMMYFUNCTION("""COMPUTED_VALUE"""),"https://drive.google.com/open?id=1fIttXo-0e7AW-B6zZWeKtI9UqK1Vr7U-")</f>
        <v>https://drive.google.com/open?id=1fIttXo-0e7AW-B6zZWeKtI9UqK1Vr7U-</v>
      </c>
      <c r="L184" s="78" t="str">
        <f>IFERROR(__xludf.DUMMYFUNCTION("""COMPUTED_VALUE"""),"2018-2022")</f>
        <v>2018-2022</v>
      </c>
      <c r="M184" s="78" t="str">
        <f>IFERROR(__xludf.DUMMYFUNCTION("""COMPUTED_VALUE"""),"S4: Student Certifications")</f>
        <v>S4: Student Certifications</v>
      </c>
      <c r="N184" s="78" t="str">
        <f>IFERROR(__xludf.DUMMYFUNCTION("""COMPUTED_VALUE"""),"akasapuhemanthkumar@gmail.com")</f>
        <v>akasapuhemanthkumar@gmail.com</v>
      </c>
      <c r="O184" s="78" t="str">
        <f>IFERROR(__xludf.DUMMYFUNCTION("""COMPUTED_VALUE"""),"SEM-8")</f>
        <v>SEM-8</v>
      </c>
      <c r="P184" s="78"/>
      <c r="Q184" s="78"/>
      <c r="R184" s="78"/>
      <c r="S184" s="78"/>
      <c r="T184" s="78"/>
      <c r="U184" s="78"/>
      <c r="V184" s="78"/>
      <c r="W184" s="78"/>
      <c r="X184" s="78"/>
      <c r="Y184" s="78"/>
    </row>
    <row r="185" ht="26.25" customHeight="1">
      <c r="A185" s="74" t="str">
        <f>IFERROR(__xludf.DUMMYFUNCTION("""COMPUTED_VALUE"""),"Sathwick Sadanala")</f>
        <v>Sathwick Sadanala</v>
      </c>
      <c r="B185" s="74" t="str">
        <f>IFERROR(__xludf.DUMMYFUNCTION("""COMPUTED_VALUE"""),"18331A05C6 ")</f>
        <v>18331A05C6 </v>
      </c>
      <c r="C185" s="90" t="str">
        <f>IFERROR(__xludf.DUMMYFUNCTION("""COMPUTED_VALUE"""),"Cybersecurity foundation")</f>
        <v>Cybersecurity foundation</v>
      </c>
      <c r="D185" s="74" t="str">
        <f>IFERROR(__xludf.DUMMYFUNCTION("""COMPUTED_VALUE"""),"Palo Alto networks Cybersecurity academy ")</f>
        <v>Palo Alto networks Cybersecurity academy </v>
      </c>
      <c r="E185" s="74" t="str">
        <f>IFERROR(__xludf.DUMMYFUNCTION("""COMPUTED_VALUE"""),"1 month")</f>
        <v>1 month</v>
      </c>
      <c r="F185" s="91">
        <f>IFERROR(__xludf.DUMMYFUNCTION("""COMPUTED_VALUE"""),44348.0)</f>
        <v>44348</v>
      </c>
      <c r="G185" s="91">
        <f>IFERROR(__xludf.DUMMYFUNCTION("""COMPUTED_VALUE"""),44408.0)</f>
        <v>44408</v>
      </c>
      <c r="H185" s="79">
        <f>IFERROR(__xludf.DUMMYFUNCTION("""COMPUTED_VALUE"""),44402.0)</f>
        <v>44402</v>
      </c>
      <c r="I185" s="92">
        <f>IFERROR(__xludf.DUMMYFUNCTION("""COMPUTED_VALUE"""),90.0)</f>
        <v>90</v>
      </c>
      <c r="J185" s="74" t="str">
        <f>IFERROR(__xludf.DUMMYFUNCTION("""COMPUTED_VALUE"""),"Dr.Ravi Kiran Varma Penmatsa")</f>
        <v>Dr.Ravi Kiran Varma Penmatsa</v>
      </c>
      <c r="K185" s="80" t="str">
        <f>IFERROR(__xludf.DUMMYFUNCTION("""COMPUTED_VALUE"""),"https://drive.google.com/open?id=1TE7yeZAMwFyhxq-xeNKV41D9Sw_m3tKg")</f>
        <v>https://drive.google.com/open?id=1TE7yeZAMwFyhxq-xeNKV41D9Sw_m3tKg</v>
      </c>
      <c r="L185" s="74" t="str">
        <f>IFERROR(__xludf.DUMMYFUNCTION("""COMPUTED_VALUE"""),"2018-2022")</f>
        <v>2018-2022</v>
      </c>
      <c r="M185" s="74" t="str">
        <f>IFERROR(__xludf.DUMMYFUNCTION("""COMPUTED_VALUE"""),"S4: Student Certifications")</f>
        <v>S4: Student Certifications</v>
      </c>
      <c r="N185" s="74" t="str">
        <f>IFERROR(__xludf.DUMMYFUNCTION("""COMPUTED_VALUE"""),"sadanalasathwick@gmail.com")</f>
        <v>sadanalasathwick@gmail.com</v>
      </c>
      <c r="O185" s="74" t="str">
        <f>IFERROR(__xludf.DUMMYFUNCTION("""COMPUTED_VALUE"""),"SEM-5")</f>
        <v>SEM-5</v>
      </c>
      <c r="P185" s="74"/>
      <c r="Q185" s="74"/>
      <c r="R185" s="74"/>
      <c r="S185" s="74"/>
      <c r="T185" s="74"/>
      <c r="U185" s="74"/>
      <c r="V185" s="74"/>
      <c r="W185" s="74"/>
      <c r="X185" s="74"/>
      <c r="Y185" s="74"/>
    </row>
    <row r="186" ht="26.25" customHeight="1">
      <c r="A186" s="74" t="str">
        <f>IFERROR(__xludf.DUMMYFUNCTION("""COMPUTED_VALUE"""),"KOLLI YASWANTH KUMAR")</f>
        <v>KOLLI YASWANTH KUMAR</v>
      </c>
      <c r="B186" s="74" t="str">
        <f>IFERROR(__xludf.DUMMYFUNCTION("""COMPUTED_VALUE"""),"18331A0579")</f>
        <v>18331A0579</v>
      </c>
      <c r="C186" s="90" t="str">
        <f>IFERROR(__xludf.DUMMYFUNCTION("""COMPUTED_VALUE"""),"Cybersecurity Essentials")</f>
        <v>Cybersecurity Essentials</v>
      </c>
      <c r="D186" s="74" t="str">
        <f>IFERROR(__xludf.DUMMYFUNCTION("""COMPUTED_VALUE"""),"Cisco")</f>
        <v>Cisco</v>
      </c>
      <c r="E186" s="74" t="str">
        <f>IFERROR(__xludf.DUMMYFUNCTION("""COMPUTED_VALUE"""),"1 month")</f>
        <v>1 month</v>
      </c>
      <c r="F186" s="91">
        <f>IFERROR(__xludf.DUMMYFUNCTION("""COMPUTED_VALUE"""),43644.0)</f>
        <v>43644</v>
      </c>
      <c r="G186" s="91">
        <f>IFERROR(__xludf.DUMMYFUNCTION("""COMPUTED_VALUE"""),44770.0)</f>
        <v>44770</v>
      </c>
      <c r="H186" s="79">
        <f>IFERROR(__xludf.DUMMYFUNCTION("""COMPUTED_VALUE"""),43677.0)</f>
        <v>43677</v>
      </c>
      <c r="I186" s="92">
        <f>IFERROR(__xludf.DUMMYFUNCTION("""COMPUTED_VALUE"""),85.0)</f>
        <v>85</v>
      </c>
      <c r="J186" s="74" t="str">
        <f>IFERROR(__xludf.DUMMYFUNCTION("""COMPUTED_VALUE"""),"Dr. Ravi Kiran Varma Penamatsa")</f>
        <v>Dr. Ravi Kiran Varma Penamatsa</v>
      </c>
      <c r="K186" s="80" t="str">
        <f>IFERROR(__xludf.DUMMYFUNCTION("""COMPUTED_VALUE"""),"https://drive.google.com/open?id=1-SoacEr93mcC-8vYxjGNQEffwQCJoh-c")</f>
        <v>https://drive.google.com/open?id=1-SoacEr93mcC-8vYxjGNQEffwQCJoh-c</v>
      </c>
      <c r="L186" s="74" t="str">
        <f>IFERROR(__xludf.DUMMYFUNCTION("""COMPUTED_VALUE"""),"2018-2022")</f>
        <v>2018-2022</v>
      </c>
      <c r="M186" s="74" t="str">
        <f>IFERROR(__xludf.DUMMYFUNCTION("""COMPUTED_VALUE"""),"S4: Student Certifications")</f>
        <v>S4: Student Certifications</v>
      </c>
      <c r="N186" s="74" t="str">
        <f>IFERROR(__xludf.DUMMYFUNCTION("""COMPUTED_VALUE"""),"yaswanthroshan1045@gmail.com")</f>
        <v>yaswanthroshan1045@gmail.com</v>
      </c>
      <c r="O186" s="74" t="str">
        <f>IFERROR(__xludf.DUMMYFUNCTION("""COMPUTED_VALUE"""),"SEM-3")</f>
        <v>SEM-3</v>
      </c>
      <c r="P186" s="74"/>
      <c r="Q186" s="74"/>
      <c r="R186" s="74"/>
      <c r="S186" s="74"/>
      <c r="T186" s="74"/>
      <c r="U186" s="74"/>
      <c r="V186" s="74"/>
      <c r="W186" s="74"/>
      <c r="X186" s="74"/>
      <c r="Y186" s="74"/>
    </row>
    <row r="187" ht="26.25" customHeight="1">
      <c r="A187" s="74" t="str">
        <f>IFERROR(__xludf.DUMMYFUNCTION("""COMPUTED_VALUE"""),"Sagirisetty Teja sri")</f>
        <v>Sagirisetty Teja sri</v>
      </c>
      <c r="B187" s="74" t="str">
        <f>IFERROR(__xludf.DUMMYFUNCTION("""COMPUTED_VALUE"""),"18331A05D0")</f>
        <v>18331A05D0</v>
      </c>
      <c r="C187" s="90" t="str">
        <f>IFERROR(__xludf.DUMMYFUNCTION("""COMPUTED_VALUE"""),"CLA - C")</f>
        <v>CLA - C</v>
      </c>
      <c r="D187" s="74" t="str">
        <f>IFERROR(__xludf.DUMMYFUNCTION("""COMPUTED_VALUE"""),"CISCO")</f>
        <v>CISCO</v>
      </c>
      <c r="E187" s="74" t="str">
        <f>IFERROR(__xludf.DUMMYFUNCTION("""COMPUTED_VALUE"""),"6 months")</f>
        <v>6 months</v>
      </c>
      <c r="F187" s="91">
        <f>IFERROR(__xludf.DUMMYFUNCTION("""COMPUTED_VALUE"""),43443.0)</f>
        <v>43443</v>
      </c>
      <c r="G187" s="91">
        <f>IFERROR(__xludf.DUMMYFUNCTION("""COMPUTED_VALUE"""),43597.0)</f>
        <v>43597</v>
      </c>
      <c r="H187" s="79">
        <f>IFERROR(__xludf.DUMMYFUNCTION("""COMPUTED_VALUE"""),43618.0)</f>
        <v>43618</v>
      </c>
      <c r="I187" s="92">
        <f>IFERROR(__xludf.DUMMYFUNCTION("""COMPUTED_VALUE"""),85.0)</f>
        <v>85</v>
      </c>
      <c r="J187" s="74" t="str">
        <f>IFERROR(__xludf.DUMMYFUNCTION("""COMPUTED_VALUE"""),"RAVI KIRAN VARMA")</f>
        <v>RAVI KIRAN VARMA</v>
      </c>
      <c r="K187" s="80" t="str">
        <f>IFERROR(__xludf.DUMMYFUNCTION("""COMPUTED_VALUE"""),"https://drive.google.com/open?id=1PGe_YhDZ1SXbP36ChnZ2JAqpqC42knJJ")</f>
        <v>https://drive.google.com/open?id=1PGe_YhDZ1SXbP36ChnZ2JAqpqC42knJJ</v>
      </c>
      <c r="L187" s="74" t="str">
        <f>IFERROR(__xludf.DUMMYFUNCTION("""COMPUTED_VALUE"""),"2018-2022")</f>
        <v>2018-2022</v>
      </c>
      <c r="M187" s="74" t="str">
        <f>IFERROR(__xludf.DUMMYFUNCTION("""COMPUTED_VALUE"""),"S4: Student Certifications")</f>
        <v>S4: Student Certifications</v>
      </c>
      <c r="N187" s="74" t="str">
        <f>IFERROR(__xludf.DUMMYFUNCTION("""COMPUTED_VALUE"""),"tejasri.sagirisetty@gmail.com")</f>
        <v>tejasri.sagirisetty@gmail.com</v>
      </c>
      <c r="O187" s="74" t="str">
        <f>IFERROR(__xludf.DUMMYFUNCTION("""COMPUTED_VALUE"""),"SEM-8")</f>
        <v>SEM-8</v>
      </c>
      <c r="P187" s="74"/>
      <c r="Q187" s="74"/>
      <c r="R187" s="74"/>
      <c r="S187" s="74"/>
      <c r="T187" s="74"/>
      <c r="U187" s="74"/>
      <c r="V187" s="74"/>
      <c r="W187" s="74"/>
      <c r="X187" s="74"/>
      <c r="Y187" s="74"/>
    </row>
    <row r="188" ht="26.25" customHeight="1">
      <c r="A188" s="74" t="str">
        <f>IFERROR(__xludf.DUMMYFUNCTION("""COMPUTED_VALUE"""),"Sathwick Sadanala")</f>
        <v>Sathwick Sadanala</v>
      </c>
      <c r="B188" s="74" t="str">
        <f>IFERROR(__xludf.DUMMYFUNCTION("""COMPUTED_VALUE"""),"18331A05C6 ")</f>
        <v>18331A05C6 </v>
      </c>
      <c r="C188" s="90" t="str">
        <f>IFERROR(__xludf.DUMMYFUNCTION("""COMPUTED_VALUE"""),"Programming essesntials in C++")</f>
        <v>Programming essesntials in C++</v>
      </c>
      <c r="D188" s="74" t="str">
        <f>IFERROR(__xludf.DUMMYFUNCTION("""COMPUTED_VALUE"""),"Cisco")</f>
        <v>Cisco</v>
      </c>
      <c r="E188" s="74" t="str">
        <f>IFERROR(__xludf.DUMMYFUNCTION("""COMPUTED_VALUE"""),"1 month")</f>
        <v>1 month</v>
      </c>
      <c r="F188" s="91">
        <f>IFERROR(__xludf.DUMMYFUNCTION("""COMPUTED_VALUE"""),43922.0)</f>
        <v>43922</v>
      </c>
      <c r="G188" s="91">
        <f>IFERROR(__xludf.DUMMYFUNCTION("""COMPUTED_VALUE"""),43982.0)</f>
        <v>43982</v>
      </c>
      <c r="H188" s="79">
        <f>IFERROR(__xludf.DUMMYFUNCTION("""COMPUTED_VALUE"""),43982.0)</f>
        <v>43982</v>
      </c>
      <c r="I188" s="92">
        <f>IFERROR(__xludf.DUMMYFUNCTION("""COMPUTED_VALUE"""),91.0)</f>
        <v>91</v>
      </c>
      <c r="J188" s="74" t="str">
        <f>IFERROR(__xludf.DUMMYFUNCTION("""COMPUTED_VALUE"""),"Self learn")</f>
        <v>Self learn</v>
      </c>
      <c r="K188" s="80" t="str">
        <f>IFERROR(__xludf.DUMMYFUNCTION("""COMPUTED_VALUE"""),"https://drive.google.com/open?id=1wwftrjGcCgXc829tPDxaqXf_VUtsK_MT")</f>
        <v>https://drive.google.com/open?id=1wwftrjGcCgXc829tPDxaqXf_VUtsK_MT</v>
      </c>
      <c r="L188" s="74" t="str">
        <f>IFERROR(__xludf.DUMMYFUNCTION("""COMPUTED_VALUE"""),"2018-2022")</f>
        <v>2018-2022</v>
      </c>
      <c r="M188" s="74" t="str">
        <f>IFERROR(__xludf.DUMMYFUNCTION("""COMPUTED_VALUE"""),"S4: Student Certifications")</f>
        <v>S4: Student Certifications</v>
      </c>
      <c r="N188" s="74" t="str">
        <f>IFERROR(__xludf.DUMMYFUNCTION("""COMPUTED_VALUE"""),"sadanalasathwick@gmail.com")</f>
        <v>sadanalasathwick@gmail.com</v>
      </c>
      <c r="O188" s="74" t="str">
        <f>IFERROR(__xludf.DUMMYFUNCTION("""COMPUTED_VALUE"""),"SEM-4")</f>
        <v>SEM-4</v>
      </c>
      <c r="P188" s="74"/>
      <c r="Q188" s="74"/>
      <c r="R188" s="74"/>
      <c r="S188" s="74"/>
      <c r="T188" s="74"/>
      <c r="U188" s="74"/>
      <c r="V188" s="74"/>
      <c r="W188" s="74"/>
      <c r="X188" s="74"/>
      <c r="Y188" s="74"/>
    </row>
    <row r="189" ht="26.25" customHeight="1">
      <c r="A189" s="78" t="str">
        <f>IFERROR(__xludf.DUMMYFUNCTION("""COMPUTED_VALUE"""),"BUDIDI SURYA SAI MAHESWAR")</f>
        <v>BUDIDI SURYA SAI MAHESWAR</v>
      </c>
      <c r="B189" s="78" t="str">
        <f>IFERROR(__xludf.DUMMYFUNCTION("""COMPUTED_VALUE"""),"18331A0521")</f>
        <v>18331A0521</v>
      </c>
      <c r="C189" s="93" t="str">
        <f>IFERROR(__xludf.DUMMYFUNCTION("""COMPUTED_VALUE"""),"AWS")</f>
        <v>AWS</v>
      </c>
      <c r="D189" s="78" t="str">
        <f>IFERROR(__xludf.DUMMYFUNCTION("""COMPUTED_VALUE"""),"AICTE")</f>
        <v>AICTE</v>
      </c>
      <c r="E189" s="78" t="str">
        <f>IFERROR(__xludf.DUMMYFUNCTION("""COMPUTED_VALUE"""),"3months")</f>
        <v>3months</v>
      </c>
      <c r="F189" s="94">
        <f>IFERROR(__xludf.DUMMYFUNCTION("""COMPUTED_VALUE"""),44476.0)</f>
        <v>44476</v>
      </c>
      <c r="G189" s="94">
        <f>IFERROR(__xludf.DUMMYFUNCTION("""COMPUTED_VALUE"""),44537.0)</f>
        <v>44537</v>
      </c>
      <c r="H189" s="84">
        <f>IFERROR(__xludf.DUMMYFUNCTION("""COMPUTED_VALUE"""),44535.0)</f>
        <v>44535</v>
      </c>
      <c r="I189" s="95">
        <f>IFERROR(__xludf.DUMMYFUNCTION("""COMPUTED_VALUE"""),100.0)</f>
        <v>100</v>
      </c>
      <c r="J189" s="78" t="str">
        <f>IFERROR(__xludf.DUMMYFUNCTION("""COMPUTED_VALUE"""),"Dr. P. Ravi Kiran Varma")</f>
        <v>Dr. P. Ravi Kiran Varma</v>
      </c>
      <c r="K189" s="85" t="str">
        <f>IFERROR(__xludf.DUMMYFUNCTION("""COMPUTED_VALUE"""),"https://drive.google.com/open?id=1-SvlkiljJgizcW340DsSkgyrIk5El_Fs")</f>
        <v>https://drive.google.com/open?id=1-SvlkiljJgizcW340DsSkgyrIk5El_Fs</v>
      </c>
      <c r="L189" s="78" t="str">
        <f>IFERROR(__xludf.DUMMYFUNCTION("""COMPUTED_VALUE"""),"2018-2022")</f>
        <v>2018-2022</v>
      </c>
      <c r="M189" s="78" t="str">
        <f>IFERROR(__xludf.DUMMYFUNCTION("""COMPUTED_VALUE"""),"S4: Student Certifications")</f>
        <v>S4: Student Certifications</v>
      </c>
      <c r="N189" s="78" t="str">
        <f>IFERROR(__xludf.DUMMYFUNCTION("""COMPUTED_VALUE"""),"suryamahesh2000@gmail.com")</f>
        <v>suryamahesh2000@gmail.com</v>
      </c>
      <c r="O189" s="78" t="str">
        <f>IFERROR(__xludf.DUMMYFUNCTION("""COMPUTED_VALUE"""),"SEM-7")</f>
        <v>SEM-7</v>
      </c>
      <c r="P189" s="78"/>
      <c r="Q189" s="78"/>
      <c r="R189" s="78"/>
      <c r="S189" s="78"/>
      <c r="T189" s="78"/>
      <c r="U189" s="78"/>
      <c r="V189" s="78"/>
      <c r="W189" s="78"/>
      <c r="X189" s="78"/>
      <c r="Y189" s="78"/>
    </row>
    <row r="190" ht="26.25" customHeight="1">
      <c r="A190" s="74" t="str">
        <f>IFERROR(__xludf.DUMMYFUNCTION("""COMPUTED_VALUE"""),"Sagirisetty Teja sri")</f>
        <v>Sagirisetty Teja sri</v>
      </c>
      <c r="B190" s="74" t="str">
        <f>IFERROR(__xludf.DUMMYFUNCTION("""COMPUTED_VALUE"""),"18331A05D0")</f>
        <v>18331A05D0</v>
      </c>
      <c r="C190" s="90" t="str">
        <f>IFERROR(__xludf.DUMMYFUNCTION("""COMPUTED_VALUE"""),"Python - PCAP")</f>
        <v>Python - PCAP</v>
      </c>
      <c r="D190" s="74" t="str">
        <f>IFERROR(__xludf.DUMMYFUNCTION("""COMPUTED_VALUE"""),"CISCO")</f>
        <v>CISCO</v>
      </c>
      <c r="E190" s="74" t="str">
        <f>IFERROR(__xludf.DUMMYFUNCTION("""COMPUTED_VALUE"""),"3 months")</f>
        <v>3 months</v>
      </c>
      <c r="F190" s="91">
        <f>IFERROR(__xludf.DUMMYFUNCTION("""COMPUTED_VALUE"""),43489.0)</f>
        <v>43489</v>
      </c>
      <c r="G190" s="91">
        <f>IFERROR(__xludf.DUMMYFUNCTION("""COMPUTED_VALUE"""),43548.0)</f>
        <v>43548</v>
      </c>
      <c r="H190" s="79">
        <f>IFERROR(__xludf.DUMMYFUNCTION("""COMPUTED_VALUE"""),43585.0)</f>
        <v>43585</v>
      </c>
      <c r="I190" s="92">
        <f>IFERROR(__xludf.DUMMYFUNCTION("""COMPUTED_VALUE"""),90.0)</f>
        <v>90</v>
      </c>
      <c r="J190" s="74" t="str">
        <f>IFERROR(__xludf.DUMMYFUNCTION("""COMPUTED_VALUE"""),"RAVI KIRAN VARMA ")</f>
        <v>RAVI KIRAN VARMA </v>
      </c>
      <c r="K190" s="80" t="str">
        <f>IFERROR(__xludf.DUMMYFUNCTION("""COMPUTED_VALUE"""),"https://drive.google.com/open?id=1DWHd-7ka-ee46X0CkP17v6AZjHeQ7aA7")</f>
        <v>https://drive.google.com/open?id=1DWHd-7ka-ee46X0CkP17v6AZjHeQ7aA7</v>
      </c>
      <c r="L190" s="74" t="str">
        <f>IFERROR(__xludf.DUMMYFUNCTION("""COMPUTED_VALUE"""),"2018-2022")</f>
        <v>2018-2022</v>
      </c>
      <c r="M190" s="74" t="str">
        <f>IFERROR(__xludf.DUMMYFUNCTION("""COMPUTED_VALUE"""),"S4: Student Certifications")</f>
        <v>S4: Student Certifications</v>
      </c>
      <c r="N190" s="74" t="str">
        <f>IFERROR(__xludf.DUMMYFUNCTION("""COMPUTED_VALUE"""),"tejasri.sagirisetty@gmail.com")</f>
        <v>tejasri.sagirisetty@gmail.com</v>
      </c>
      <c r="O190" s="74" t="str">
        <f>IFERROR(__xludf.DUMMYFUNCTION("""COMPUTED_VALUE"""),"SEM-8")</f>
        <v>SEM-8</v>
      </c>
      <c r="P190" s="74"/>
      <c r="Q190" s="74"/>
      <c r="R190" s="74"/>
      <c r="S190" s="74"/>
      <c r="T190" s="74"/>
      <c r="U190" s="74"/>
      <c r="V190" s="74"/>
      <c r="W190" s="74"/>
      <c r="X190" s="74"/>
      <c r="Y190" s="74"/>
    </row>
    <row r="191" ht="26.25" customHeight="1">
      <c r="A191" s="74" t="str">
        <f>IFERROR(__xludf.DUMMYFUNCTION("""COMPUTED_VALUE"""),"Penumatcha sai vamsi krishna varma")</f>
        <v>Penumatcha sai vamsi krishna varma</v>
      </c>
      <c r="B191" s="74" t="str">
        <f>IFERROR(__xludf.DUMMYFUNCTION("""COMPUTED_VALUE"""),"18331A05B9")</f>
        <v>18331A05B9</v>
      </c>
      <c r="C191" s="90" t="str">
        <f>IFERROR(__xludf.DUMMYFUNCTION("""COMPUTED_VALUE"""),"Java tutorial course")</f>
        <v>Java tutorial course</v>
      </c>
      <c r="D191" s="74" t="str">
        <f>IFERROR(__xludf.DUMMYFUNCTION("""COMPUTED_VALUE"""),"Sololearn")</f>
        <v>Sololearn</v>
      </c>
      <c r="E191" s="74" t="str">
        <f>IFERROR(__xludf.DUMMYFUNCTION("""COMPUTED_VALUE"""),"8 weeks")</f>
        <v>8 weeks</v>
      </c>
      <c r="F191" s="91">
        <f>IFERROR(__xludf.DUMMYFUNCTION("""COMPUTED_VALUE"""),43971.0)</f>
        <v>43971</v>
      </c>
      <c r="G191" s="91">
        <f>IFERROR(__xludf.DUMMYFUNCTION("""COMPUTED_VALUE"""),44033.0)</f>
        <v>44033</v>
      </c>
      <c r="H191" s="79">
        <f>IFERROR(__xludf.DUMMYFUNCTION("""COMPUTED_VALUE"""),44027.0)</f>
        <v>44027</v>
      </c>
      <c r="I191" s="92">
        <f>IFERROR(__xludf.DUMMYFUNCTION("""COMPUTED_VALUE"""),70.0)</f>
        <v>70</v>
      </c>
      <c r="J191" s="74" t="str">
        <f>IFERROR(__xludf.DUMMYFUNCTION("""COMPUTED_VALUE"""),"Self learn")</f>
        <v>Self learn</v>
      </c>
      <c r="K191" s="80" t="str">
        <f>IFERROR(__xludf.DUMMYFUNCTION("""COMPUTED_VALUE"""),"https://drive.google.com/open?id=17N3BeMW8Hmh9A0Hdl076geARXIkgtdJg")</f>
        <v>https://drive.google.com/open?id=17N3BeMW8Hmh9A0Hdl076geARXIkgtdJg</v>
      </c>
      <c r="L191" s="74" t="str">
        <f>IFERROR(__xludf.DUMMYFUNCTION("""COMPUTED_VALUE"""),"2018-2022")</f>
        <v>2018-2022</v>
      </c>
      <c r="M191" s="74" t="str">
        <f>IFERROR(__xludf.DUMMYFUNCTION("""COMPUTED_VALUE"""),"S4: Student Certifications")</f>
        <v>S4: Student Certifications</v>
      </c>
      <c r="N191" s="74" t="str">
        <f>IFERROR(__xludf.DUMMYFUNCTION("""COMPUTED_VALUE"""),"varmavamsi38@gmail.com")</f>
        <v>varmavamsi38@gmail.com</v>
      </c>
      <c r="O191" s="74" t="str">
        <f>IFERROR(__xludf.DUMMYFUNCTION("""COMPUTED_VALUE"""),"SEM-4")</f>
        <v>SEM-4</v>
      </c>
      <c r="P191" s="74"/>
      <c r="Q191" s="74"/>
      <c r="R191" s="74"/>
      <c r="S191" s="74"/>
      <c r="T191" s="74"/>
      <c r="U191" s="74"/>
      <c r="V191" s="74"/>
      <c r="W191" s="74"/>
      <c r="X191" s="74"/>
      <c r="Y191" s="74"/>
    </row>
    <row r="192" ht="26.25" customHeight="1">
      <c r="A192" s="74" t="str">
        <f>IFERROR(__xludf.DUMMYFUNCTION("""COMPUTED_VALUE"""),"Sathwick Sadanala ")</f>
        <v>Sathwick Sadanala </v>
      </c>
      <c r="B192" s="74" t="str">
        <f>IFERROR(__xludf.DUMMYFUNCTION("""COMPUTED_VALUE"""),"18331A05C6 ")</f>
        <v>18331A05C6 </v>
      </c>
      <c r="C192" s="90" t="str">
        <f>IFERROR(__xludf.DUMMYFUNCTION("""COMPUTED_VALUE"""),"Programming essesntials in Python")</f>
        <v>Programming essesntials in Python</v>
      </c>
      <c r="D192" s="74" t="str">
        <f>IFERROR(__xludf.DUMMYFUNCTION("""COMPUTED_VALUE"""),"Cisco")</f>
        <v>Cisco</v>
      </c>
      <c r="E192" s="74" t="str">
        <f>IFERROR(__xludf.DUMMYFUNCTION("""COMPUTED_VALUE"""),"1 month")</f>
        <v>1 month</v>
      </c>
      <c r="F192" s="91">
        <f>IFERROR(__xludf.DUMMYFUNCTION("""COMPUTED_VALUE"""),44287.0)</f>
        <v>44287</v>
      </c>
      <c r="G192" s="91">
        <f>IFERROR(__xludf.DUMMYFUNCTION("""COMPUTED_VALUE"""),44317.0)</f>
        <v>44317</v>
      </c>
      <c r="H192" s="79">
        <f>IFERROR(__xludf.DUMMYFUNCTION("""COMPUTED_VALUE"""),44322.0)</f>
        <v>44322</v>
      </c>
      <c r="I192" s="92">
        <f>IFERROR(__xludf.DUMMYFUNCTION("""COMPUTED_VALUE"""),90.0)</f>
        <v>90</v>
      </c>
      <c r="J192" s="74" t="str">
        <f>IFERROR(__xludf.DUMMYFUNCTION("""COMPUTED_VALUE"""),"Dr.Ravi Kiran Varma Penmatsa")</f>
        <v>Dr.Ravi Kiran Varma Penmatsa</v>
      </c>
      <c r="K192" s="80" t="str">
        <f>IFERROR(__xludf.DUMMYFUNCTION("""COMPUTED_VALUE"""),"https://drive.google.com/open?id=12-80y08be4n2P68It-eHdVNU-Tzf5XWU")</f>
        <v>https://drive.google.com/open?id=12-80y08be4n2P68It-eHdVNU-Tzf5XWU</v>
      </c>
      <c r="L192" s="74" t="str">
        <f>IFERROR(__xludf.DUMMYFUNCTION("""COMPUTED_VALUE"""),"2018-2022")</f>
        <v>2018-2022</v>
      </c>
      <c r="M192" s="74" t="str">
        <f>IFERROR(__xludf.DUMMYFUNCTION("""COMPUTED_VALUE"""),"S4: Student Certifications")</f>
        <v>S4: Student Certifications</v>
      </c>
      <c r="N192" s="74" t="str">
        <f>IFERROR(__xludf.DUMMYFUNCTION("""COMPUTED_VALUE"""),"sadanalasathwick@gmail.com")</f>
        <v>sadanalasathwick@gmail.com</v>
      </c>
      <c r="O192" s="74" t="str">
        <f>IFERROR(__xludf.DUMMYFUNCTION("""COMPUTED_VALUE"""),"SEM-6")</f>
        <v>SEM-6</v>
      </c>
      <c r="P192" s="74"/>
      <c r="Q192" s="74"/>
      <c r="R192" s="74"/>
      <c r="S192" s="74"/>
      <c r="T192" s="74"/>
      <c r="U192" s="74"/>
      <c r="V192" s="74"/>
      <c r="W192" s="74"/>
      <c r="X192" s="74"/>
      <c r="Y192" s="74"/>
    </row>
    <row r="193" ht="26.25" customHeight="1">
      <c r="A193" s="74" t="str">
        <f>IFERROR(__xludf.DUMMYFUNCTION("""COMPUTED_VALUE"""),"KANTUMUTCHU DINESH ")</f>
        <v>KANTUMUTCHU DINESH </v>
      </c>
      <c r="B193" s="74" t="str">
        <f>IFERROR(__xludf.DUMMYFUNCTION("""COMPUTED_VALUE"""),"18331A0569")</f>
        <v>18331A0569</v>
      </c>
      <c r="C193" s="90" t="str">
        <f>IFERROR(__xludf.DUMMYFUNCTION("""COMPUTED_VALUE"""),"AI for Everyone ")</f>
        <v>AI for Everyone </v>
      </c>
      <c r="D193" s="74" t="str">
        <f>IFERROR(__xludf.DUMMYFUNCTION("""COMPUTED_VALUE"""),"COURSERA ")</f>
        <v>COURSERA </v>
      </c>
      <c r="E193" s="74" t="str">
        <f>IFERROR(__xludf.DUMMYFUNCTION("""COMPUTED_VALUE"""),"2 months")</f>
        <v>2 months</v>
      </c>
      <c r="F193" s="91">
        <f>IFERROR(__xludf.DUMMYFUNCTION("""COMPUTED_VALUE"""),44000.0)</f>
        <v>44000</v>
      </c>
      <c r="G193" s="91">
        <f>IFERROR(__xludf.DUMMYFUNCTION("""COMPUTED_VALUE"""),44057.0)</f>
        <v>44057</v>
      </c>
      <c r="H193" s="79">
        <f>IFERROR(__xludf.DUMMYFUNCTION("""COMPUTED_VALUE"""),44057.0)</f>
        <v>44057</v>
      </c>
      <c r="I193" s="92">
        <f>IFERROR(__xludf.DUMMYFUNCTION("""COMPUTED_VALUE"""),80.0)</f>
        <v>80</v>
      </c>
      <c r="J193" s="74" t="str">
        <f>IFERROR(__xludf.DUMMYFUNCTION("""COMPUTED_VALUE"""),"--")</f>
        <v>--</v>
      </c>
      <c r="K193" s="80" t="str">
        <f>IFERROR(__xludf.DUMMYFUNCTION("""COMPUTED_VALUE"""),"https://drive.google.com/open?id=1KKoUmR5Osd9B5_nwo1qlelMAibn-9ZoZ")</f>
        <v>https://drive.google.com/open?id=1KKoUmR5Osd9B5_nwo1qlelMAibn-9ZoZ</v>
      </c>
      <c r="L193" s="74" t="str">
        <f>IFERROR(__xludf.DUMMYFUNCTION("""COMPUTED_VALUE"""),"2018-2022")</f>
        <v>2018-2022</v>
      </c>
      <c r="M193" s="74" t="str">
        <f>IFERROR(__xludf.DUMMYFUNCTION("""COMPUTED_VALUE"""),"S4: Student Certifications")</f>
        <v>S4: Student Certifications</v>
      </c>
      <c r="N193" s="74" t="str">
        <f>IFERROR(__xludf.DUMMYFUNCTION("""COMPUTED_VALUE"""),"imdinesh26@gmail.com")</f>
        <v>imdinesh26@gmail.com</v>
      </c>
      <c r="O193" s="74" t="str">
        <f>IFERROR(__xludf.DUMMYFUNCTION("""COMPUTED_VALUE"""),"SEM-8")</f>
        <v>SEM-8</v>
      </c>
      <c r="P193" s="74"/>
      <c r="Q193" s="74"/>
      <c r="R193" s="74"/>
      <c r="S193" s="74"/>
      <c r="T193" s="74"/>
      <c r="U193" s="74"/>
      <c r="V193" s="74"/>
      <c r="W193" s="74"/>
      <c r="X193" s="74"/>
      <c r="Y193" s="74"/>
    </row>
    <row r="194" ht="26.25" customHeight="1">
      <c r="A194" s="74" t="str">
        <f>IFERROR(__xludf.DUMMYFUNCTION("""COMPUTED_VALUE"""),"sadanalasathwick@gmail.com ")</f>
        <v>sadanalasathwick@gmail.com </v>
      </c>
      <c r="B194" s="74" t="str">
        <f>IFERROR(__xludf.DUMMYFUNCTION("""COMPUTED_VALUE"""),"18331A05C6 ")</f>
        <v>18331A05C6 </v>
      </c>
      <c r="C194" s="90" t="str">
        <f>IFERROR(__xludf.DUMMYFUNCTION("""COMPUTED_VALUE"""),"Introduction to cybersecurity ")</f>
        <v>Introduction to cybersecurity </v>
      </c>
      <c r="D194" s="74" t="str">
        <f>IFERROR(__xludf.DUMMYFUNCTION("""COMPUTED_VALUE"""),"Cisco")</f>
        <v>Cisco</v>
      </c>
      <c r="E194" s="74" t="str">
        <f>IFERROR(__xludf.DUMMYFUNCTION("""COMPUTED_VALUE"""),"1month")</f>
        <v>1month</v>
      </c>
      <c r="F194" s="91">
        <f>IFERROR(__xludf.DUMMYFUNCTION("""COMPUTED_VALUE"""),44279.0)</f>
        <v>44279</v>
      </c>
      <c r="G194" s="91">
        <f>IFERROR(__xludf.DUMMYFUNCTION("""COMPUTED_VALUE"""),44310.0)</f>
        <v>44310</v>
      </c>
      <c r="H194" s="79">
        <f>IFERROR(__xludf.DUMMYFUNCTION("""COMPUTED_VALUE"""),44312.0)</f>
        <v>44312</v>
      </c>
      <c r="I194" s="92">
        <f>IFERROR(__xludf.DUMMYFUNCTION("""COMPUTED_VALUE"""),91.0)</f>
        <v>91</v>
      </c>
      <c r="J194" s="74" t="str">
        <f>IFERROR(__xludf.DUMMYFUNCTION("""COMPUTED_VALUE"""),"Dr.Ravi kiran varma penmatsa")</f>
        <v>Dr.Ravi kiran varma penmatsa</v>
      </c>
      <c r="K194" s="80" t="str">
        <f>IFERROR(__xludf.DUMMYFUNCTION("""COMPUTED_VALUE"""),"https://drive.google.com/open?id=1lwiSYH1TMda63duErMfjJzJNHJ3lznq7")</f>
        <v>https://drive.google.com/open?id=1lwiSYH1TMda63duErMfjJzJNHJ3lznq7</v>
      </c>
      <c r="L194" s="74" t="str">
        <f>IFERROR(__xludf.DUMMYFUNCTION("""COMPUTED_VALUE"""),"2018-2022")</f>
        <v>2018-2022</v>
      </c>
      <c r="M194" s="74" t="str">
        <f>IFERROR(__xludf.DUMMYFUNCTION("""COMPUTED_VALUE"""),"S4: Student Certifications")</f>
        <v>S4: Student Certifications</v>
      </c>
      <c r="N194" s="74" t="str">
        <f>IFERROR(__xludf.DUMMYFUNCTION("""COMPUTED_VALUE"""),"sadanalasathwick@gmail.com")</f>
        <v>sadanalasathwick@gmail.com</v>
      </c>
      <c r="O194" s="74" t="str">
        <f>IFERROR(__xludf.DUMMYFUNCTION("""COMPUTED_VALUE"""),"SEM-5")</f>
        <v>SEM-5</v>
      </c>
      <c r="P194" s="74"/>
      <c r="Q194" s="74"/>
      <c r="R194" s="74"/>
      <c r="S194" s="74"/>
      <c r="T194" s="74"/>
      <c r="U194" s="74"/>
      <c r="V194" s="74"/>
      <c r="W194" s="74"/>
      <c r="X194" s="74"/>
      <c r="Y194" s="74"/>
    </row>
    <row r="195" ht="26.25" customHeight="1">
      <c r="A195" s="74" t="str">
        <f>IFERROR(__xludf.DUMMYFUNCTION("""COMPUTED_VALUE"""),"KANTUMUTCHU DINESH ")</f>
        <v>KANTUMUTCHU DINESH </v>
      </c>
      <c r="B195" s="74" t="str">
        <f>IFERROR(__xludf.DUMMYFUNCTION("""COMPUTED_VALUE"""),"18331A0569")</f>
        <v>18331A0569</v>
      </c>
      <c r="C195" s="90" t="str">
        <f>IFERROR(__xludf.DUMMYFUNCTION("""COMPUTED_VALUE"""),"Programming For Everybody Getting Started with Python ")</f>
        <v>Programming For Everybody Getting Started with Python </v>
      </c>
      <c r="D195" s="74" t="str">
        <f>IFERROR(__xludf.DUMMYFUNCTION("""COMPUTED_VALUE"""),"COURSERA ")</f>
        <v>COURSERA </v>
      </c>
      <c r="E195" s="74" t="str">
        <f>IFERROR(__xludf.DUMMYFUNCTION("""COMPUTED_VALUE"""),"1 month ")</f>
        <v>1 month </v>
      </c>
      <c r="F195" s="91">
        <f>IFERROR(__xludf.DUMMYFUNCTION("""COMPUTED_VALUE"""),43975.0)</f>
        <v>43975</v>
      </c>
      <c r="G195" s="91">
        <f>IFERROR(__xludf.DUMMYFUNCTION("""COMPUTED_VALUE"""),44009.0)</f>
        <v>44009</v>
      </c>
      <c r="H195" s="79">
        <f>IFERROR(__xludf.DUMMYFUNCTION("""COMPUTED_VALUE"""),44009.0)</f>
        <v>44009</v>
      </c>
      <c r="I195" s="92">
        <f>IFERROR(__xludf.DUMMYFUNCTION("""COMPUTED_VALUE"""),80.0)</f>
        <v>80</v>
      </c>
      <c r="J195" s="74" t="str">
        <f>IFERROR(__xludf.DUMMYFUNCTION("""COMPUTED_VALUE"""),"-")</f>
        <v>-</v>
      </c>
      <c r="K195" s="80" t="str">
        <f>IFERROR(__xludf.DUMMYFUNCTION("""COMPUTED_VALUE"""),"https://drive.google.com/open?id=18ZGvBLENRDpnFtEk8pa5vgpH8LovCSxW")</f>
        <v>https://drive.google.com/open?id=18ZGvBLENRDpnFtEk8pa5vgpH8LovCSxW</v>
      </c>
      <c r="L195" s="74" t="str">
        <f>IFERROR(__xludf.DUMMYFUNCTION("""COMPUTED_VALUE"""),"2018-2022")</f>
        <v>2018-2022</v>
      </c>
      <c r="M195" s="74" t="str">
        <f>IFERROR(__xludf.DUMMYFUNCTION("""COMPUTED_VALUE"""),"S4: Student Certifications")</f>
        <v>S4: Student Certifications</v>
      </c>
      <c r="N195" s="74" t="str">
        <f>IFERROR(__xludf.DUMMYFUNCTION("""COMPUTED_VALUE"""),"imdinesh26@gmail.com")</f>
        <v>imdinesh26@gmail.com</v>
      </c>
      <c r="O195" s="74" t="str">
        <f>IFERROR(__xludf.DUMMYFUNCTION("""COMPUTED_VALUE"""),"SEM-8")</f>
        <v>SEM-8</v>
      </c>
      <c r="P195" s="74"/>
      <c r="Q195" s="74"/>
      <c r="R195" s="74"/>
      <c r="S195" s="74"/>
      <c r="T195" s="74"/>
      <c r="U195" s="74"/>
      <c r="V195" s="74"/>
      <c r="W195" s="74"/>
      <c r="X195" s="74"/>
      <c r="Y195" s="74"/>
    </row>
    <row r="196" ht="26.25" customHeight="1">
      <c r="A196" s="74" t="str">
        <f>IFERROR(__xludf.DUMMYFUNCTION("""COMPUTED_VALUE"""),"KANTUMUTCHU DINESH ")</f>
        <v>KANTUMUTCHU DINESH </v>
      </c>
      <c r="B196" s="74" t="str">
        <f>IFERROR(__xludf.DUMMYFUNCTION("""COMPUTED_VALUE"""),"18331A0569")</f>
        <v>18331A0569</v>
      </c>
      <c r="C196" s="90" t="str">
        <f>IFERROR(__xludf.DUMMYFUNCTION("""COMPUTED_VALUE"""),"Python Data Structures ")</f>
        <v>Python Data Structures </v>
      </c>
      <c r="D196" s="74" t="str">
        <f>IFERROR(__xludf.DUMMYFUNCTION("""COMPUTED_VALUE"""),"COURSERA ")</f>
        <v>COURSERA </v>
      </c>
      <c r="E196" s="74" t="str">
        <f>IFERROR(__xludf.DUMMYFUNCTION("""COMPUTED_VALUE"""),"1 month ")</f>
        <v>1 month </v>
      </c>
      <c r="F196" s="91">
        <f>IFERROR(__xludf.DUMMYFUNCTION("""COMPUTED_VALUE"""),44071.0)</f>
        <v>44071</v>
      </c>
      <c r="G196" s="91">
        <f>IFERROR(__xludf.DUMMYFUNCTION("""COMPUTED_VALUE"""),44100.0)</f>
        <v>44100</v>
      </c>
      <c r="H196" s="79">
        <f>IFERROR(__xludf.DUMMYFUNCTION("""COMPUTED_VALUE"""),44100.0)</f>
        <v>44100</v>
      </c>
      <c r="I196" s="92">
        <f>IFERROR(__xludf.DUMMYFUNCTION("""COMPUTED_VALUE"""),75.0)</f>
        <v>75</v>
      </c>
      <c r="J196" s="74" t="str">
        <f>IFERROR(__xludf.DUMMYFUNCTION("""COMPUTED_VALUE"""),"- ")</f>
        <v>- </v>
      </c>
      <c r="K196" s="80" t="str">
        <f>IFERROR(__xludf.DUMMYFUNCTION("""COMPUTED_VALUE"""),"https://drive.google.com/open?id=1YYL7ajowjC05hE-1lr9jnWEK3HxBaqXe")</f>
        <v>https://drive.google.com/open?id=1YYL7ajowjC05hE-1lr9jnWEK3HxBaqXe</v>
      </c>
      <c r="L196" s="74" t="str">
        <f>IFERROR(__xludf.DUMMYFUNCTION("""COMPUTED_VALUE"""),"2018-2022")</f>
        <v>2018-2022</v>
      </c>
      <c r="M196" s="74" t="str">
        <f>IFERROR(__xludf.DUMMYFUNCTION("""COMPUTED_VALUE"""),"S4: Student Certifications")</f>
        <v>S4: Student Certifications</v>
      </c>
      <c r="N196" s="74" t="str">
        <f>IFERROR(__xludf.DUMMYFUNCTION("""COMPUTED_VALUE"""),"imdinesh26@gmail.com")</f>
        <v>imdinesh26@gmail.com</v>
      </c>
      <c r="O196" s="74" t="str">
        <f>IFERROR(__xludf.DUMMYFUNCTION("""COMPUTED_VALUE"""),"SEM-8")</f>
        <v>SEM-8</v>
      </c>
      <c r="P196" s="74"/>
      <c r="Q196" s="74"/>
      <c r="R196" s="74"/>
      <c r="S196" s="74"/>
      <c r="T196" s="74"/>
      <c r="U196" s="74"/>
      <c r="V196" s="74"/>
      <c r="W196" s="74"/>
      <c r="X196" s="74"/>
      <c r="Y196" s="74"/>
    </row>
    <row r="197" ht="26.25" customHeight="1">
      <c r="A197" s="74" t="str">
        <f>IFERROR(__xludf.DUMMYFUNCTION("""COMPUTED_VALUE"""),"Sathwick Sadanala ")</f>
        <v>Sathwick Sadanala </v>
      </c>
      <c r="B197" s="74" t="str">
        <f>IFERROR(__xludf.DUMMYFUNCTION("""COMPUTED_VALUE"""),"18331A05C6 ")</f>
        <v>18331A05C6 </v>
      </c>
      <c r="C197" s="90" t="str">
        <f>IFERROR(__xludf.DUMMYFUNCTION("""COMPUTED_VALUE"""),"Introduction to networks")</f>
        <v>Introduction to networks</v>
      </c>
      <c r="D197" s="74" t="str">
        <f>IFERROR(__xludf.DUMMYFUNCTION("""COMPUTED_VALUE"""),"Cisco")</f>
        <v>Cisco</v>
      </c>
      <c r="E197" s="74" t="str">
        <f>IFERROR(__xludf.DUMMYFUNCTION("""COMPUTED_VALUE"""),"1month")</f>
        <v>1month</v>
      </c>
      <c r="F197" s="91">
        <f>IFERROR(__xludf.DUMMYFUNCTION("""COMPUTED_VALUE"""),43929.0)</f>
        <v>43929</v>
      </c>
      <c r="G197" s="91">
        <f>IFERROR(__xludf.DUMMYFUNCTION("""COMPUTED_VALUE"""),43959.0)</f>
        <v>43959</v>
      </c>
      <c r="H197" s="79">
        <f>IFERROR(__xludf.DUMMYFUNCTION("""COMPUTED_VALUE"""),43964.0)</f>
        <v>43964</v>
      </c>
      <c r="I197" s="92">
        <f>IFERROR(__xludf.DUMMYFUNCTION("""COMPUTED_VALUE"""),92.0)</f>
        <v>92</v>
      </c>
      <c r="J197" s="74" t="str">
        <f>IFERROR(__xludf.DUMMYFUNCTION("""COMPUTED_VALUE"""),"Dr.Ravi kiran Varma")</f>
        <v>Dr.Ravi kiran Varma</v>
      </c>
      <c r="K197" s="80" t="str">
        <f>IFERROR(__xludf.DUMMYFUNCTION("""COMPUTED_VALUE"""),"https://drive.google.com/open?id=1L9wjC6vG7nuYvjdimem2IuS0Bw1r4G8G")</f>
        <v>https://drive.google.com/open?id=1L9wjC6vG7nuYvjdimem2IuS0Bw1r4G8G</v>
      </c>
      <c r="L197" s="74" t="str">
        <f>IFERROR(__xludf.DUMMYFUNCTION("""COMPUTED_VALUE"""),"2018-2022")</f>
        <v>2018-2022</v>
      </c>
      <c r="M197" s="74" t="str">
        <f>IFERROR(__xludf.DUMMYFUNCTION("""COMPUTED_VALUE"""),"S4: Student Certifications")</f>
        <v>S4: Student Certifications</v>
      </c>
      <c r="N197" s="74" t="str">
        <f>IFERROR(__xludf.DUMMYFUNCTION("""COMPUTED_VALUE"""),"sadanalasathwick@gmail.com")</f>
        <v>sadanalasathwick@gmail.com</v>
      </c>
      <c r="O197" s="74" t="str">
        <f>IFERROR(__xludf.DUMMYFUNCTION("""COMPUTED_VALUE"""),"SEM-4")</f>
        <v>SEM-4</v>
      </c>
      <c r="P197" s="74"/>
      <c r="Q197" s="74"/>
      <c r="R197" s="74"/>
      <c r="S197" s="74"/>
      <c r="T197" s="74"/>
      <c r="U197" s="74"/>
      <c r="V197" s="74"/>
      <c r="W197" s="74"/>
      <c r="X197" s="74"/>
      <c r="Y197" s="74"/>
    </row>
    <row r="198" ht="26.25" customHeight="1">
      <c r="A198" s="74" t="str">
        <f>IFERROR(__xludf.DUMMYFUNCTION("""COMPUTED_VALUE"""),"KANTUMUTCHU DINESH ")</f>
        <v>KANTUMUTCHU DINESH </v>
      </c>
      <c r="B198" s="74" t="str">
        <f>IFERROR(__xludf.DUMMYFUNCTION("""COMPUTED_VALUE"""),"18331A0569")</f>
        <v>18331A0569</v>
      </c>
      <c r="C198" s="90" t="str">
        <f>IFERROR(__xludf.DUMMYFUNCTION("""COMPUTED_VALUE"""),"SQL for Data Science ")</f>
        <v>SQL for Data Science </v>
      </c>
      <c r="D198" s="74" t="str">
        <f>IFERROR(__xludf.DUMMYFUNCTION("""COMPUTED_VALUE"""),"COURSERA ")</f>
        <v>COURSERA </v>
      </c>
      <c r="E198" s="74" t="str">
        <f>IFERROR(__xludf.DUMMYFUNCTION("""COMPUTED_VALUE"""),"2 month ")</f>
        <v>2 month </v>
      </c>
      <c r="F198" s="91">
        <f>IFERROR(__xludf.DUMMYFUNCTION("""COMPUTED_VALUE"""),44482.0)</f>
        <v>44482</v>
      </c>
      <c r="G198" s="91">
        <f>IFERROR(__xludf.DUMMYFUNCTION("""COMPUTED_VALUE"""),44551.0)</f>
        <v>44551</v>
      </c>
      <c r="H198" s="79">
        <f>IFERROR(__xludf.DUMMYFUNCTION("""COMPUTED_VALUE"""),44552.0)</f>
        <v>44552</v>
      </c>
      <c r="I198" s="92">
        <f>IFERROR(__xludf.DUMMYFUNCTION("""COMPUTED_VALUE"""),85.0)</f>
        <v>85</v>
      </c>
      <c r="J198" s="74" t="str">
        <f>IFERROR(__xludf.DUMMYFUNCTION("""COMPUTED_VALUE"""),"-")</f>
        <v>-</v>
      </c>
      <c r="K198" s="80" t="str">
        <f>IFERROR(__xludf.DUMMYFUNCTION("""COMPUTED_VALUE"""),"https://drive.google.com/open?id=1WrZ6G5U0Tk1c9ooBvCrvbKrBvHPNs9mF")</f>
        <v>https://drive.google.com/open?id=1WrZ6G5U0Tk1c9ooBvCrvbKrBvHPNs9mF</v>
      </c>
      <c r="L198" s="74" t="str">
        <f>IFERROR(__xludf.DUMMYFUNCTION("""COMPUTED_VALUE"""),"2018-2022")</f>
        <v>2018-2022</v>
      </c>
      <c r="M198" s="74" t="str">
        <f>IFERROR(__xludf.DUMMYFUNCTION("""COMPUTED_VALUE"""),"S4: Student Certifications")</f>
        <v>S4: Student Certifications</v>
      </c>
      <c r="N198" s="74" t="str">
        <f>IFERROR(__xludf.DUMMYFUNCTION("""COMPUTED_VALUE"""),"imdinesh26@gmail.com")</f>
        <v>imdinesh26@gmail.com</v>
      </c>
      <c r="O198" s="74" t="str">
        <f>IFERROR(__xludf.DUMMYFUNCTION("""COMPUTED_VALUE"""),"SEM-8")</f>
        <v>SEM-8</v>
      </c>
      <c r="P198" s="74"/>
      <c r="Q198" s="74"/>
      <c r="R198" s="74"/>
      <c r="S198" s="74"/>
      <c r="T198" s="74"/>
      <c r="U198" s="74"/>
      <c r="V198" s="74"/>
      <c r="W198" s="74"/>
      <c r="X198" s="74"/>
      <c r="Y198" s="74"/>
    </row>
    <row r="199" ht="26.25" customHeight="1">
      <c r="A199" s="74" t="str">
        <f>IFERROR(__xludf.DUMMYFUNCTION("""COMPUTED_VALUE"""),"Sathwick Sadanala ")</f>
        <v>Sathwick Sadanala </v>
      </c>
      <c r="B199" s="74" t="str">
        <f>IFERROR(__xludf.DUMMYFUNCTION("""COMPUTED_VALUE"""),"18331A05C6 ")</f>
        <v>18331A05C6 </v>
      </c>
      <c r="C199" s="90" t="str">
        <f>IFERROR(__xludf.DUMMYFUNCTION("""COMPUTED_VALUE"""),"Switching,  routinng and wireless essentials ")</f>
        <v>Switching,  routinng and wireless essentials </v>
      </c>
      <c r="D199" s="74" t="str">
        <f>IFERROR(__xludf.DUMMYFUNCTION("""COMPUTED_VALUE"""),"Cisco")</f>
        <v>Cisco</v>
      </c>
      <c r="E199" s="74" t="str">
        <f>IFERROR(__xludf.DUMMYFUNCTION("""COMPUTED_VALUE"""),"1month")</f>
        <v>1month</v>
      </c>
      <c r="F199" s="91">
        <f>IFERROR(__xludf.DUMMYFUNCTION("""COMPUTED_VALUE"""),43952.0)</f>
        <v>43952</v>
      </c>
      <c r="G199" s="91">
        <f>IFERROR(__xludf.DUMMYFUNCTION("""COMPUTED_VALUE"""),43983.0)</f>
        <v>43983</v>
      </c>
      <c r="H199" s="79">
        <f>IFERROR(__xludf.DUMMYFUNCTION("""COMPUTED_VALUE"""),43990.0)</f>
        <v>43990</v>
      </c>
      <c r="I199" s="92">
        <f>IFERROR(__xludf.DUMMYFUNCTION("""COMPUTED_VALUE"""),84.0)</f>
        <v>84</v>
      </c>
      <c r="J199" s="74" t="str">
        <f>IFERROR(__xludf.DUMMYFUNCTION("""COMPUTED_VALUE"""),"Dr.Ravi kiran varma")</f>
        <v>Dr.Ravi kiran varma</v>
      </c>
      <c r="K199" s="80" t="str">
        <f>IFERROR(__xludf.DUMMYFUNCTION("""COMPUTED_VALUE"""),"https://drive.google.com/open?id=1-zCDceZm8HrT2MI98eNitL7FcvuByl22")</f>
        <v>https://drive.google.com/open?id=1-zCDceZm8HrT2MI98eNitL7FcvuByl22</v>
      </c>
      <c r="L199" s="74" t="str">
        <f>IFERROR(__xludf.DUMMYFUNCTION("""COMPUTED_VALUE"""),"2018-2022")</f>
        <v>2018-2022</v>
      </c>
      <c r="M199" s="74" t="str">
        <f>IFERROR(__xludf.DUMMYFUNCTION("""COMPUTED_VALUE"""),"S4: Student Certifications")</f>
        <v>S4: Student Certifications</v>
      </c>
      <c r="N199" s="74" t="str">
        <f>IFERROR(__xludf.DUMMYFUNCTION("""COMPUTED_VALUE"""),"sadanalasathwick@gmail.com")</f>
        <v>sadanalasathwick@gmail.com</v>
      </c>
      <c r="O199" s="74" t="str">
        <f>IFERROR(__xludf.DUMMYFUNCTION("""COMPUTED_VALUE"""),"SEM-4")</f>
        <v>SEM-4</v>
      </c>
      <c r="P199" s="74"/>
      <c r="Q199" s="74"/>
      <c r="R199" s="74"/>
      <c r="S199" s="74"/>
      <c r="T199" s="74"/>
      <c r="U199" s="74"/>
      <c r="V199" s="74"/>
      <c r="W199" s="74"/>
      <c r="X199" s="74"/>
      <c r="Y199" s="74"/>
    </row>
    <row r="200" ht="26.25" customHeight="1">
      <c r="A200" s="74" t="str">
        <f>IFERROR(__xludf.DUMMYFUNCTION("""COMPUTED_VALUE"""),"Sathwick Sadanala")</f>
        <v>Sathwick Sadanala</v>
      </c>
      <c r="B200" s="74" t="str">
        <f>IFERROR(__xludf.DUMMYFUNCTION("""COMPUTED_VALUE"""),"18331A05C6 ")</f>
        <v>18331A05C6 </v>
      </c>
      <c r="C200" s="90" t="str">
        <f>IFERROR(__xludf.DUMMYFUNCTION("""COMPUTED_VALUE"""),"Enterprise,networking,security and automation ")</f>
        <v>Enterprise,networking,security and automation </v>
      </c>
      <c r="D200" s="74" t="str">
        <f>IFERROR(__xludf.DUMMYFUNCTION("""COMPUTED_VALUE"""),"Cisco")</f>
        <v>Cisco</v>
      </c>
      <c r="E200" s="74" t="str">
        <f>IFERROR(__xludf.DUMMYFUNCTION("""COMPUTED_VALUE"""),"1month")</f>
        <v>1month</v>
      </c>
      <c r="F200" s="91">
        <f>IFERROR(__xludf.DUMMYFUNCTION("""COMPUTED_VALUE"""),43985.0)</f>
        <v>43985</v>
      </c>
      <c r="G200" s="91">
        <f>IFERROR(__xludf.DUMMYFUNCTION("""COMPUTED_VALUE"""),44015.0)</f>
        <v>44015</v>
      </c>
      <c r="H200" s="79">
        <f>IFERROR(__xludf.DUMMYFUNCTION("""COMPUTED_VALUE"""),44024.0)</f>
        <v>44024</v>
      </c>
      <c r="I200" s="92">
        <f>IFERROR(__xludf.DUMMYFUNCTION("""COMPUTED_VALUE"""),90.0)</f>
        <v>90</v>
      </c>
      <c r="J200" s="74" t="str">
        <f>IFERROR(__xludf.DUMMYFUNCTION("""COMPUTED_VALUE"""),"Dr.Ravi kiran varma")</f>
        <v>Dr.Ravi kiran varma</v>
      </c>
      <c r="K200" s="80" t="str">
        <f>IFERROR(__xludf.DUMMYFUNCTION("""COMPUTED_VALUE"""),"https://drive.google.com/open?id=15XHduGDa7PgoZDaYpRg4GrCbAe0JtMuG")</f>
        <v>https://drive.google.com/open?id=15XHduGDa7PgoZDaYpRg4GrCbAe0JtMuG</v>
      </c>
      <c r="L200" s="74" t="str">
        <f>IFERROR(__xludf.DUMMYFUNCTION("""COMPUTED_VALUE"""),"2018-2022")</f>
        <v>2018-2022</v>
      </c>
      <c r="M200" s="74" t="str">
        <f>IFERROR(__xludf.DUMMYFUNCTION("""COMPUTED_VALUE"""),"S4: Student Certifications")</f>
        <v>S4: Student Certifications</v>
      </c>
      <c r="N200" s="74" t="str">
        <f>IFERROR(__xludf.DUMMYFUNCTION("""COMPUTED_VALUE"""),"sadanalasathwick@gmail.com")</f>
        <v>sadanalasathwick@gmail.com</v>
      </c>
      <c r="O200" s="74" t="str">
        <f>IFERROR(__xludf.DUMMYFUNCTION("""COMPUTED_VALUE"""),"SEM-4")</f>
        <v>SEM-4</v>
      </c>
      <c r="P200" s="74"/>
      <c r="Q200" s="74"/>
      <c r="R200" s="74"/>
      <c r="S200" s="74"/>
      <c r="T200" s="74"/>
      <c r="U200" s="74"/>
      <c r="V200" s="74"/>
      <c r="W200" s="74"/>
      <c r="X200" s="74"/>
      <c r="Y200" s="74"/>
    </row>
    <row r="201" ht="26.25" customHeight="1">
      <c r="A201" s="74" t="str">
        <f>IFERROR(__xludf.DUMMYFUNCTION("""COMPUTED_VALUE"""),"Kantumutchu Dinesh ")</f>
        <v>Kantumutchu Dinesh </v>
      </c>
      <c r="B201" s="74" t="str">
        <f>IFERROR(__xludf.DUMMYFUNCTION("""COMPUTED_VALUE"""),"18331A0569")</f>
        <v>18331A0569</v>
      </c>
      <c r="C201" s="90" t="str">
        <f>IFERROR(__xludf.DUMMYFUNCTION("""COMPUTED_VALUE"""),"Build a mobile app with Google sheets on Glide and No Coding ")</f>
        <v>Build a mobile app with Google sheets on Glide and No Coding </v>
      </c>
      <c r="D201" s="74" t="str">
        <f>IFERROR(__xludf.DUMMYFUNCTION("""COMPUTED_VALUE"""),"COURSERA ")</f>
        <v>COURSERA </v>
      </c>
      <c r="E201" s="74" t="str">
        <f>IFERROR(__xludf.DUMMYFUNCTION("""COMPUTED_VALUE"""),"1 day ")</f>
        <v>1 day </v>
      </c>
      <c r="F201" s="91">
        <f>IFERROR(__xludf.DUMMYFUNCTION("""COMPUTED_VALUE"""),44652.0)</f>
        <v>44652</v>
      </c>
      <c r="G201" s="91">
        <f>IFERROR(__xludf.DUMMYFUNCTION("""COMPUTED_VALUE"""),44653.0)</f>
        <v>44653</v>
      </c>
      <c r="H201" s="79">
        <f>IFERROR(__xludf.DUMMYFUNCTION("""COMPUTED_VALUE"""),44653.0)</f>
        <v>44653</v>
      </c>
      <c r="I201" s="92">
        <f>IFERROR(__xludf.DUMMYFUNCTION("""COMPUTED_VALUE"""),90.0)</f>
        <v>90</v>
      </c>
      <c r="J201" s="74" t="str">
        <f>IFERROR(__xludf.DUMMYFUNCTION("""COMPUTED_VALUE"""),"-")</f>
        <v>-</v>
      </c>
      <c r="K201" s="80" t="str">
        <f>IFERROR(__xludf.DUMMYFUNCTION("""COMPUTED_VALUE"""),"https://drive.google.com/open?id=1ruTJxLfRD91bBKO3FXzsuBZ404E4nE-J")</f>
        <v>https://drive.google.com/open?id=1ruTJxLfRD91bBKO3FXzsuBZ404E4nE-J</v>
      </c>
      <c r="L201" s="74" t="str">
        <f>IFERROR(__xludf.DUMMYFUNCTION("""COMPUTED_VALUE"""),"2018-2022")</f>
        <v>2018-2022</v>
      </c>
      <c r="M201" s="74" t="str">
        <f>IFERROR(__xludf.DUMMYFUNCTION("""COMPUTED_VALUE"""),"S4: Student Certifications")</f>
        <v>S4: Student Certifications</v>
      </c>
      <c r="N201" s="74" t="str">
        <f>IFERROR(__xludf.DUMMYFUNCTION("""COMPUTED_VALUE"""),"imdinesh26@gmail.com")</f>
        <v>imdinesh26@gmail.com</v>
      </c>
      <c r="O201" s="74" t="str">
        <f>IFERROR(__xludf.DUMMYFUNCTION("""COMPUTED_VALUE"""),"SEM-8")</f>
        <v>SEM-8</v>
      </c>
      <c r="P201" s="74"/>
      <c r="Q201" s="74"/>
      <c r="R201" s="74"/>
      <c r="S201" s="74"/>
      <c r="T201" s="74"/>
      <c r="U201" s="74"/>
      <c r="V201" s="74"/>
      <c r="W201" s="74"/>
      <c r="X201" s="74"/>
      <c r="Y201" s="74"/>
    </row>
    <row r="202" ht="26.25" customHeight="1">
      <c r="A202" s="74" t="str">
        <f>IFERROR(__xludf.DUMMYFUNCTION("""COMPUTED_VALUE"""),"Sagirisetty Teja sri")</f>
        <v>Sagirisetty Teja sri</v>
      </c>
      <c r="B202" s="74" t="str">
        <f>IFERROR(__xludf.DUMMYFUNCTION("""COMPUTED_VALUE"""),"18331A05D0")</f>
        <v>18331A05D0</v>
      </c>
      <c r="C202" s="90" t="str">
        <f>IFERROR(__xludf.DUMMYFUNCTION("""COMPUTED_VALUE"""),"AWS")</f>
        <v>AWS</v>
      </c>
      <c r="D202" s="74" t="str">
        <f>IFERROR(__xludf.DUMMYFUNCTION("""COMPUTED_VALUE"""),"AICTE")</f>
        <v>AICTE</v>
      </c>
      <c r="E202" s="74" t="str">
        <f>IFERROR(__xludf.DUMMYFUNCTION("""COMPUTED_VALUE"""),"2 months")</f>
        <v>2 months</v>
      </c>
      <c r="F202" s="91">
        <f>IFERROR(__xludf.DUMMYFUNCTION("""COMPUTED_VALUE"""),44481.0)</f>
        <v>44481</v>
      </c>
      <c r="G202" s="91">
        <f>IFERROR(__xludf.DUMMYFUNCTION("""COMPUTED_VALUE"""),44542.0)</f>
        <v>44542</v>
      </c>
      <c r="H202" s="79">
        <f>IFERROR(__xludf.DUMMYFUNCTION("""COMPUTED_VALUE"""),44542.0)</f>
        <v>44542</v>
      </c>
      <c r="I202" s="92">
        <f>IFERROR(__xludf.DUMMYFUNCTION("""COMPUTED_VALUE"""),90.0)</f>
        <v>90</v>
      </c>
      <c r="J202" s="74" t="str">
        <f>IFERROR(__xludf.DUMMYFUNCTION("""COMPUTED_VALUE"""),"RAVI KIRAN VARMA")</f>
        <v>RAVI KIRAN VARMA</v>
      </c>
      <c r="K202" s="80" t="str">
        <f>IFERROR(__xludf.DUMMYFUNCTION("""COMPUTED_VALUE"""),"https://drive.google.com/open?id=1qXwc475uw5BmiNnSXgm_E1KoedXTkkgW")</f>
        <v>https://drive.google.com/open?id=1qXwc475uw5BmiNnSXgm_E1KoedXTkkgW</v>
      </c>
      <c r="L202" s="74" t="str">
        <f>IFERROR(__xludf.DUMMYFUNCTION("""COMPUTED_VALUE"""),"2018-2022")</f>
        <v>2018-2022</v>
      </c>
      <c r="M202" s="74" t="str">
        <f>IFERROR(__xludf.DUMMYFUNCTION("""COMPUTED_VALUE"""),"S4: Student Certifications")</f>
        <v>S4: Student Certifications</v>
      </c>
      <c r="N202" s="74" t="str">
        <f>IFERROR(__xludf.DUMMYFUNCTION("""COMPUTED_VALUE"""),"tejasri.sagirisetty@gmail.com")</f>
        <v>tejasri.sagirisetty@gmail.com</v>
      </c>
      <c r="O202" s="74" t="str">
        <f>IFERROR(__xludf.DUMMYFUNCTION("""COMPUTED_VALUE"""),"SEM-8")</f>
        <v>SEM-8</v>
      </c>
      <c r="P202" s="74"/>
      <c r="Q202" s="74"/>
      <c r="R202" s="74"/>
      <c r="S202" s="74"/>
      <c r="T202" s="74"/>
      <c r="U202" s="74"/>
      <c r="V202" s="74"/>
      <c r="W202" s="74"/>
      <c r="X202" s="74"/>
      <c r="Y202" s="74"/>
    </row>
    <row r="203" ht="26.25" customHeight="1">
      <c r="A203" s="74" t="str">
        <f>IFERROR(__xludf.DUMMYFUNCTION("""COMPUTED_VALUE"""),"Datla Vasanth Gopal Raju ")</f>
        <v>Datla Vasanth Gopal Raju </v>
      </c>
      <c r="B203" s="74" t="str">
        <f>IFERROR(__xludf.DUMMYFUNCTION("""COMPUTED_VALUE"""),"18331A05H5")</f>
        <v>18331A05H5</v>
      </c>
      <c r="C203" s="90" t="str">
        <f>IFERROR(__xludf.DUMMYFUNCTION("""COMPUTED_VALUE"""),"AWS cloud foundations")</f>
        <v>AWS cloud foundations</v>
      </c>
      <c r="D203" s="74" t="str">
        <f>IFERROR(__xludf.DUMMYFUNCTION("""COMPUTED_VALUE"""),"AICTE")</f>
        <v>AICTE</v>
      </c>
      <c r="E203" s="74" t="str">
        <f>IFERROR(__xludf.DUMMYFUNCTION("""COMPUTED_VALUE"""),"10 weeks")</f>
        <v>10 weeks</v>
      </c>
      <c r="F203" s="91">
        <f>IFERROR(__xludf.DUMMYFUNCTION("""COMPUTED_VALUE"""),44527.0)</f>
        <v>44527</v>
      </c>
      <c r="G203" s="91">
        <f>IFERROR(__xludf.DUMMYFUNCTION("""COMPUTED_VALUE"""),44583.0)</f>
        <v>44583</v>
      </c>
      <c r="H203" s="79">
        <f>IFERROR(__xludf.DUMMYFUNCTION("""COMPUTED_VALUE"""),44583.0)</f>
        <v>44583</v>
      </c>
      <c r="I203" s="92">
        <f>IFERROR(__xludf.DUMMYFUNCTION("""COMPUTED_VALUE"""),90.0)</f>
        <v>90</v>
      </c>
      <c r="J203" s="74" t="str">
        <f>IFERROR(__xludf.DUMMYFUNCTION("""COMPUTED_VALUE"""),"Dr.Ravi Kiran varma")</f>
        <v>Dr.Ravi Kiran varma</v>
      </c>
      <c r="K203" s="80" t="str">
        <f>IFERROR(__xludf.DUMMYFUNCTION("""COMPUTED_VALUE"""),"https://drive.google.com/open?id=14K6nY5Zmu7aYFBOqjAHAjykSQh084Liz")</f>
        <v>https://drive.google.com/open?id=14K6nY5Zmu7aYFBOqjAHAjykSQh084Liz</v>
      </c>
      <c r="L203" s="74" t="str">
        <f>IFERROR(__xludf.DUMMYFUNCTION("""COMPUTED_VALUE"""),"2018-2022")</f>
        <v>2018-2022</v>
      </c>
      <c r="M203" s="74" t="str">
        <f>IFERROR(__xludf.DUMMYFUNCTION("""COMPUTED_VALUE"""),"S4: Student Certifications")</f>
        <v>S4: Student Certifications</v>
      </c>
      <c r="N203" s="74" t="str">
        <f>IFERROR(__xludf.DUMMYFUNCTION("""COMPUTED_VALUE"""),"vasanthdatla@gmail.com")</f>
        <v>vasanthdatla@gmail.com</v>
      </c>
      <c r="O203" s="74" t="str">
        <f>IFERROR(__xludf.DUMMYFUNCTION("""COMPUTED_VALUE"""),"SEM-7")</f>
        <v>SEM-7</v>
      </c>
      <c r="P203" s="74"/>
      <c r="Q203" s="74"/>
      <c r="R203" s="74"/>
      <c r="S203" s="74"/>
      <c r="T203" s="74"/>
      <c r="U203" s="74"/>
      <c r="V203" s="74"/>
      <c r="W203" s="74"/>
      <c r="X203" s="74"/>
      <c r="Y203" s="74"/>
    </row>
    <row r="204" ht="26.25" customHeight="1">
      <c r="A204" s="74" t="str">
        <f>IFERROR(__xludf.DUMMYFUNCTION("""COMPUTED_VALUE"""),"Madhavi Latha Maduthuri")</f>
        <v>Madhavi Latha Maduthuri</v>
      </c>
      <c r="B204" s="74" t="str">
        <f>IFERROR(__xludf.DUMMYFUNCTION("""COMPUTED_VALUE"""),"18331A0590")</f>
        <v>18331A0590</v>
      </c>
      <c r="C204" s="90" t="str">
        <f>IFERROR(__xludf.DUMMYFUNCTION("""COMPUTED_VALUE"""),"Cisci Introduction to packet tracker")</f>
        <v>Cisci Introduction to packet tracker</v>
      </c>
      <c r="D204" s="74" t="str">
        <f>IFERROR(__xludf.DUMMYFUNCTION("""COMPUTED_VALUE"""),"Cisco Introduction to packet Tracker")</f>
        <v>Cisco Introduction to packet Tracker</v>
      </c>
      <c r="E204" s="74" t="str">
        <f>IFERROR(__xludf.DUMMYFUNCTION("""COMPUTED_VALUE"""),"2")</f>
        <v>2</v>
      </c>
      <c r="F204" s="91">
        <f>IFERROR(__xludf.DUMMYFUNCTION("""COMPUTED_VALUE"""),44245.0)</f>
        <v>44245</v>
      </c>
      <c r="G204" s="91">
        <f>IFERROR(__xludf.DUMMYFUNCTION("""COMPUTED_VALUE"""),44295.0)</f>
        <v>44295</v>
      </c>
      <c r="H204" s="79">
        <f>IFERROR(__xludf.DUMMYFUNCTION("""COMPUTED_VALUE"""),44316.0)</f>
        <v>44316</v>
      </c>
      <c r="I204" s="92">
        <f>IFERROR(__xludf.DUMMYFUNCTION("""COMPUTED_VALUE"""),100.0)</f>
        <v>100</v>
      </c>
      <c r="J204" s="74" t="str">
        <f>IFERROR(__xludf.DUMMYFUNCTION("""COMPUTED_VALUE"""),"Subba Raju K V")</f>
        <v>Subba Raju K V</v>
      </c>
      <c r="K204" s="80" t="str">
        <f>IFERROR(__xludf.DUMMYFUNCTION("""COMPUTED_VALUE"""),"https://drive.google.com/open?id=1Sa0mof6HF9WoRTINJHjV102SRQUn-hmg")</f>
        <v>https://drive.google.com/open?id=1Sa0mof6HF9WoRTINJHjV102SRQUn-hmg</v>
      </c>
      <c r="L204" s="74" t="str">
        <f>IFERROR(__xludf.DUMMYFUNCTION("""COMPUTED_VALUE"""),"2018-2022")</f>
        <v>2018-2022</v>
      </c>
      <c r="M204" s="74" t="str">
        <f>IFERROR(__xludf.DUMMYFUNCTION("""COMPUTED_VALUE"""),"S4: Student Certifications")</f>
        <v>S4: Student Certifications</v>
      </c>
      <c r="N204" s="74" t="str">
        <f>IFERROR(__xludf.DUMMYFUNCTION("""COMPUTED_VALUE"""),"madhavimaduthuri5@gmail.com")</f>
        <v>madhavimaduthuri5@gmail.com</v>
      </c>
      <c r="O204" s="74" t="str">
        <f>IFERROR(__xludf.DUMMYFUNCTION("""COMPUTED_VALUE"""),"SEM-8")</f>
        <v>SEM-8</v>
      </c>
      <c r="P204" s="74"/>
      <c r="Q204" s="74"/>
      <c r="R204" s="74"/>
      <c r="S204" s="74"/>
      <c r="T204" s="74"/>
      <c r="U204" s="74"/>
      <c r="V204" s="74"/>
      <c r="W204" s="74"/>
      <c r="X204" s="74"/>
      <c r="Y204" s="74"/>
    </row>
    <row r="205" ht="26.25" customHeight="1">
      <c r="A205" s="74" t="str">
        <f>IFERROR(__xludf.DUMMYFUNCTION("""COMPUTED_VALUE"""),"Lalita Manoj Kumar Banisetty")</f>
        <v>Lalita Manoj Kumar Banisetty</v>
      </c>
      <c r="B205" s="74" t="str">
        <f>IFERROR(__xludf.DUMMYFUNCTION("""COMPUTED_VALUE"""),"18331A0586")</f>
        <v>18331A0586</v>
      </c>
      <c r="C205" s="90" t="str">
        <f>IFERROR(__xludf.DUMMYFUNCTION("""COMPUTED_VALUE"""),"PCAP: Programming Essentials in Python")</f>
        <v>PCAP: Programming Essentials in Python</v>
      </c>
      <c r="D205" s="74" t="str">
        <f>IFERROR(__xludf.DUMMYFUNCTION("""COMPUTED_VALUE"""),"CCNA")</f>
        <v>CCNA</v>
      </c>
      <c r="E205" s="74" t="str">
        <f>IFERROR(__xludf.DUMMYFUNCTION("""COMPUTED_VALUE"""),"1 week")</f>
        <v>1 week</v>
      </c>
      <c r="F205" s="91">
        <f>IFERROR(__xludf.DUMMYFUNCTION("""COMPUTED_VALUE"""),44370.0)</f>
        <v>44370</v>
      </c>
      <c r="G205" s="91">
        <f>IFERROR(__xludf.DUMMYFUNCTION("""COMPUTED_VALUE"""),44377.0)</f>
        <v>44377</v>
      </c>
      <c r="H205" s="79">
        <f>IFERROR(__xludf.DUMMYFUNCTION("""COMPUTED_VALUE"""),44377.0)</f>
        <v>44377</v>
      </c>
      <c r="I205" s="92">
        <f>IFERROR(__xludf.DUMMYFUNCTION("""COMPUTED_VALUE"""),100.0)</f>
        <v>100</v>
      </c>
      <c r="J205" s="74" t="str">
        <f>IFERROR(__xludf.DUMMYFUNCTION("""COMPUTED_VALUE"""),"Subba Raju K V")</f>
        <v>Subba Raju K V</v>
      </c>
      <c r="K205" s="80" t="str">
        <f>IFERROR(__xludf.DUMMYFUNCTION("""COMPUTED_VALUE"""),"https://drive.google.com/open?id=1GUfl4mlnXROBrfPau_24WDQdpP5kWsjX")</f>
        <v>https://drive.google.com/open?id=1GUfl4mlnXROBrfPau_24WDQdpP5kWsjX</v>
      </c>
      <c r="L205" s="74" t="str">
        <f>IFERROR(__xludf.DUMMYFUNCTION("""COMPUTED_VALUE"""),"2018-2022")</f>
        <v>2018-2022</v>
      </c>
      <c r="M205" s="74" t="str">
        <f>IFERROR(__xludf.DUMMYFUNCTION("""COMPUTED_VALUE"""),"S4: Student Certifications")</f>
        <v>S4: Student Certifications</v>
      </c>
      <c r="N205" s="74" t="str">
        <f>IFERROR(__xludf.DUMMYFUNCTION("""COMPUTED_VALUE"""),"mano.benesetti@gmail.com")</f>
        <v>mano.benesetti@gmail.com</v>
      </c>
      <c r="O205" s="74" t="str">
        <f>IFERROR(__xludf.DUMMYFUNCTION("""COMPUTED_VALUE"""),"SEM-8")</f>
        <v>SEM-8</v>
      </c>
      <c r="P205" s="74"/>
      <c r="Q205" s="74"/>
      <c r="R205" s="74"/>
      <c r="S205" s="74"/>
      <c r="T205" s="74"/>
      <c r="U205" s="74"/>
      <c r="V205" s="74"/>
      <c r="W205" s="74"/>
      <c r="X205" s="74"/>
      <c r="Y205" s="74"/>
    </row>
    <row r="206" ht="26.25" customHeight="1">
      <c r="A206" s="74" t="str">
        <f>IFERROR(__xludf.DUMMYFUNCTION("""COMPUTED_VALUE"""),"Madhavi Latha Maduthuri")</f>
        <v>Madhavi Latha Maduthuri</v>
      </c>
      <c r="B206" s="74" t="str">
        <f>IFERROR(__xludf.DUMMYFUNCTION("""COMPUTED_VALUE"""),"18331A0590")</f>
        <v>18331A0590</v>
      </c>
      <c r="C206" s="90" t="str">
        <f>IFERROR(__xludf.DUMMYFUNCTION("""COMPUTED_VALUE"""),"Cybersecurity essentials")</f>
        <v>Cybersecurity essentials</v>
      </c>
      <c r="D206" s="74" t="str">
        <f>IFERROR(__xludf.DUMMYFUNCTION("""COMPUTED_VALUE"""),"Cisco")</f>
        <v>Cisco</v>
      </c>
      <c r="E206" s="74" t="str">
        <f>IFERROR(__xludf.DUMMYFUNCTION("""COMPUTED_VALUE"""),"2months")</f>
        <v>2months</v>
      </c>
      <c r="F206" s="91">
        <f>IFERROR(__xludf.DUMMYFUNCTION("""COMPUTED_VALUE"""),44237.0)</f>
        <v>44237</v>
      </c>
      <c r="G206" s="91">
        <f>IFERROR(__xludf.DUMMYFUNCTION("""COMPUTED_VALUE"""),44295.0)</f>
        <v>44295</v>
      </c>
      <c r="H206" s="79">
        <f>IFERROR(__xludf.DUMMYFUNCTION("""COMPUTED_VALUE"""),44302.0)</f>
        <v>44302</v>
      </c>
      <c r="I206" s="92">
        <f>IFERROR(__xludf.DUMMYFUNCTION("""COMPUTED_VALUE"""),100.0)</f>
        <v>100</v>
      </c>
      <c r="J206" s="74" t="str">
        <f>IFERROR(__xludf.DUMMYFUNCTION("""COMPUTED_VALUE"""),"Dr.Ravi Kiran Varma Penmatsa")</f>
        <v>Dr.Ravi Kiran Varma Penmatsa</v>
      </c>
      <c r="K206" s="80" t="str">
        <f>IFERROR(__xludf.DUMMYFUNCTION("""COMPUTED_VALUE"""),"https://drive.google.com/open?id=12i9WYJZrumjVke4Oq75AvPlAIc806ql5")</f>
        <v>https://drive.google.com/open?id=12i9WYJZrumjVke4Oq75AvPlAIc806ql5</v>
      </c>
      <c r="L206" s="74" t="str">
        <f>IFERROR(__xludf.DUMMYFUNCTION("""COMPUTED_VALUE"""),"2018-2022")</f>
        <v>2018-2022</v>
      </c>
      <c r="M206" s="74" t="str">
        <f>IFERROR(__xludf.DUMMYFUNCTION("""COMPUTED_VALUE"""),"S4: Student Certifications")</f>
        <v>S4: Student Certifications</v>
      </c>
      <c r="N206" s="74" t="str">
        <f>IFERROR(__xludf.DUMMYFUNCTION("""COMPUTED_VALUE"""),"madhavimaduthuri5@gmail.com")</f>
        <v>madhavimaduthuri5@gmail.com</v>
      </c>
      <c r="O206" s="74" t="str">
        <f>IFERROR(__xludf.DUMMYFUNCTION("""COMPUTED_VALUE"""),"SEM-8")</f>
        <v>SEM-8</v>
      </c>
      <c r="P206" s="74"/>
      <c r="Q206" s="74"/>
      <c r="R206" s="74"/>
      <c r="S206" s="74"/>
      <c r="T206" s="74"/>
      <c r="U206" s="74"/>
      <c r="V206" s="74"/>
      <c r="W206" s="74"/>
      <c r="X206" s="74"/>
      <c r="Y206" s="74"/>
    </row>
    <row r="207" ht="26.25" customHeight="1">
      <c r="A207" s="74" t="str">
        <f>IFERROR(__xludf.DUMMYFUNCTION("""COMPUTED_VALUE"""),"Lalita Manoj Kumar Banisetty")</f>
        <v>Lalita Manoj Kumar Banisetty</v>
      </c>
      <c r="B207" s="74" t="str">
        <f>IFERROR(__xludf.DUMMYFUNCTION("""COMPUTED_VALUE"""),"18331A0586")</f>
        <v>18331A0586</v>
      </c>
      <c r="C207" s="90" t="str">
        <f>IFERROR(__xludf.DUMMYFUNCTION("""COMPUTED_VALUE"""),"Cybersecurity Essentials")</f>
        <v>Cybersecurity Essentials</v>
      </c>
      <c r="D207" s="74" t="str">
        <f>IFERROR(__xludf.DUMMYFUNCTION("""COMPUTED_VALUE"""),"CCNA")</f>
        <v>CCNA</v>
      </c>
      <c r="E207" s="74" t="str">
        <f>IFERROR(__xludf.DUMMYFUNCTION("""COMPUTED_VALUE"""),"1 week")</f>
        <v>1 week</v>
      </c>
      <c r="F207" s="91">
        <f>IFERROR(__xludf.DUMMYFUNCTION("""COMPUTED_VALUE"""),43669.0)</f>
        <v>43669</v>
      </c>
      <c r="G207" s="91">
        <f>IFERROR(__xludf.DUMMYFUNCTION("""COMPUTED_VALUE"""),43676.0)</f>
        <v>43676</v>
      </c>
      <c r="H207" s="79">
        <f>IFERROR(__xludf.DUMMYFUNCTION("""COMPUTED_VALUE"""),43676.0)</f>
        <v>43676</v>
      </c>
      <c r="I207" s="92">
        <f>IFERROR(__xludf.DUMMYFUNCTION("""COMPUTED_VALUE"""),100.0)</f>
        <v>100</v>
      </c>
      <c r="J207" s="74" t="str">
        <f>IFERROR(__xludf.DUMMYFUNCTION("""COMPUTED_VALUE"""),"Subba Raju K V")</f>
        <v>Subba Raju K V</v>
      </c>
      <c r="K207" s="80" t="str">
        <f>IFERROR(__xludf.DUMMYFUNCTION("""COMPUTED_VALUE"""),"https://drive.google.com/open?id=1WWEp-QqOIqYjBMhmUKbPZ36vniwhr2Av")</f>
        <v>https://drive.google.com/open?id=1WWEp-QqOIqYjBMhmUKbPZ36vniwhr2Av</v>
      </c>
      <c r="L207" s="74" t="str">
        <f>IFERROR(__xludf.DUMMYFUNCTION("""COMPUTED_VALUE"""),"2018-2022")</f>
        <v>2018-2022</v>
      </c>
      <c r="M207" s="74" t="str">
        <f>IFERROR(__xludf.DUMMYFUNCTION("""COMPUTED_VALUE"""),"S4: Student Certifications")</f>
        <v>S4: Student Certifications</v>
      </c>
      <c r="N207" s="74" t="str">
        <f>IFERROR(__xludf.DUMMYFUNCTION("""COMPUTED_VALUE"""),"mano.benesetti@gmail.com")</f>
        <v>mano.benesetti@gmail.com</v>
      </c>
      <c r="O207" s="74" t="str">
        <f>IFERROR(__xludf.DUMMYFUNCTION("""COMPUTED_VALUE"""),"SEM-8")</f>
        <v>SEM-8</v>
      </c>
      <c r="P207" s="74"/>
      <c r="Q207" s="74"/>
      <c r="R207" s="74"/>
      <c r="S207" s="74"/>
      <c r="T207" s="74"/>
      <c r="U207" s="74"/>
      <c r="V207" s="74"/>
      <c r="W207" s="74"/>
      <c r="X207" s="74"/>
      <c r="Y207" s="74"/>
    </row>
    <row r="208" ht="26.25" customHeight="1">
      <c r="A208" s="74" t="str">
        <f>IFERROR(__xludf.DUMMYFUNCTION("""COMPUTED_VALUE"""),"Kalivarapu Nikitha")</f>
        <v>Kalivarapu Nikitha</v>
      </c>
      <c r="B208" s="74" t="str">
        <f>IFERROR(__xludf.DUMMYFUNCTION("""COMPUTED_VALUE"""),"18331A0563")</f>
        <v>18331A0563</v>
      </c>
      <c r="C208" s="90" t="str">
        <f>IFERROR(__xludf.DUMMYFUNCTION("""COMPUTED_VALUE"""),"Red Hat system administration I")</f>
        <v>Red Hat system administration I</v>
      </c>
      <c r="D208" s="74" t="str">
        <f>IFERROR(__xludf.DUMMYFUNCTION("""COMPUTED_VALUE"""),"Red academy")</f>
        <v>Red academy</v>
      </c>
      <c r="E208" s="74" t="str">
        <f>IFERROR(__xludf.DUMMYFUNCTION("""COMPUTED_VALUE"""),"1 month ")</f>
        <v>1 month </v>
      </c>
      <c r="F208" s="91">
        <f>IFERROR(__xludf.DUMMYFUNCTION("""COMPUTED_VALUE"""),44627.0)</f>
        <v>44627</v>
      </c>
      <c r="G208" s="91">
        <f>IFERROR(__xludf.DUMMYFUNCTION("""COMPUTED_VALUE"""),44660.0)</f>
        <v>44660</v>
      </c>
      <c r="H208" s="79">
        <f>IFERROR(__xludf.DUMMYFUNCTION("""COMPUTED_VALUE"""),44659.0)</f>
        <v>44659</v>
      </c>
      <c r="I208" s="92">
        <f>IFERROR(__xludf.DUMMYFUNCTION("""COMPUTED_VALUE"""),100.0)</f>
        <v>100</v>
      </c>
      <c r="J208" s="74" t="str">
        <f>IFERROR(__xludf.DUMMYFUNCTION("""COMPUTED_VALUE"""),"K.V . Subba Raju ")</f>
        <v>K.V . Subba Raju </v>
      </c>
      <c r="K208" s="80" t="str">
        <f>IFERROR(__xludf.DUMMYFUNCTION("""COMPUTED_VALUE"""),"https://drive.google.com/open?id=1P1eIRxNbNnIakpXu7ay-bcjoV6kb1-qp")</f>
        <v>https://drive.google.com/open?id=1P1eIRxNbNnIakpXu7ay-bcjoV6kb1-qp</v>
      </c>
      <c r="L208" s="74" t="str">
        <f>IFERROR(__xludf.DUMMYFUNCTION("""COMPUTED_VALUE"""),"2018-2022")</f>
        <v>2018-2022</v>
      </c>
      <c r="M208" s="74" t="str">
        <f>IFERROR(__xludf.DUMMYFUNCTION("""COMPUTED_VALUE"""),"S4: Student Certifications")</f>
        <v>S4: Student Certifications</v>
      </c>
      <c r="N208" s="74" t="str">
        <f>IFERROR(__xludf.DUMMYFUNCTION("""COMPUTED_VALUE"""),"nikithakalivarapu0404@gmail.com")</f>
        <v>nikithakalivarapu0404@gmail.com</v>
      </c>
      <c r="O208" s="74" t="str">
        <f>IFERROR(__xludf.DUMMYFUNCTION("""COMPUTED_VALUE"""),"SEM-8")</f>
        <v>SEM-8</v>
      </c>
      <c r="P208" s="74"/>
      <c r="Q208" s="74"/>
      <c r="R208" s="74"/>
      <c r="S208" s="74"/>
      <c r="T208" s="74"/>
      <c r="U208" s="74"/>
      <c r="V208" s="74"/>
      <c r="W208" s="74"/>
      <c r="X208" s="74"/>
      <c r="Y208" s="74"/>
    </row>
    <row r="209" ht="26.25" customHeight="1">
      <c r="A209" s="74" t="str">
        <f>IFERROR(__xludf.DUMMYFUNCTION("""COMPUTED_VALUE"""),"Lalita Manoj Kumar Banisetty")</f>
        <v>Lalita Manoj Kumar Banisetty</v>
      </c>
      <c r="B209" s="74" t="str">
        <f>IFERROR(__xludf.DUMMYFUNCTION("""COMPUTED_VALUE"""),"18331A0586")</f>
        <v>18331A0586</v>
      </c>
      <c r="C209" s="90" t="str">
        <f>IFERROR(__xludf.DUMMYFUNCTION("""COMPUTED_VALUE"""),"Introduction to Packet Tracer")</f>
        <v>Introduction to Packet Tracer</v>
      </c>
      <c r="D209" s="74" t="str">
        <f>IFERROR(__xludf.DUMMYFUNCTION("""COMPUTED_VALUE"""),"CCNA")</f>
        <v>CCNA</v>
      </c>
      <c r="E209" s="74" t="str">
        <f>IFERROR(__xludf.DUMMYFUNCTION("""COMPUTED_VALUE"""),"1 week")</f>
        <v>1 week</v>
      </c>
      <c r="F209" s="91">
        <f>IFERROR(__xludf.DUMMYFUNCTION("""COMPUTED_VALUE"""),44310.0)</f>
        <v>44310</v>
      </c>
      <c r="G209" s="91">
        <f>IFERROR(__xludf.DUMMYFUNCTION("""COMPUTED_VALUE"""),44316.0)</f>
        <v>44316</v>
      </c>
      <c r="H209" s="79">
        <f>IFERROR(__xludf.DUMMYFUNCTION("""COMPUTED_VALUE"""),44316.0)</f>
        <v>44316</v>
      </c>
      <c r="I209" s="92">
        <f>IFERROR(__xludf.DUMMYFUNCTION("""COMPUTED_VALUE"""),100.0)</f>
        <v>100</v>
      </c>
      <c r="J209" s="74" t="str">
        <f>IFERROR(__xludf.DUMMYFUNCTION("""COMPUTED_VALUE"""),"Subba Raju K V")</f>
        <v>Subba Raju K V</v>
      </c>
      <c r="K209" s="80" t="str">
        <f>IFERROR(__xludf.DUMMYFUNCTION("""COMPUTED_VALUE"""),"https://drive.google.com/open?id=1aFiyWg3nKicVjRiTTKmWpmr6wrfEAy7Y")</f>
        <v>https://drive.google.com/open?id=1aFiyWg3nKicVjRiTTKmWpmr6wrfEAy7Y</v>
      </c>
      <c r="L209" s="74" t="str">
        <f>IFERROR(__xludf.DUMMYFUNCTION("""COMPUTED_VALUE"""),"2018-2022")</f>
        <v>2018-2022</v>
      </c>
      <c r="M209" s="74" t="str">
        <f>IFERROR(__xludf.DUMMYFUNCTION("""COMPUTED_VALUE"""),"S4: Student Certifications")</f>
        <v>S4: Student Certifications</v>
      </c>
      <c r="N209" s="74" t="str">
        <f>IFERROR(__xludf.DUMMYFUNCTION("""COMPUTED_VALUE"""),"mano.benesetti@gmail.com")</f>
        <v>mano.benesetti@gmail.com</v>
      </c>
      <c r="O209" s="74" t="str">
        <f>IFERROR(__xludf.DUMMYFUNCTION("""COMPUTED_VALUE"""),"SEM-8")</f>
        <v>SEM-8</v>
      </c>
      <c r="P209" s="74"/>
      <c r="Q209" s="74"/>
      <c r="R209" s="74"/>
      <c r="S209" s="74"/>
      <c r="T209" s="74"/>
      <c r="U209" s="74"/>
      <c r="V209" s="74"/>
      <c r="W209" s="74"/>
      <c r="X209" s="74"/>
      <c r="Y209" s="74"/>
    </row>
    <row r="210" ht="26.25" customHeight="1">
      <c r="A210" s="74" t="str">
        <f>IFERROR(__xludf.DUMMYFUNCTION("""COMPUTED_VALUE"""),"Karuna Sri Pithani ")</f>
        <v>Karuna Sri Pithani </v>
      </c>
      <c r="B210" s="74" t="str">
        <f>IFERROR(__xludf.DUMMYFUNCTION("""COMPUTED_VALUE"""),"18331A0572 ")</f>
        <v>18331A0572 </v>
      </c>
      <c r="C210" s="90" t="str">
        <f>IFERROR(__xludf.DUMMYFUNCTION("""COMPUTED_VALUE"""),"Cybersecurity essentials ")</f>
        <v>Cybersecurity essentials </v>
      </c>
      <c r="D210" s="74" t="str">
        <f>IFERROR(__xludf.DUMMYFUNCTION("""COMPUTED_VALUE"""),"Cisco networking academy ")</f>
        <v>Cisco networking academy </v>
      </c>
      <c r="E210" s="74" t="str">
        <f>IFERROR(__xludf.DUMMYFUNCTION("""COMPUTED_VALUE"""),"2 months ")</f>
        <v>2 months </v>
      </c>
      <c r="F210" s="91">
        <f>IFERROR(__xludf.DUMMYFUNCTION("""COMPUTED_VALUE"""),43497.0)</f>
        <v>43497</v>
      </c>
      <c r="G210" s="91">
        <f>IFERROR(__xludf.DUMMYFUNCTION("""COMPUTED_VALUE"""),44680.0)</f>
        <v>44680</v>
      </c>
      <c r="H210" s="79">
        <f>IFERROR(__xludf.DUMMYFUNCTION("""COMPUTED_VALUE"""),44679.0)</f>
        <v>44679</v>
      </c>
      <c r="I210" s="92">
        <f>IFERROR(__xludf.DUMMYFUNCTION("""COMPUTED_VALUE"""),100.0)</f>
        <v>100</v>
      </c>
      <c r="J210" s="74" t="str">
        <f>IFERROR(__xludf.DUMMYFUNCTION("""COMPUTED_VALUE"""),"K. V. Subba Raju")</f>
        <v>K. V. Subba Raju</v>
      </c>
      <c r="K210" s="80" t="str">
        <f>IFERROR(__xludf.DUMMYFUNCTION("""COMPUTED_VALUE"""),"https://drive.google.com/open?id=1bmxenqMP3W4gpKKmI_TSTLICeQwEwlpP")</f>
        <v>https://drive.google.com/open?id=1bmxenqMP3W4gpKKmI_TSTLICeQwEwlpP</v>
      </c>
      <c r="L210" s="74" t="str">
        <f>IFERROR(__xludf.DUMMYFUNCTION("""COMPUTED_VALUE"""),"2018-2022")</f>
        <v>2018-2022</v>
      </c>
      <c r="M210" s="74" t="str">
        <f>IFERROR(__xludf.DUMMYFUNCTION("""COMPUTED_VALUE"""),"S4: Student Certifications")</f>
        <v>S4: Student Certifications</v>
      </c>
      <c r="N210" s="74" t="str">
        <f>IFERROR(__xludf.DUMMYFUNCTION("""COMPUTED_VALUE"""),"pithanikarunasri2001@gmail.com")</f>
        <v>pithanikarunasri2001@gmail.com</v>
      </c>
      <c r="O210" s="74" t="str">
        <f>IFERROR(__xludf.DUMMYFUNCTION("""COMPUTED_VALUE"""),"SEM-8")</f>
        <v>SEM-8</v>
      </c>
      <c r="P210" s="74"/>
      <c r="Q210" s="74"/>
      <c r="R210" s="74"/>
      <c r="S210" s="74"/>
      <c r="T210" s="74"/>
      <c r="U210" s="74"/>
      <c r="V210" s="74"/>
      <c r="W210" s="74"/>
      <c r="X210" s="74"/>
      <c r="Y210" s="74"/>
    </row>
    <row r="211" ht="26.25" customHeight="1">
      <c r="A211" s="74" t="str">
        <f>IFERROR(__xludf.DUMMYFUNCTION("""COMPUTED_VALUE"""),"Lalita Manoj Kumar Banisetty")</f>
        <v>Lalita Manoj Kumar Banisetty</v>
      </c>
      <c r="B211" s="74" t="str">
        <f>IFERROR(__xludf.DUMMYFUNCTION("""COMPUTED_VALUE"""),"18331A0586")</f>
        <v>18331A0586</v>
      </c>
      <c r="C211" s="90" t="str">
        <f>IFERROR(__xludf.DUMMYFUNCTION("""COMPUTED_VALUE"""),"Introduction to Cybersecurity")</f>
        <v>Introduction to Cybersecurity</v>
      </c>
      <c r="D211" s="74" t="str">
        <f>IFERROR(__xludf.DUMMYFUNCTION("""COMPUTED_VALUE"""),"CCNA")</f>
        <v>CCNA</v>
      </c>
      <c r="E211" s="74" t="str">
        <f>IFERROR(__xludf.DUMMYFUNCTION("""COMPUTED_VALUE"""),"1 week")</f>
        <v>1 week</v>
      </c>
      <c r="F211" s="91">
        <f>IFERROR(__xludf.DUMMYFUNCTION("""COMPUTED_VALUE"""),44310.0)</f>
        <v>44310</v>
      </c>
      <c r="G211" s="91">
        <f>IFERROR(__xludf.DUMMYFUNCTION("""COMPUTED_VALUE"""),44317.0)</f>
        <v>44317</v>
      </c>
      <c r="H211" s="79">
        <f>IFERROR(__xludf.DUMMYFUNCTION("""COMPUTED_VALUE"""),44317.0)</f>
        <v>44317</v>
      </c>
      <c r="I211" s="92">
        <f>IFERROR(__xludf.DUMMYFUNCTION("""COMPUTED_VALUE"""),99.0)</f>
        <v>99</v>
      </c>
      <c r="J211" s="74" t="str">
        <f>IFERROR(__xludf.DUMMYFUNCTION("""COMPUTED_VALUE"""),"Subba Raju K V")</f>
        <v>Subba Raju K V</v>
      </c>
      <c r="K211" s="80" t="str">
        <f>IFERROR(__xludf.DUMMYFUNCTION("""COMPUTED_VALUE"""),"https://drive.google.com/open?id=1nARL6r93gj8v1ZcpPA2aTvnZZw4YZEE2")</f>
        <v>https://drive.google.com/open?id=1nARL6r93gj8v1ZcpPA2aTvnZZw4YZEE2</v>
      </c>
      <c r="L211" s="74" t="str">
        <f>IFERROR(__xludf.DUMMYFUNCTION("""COMPUTED_VALUE"""),"2018-2022")</f>
        <v>2018-2022</v>
      </c>
      <c r="M211" s="74" t="str">
        <f>IFERROR(__xludf.DUMMYFUNCTION("""COMPUTED_VALUE"""),"S4: Student Certifications")</f>
        <v>S4: Student Certifications</v>
      </c>
      <c r="N211" s="74" t="str">
        <f>IFERROR(__xludf.DUMMYFUNCTION("""COMPUTED_VALUE"""),"mano.benesetti@gmail.com")</f>
        <v>mano.benesetti@gmail.com</v>
      </c>
      <c r="O211" s="74" t="str">
        <f>IFERROR(__xludf.DUMMYFUNCTION("""COMPUTED_VALUE"""),"SEM-8")</f>
        <v>SEM-8</v>
      </c>
      <c r="P211" s="74"/>
      <c r="Q211" s="74"/>
      <c r="R211" s="74"/>
      <c r="S211" s="74"/>
      <c r="T211" s="74"/>
      <c r="U211" s="74"/>
      <c r="V211" s="74"/>
      <c r="W211" s="74"/>
      <c r="X211" s="74"/>
      <c r="Y211" s="74"/>
    </row>
    <row r="212" ht="26.25" customHeight="1">
      <c r="A212" s="74" t="str">
        <f>IFERROR(__xludf.DUMMYFUNCTION("""COMPUTED_VALUE"""),"Arun Prasad")</f>
        <v>Arun Prasad</v>
      </c>
      <c r="B212" s="74" t="str">
        <f>IFERROR(__xludf.DUMMYFUNCTION("""COMPUTED_VALUE"""),"18331A0564")</f>
        <v>18331A0564</v>
      </c>
      <c r="C212" s="90" t="str">
        <f>IFERROR(__xludf.DUMMYFUNCTION("""COMPUTED_VALUE"""),"Applied Data Science Specialization")</f>
        <v>Applied Data Science Specialization</v>
      </c>
      <c r="D212" s="74" t="str">
        <f>IFERROR(__xludf.DUMMYFUNCTION("""COMPUTED_VALUE"""),"Coursera")</f>
        <v>Coursera</v>
      </c>
      <c r="E212" s="74" t="str">
        <f>IFERROR(__xludf.DUMMYFUNCTION("""COMPUTED_VALUE"""),"1 Month")</f>
        <v>1 Month</v>
      </c>
      <c r="F212" s="91">
        <f>IFERROR(__xludf.DUMMYFUNCTION("""COMPUTED_VALUE"""),43939.0)</f>
        <v>43939</v>
      </c>
      <c r="G212" s="91">
        <f>IFERROR(__xludf.DUMMYFUNCTION("""COMPUTED_VALUE"""),43969.0)</f>
        <v>43969</v>
      </c>
      <c r="H212" s="79">
        <f>IFERROR(__xludf.DUMMYFUNCTION("""COMPUTED_VALUE"""),43969.0)</f>
        <v>43969</v>
      </c>
      <c r="I212" s="92">
        <f>IFERROR(__xludf.DUMMYFUNCTION("""COMPUTED_VALUE"""),100.0)</f>
        <v>100</v>
      </c>
      <c r="J212" s="74" t="str">
        <f>IFERROR(__xludf.DUMMYFUNCTION("""COMPUTED_VALUE"""),"Joseph Santarcangelo")</f>
        <v>Joseph Santarcangelo</v>
      </c>
      <c r="K212" s="80" t="str">
        <f>IFERROR(__xludf.DUMMYFUNCTION("""COMPUTED_VALUE"""),"https://drive.google.com/open?id=1L-6Rmu3CgF-8_Se78N5N2LfPSpaEXXgt")</f>
        <v>https://drive.google.com/open?id=1L-6Rmu3CgF-8_Se78N5N2LfPSpaEXXgt</v>
      </c>
      <c r="L212" s="74" t="str">
        <f>IFERROR(__xludf.DUMMYFUNCTION("""COMPUTED_VALUE"""),"2018-2022")</f>
        <v>2018-2022</v>
      </c>
      <c r="M212" s="74" t="str">
        <f>IFERROR(__xludf.DUMMYFUNCTION("""COMPUTED_VALUE"""),"S4: Student Certifications")</f>
        <v>S4: Student Certifications</v>
      </c>
      <c r="N212" s="74" t="str">
        <f>IFERROR(__xludf.DUMMYFUNCTION("""COMPUTED_VALUE"""),"arunprasadkalla@gmail.com")</f>
        <v>arunprasadkalla@gmail.com</v>
      </c>
      <c r="O212" s="74" t="str">
        <f>IFERROR(__xludf.DUMMYFUNCTION("""COMPUTED_VALUE"""),"SEM-8")</f>
        <v>SEM-8</v>
      </c>
      <c r="P212" s="74"/>
      <c r="Q212" s="74"/>
      <c r="R212" s="74"/>
      <c r="S212" s="74"/>
      <c r="T212" s="74"/>
      <c r="U212" s="74"/>
      <c r="V212" s="74"/>
      <c r="W212" s="74"/>
      <c r="X212" s="74"/>
      <c r="Y212" s="74"/>
    </row>
    <row r="213" ht="26.25" customHeight="1">
      <c r="A213" s="74" t="str">
        <f>IFERROR(__xludf.DUMMYFUNCTION("""COMPUTED_VALUE"""),"Buddharaju Pragna")</f>
        <v>Buddharaju Pragna</v>
      </c>
      <c r="B213" s="74" t="str">
        <f>IFERROR(__xludf.DUMMYFUNCTION("""COMPUTED_VALUE"""),"18331A05H2")</f>
        <v>18331A05H2</v>
      </c>
      <c r="C213" s="90" t="str">
        <f>IFERROR(__xludf.DUMMYFUNCTION("""COMPUTED_VALUE"""),"AI For Everyone")</f>
        <v>AI For Everyone</v>
      </c>
      <c r="D213" s="74" t="str">
        <f>IFERROR(__xludf.DUMMYFUNCTION("""COMPUTED_VALUE"""),"Coursera")</f>
        <v>Coursera</v>
      </c>
      <c r="E213" s="74" t="str">
        <f>IFERROR(__xludf.DUMMYFUNCTION("""COMPUTED_VALUE"""),"20 days")</f>
        <v>20 days</v>
      </c>
      <c r="F213" s="91">
        <f>IFERROR(__xludf.DUMMYFUNCTION("""COMPUTED_VALUE"""),43925.0)</f>
        <v>43925</v>
      </c>
      <c r="G213" s="91">
        <f>IFERROR(__xludf.DUMMYFUNCTION("""COMPUTED_VALUE"""),43945.0)</f>
        <v>43945</v>
      </c>
      <c r="H213" s="79">
        <f>IFERROR(__xludf.DUMMYFUNCTION("""COMPUTED_VALUE"""),43945.0)</f>
        <v>43945</v>
      </c>
      <c r="I213" s="92">
        <f>IFERROR(__xludf.DUMMYFUNCTION("""COMPUTED_VALUE"""),100.0)</f>
        <v>100</v>
      </c>
      <c r="J213" s="74" t="str">
        <f>IFERROR(__xludf.DUMMYFUNCTION("""COMPUTED_VALUE"""),"online")</f>
        <v>online</v>
      </c>
      <c r="K213" s="80" t="str">
        <f>IFERROR(__xludf.DUMMYFUNCTION("""COMPUTED_VALUE"""),"https://drive.google.com/open?id=1mXWQ22tEBum6Qeqx3u3J2UDzE1iF6z0M")</f>
        <v>https://drive.google.com/open?id=1mXWQ22tEBum6Qeqx3u3J2UDzE1iF6z0M</v>
      </c>
      <c r="L213" s="74" t="str">
        <f>IFERROR(__xludf.DUMMYFUNCTION("""COMPUTED_VALUE"""),"2018-2022")</f>
        <v>2018-2022</v>
      </c>
      <c r="M213" s="74" t="str">
        <f>IFERROR(__xludf.DUMMYFUNCTION("""COMPUTED_VALUE"""),"S4: Student Certifications")</f>
        <v>S4: Student Certifications</v>
      </c>
      <c r="N213" s="74" t="str">
        <f>IFERROR(__xludf.DUMMYFUNCTION("""COMPUTED_VALUE"""),"pragnabuddharaju@gmail.com")</f>
        <v>pragnabuddharaju@gmail.com</v>
      </c>
      <c r="O213" s="74" t="str">
        <f>IFERROR(__xludf.DUMMYFUNCTION("""COMPUTED_VALUE"""),"SEM-4")</f>
        <v>SEM-4</v>
      </c>
      <c r="P213" s="74"/>
      <c r="Q213" s="74"/>
      <c r="R213" s="74"/>
      <c r="S213" s="74"/>
      <c r="T213" s="74"/>
      <c r="U213" s="74"/>
      <c r="V213" s="74"/>
      <c r="W213" s="74"/>
      <c r="X213" s="74"/>
      <c r="Y213" s="74"/>
    </row>
    <row r="214" ht="26.25" customHeight="1">
      <c r="A214" s="74" t="str">
        <f>IFERROR(__xludf.DUMMYFUNCTION("""COMPUTED_VALUE"""),"Telaprolu Anusha")</f>
        <v>Telaprolu Anusha</v>
      </c>
      <c r="B214" s="74" t="str">
        <f>IFERROR(__xludf.DUMMYFUNCTION("""COMPUTED_VALUE"""),"18331A05F3")</f>
        <v>18331A05F3</v>
      </c>
      <c r="C214" s="90" t="str">
        <f>IFERROR(__xludf.DUMMYFUNCTION("""COMPUTED_VALUE"""),"cybersecurity essentials")</f>
        <v>cybersecurity essentials</v>
      </c>
      <c r="D214" s="74" t="str">
        <f>IFERROR(__xludf.DUMMYFUNCTION("""COMPUTED_VALUE"""),"CISCO")</f>
        <v>CISCO</v>
      </c>
      <c r="E214" s="74" t="str">
        <f>IFERROR(__xludf.DUMMYFUNCTION("""COMPUTED_VALUE"""),"2 MONTHS")</f>
        <v>2 MONTHS</v>
      </c>
      <c r="F214" s="91">
        <f>IFERROR(__xludf.DUMMYFUNCTION("""COMPUTED_VALUE"""),43612.0)</f>
        <v>43612</v>
      </c>
      <c r="G214" s="91">
        <f>IFERROR(__xludf.DUMMYFUNCTION("""COMPUTED_VALUE"""),43677.0)</f>
        <v>43677</v>
      </c>
      <c r="H214" s="79">
        <f>IFERROR(__xludf.DUMMYFUNCTION("""COMPUTED_VALUE"""),43534.0)</f>
        <v>43534</v>
      </c>
      <c r="I214" s="92">
        <f>IFERROR(__xludf.DUMMYFUNCTION("""COMPUTED_VALUE"""),100.0)</f>
        <v>100</v>
      </c>
      <c r="J214" s="74" t="str">
        <f>IFERROR(__xludf.DUMMYFUNCTION("""COMPUTED_VALUE"""),"DR. RAVI KIRAN VARMA")</f>
        <v>DR. RAVI KIRAN VARMA</v>
      </c>
      <c r="K214" s="80" t="str">
        <f>IFERROR(__xludf.DUMMYFUNCTION("""COMPUTED_VALUE"""),"https://drive.google.com/open?id=1ZP05LU2PnFrGBLhaKojrsGTwG9mpwlyI")</f>
        <v>https://drive.google.com/open?id=1ZP05LU2PnFrGBLhaKojrsGTwG9mpwlyI</v>
      </c>
      <c r="L214" s="74" t="str">
        <f>IFERROR(__xludf.DUMMYFUNCTION("""COMPUTED_VALUE"""),"2018-2022")</f>
        <v>2018-2022</v>
      </c>
      <c r="M214" s="74" t="str">
        <f>IFERROR(__xludf.DUMMYFUNCTION("""COMPUTED_VALUE"""),"S4: Student Certifications")</f>
        <v>S4: Student Certifications</v>
      </c>
      <c r="N214" s="74" t="str">
        <f>IFERROR(__xludf.DUMMYFUNCTION("""COMPUTED_VALUE"""),"anushatelaprolu04@gmail.com")</f>
        <v>anushatelaprolu04@gmail.com</v>
      </c>
      <c r="O214" s="74" t="str">
        <f>IFERROR(__xludf.DUMMYFUNCTION("""COMPUTED_VALUE"""),"SEM-8")</f>
        <v>SEM-8</v>
      </c>
      <c r="P214" s="74"/>
      <c r="Q214" s="74"/>
      <c r="R214" s="74"/>
      <c r="S214" s="74"/>
      <c r="T214" s="74"/>
      <c r="U214" s="74"/>
      <c r="V214" s="74"/>
      <c r="W214" s="74"/>
      <c r="X214" s="74"/>
      <c r="Y214" s="74"/>
    </row>
    <row r="215" ht="26.25" customHeight="1">
      <c r="A215" s="74" t="str">
        <f>IFERROR(__xludf.DUMMYFUNCTION("""COMPUTED_VALUE"""),"Telaprolu Anusha")</f>
        <v>Telaprolu Anusha</v>
      </c>
      <c r="B215" s="74" t="str">
        <f>IFERROR(__xludf.DUMMYFUNCTION("""COMPUTED_VALUE"""),"18331A05F3")</f>
        <v>18331A05F3</v>
      </c>
      <c r="C215" s="90" t="str">
        <f>IFERROR(__xludf.DUMMYFUNCTION("""COMPUTED_VALUE"""),"INTRODUCTION TO NETWORKS")</f>
        <v>INTRODUCTION TO NETWORKS</v>
      </c>
      <c r="D215" s="74" t="str">
        <f>IFERROR(__xludf.DUMMYFUNCTION("""COMPUTED_VALUE"""),"CISCO")</f>
        <v>CISCO</v>
      </c>
      <c r="E215" s="74" t="str">
        <f>IFERROR(__xludf.DUMMYFUNCTION("""COMPUTED_VALUE"""),"2 MONTHS")</f>
        <v>2 MONTHS</v>
      </c>
      <c r="F215" s="91"/>
      <c r="G215" s="91">
        <f>IFERROR(__xludf.DUMMYFUNCTION("""COMPUTED_VALUE"""),44378.0)</f>
        <v>44378</v>
      </c>
      <c r="H215" s="79">
        <f>IFERROR(__xludf.DUMMYFUNCTION("""COMPUTED_VALUE"""),44378.0)</f>
        <v>44378</v>
      </c>
      <c r="I215" s="92">
        <f>IFERROR(__xludf.DUMMYFUNCTION("""COMPUTED_VALUE"""),100.0)</f>
        <v>100</v>
      </c>
      <c r="J215" s="74" t="str">
        <f>IFERROR(__xludf.DUMMYFUNCTION("""COMPUTED_VALUE"""),"K V SUBBA RAJU")</f>
        <v>K V SUBBA RAJU</v>
      </c>
      <c r="K215" s="80" t="str">
        <f>IFERROR(__xludf.DUMMYFUNCTION("""COMPUTED_VALUE"""),"https://drive.google.com/open?id=1aUFVkujqx_v1nB1Enlhrf5_3ygCp9yAP")</f>
        <v>https://drive.google.com/open?id=1aUFVkujqx_v1nB1Enlhrf5_3ygCp9yAP</v>
      </c>
      <c r="L215" s="74" t="str">
        <f>IFERROR(__xludf.DUMMYFUNCTION("""COMPUTED_VALUE"""),"2018-2022")</f>
        <v>2018-2022</v>
      </c>
      <c r="M215" s="74" t="str">
        <f>IFERROR(__xludf.DUMMYFUNCTION("""COMPUTED_VALUE"""),"S4: Student Certifications")</f>
        <v>S4: Student Certifications</v>
      </c>
      <c r="N215" s="74" t="str">
        <f>IFERROR(__xludf.DUMMYFUNCTION("""COMPUTED_VALUE"""),"anushatelaprolu04@gmail.com")</f>
        <v>anushatelaprolu04@gmail.com</v>
      </c>
      <c r="O215" s="74" t="str">
        <f>IFERROR(__xludf.DUMMYFUNCTION("""COMPUTED_VALUE"""),"SEM-8")</f>
        <v>SEM-8</v>
      </c>
      <c r="P215" s="74"/>
      <c r="Q215" s="74"/>
      <c r="R215" s="74"/>
      <c r="S215" s="74"/>
      <c r="T215" s="74"/>
      <c r="U215" s="74"/>
      <c r="V215" s="74"/>
      <c r="W215" s="74"/>
      <c r="X215" s="74"/>
      <c r="Y215" s="74"/>
    </row>
    <row r="216" ht="26.25" customHeight="1">
      <c r="A216" s="74" t="str">
        <f>IFERROR(__xludf.DUMMYFUNCTION("""COMPUTED_VALUE"""),"Telaprolu Anusha")</f>
        <v>Telaprolu Anusha</v>
      </c>
      <c r="B216" s="74" t="str">
        <f>IFERROR(__xludf.DUMMYFUNCTION("""COMPUTED_VALUE"""),"18331A05F3")</f>
        <v>18331A05F3</v>
      </c>
      <c r="C216" s="90" t="str">
        <f>IFERROR(__xludf.DUMMYFUNCTION("""COMPUTED_VALUE"""),"PROGRAMMING ESSENTIALS IN C")</f>
        <v>PROGRAMMING ESSENTIALS IN C</v>
      </c>
      <c r="D216" s="74" t="str">
        <f>IFERROR(__xludf.DUMMYFUNCTION("""COMPUTED_VALUE"""),"CISCO")</f>
        <v>CISCO</v>
      </c>
      <c r="E216" s="74" t="str">
        <f>IFERROR(__xludf.DUMMYFUNCTION("""COMPUTED_VALUE"""),"2 MONTHS")</f>
        <v>2 MONTHS</v>
      </c>
      <c r="F216" s="91">
        <f>IFERROR(__xludf.DUMMYFUNCTION("""COMPUTED_VALUE"""),43557.0)</f>
        <v>43557</v>
      </c>
      <c r="G216" s="91">
        <f>IFERROR(__xludf.DUMMYFUNCTION("""COMPUTED_VALUE"""),43618.0)</f>
        <v>43618</v>
      </c>
      <c r="H216" s="79">
        <f>IFERROR(__xludf.DUMMYFUNCTION("""COMPUTED_VALUE"""),43618.0)</f>
        <v>43618</v>
      </c>
      <c r="I216" s="92">
        <f>IFERROR(__xludf.DUMMYFUNCTION("""COMPUTED_VALUE"""),100.0)</f>
        <v>100</v>
      </c>
      <c r="J216" s="74" t="str">
        <f>IFERROR(__xludf.DUMMYFUNCTION("""COMPUTED_VALUE"""),"P RAVI KIRAN VARMA")</f>
        <v>P RAVI KIRAN VARMA</v>
      </c>
      <c r="K216" s="80" t="str">
        <f>IFERROR(__xludf.DUMMYFUNCTION("""COMPUTED_VALUE"""),"https://drive.google.com/open?id=1yGuzfZwmMNrNPTASHcdU8xTj7U-OG277")</f>
        <v>https://drive.google.com/open?id=1yGuzfZwmMNrNPTASHcdU8xTj7U-OG277</v>
      </c>
      <c r="L216" s="74" t="str">
        <f>IFERROR(__xludf.DUMMYFUNCTION("""COMPUTED_VALUE"""),"2018-2022")</f>
        <v>2018-2022</v>
      </c>
      <c r="M216" s="74" t="str">
        <f>IFERROR(__xludf.DUMMYFUNCTION("""COMPUTED_VALUE"""),"S4: Student Certifications")</f>
        <v>S4: Student Certifications</v>
      </c>
      <c r="N216" s="74" t="str">
        <f>IFERROR(__xludf.DUMMYFUNCTION("""COMPUTED_VALUE"""),"anushatelaprolu04@gmail.com")</f>
        <v>anushatelaprolu04@gmail.com</v>
      </c>
      <c r="O216" s="74" t="str">
        <f>IFERROR(__xludf.DUMMYFUNCTION("""COMPUTED_VALUE"""),"SEM-8")</f>
        <v>SEM-8</v>
      </c>
      <c r="P216" s="74"/>
      <c r="Q216" s="74"/>
      <c r="R216" s="74"/>
      <c r="S216" s="74"/>
      <c r="T216" s="74"/>
      <c r="U216" s="74"/>
      <c r="V216" s="74"/>
      <c r="W216" s="74"/>
      <c r="X216" s="74"/>
      <c r="Y216" s="74"/>
    </row>
    <row r="217" ht="26.25" customHeight="1">
      <c r="A217" s="74" t="str">
        <f>IFERROR(__xludf.DUMMYFUNCTION("""COMPUTED_VALUE"""),"Arun Prasad")</f>
        <v>Arun Prasad</v>
      </c>
      <c r="B217" s="74" t="str">
        <f>IFERROR(__xludf.DUMMYFUNCTION("""COMPUTED_VALUE"""),"18331A0564")</f>
        <v>18331A0564</v>
      </c>
      <c r="C217" s="90" t="str">
        <f>IFERROR(__xludf.DUMMYFUNCTION("""COMPUTED_VALUE"""),"Python for Everybody")</f>
        <v>Python for Everybody</v>
      </c>
      <c r="D217" s="74" t="str">
        <f>IFERROR(__xludf.DUMMYFUNCTION("""COMPUTED_VALUE"""),"Coursera")</f>
        <v>Coursera</v>
      </c>
      <c r="E217" s="74" t="str">
        <f>IFERROR(__xludf.DUMMYFUNCTION("""COMPUTED_VALUE"""),"1 month")</f>
        <v>1 month</v>
      </c>
      <c r="F217" s="91">
        <f>IFERROR(__xludf.DUMMYFUNCTION("""COMPUTED_VALUE"""),43923.0)</f>
        <v>43923</v>
      </c>
      <c r="G217" s="91">
        <f>IFERROR(__xludf.DUMMYFUNCTION("""COMPUTED_VALUE"""),43953.0)</f>
        <v>43953</v>
      </c>
      <c r="H217" s="79">
        <f>IFERROR(__xludf.DUMMYFUNCTION("""COMPUTED_VALUE"""),43953.0)</f>
        <v>43953</v>
      </c>
      <c r="I217" s="92">
        <f>IFERROR(__xludf.DUMMYFUNCTION("""COMPUTED_VALUE"""),100.0)</f>
        <v>100</v>
      </c>
      <c r="J217" s="74" t="str">
        <f>IFERROR(__xludf.DUMMYFUNCTION("""COMPUTED_VALUE"""),"Charles Severance")</f>
        <v>Charles Severance</v>
      </c>
      <c r="K217" s="80" t="str">
        <f>IFERROR(__xludf.DUMMYFUNCTION("""COMPUTED_VALUE"""),"https://drive.google.com/open?id=18ppfmiEPyncUUVBWULW5JrOKj_WdGpMZ")</f>
        <v>https://drive.google.com/open?id=18ppfmiEPyncUUVBWULW5JrOKj_WdGpMZ</v>
      </c>
      <c r="L217" s="74" t="str">
        <f>IFERROR(__xludf.DUMMYFUNCTION("""COMPUTED_VALUE"""),"2018-2022")</f>
        <v>2018-2022</v>
      </c>
      <c r="M217" s="74" t="str">
        <f>IFERROR(__xludf.DUMMYFUNCTION("""COMPUTED_VALUE"""),"S4: Student Certifications")</f>
        <v>S4: Student Certifications</v>
      </c>
      <c r="N217" s="74" t="str">
        <f>IFERROR(__xludf.DUMMYFUNCTION("""COMPUTED_VALUE"""),"arunprasadkalla@gmail.com")</f>
        <v>arunprasadkalla@gmail.com</v>
      </c>
      <c r="O217" s="74" t="str">
        <f>IFERROR(__xludf.DUMMYFUNCTION("""COMPUTED_VALUE"""),"SEM-8")</f>
        <v>SEM-8</v>
      </c>
      <c r="P217" s="74"/>
      <c r="Q217" s="74"/>
      <c r="R217" s="74"/>
      <c r="S217" s="74"/>
      <c r="T217" s="74"/>
      <c r="U217" s="74"/>
      <c r="V217" s="74"/>
      <c r="W217" s="74"/>
      <c r="X217" s="74"/>
      <c r="Y217" s="74"/>
    </row>
    <row r="218" ht="26.25" customHeight="1">
      <c r="A218" s="74" t="str">
        <f>IFERROR(__xludf.DUMMYFUNCTION("""COMPUTED_VALUE"""),"Telaprolu Anusha")</f>
        <v>Telaprolu Anusha</v>
      </c>
      <c r="B218" s="74" t="str">
        <f>IFERROR(__xludf.DUMMYFUNCTION("""COMPUTED_VALUE"""),"18331A05F3")</f>
        <v>18331A05F3</v>
      </c>
      <c r="C218" s="90" t="str">
        <f>IFERROR(__xludf.DUMMYFUNCTION("""COMPUTED_VALUE"""),"DATA SCIENCE")</f>
        <v>DATA SCIENCE</v>
      </c>
      <c r="D218" s="74" t="str">
        <f>IFERROR(__xludf.DUMMYFUNCTION("""COMPUTED_VALUE"""),"COURSERA")</f>
        <v>COURSERA</v>
      </c>
      <c r="E218" s="74" t="str">
        <f>IFERROR(__xludf.DUMMYFUNCTION("""COMPUTED_VALUE"""),"20 DAYS")</f>
        <v>20 DAYS</v>
      </c>
      <c r="F218" s="91">
        <f>IFERROR(__xludf.DUMMYFUNCTION("""COMPUTED_VALUE"""),43899.0)</f>
        <v>43899</v>
      </c>
      <c r="G218" s="91">
        <f>IFERROR(__xludf.DUMMYFUNCTION("""COMPUTED_VALUE"""),43940.0)</f>
        <v>43940</v>
      </c>
      <c r="H218" s="79">
        <f>IFERROR(__xludf.DUMMYFUNCTION("""COMPUTED_VALUE"""),43940.0)</f>
        <v>43940</v>
      </c>
      <c r="I218" s="92">
        <f>IFERROR(__xludf.DUMMYFUNCTION("""COMPUTED_VALUE"""),100.0)</f>
        <v>100</v>
      </c>
      <c r="J218" s="74" t="str">
        <f>IFERROR(__xludf.DUMMYFUNCTION("""COMPUTED_VALUE"""),"NIL")</f>
        <v>NIL</v>
      </c>
      <c r="K218" s="80" t="str">
        <f>IFERROR(__xludf.DUMMYFUNCTION("""COMPUTED_VALUE"""),"https://drive.google.com/open?id=1EEn3-aKrMe4UR2gUR2znSArjTP68kM0u")</f>
        <v>https://drive.google.com/open?id=1EEn3-aKrMe4UR2gUR2znSArjTP68kM0u</v>
      </c>
      <c r="L218" s="74" t="str">
        <f>IFERROR(__xludf.DUMMYFUNCTION("""COMPUTED_VALUE"""),"2018-2022")</f>
        <v>2018-2022</v>
      </c>
      <c r="M218" s="74" t="str">
        <f>IFERROR(__xludf.DUMMYFUNCTION("""COMPUTED_VALUE"""),"S4: Student Certifications")</f>
        <v>S4: Student Certifications</v>
      </c>
      <c r="N218" s="74" t="str">
        <f>IFERROR(__xludf.DUMMYFUNCTION("""COMPUTED_VALUE"""),"anushatelaprolu04@gmail.com")</f>
        <v>anushatelaprolu04@gmail.com</v>
      </c>
      <c r="O218" s="74" t="str">
        <f>IFERROR(__xludf.DUMMYFUNCTION("""COMPUTED_VALUE"""),"SEM-8")</f>
        <v>SEM-8</v>
      </c>
      <c r="P218" s="74"/>
      <c r="Q218" s="74"/>
      <c r="R218" s="74"/>
      <c r="S218" s="74"/>
      <c r="T218" s="74"/>
      <c r="U218" s="74"/>
      <c r="V218" s="74"/>
      <c r="W218" s="74"/>
      <c r="X218" s="74"/>
      <c r="Y218" s="74"/>
    </row>
    <row r="219" ht="26.25" customHeight="1">
      <c r="A219" s="74" t="str">
        <f>IFERROR(__xludf.DUMMYFUNCTION("""COMPUTED_VALUE"""),"Sagi Gayathri")</f>
        <v>Sagi Gayathri</v>
      </c>
      <c r="B219" s="74" t="str">
        <f>IFERROR(__xludf.DUMMYFUNCTION("""COMPUTED_VALUE"""),"18331A05C7")</f>
        <v>18331A05C7</v>
      </c>
      <c r="C219" s="90" t="str">
        <f>IFERROR(__xludf.DUMMYFUNCTION("""COMPUTED_VALUE"""),"Introduction to Cyber Attacks")</f>
        <v>Introduction to Cyber Attacks</v>
      </c>
      <c r="D219" s="74" t="str">
        <f>IFERROR(__xludf.DUMMYFUNCTION("""COMPUTED_VALUE"""),"coursera")</f>
        <v>coursera</v>
      </c>
      <c r="E219" s="74" t="str">
        <f>IFERROR(__xludf.DUMMYFUNCTION("""COMPUTED_VALUE"""),"28 days")</f>
        <v>28 days</v>
      </c>
      <c r="F219" s="91">
        <f>IFERROR(__xludf.DUMMYFUNCTION("""COMPUTED_VALUE"""),43927.0)</f>
        <v>43927</v>
      </c>
      <c r="G219" s="91">
        <f>IFERROR(__xludf.DUMMYFUNCTION("""COMPUTED_VALUE"""),43954.0)</f>
        <v>43954</v>
      </c>
      <c r="H219" s="79">
        <f>IFERROR(__xludf.DUMMYFUNCTION("""COMPUTED_VALUE"""),43954.0)</f>
        <v>43954</v>
      </c>
      <c r="I219" s="92">
        <f>IFERROR(__xludf.DUMMYFUNCTION("""COMPUTED_VALUE"""),100.0)</f>
        <v>100</v>
      </c>
      <c r="J219" s="74" t="str">
        <f>IFERROR(__xludf.DUMMYFUNCTION("""COMPUTED_VALUE"""),"Online")</f>
        <v>Online</v>
      </c>
      <c r="K219" s="80" t="str">
        <f>IFERROR(__xludf.DUMMYFUNCTION("""COMPUTED_VALUE"""),"https://drive.google.com/open?id=1nPbHAHelH1Rzus_6GXDSVERUuLB1-m_y")</f>
        <v>https://drive.google.com/open?id=1nPbHAHelH1Rzus_6GXDSVERUuLB1-m_y</v>
      </c>
      <c r="L219" s="74" t="str">
        <f>IFERROR(__xludf.DUMMYFUNCTION("""COMPUTED_VALUE"""),"2018-2022")</f>
        <v>2018-2022</v>
      </c>
      <c r="M219" s="74" t="str">
        <f>IFERROR(__xludf.DUMMYFUNCTION("""COMPUTED_VALUE"""),"S4: Student Certifications")</f>
        <v>S4: Student Certifications</v>
      </c>
      <c r="N219" s="74" t="str">
        <f>IFERROR(__xludf.DUMMYFUNCTION("""COMPUTED_VALUE"""),"sagigayathri02@gmail.com")</f>
        <v>sagigayathri02@gmail.com</v>
      </c>
      <c r="O219" s="74" t="str">
        <f>IFERROR(__xludf.DUMMYFUNCTION("""COMPUTED_VALUE"""),"SEM-4")</f>
        <v>SEM-4</v>
      </c>
      <c r="P219" s="74"/>
      <c r="Q219" s="74"/>
      <c r="R219" s="74"/>
      <c r="S219" s="74"/>
      <c r="T219" s="74"/>
      <c r="U219" s="74"/>
      <c r="V219" s="74"/>
      <c r="W219" s="74"/>
      <c r="X219" s="74"/>
      <c r="Y219" s="74"/>
    </row>
    <row r="220" ht="26.25" customHeight="1">
      <c r="A220" s="74" t="str">
        <f>IFERROR(__xludf.DUMMYFUNCTION("""COMPUTED_VALUE"""),"Buddharaju Pragna")</f>
        <v>Buddharaju Pragna</v>
      </c>
      <c r="B220" s="74" t="str">
        <f>IFERROR(__xludf.DUMMYFUNCTION("""COMPUTED_VALUE"""),"18331A05H2")</f>
        <v>18331A05H2</v>
      </c>
      <c r="C220" s="90" t="str">
        <f>IFERROR(__xludf.DUMMYFUNCTION("""COMPUTED_VALUE"""),"Buddharaju Pragna")</f>
        <v>Buddharaju Pragna</v>
      </c>
      <c r="D220" s="74" t="str">
        <f>IFERROR(__xludf.DUMMYFUNCTION("""COMPUTED_VALUE"""),"Coursera")</f>
        <v>Coursera</v>
      </c>
      <c r="E220" s="74" t="str">
        <f>IFERROR(__xludf.DUMMYFUNCTION("""COMPUTED_VALUE"""),"30 days")</f>
        <v>30 days</v>
      </c>
      <c r="F220" s="91">
        <f>IFERROR(__xludf.DUMMYFUNCTION("""COMPUTED_VALUE"""),43964.0)</f>
        <v>43964</v>
      </c>
      <c r="G220" s="91">
        <f>IFERROR(__xludf.DUMMYFUNCTION("""COMPUTED_VALUE"""),43984.0)</f>
        <v>43984</v>
      </c>
      <c r="H220" s="79">
        <f>IFERROR(__xludf.DUMMYFUNCTION("""COMPUTED_VALUE"""),43984.0)</f>
        <v>43984</v>
      </c>
      <c r="I220" s="92">
        <f>IFERROR(__xludf.DUMMYFUNCTION("""COMPUTED_VALUE"""),100.0)</f>
        <v>100</v>
      </c>
      <c r="J220" s="74" t="str">
        <f>IFERROR(__xludf.DUMMYFUNCTION("""COMPUTED_VALUE"""),"Online")</f>
        <v>Online</v>
      </c>
      <c r="K220" s="80" t="str">
        <f>IFERROR(__xludf.DUMMYFUNCTION("""COMPUTED_VALUE"""),"https://drive.google.com/open?id=1_zRhbWe-ZIATBTKnt5Wrb3e5ad6h5zy4")</f>
        <v>https://drive.google.com/open?id=1_zRhbWe-ZIATBTKnt5Wrb3e5ad6h5zy4</v>
      </c>
      <c r="L220" s="74" t="str">
        <f>IFERROR(__xludf.DUMMYFUNCTION("""COMPUTED_VALUE"""),"2018-2022")</f>
        <v>2018-2022</v>
      </c>
      <c r="M220" s="74" t="str">
        <f>IFERROR(__xludf.DUMMYFUNCTION("""COMPUTED_VALUE"""),"S4: Student Certifications")</f>
        <v>S4: Student Certifications</v>
      </c>
      <c r="N220" s="74" t="str">
        <f>IFERROR(__xludf.DUMMYFUNCTION("""COMPUTED_VALUE"""),"pragnabuddharaju@gmail.com")</f>
        <v>pragnabuddharaju@gmail.com</v>
      </c>
      <c r="O220" s="74" t="str">
        <f>IFERROR(__xludf.DUMMYFUNCTION("""COMPUTED_VALUE"""),"SEM-4")</f>
        <v>SEM-4</v>
      </c>
      <c r="P220" s="74"/>
      <c r="Q220" s="74"/>
      <c r="R220" s="74"/>
      <c r="S220" s="74"/>
      <c r="T220" s="74"/>
      <c r="U220" s="74"/>
      <c r="V220" s="74"/>
      <c r="W220" s="74"/>
      <c r="X220" s="74"/>
      <c r="Y220" s="74"/>
    </row>
    <row r="221" ht="26.25" customHeight="1">
      <c r="A221" s="74" t="str">
        <f>IFERROR(__xludf.DUMMYFUNCTION("""COMPUTED_VALUE"""),"Telaprolu Anusha")</f>
        <v>Telaprolu Anusha</v>
      </c>
      <c r="B221" s="74" t="str">
        <f>IFERROR(__xludf.DUMMYFUNCTION("""COMPUTED_VALUE"""),"18331A05F3")</f>
        <v>18331A05F3</v>
      </c>
      <c r="C221" s="90" t="str">
        <f>IFERROR(__xludf.DUMMYFUNCTION("""COMPUTED_VALUE"""),"AI FOR EVERYONE")</f>
        <v>AI FOR EVERYONE</v>
      </c>
      <c r="D221" s="74" t="str">
        <f>IFERROR(__xludf.DUMMYFUNCTION("""COMPUTED_VALUE"""),"COURSERA")</f>
        <v>COURSERA</v>
      </c>
      <c r="E221" s="74" t="str">
        <f>IFERROR(__xludf.DUMMYFUNCTION("""COMPUTED_VALUE"""),"20 DAYS")</f>
        <v>20 DAYS</v>
      </c>
      <c r="F221" s="91">
        <f>IFERROR(__xludf.DUMMYFUNCTION("""COMPUTED_VALUE"""),43933.0)</f>
        <v>43933</v>
      </c>
      <c r="G221" s="91">
        <f>IFERROR(__xludf.DUMMYFUNCTION("""COMPUTED_VALUE"""),43942.0)</f>
        <v>43942</v>
      </c>
      <c r="H221" s="79">
        <f>IFERROR(__xludf.DUMMYFUNCTION("""COMPUTED_VALUE"""),43941.0)</f>
        <v>43941</v>
      </c>
      <c r="I221" s="92">
        <f>IFERROR(__xludf.DUMMYFUNCTION("""COMPUTED_VALUE"""),100.0)</f>
        <v>100</v>
      </c>
      <c r="J221" s="74" t="str">
        <f>IFERROR(__xludf.DUMMYFUNCTION("""COMPUTED_VALUE"""),"NIL")</f>
        <v>NIL</v>
      </c>
      <c r="K221" s="80" t="str">
        <f>IFERROR(__xludf.DUMMYFUNCTION("""COMPUTED_VALUE"""),"https://drive.google.com/open?id=1NpMNOiwnBkrEYraqidO1Z-98GkhJaxhJ")</f>
        <v>https://drive.google.com/open?id=1NpMNOiwnBkrEYraqidO1Z-98GkhJaxhJ</v>
      </c>
      <c r="L221" s="74" t="str">
        <f>IFERROR(__xludf.DUMMYFUNCTION("""COMPUTED_VALUE"""),"2018-2022")</f>
        <v>2018-2022</v>
      </c>
      <c r="M221" s="74" t="str">
        <f>IFERROR(__xludf.DUMMYFUNCTION("""COMPUTED_VALUE"""),"S4: Student Certifications")</f>
        <v>S4: Student Certifications</v>
      </c>
      <c r="N221" s="74" t="str">
        <f>IFERROR(__xludf.DUMMYFUNCTION("""COMPUTED_VALUE"""),"anushatelaprolu04@gmail.com")</f>
        <v>anushatelaprolu04@gmail.com</v>
      </c>
      <c r="O221" s="74" t="str">
        <f>IFERROR(__xludf.DUMMYFUNCTION("""COMPUTED_VALUE"""),"SEM-8")</f>
        <v>SEM-8</v>
      </c>
      <c r="P221" s="74"/>
      <c r="Q221" s="74"/>
      <c r="R221" s="74"/>
      <c r="S221" s="74"/>
      <c r="T221" s="74"/>
      <c r="U221" s="74"/>
      <c r="V221" s="74"/>
      <c r="W221" s="74"/>
      <c r="X221" s="74"/>
      <c r="Y221" s="74"/>
    </row>
    <row r="222" ht="26.25" customHeight="1">
      <c r="A222" s="74" t="str">
        <f>IFERROR(__xludf.DUMMYFUNCTION("""COMPUTED_VALUE"""),"Buddharaju Pragna")</f>
        <v>Buddharaju Pragna</v>
      </c>
      <c r="B222" s="74" t="str">
        <f>IFERROR(__xludf.DUMMYFUNCTION("""COMPUTED_VALUE"""),"18331A05H2")</f>
        <v>18331A05H2</v>
      </c>
      <c r="C222" s="90" t="str">
        <f>IFERROR(__xludf.DUMMYFUNCTION("""COMPUTED_VALUE"""),"Buddharaju Pragna")</f>
        <v>Buddharaju Pragna</v>
      </c>
      <c r="D222" s="74" t="str">
        <f>IFERROR(__xludf.DUMMYFUNCTION("""COMPUTED_VALUE"""),"Coursera")</f>
        <v>Coursera</v>
      </c>
      <c r="E222" s="74" t="str">
        <f>IFERROR(__xludf.DUMMYFUNCTION("""COMPUTED_VALUE"""),"29 days")</f>
        <v>29 days</v>
      </c>
      <c r="F222" s="91">
        <f>IFERROR(__xludf.DUMMYFUNCTION("""COMPUTED_VALUE"""),44653.0)</f>
        <v>44653</v>
      </c>
      <c r="G222" s="91">
        <f>IFERROR(__xludf.DUMMYFUNCTION("""COMPUTED_VALUE"""),43951.0)</f>
        <v>43951</v>
      </c>
      <c r="H222" s="79">
        <f>IFERROR(__xludf.DUMMYFUNCTION("""COMPUTED_VALUE"""),43951.0)</f>
        <v>43951</v>
      </c>
      <c r="I222" s="92">
        <f>IFERROR(__xludf.DUMMYFUNCTION("""COMPUTED_VALUE"""),100.0)</f>
        <v>100</v>
      </c>
      <c r="J222" s="74" t="str">
        <f>IFERROR(__xludf.DUMMYFUNCTION("""COMPUTED_VALUE"""),"Online")</f>
        <v>Online</v>
      </c>
      <c r="K222" s="80" t="str">
        <f>IFERROR(__xludf.DUMMYFUNCTION("""COMPUTED_VALUE"""),"https://drive.google.com/open?id=1jkM9Pz_-gM1Q-WaB6KkKawPZ14FeI4li")</f>
        <v>https://drive.google.com/open?id=1jkM9Pz_-gM1Q-WaB6KkKawPZ14FeI4li</v>
      </c>
      <c r="L222" s="74" t="str">
        <f>IFERROR(__xludf.DUMMYFUNCTION("""COMPUTED_VALUE"""),"2018-2022")</f>
        <v>2018-2022</v>
      </c>
      <c r="M222" s="74" t="str">
        <f>IFERROR(__xludf.DUMMYFUNCTION("""COMPUTED_VALUE"""),"S4: Student Certifications")</f>
        <v>S4: Student Certifications</v>
      </c>
      <c r="N222" s="74" t="str">
        <f>IFERROR(__xludf.DUMMYFUNCTION("""COMPUTED_VALUE"""),"pragnabuddharaju@gmail.com")</f>
        <v>pragnabuddharaju@gmail.com</v>
      </c>
      <c r="O222" s="74" t="str">
        <f>IFERROR(__xludf.DUMMYFUNCTION("""COMPUTED_VALUE"""),"SEM-4")</f>
        <v>SEM-4</v>
      </c>
      <c r="P222" s="74"/>
      <c r="Q222" s="74"/>
      <c r="R222" s="74"/>
      <c r="S222" s="74"/>
      <c r="T222" s="74"/>
      <c r="U222" s="74"/>
      <c r="V222" s="74"/>
      <c r="W222" s="74"/>
      <c r="X222" s="74"/>
      <c r="Y222" s="74"/>
    </row>
    <row r="223" ht="26.25" customHeight="1">
      <c r="A223" s="74" t="str">
        <f>IFERROR(__xludf.DUMMYFUNCTION("""COMPUTED_VALUE"""),"Arun Prasad")</f>
        <v>Arun Prasad</v>
      </c>
      <c r="B223" s="74" t="str">
        <f>IFERROR(__xludf.DUMMYFUNCTION("""COMPUTED_VALUE"""),"18331A0564")</f>
        <v>18331A0564</v>
      </c>
      <c r="C223" s="90" t="str">
        <f>IFERROR(__xludf.DUMMYFUNCTION("""COMPUTED_VALUE"""),"IBM Ai Engineering")</f>
        <v>IBM Ai Engineering</v>
      </c>
      <c r="D223" s="74" t="str">
        <f>IFERROR(__xludf.DUMMYFUNCTION("""COMPUTED_VALUE"""),"Coursera")</f>
        <v>Coursera</v>
      </c>
      <c r="E223" s="74" t="str">
        <f>IFERROR(__xludf.DUMMYFUNCTION("""COMPUTED_VALUE"""),"1 month")</f>
        <v>1 month</v>
      </c>
      <c r="F223" s="91">
        <f>IFERROR(__xludf.DUMMYFUNCTION("""COMPUTED_VALUE"""),43966.0)</f>
        <v>43966</v>
      </c>
      <c r="G223" s="91">
        <f>IFERROR(__xludf.DUMMYFUNCTION("""COMPUTED_VALUE"""),43997.0)</f>
        <v>43997</v>
      </c>
      <c r="H223" s="79">
        <f>IFERROR(__xludf.DUMMYFUNCTION("""COMPUTED_VALUE"""),43997.0)</f>
        <v>43997</v>
      </c>
      <c r="I223" s="92">
        <f>IFERROR(__xludf.DUMMYFUNCTION("""COMPUTED_VALUE"""),100.0)</f>
        <v>100</v>
      </c>
      <c r="J223" s="74" t="str">
        <f>IFERROR(__xludf.DUMMYFUNCTION("""COMPUTED_VALUE"""),"Romeo Kienzler")</f>
        <v>Romeo Kienzler</v>
      </c>
      <c r="K223" s="80" t="str">
        <f>IFERROR(__xludf.DUMMYFUNCTION("""COMPUTED_VALUE"""),"https://drive.google.com/open?id=1gsrEmS1hLfncbXA-rvRGaO_R2PbZQppF")</f>
        <v>https://drive.google.com/open?id=1gsrEmS1hLfncbXA-rvRGaO_R2PbZQppF</v>
      </c>
      <c r="L223" s="74" t="str">
        <f>IFERROR(__xludf.DUMMYFUNCTION("""COMPUTED_VALUE"""),"2018-2022")</f>
        <v>2018-2022</v>
      </c>
      <c r="M223" s="74" t="str">
        <f>IFERROR(__xludf.DUMMYFUNCTION("""COMPUTED_VALUE"""),"S4: Student Certifications")</f>
        <v>S4: Student Certifications</v>
      </c>
      <c r="N223" s="74" t="str">
        <f>IFERROR(__xludf.DUMMYFUNCTION("""COMPUTED_VALUE"""),"arunprasadkalla@gmail.com")</f>
        <v>arunprasadkalla@gmail.com</v>
      </c>
      <c r="O223" s="74" t="str">
        <f>IFERROR(__xludf.DUMMYFUNCTION("""COMPUTED_VALUE"""),"SEM-8")</f>
        <v>SEM-8</v>
      </c>
      <c r="P223" s="74"/>
      <c r="Q223" s="74"/>
      <c r="R223" s="74"/>
      <c r="S223" s="74"/>
      <c r="T223" s="74"/>
      <c r="U223" s="74"/>
      <c r="V223" s="74"/>
      <c r="W223" s="74"/>
      <c r="X223" s="74"/>
      <c r="Y223" s="74"/>
    </row>
    <row r="224" ht="26.25" customHeight="1">
      <c r="A224" s="74" t="str">
        <f>IFERROR(__xludf.DUMMYFUNCTION("""COMPUTED_VALUE"""),"Arun Prasad")</f>
        <v>Arun Prasad</v>
      </c>
      <c r="B224" s="74" t="str">
        <f>IFERROR(__xludf.DUMMYFUNCTION("""COMPUTED_VALUE"""),"18331A0564")</f>
        <v>18331A0564</v>
      </c>
      <c r="C224" s="90" t="str">
        <f>IFERROR(__xludf.DUMMYFUNCTION("""COMPUTED_VALUE"""),"Deep Learning")</f>
        <v>Deep Learning</v>
      </c>
      <c r="D224" s="74" t="str">
        <f>IFERROR(__xludf.DUMMYFUNCTION("""COMPUTED_VALUE"""),"Coursera")</f>
        <v>Coursera</v>
      </c>
      <c r="E224" s="74" t="str">
        <f>IFERROR(__xludf.DUMMYFUNCTION("""COMPUTED_VALUE"""),"1 month")</f>
        <v>1 month</v>
      </c>
      <c r="F224" s="91">
        <f>IFERROR(__xludf.DUMMYFUNCTION("""COMPUTED_VALUE"""),43979.0)</f>
        <v>43979</v>
      </c>
      <c r="G224" s="91">
        <f>IFERROR(__xludf.DUMMYFUNCTION("""COMPUTED_VALUE"""),44010.0)</f>
        <v>44010</v>
      </c>
      <c r="H224" s="79">
        <f>IFERROR(__xludf.DUMMYFUNCTION("""COMPUTED_VALUE"""),44010.0)</f>
        <v>44010</v>
      </c>
      <c r="I224" s="92">
        <f>IFERROR(__xludf.DUMMYFUNCTION("""COMPUTED_VALUE"""),100.0)</f>
        <v>100</v>
      </c>
      <c r="J224" s="74" t="str">
        <f>IFERROR(__xludf.DUMMYFUNCTION("""COMPUTED_VALUE"""),"Andrew Ng")</f>
        <v>Andrew Ng</v>
      </c>
      <c r="K224" s="80" t="str">
        <f>IFERROR(__xludf.DUMMYFUNCTION("""COMPUTED_VALUE"""),"https://drive.google.com/open?id=1yN5JNH56TE1t4RD3Q3mNwVCDsSXRiUpQ")</f>
        <v>https://drive.google.com/open?id=1yN5JNH56TE1t4RD3Q3mNwVCDsSXRiUpQ</v>
      </c>
      <c r="L224" s="74" t="str">
        <f>IFERROR(__xludf.DUMMYFUNCTION("""COMPUTED_VALUE"""),"2018-2022")</f>
        <v>2018-2022</v>
      </c>
      <c r="M224" s="74" t="str">
        <f>IFERROR(__xludf.DUMMYFUNCTION("""COMPUTED_VALUE"""),"S4: Student Certifications")</f>
        <v>S4: Student Certifications</v>
      </c>
      <c r="N224" s="74" t="str">
        <f>IFERROR(__xludf.DUMMYFUNCTION("""COMPUTED_VALUE"""),"arunprasadkalla@gmail.com")</f>
        <v>arunprasadkalla@gmail.com</v>
      </c>
      <c r="O224" s="74" t="str">
        <f>IFERROR(__xludf.DUMMYFUNCTION("""COMPUTED_VALUE"""),"SEM-8")</f>
        <v>SEM-8</v>
      </c>
      <c r="P224" s="74"/>
      <c r="Q224" s="74"/>
      <c r="R224" s="74"/>
      <c r="S224" s="74"/>
      <c r="T224" s="74"/>
      <c r="U224" s="74"/>
      <c r="V224" s="74"/>
      <c r="W224" s="74"/>
      <c r="X224" s="74"/>
      <c r="Y224" s="74"/>
    </row>
    <row r="225" ht="26.25" customHeight="1">
      <c r="A225" s="74" t="str">
        <f>IFERROR(__xludf.DUMMYFUNCTION("""COMPUTED_VALUE"""),"Sagi Gayathri")</f>
        <v>Sagi Gayathri</v>
      </c>
      <c r="B225" s="74" t="str">
        <f>IFERROR(__xludf.DUMMYFUNCTION("""COMPUTED_VALUE"""),"18331A05C7")</f>
        <v>18331A05C7</v>
      </c>
      <c r="C225" s="90" t="str">
        <f>IFERROR(__xludf.DUMMYFUNCTION("""COMPUTED_VALUE"""),"AI For Everyone")</f>
        <v>AI For Everyone</v>
      </c>
      <c r="D225" s="74" t="str">
        <f>IFERROR(__xludf.DUMMYFUNCTION("""COMPUTED_VALUE"""),"coursera")</f>
        <v>coursera</v>
      </c>
      <c r="E225" s="74" t="str">
        <f>IFERROR(__xludf.DUMMYFUNCTION("""COMPUTED_VALUE"""),"36 days")</f>
        <v>36 days</v>
      </c>
      <c r="F225" s="91">
        <f>IFERROR(__xludf.DUMMYFUNCTION("""COMPUTED_VALUE"""),43910.0)</f>
        <v>43910</v>
      </c>
      <c r="G225" s="91">
        <f>IFERROR(__xludf.DUMMYFUNCTION("""COMPUTED_VALUE"""),43945.0)</f>
        <v>43945</v>
      </c>
      <c r="H225" s="79">
        <f>IFERROR(__xludf.DUMMYFUNCTION("""COMPUTED_VALUE"""),43945.0)</f>
        <v>43945</v>
      </c>
      <c r="I225" s="92">
        <f>IFERROR(__xludf.DUMMYFUNCTION("""COMPUTED_VALUE"""),100.0)</f>
        <v>100</v>
      </c>
      <c r="J225" s="74" t="str">
        <f>IFERROR(__xludf.DUMMYFUNCTION("""COMPUTED_VALUE"""),"Online")</f>
        <v>Online</v>
      </c>
      <c r="K225" s="80" t="str">
        <f>IFERROR(__xludf.DUMMYFUNCTION("""COMPUTED_VALUE"""),"https://drive.google.com/open?id=1ZQNdDhW7QVnMU3V3fNKSjWx8KRbBE20y")</f>
        <v>https://drive.google.com/open?id=1ZQNdDhW7QVnMU3V3fNKSjWx8KRbBE20y</v>
      </c>
      <c r="L225" s="74" t="str">
        <f>IFERROR(__xludf.DUMMYFUNCTION("""COMPUTED_VALUE"""),"2018-2022")</f>
        <v>2018-2022</v>
      </c>
      <c r="M225" s="74" t="str">
        <f>IFERROR(__xludf.DUMMYFUNCTION("""COMPUTED_VALUE"""),"S4: Student Certifications")</f>
        <v>S4: Student Certifications</v>
      </c>
      <c r="N225" s="74" t="str">
        <f>IFERROR(__xludf.DUMMYFUNCTION("""COMPUTED_VALUE"""),"sagigayathri02@gmail.com")</f>
        <v>sagigayathri02@gmail.com</v>
      </c>
      <c r="O225" s="74" t="str">
        <f>IFERROR(__xludf.DUMMYFUNCTION("""COMPUTED_VALUE"""),"SEM-4")</f>
        <v>SEM-4</v>
      </c>
      <c r="P225" s="74"/>
      <c r="Q225" s="74"/>
      <c r="R225" s="74"/>
      <c r="S225" s="74"/>
      <c r="T225" s="74"/>
      <c r="U225" s="74"/>
      <c r="V225" s="74"/>
      <c r="W225" s="74"/>
      <c r="X225" s="74"/>
      <c r="Y225" s="74"/>
    </row>
    <row r="226" ht="26.25" customHeight="1">
      <c r="A226" s="74" t="str">
        <f>IFERROR(__xludf.DUMMYFUNCTION("""COMPUTED_VALUE"""),"Madhavi Latha Maduthuri")</f>
        <v>Madhavi Latha Maduthuri</v>
      </c>
      <c r="B226" s="74" t="str">
        <f>IFERROR(__xludf.DUMMYFUNCTION("""COMPUTED_VALUE"""),"18331A0590")</f>
        <v>18331A0590</v>
      </c>
      <c r="C226" s="90" t="str">
        <f>IFERROR(__xludf.DUMMYFUNCTION("""COMPUTED_VALUE"""),"Deep Learning.Ai")</f>
        <v>Deep Learning.Ai</v>
      </c>
      <c r="D226" s="74" t="str">
        <f>IFERROR(__xludf.DUMMYFUNCTION("""COMPUTED_VALUE"""),"Course")</f>
        <v>Course</v>
      </c>
      <c r="E226" s="74" t="str">
        <f>IFERROR(__xludf.DUMMYFUNCTION("""COMPUTED_VALUE"""),"1")</f>
        <v>1</v>
      </c>
      <c r="F226" s="91">
        <f>IFERROR(__xludf.DUMMYFUNCTION("""COMPUTED_VALUE"""),43959.0)</f>
        <v>43959</v>
      </c>
      <c r="G226" s="91">
        <f>IFERROR(__xludf.DUMMYFUNCTION("""COMPUTED_VALUE"""),43994.0)</f>
        <v>43994</v>
      </c>
      <c r="H226" s="79">
        <f>IFERROR(__xludf.DUMMYFUNCTION("""COMPUTED_VALUE"""),43966.0)</f>
        <v>43966</v>
      </c>
      <c r="I226" s="92">
        <f>IFERROR(__xludf.DUMMYFUNCTION("""COMPUTED_VALUE"""),87.0)</f>
        <v>87</v>
      </c>
      <c r="J226" s="74" t="str">
        <f>IFERROR(__xludf.DUMMYFUNCTION("""COMPUTED_VALUE"""),"Subba Raju.k")</f>
        <v>Subba Raju.k</v>
      </c>
      <c r="K226" s="80" t="str">
        <f>IFERROR(__xludf.DUMMYFUNCTION("""COMPUTED_VALUE"""),"https://drive.google.com/open?id=1RJuokXaS3doZU8nzhvmSWD7IgeoPV_x4")</f>
        <v>https://drive.google.com/open?id=1RJuokXaS3doZU8nzhvmSWD7IgeoPV_x4</v>
      </c>
      <c r="L226" s="74" t="str">
        <f>IFERROR(__xludf.DUMMYFUNCTION("""COMPUTED_VALUE"""),"2018-2022")</f>
        <v>2018-2022</v>
      </c>
      <c r="M226" s="74" t="str">
        <f>IFERROR(__xludf.DUMMYFUNCTION("""COMPUTED_VALUE"""),"S4: Student Certifications")</f>
        <v>S4: Student Certifications</v>
      </c>
      <c r="N226" s="74" t="str">
        <f>IFERROR(__xludf.DUMMYFUNCTION("""COMPUTED_VALUE"""),"madhavimaduthuri5@gmail.com")</f>
        <v>madhavimaduthuri5@gmail.com</v>
      </c>
      <c r="O226" s="74" t="str">
        <f>IFERROR(__xludf.DUMMYFUNCTION("""COMPUTED_VALUE"""),"SEM-4")</f>
        <v>SEM-4</v>
      </c>
      <c r="P226" s="74"/>
      <c r="Q226" s="74"/>
      <c r="R226" s="74"/>
      <c r="S226" s="74"/>
      <c r="T226" s="74"/>
      <c r="U226" s="74"/>
      <c r="V226" s="74"/>
      <c r="W226" s="74"/>
      <c r="X226" s="74"/>
      <c r="Y226" s="74"/>
    </row>
    <row r="227" ht="26.25" customHeight="1">
      <c r="A227" s="74" t="str">
        <f>IFERROR(__xludf.DUMMYFUNCTION("""COMPUTED_VALUE"""),"Arun Prasad")</f>
        <v>Arun Prasad</v>
      </c>
      <c r="B227" s="74" t="str">
        <f>IFERROR(__xludf.DUMMYFUNCTION("""COMPUTED_VALUE"""),"18331A0564")</f>
        <v>18331A0564</v>
      </c>
      <c r="C227" s="90" t="str">
        <f>IFERROR(__xludf.DUMMYFUNCTION("""COMPUTED_VALUE"""),"Web Design for Everybody")</f>
        <v>Web Design for Everybody</v>
      </c>
      <c r="D227" s="74" t="str">
        <f>IFERROR(__xludf.DUMMYFUNCTION("""COMPUTED_VALUE"""),"Coursera")</f>
        <v>Coursera</v>
      </c>
      <c r="E227" s="74" t="str">
        <f>IFERROR(__xludf.DUMMYFUNCTION("""COMPUTED_VALUE"""),"1 month")</f>
        <v>1 month</v>
      </c>
      <c r="F227" s="91">
        <f>IFERROR(__xludf.DUMMYFUNCTION("""COMPUTED_VALUE"""),43992.0)</f>
        <v>43992</v>
      </c>
      <c r="G227" s="91">
        <f>IFERROR(__xludf.DUMMYFUNCTION("""COMPUTED_VALUE"""),44022.0)</f>
        <v>44022</v>
      </c>
      <c r="H227" s="79">
        <f>IFERROR(__xludf.DUMMYFUNCTION("""COMPUTED_VALUE"""),44022.0)</f>
        <v>44022</v>
      </c>
      <c r="I227" s="92">
        <f>IFERROR(__xludf.DUMMYFUNCTION("""COMPUTED_VALUE"""),100.0)</f>
        <v>100</v>
      </c>
      <c r="J227" s="74" t="str">
        <f>IFERROR(__xludf.DUMMYFUNCTION("""COMPUTED_VALUE"""),"Colleen Van Lent")</f>
        <v>Colleen Van Lent</v>
      </c>
      <c r="K227" s="80" t="str">
        <f>IFERROR(__xludf.DUMMYFUNCTION("""COMPUTED_VALUE"""),"https://drive.google.com/open?id=1oBQG3ddsVRj9xP203FS0eowppN38tU9h")</f>
        <v>https://drive.google.com/open?id=1oBQG3ddsVRj9xP203FS0eowppN38tU9h</v>
      </c>
      <c r="L227" s="74" t="str">
        <f>IFERROR(__xludf.DUMMYFUNCTION("""COMPUTED_VALUE"""),"2018-2022")</f>
        <v>2018-2022</v>
      </c>
      <c r="M227" s="74" t="str">
        <f>IFERROR(__xludf.DUMMYFUNCTION("""COMPUTED_VALUE"""),"S4: Student Certifications")</f>
        <v>S4: Student Certifications</v>
      </c>
      <c r="N227" s="74" t="str">
        <f>IFERROR(__xludf.DUMMYFUNCTION("""COMPUTED_VALUE"""),"arunprasadkalla@gmail.com")</f>
        <v>arunprasadkalla@gmail.com</v>
      </c>
      <c r="O227" s="74" t="str">
        <f>IFERROR(__xludf.DUMMYFUNCTION("""COMPUTED_VALUE"""),"SEM-8")</f>
        <v>SEM-8</v>
      </c>
      <c r="P227" s="74"/>
      <c r="Q227" s="74"/>
      <c r="R227" s="74"/>
      <c r="S227" s="74"/>
      <c r="T227" s="74"/>
      <c r="U227" s="74"/>
      <c r="V227" s="74"/>
      <c r="W227" s="74"/>
      <c r="X227" s="74"/>
      <c r="Y227" s="74"/>
    </row>
    <row r="228" ht="26.25" customHeight="1">
      <c r="A228" s="78" t="str">
        <f>IFERROR(__xludf.DUMMYFUNCTION("""COMPUTED_VALUE"""),"Buddharaju Pragna")</f>
        <v>Buddharaju Pragna</v>
      </c>
      <c r="B228" s="78" t="str">
        <f>IFERROR(__xludf.DUMMYFUNCTION("""COMPUTED_VALUE"""),"18331A05H2")</f>
        <v>18331A05H2</v>
      </c>
      <c r="C228" s="93" t="str">
        <f>IFERROR(__xludf.DUMMYFUNCTION("""COMPUTED_VALUE"""),"C Programming")</f>
        <v>C Programming</v>
      </c>
      <c r="D228" s="78" t="str">
        <f>IFERROR(__xludf.DUMMYFUNCTION("""COMPUTED_VALUE"""),"J.J.College of Engineering and Technology")</f>
        <v>J.J.College of Engineering and Technology</v>
      </c>
      <c r="E228" s="78" t="str">
        <f>IFERROR(__xludf.DUMMYFUNCTION("""COMPUTED_VALUE"""),"1 day")</f>
        <v>1 day</v>
      </c>
      <c r="F228" s="94">
        <f>IFERROR(__xludf.DUMMYFUNCTION("""COMPUTED_VALUE"""),43979.0)</f>
        <v>43979</v>
      </c>
      <c r="G228" s="94">
        <f>IFERROR(__xludf.DUMMYFUNCTION("""COMPUTED_VALUE"""),43979.0)</f>
        <v>43979</v>
      </c>
      <c r="H228" s="84">
        <f>IFERROR(__xludf.DUMMYFUNCTION("""COMPUTED_VALUE"""),43979.0)</f>
        <v>43979</v>
      </c>
      <c r="I228" s="95">
        <f>IFERROR(__xludf.DUMMYFUNCTION("""COMPUTED_VALUE"""),100.0)</f>
        <v>100</v>
      </c>
      <c r="J228" s="78" t="str">
        <f>IFERROR(__xludf.DUMMYFUNCTION("""COMPUTED_VALUE"""),"Online")</f>
        <v>Online</v>
      </c>
      <c r="K228" s="85" t="str">
        <f>IFERROR(__xludf.DUMMYFUNCTION("""COMPUTED_VALUE"""),"https://drive.google.com/open?id=1KaG8ifl87vZVdinj78aAvxxBCvmdzON0")</f>
        <v>https://drive.google.com/open?id=1KaG8ifl87vZVdinj78aAvxxBCvmdzON0</v>
      </c>
      <c r="L228" s="78" t="str">
        <f>IFERROR(__xludf.DUMMYFUNCTION("""COMPUTED_VALUE"""),"2018-2022")</f>
        <v>2018-2022</v>
      </c>
      <c r="M228" s="78" t="str">
        <f>IFERROR(__xludf.DUMMYFUNCTION("""COMPUTED_VALUE"""),"S4: Student Certifications")</f>
        <v>S4: Student Certifications</v>
      </c>
      <c r="N228" s="78" t="str">
        <f>IFERROR(__xludf.DUMMYFUNCTION("""COMPUTED_VALUE"""),"pragnabuddharaju@gmail.com")</f>
        <v>pragnabuddharaju@gmail.com</v>
      </c>
      <c r="O228" s="78" t="str">
        <f>IFERROR(__xludf.DUMMYFUNCTION("""COMPUTED_VALUE"""),"SEM-4")</f>
        <v>SEM-4</v>
      </c>
      <c r="P228" s="78"/>
      <c r="Q228" s="78"/>
      <c r="R228" s="78"/>
      <c r="S228" s="78"/>
      <c r="T228" s="78"/>
      <c r="U228" s="78"/>
      <c r="V228" s="78"/>
      <c r="W228" s="78"/>
      <c r="X228" s="78"/>
      <c r="Y228" s="78"/>
    </row>
    <row r="229" ht="26.25" customHeight="1">
      <c r="A229" s="74" t="str">
        <f>IFERROR(__xludf.DUMMYFUNCTION("""COMPUTED_VALUE"""),"Arun Prasad")</f>
        <v>Arun Prasad</v>
      </c>
      <c r="B229" s="74" t="str">
        <f>IFERROR(__xludf.DUMMYFUNCTION("""COMPUTED_VALUE"""),"18331A0564")</f>
        <v>18331A0564</v>
      </c>
      <c r="C229" s="90" t="str">
        <f>IFERROR(__xludf.DUMMYFUNCTION("""COMPUTED_VALUE"""),"Web Applications for Everybody")</f>
        <v>Web Applications for Everybody</v>
      </c>
      <c r="D229" s="74" t="str">
        <f>IFERROR(__xludf.DUMMYFUNCTION("""COMPUTED_VALUE"""),"Coursera")</f>
        <v>Coursera</v>
      </c>
      <c r="E229" s="74" t="str">
        <f>IFERROR(__xludf.DUMMYFUNCTION("""COMPUTED_VALUE"""),"1 month")</f>
        <v>1 month</v>
      </c>
      <c r="F229" s="91">
        <f>IFERROR(__xludf.DUMMYFUNCTION("""COMPUTED_VALUE"""),44000.0)</f>
        <v>44000</v>
      </c>
      <c r="G229" s="91">
        <f>IFERROR(__xludf.DUMMYFUNCTION("""COMPUTED_VALUE"""),44030.0)</f>
        <v>44030</v>
      </c>
      <c r="H229" s="79">
        <f>IFERROR(__xludf.DUMMYFUNCTION("""COMPUTED_VALUE"""),44030.0)</f>
        <v>44030</v>
      </c>
      <c r="I229" s="92">
        <f>IFERROR(__xludf.DUMMYFUNCTION("""COMPUTED_VALUE"""),100.0)</f>
        <v>100</v>
      </c>
      <c r="J229" s="74" t="str">
        <f>IFERROR(__xludf.DUMMYFUNCTION("""COMPUTED_VALUE"""),"Charles Severance")</f>
        <v>Charles Severance</v>
      </c>
      <c r="K229" s="80" t="str">
        <f>IFERROR(__xludf.DUMMYFUNCTION("""COMPUTED_VALUE"""),"https://drive.google.com/open?id=1IIBfarkDFsZ9NAt0KrRtpOVyEgmB92Za")</f>
        <v>https://drive.google.com/open?id=1IIBfarkDFsZ9NAt0KrRtpOVyEgmB92Za</v>
      </c>
      <c r="L229" s="74" t="str">
        <f>IFERROR(__xludf.DUMMYFUNCTION("""COMPUTED_VALUE"""),"2018-2022")</f>
        <v>2018-2022</v>
      </c>
      <c r="M229" s="74" t="str">
        <f>IFERROR(__xludf.DUMMYFUNCTION("""COMPUTED_VALUE"""),"S4: Student Certifications")</f>
        <v>S4: Student Certifications</v>
      </c>
      <c r="N229" s="74" t="str">
        <f>IFERROR(__xludf.DUMMYFUNCTION("""COMPUTED_VALUE"""),"arunprasadkalla@gmail.com")</f>
        <v>arunprasadkalla@gmail.com</v>
      </c>
      <c r="O229" s="74" t="str">
        <f>IFERROR(__xludf.DUMMYFUNCTION("""COMPUTED_VALUE"""),"SEM-8")</f>
        <v>SEM-8</v>
      </c>
      <c r="P229" s="74"/>
      <c r="Q229" s="74"/>
      <c r="R229" s="74"/>
      <c r="S229" s="74"/>
      <c r="T229" s="74"/>
      <c r="U229" s="74"/>
      <c r="V229" s="74"/>
      <c r="W229" s="74"/>
      <c r="X229" s="74"/>
      <c r="Y229" s="74"/>
    </row>
    <row r="230" ht="26.25" customHeight="1">
      <c r="A230" s="78" t="str">
        <f>IFERROR(__xludf.DUMMYFUNCTION("""COMPUTED_VALUE"""),"Sanapathi Parimala")</f>
        <v>Sanapathi Parimala</v>
      </c>
      <c r="B230" s="78" t="str">
        <f>IFERROR(__xludf.DUMMYFUNCTION("""COMPUTED_VALUE"""),"18331A05D8")</f>
        <v>18331A05D8</v>
      </c>
      <c r="C230" s="93" t="str">
        <f>IFERROR(__xludf.DUMMYFUNCTION("""COMPUTED_VALUE"""),"AWS")</f>
        <v>AWS</v>
      </c>
      <c r="D230" s="78" t="str">
        <f>IFERROR(__xludf.DUMMYFUNCTION("""COMPUTED_VALUE"""),"AICTE")</f>
        <v>AICTE</v>
      </c>
      <c r="E230" s="78" t="str">
        <f>IFERROR(__xludf.DUMMYFUNCTION("""COMPUTED_VALUE"""),"1month")</f>
        <v>1month</v>
      </c>
      <c r="F230" s="94">
        <f>IFERROR(__xludf.DUMMYFUNCTION("""COMPUTED_VALUE"""),44531.0)</f>
        <v>44531</v>
      </c>
      <c r="G230" s="94">
        <f>IFERROR(__xludf.DUMMYFUNCTION("""COMPUTED_VALUE"""),44531.0)</f>
        <v>44531</v>
      </c>
      <c r="H230" s="84">
        <f>IFERROR(__xludf.DUMMYFUNCTION("""COMPUTED_VALUE"""),44531.0)</f>
        <v>44531</v>
      </c>
      <c r="I230" s="95">
        <f>IFERROR(__xludf.DUMMYFUNCTION("""COMPUTED_VALUE"""),100.0)</f>
        <v>100</v>
      </c>
      <c r="J230" s="78" t="str">
        <f>IFERROR(__xludf.DUMMYFUNCTION("""COMPUTED_VALUE"""),"AWS academy")</f>
        <v>AWS academy</v>
      </c>
      <c r="K230" s="85" t="str">
        <f>IFERROR(__xludf.DUMMYFUNCTION("""COMPUTED_VALUE"""),"https://drive.google.com/open?id=1_MKGKDwRsGQXTZXyb1XI02-gZj3wRvhZ")</f>
        <v>https://drive.google.com/open?id=1_MKGKDwRsGQXTZXyb1XI02-gZj3wRvhZ</v>
      </c>
      <c r="L230" s="78" t="str">
        <f>IFERROR(__xludf.DUMMYFUNCTION("""COMPUTED_VALUE"""),"2018-2022")</f>
        <v>2018-2022</v>
      </c>
      <c r="M230" s="78" t="str">
        <f>IFERROR(__xludf.DUMMYFUNCTION("""COMPUTED_VALUE"""),"S4: Student Certifications")</f>
        <v>S4: Student Certifications</v>
      </c>
      <c r="N230" s="78" t="str">
        <f>IFERROR(__xludf.DUMMYFUNCTION("""COMPUTED_VALUE"""),"parichari2000@gmail.com")</f>
        <v>parichari2000@gmail.com</v>
      </c>
      <c r="O230" s="78" t="str">
        <f>IFERROR(__xludf.DUMMYFUNCTION("""COMPUTED_VALUE"""),"SEM-8")</f>
        <v>SEM-8</v>
      </c>
      <c r="P230" s="78"/>
      <c r="Q230" s="78"/>
      <c r="R230" s="78"/>
      <c r="S230" s="78"/>
      <c r="T230" s="78"/>
      <c r="U230" s="78"/>
      <c r="V230" s="78"/>
      <c r="W230" s="78"/>
      <c r="X230" s="78"/>
      <c r="Y230" s="78"/>
    </row>
    <row r="231" ht="26.25" customHeight="1">
      <c r="A231" s="74" t="str">
        <f>IFERROR(__xludf.DUMMYFUNCTION("""COMPUTED_VALUE"""),"Praseeda Gayatri Jakkula")</f>
        <v>Praseeda Gayatri Jakkula</v>
      </c>
      <c r="B231" s="74" t="str">
        <f>IFERROR(__xludf.DUMMYFUNCTION("""COMPUTED_VALUE"""),"18331A0559 ")</f>
        <v>18331A0559 </v>
      </c>
      <c r="C231" s="90" t="str">
        <f>IFERROR(__xludf.DUMMYFUNCTION("""COMPUTED_VALUE"""),"Cybersecurity essentials")</f>
        <v>Cybersecurity essentials</v>
      </c>
      <c r="D231" s="74" t="str">
        <f>IFERROR(__xludf.DUMMYFUNCTION("""COMPUTED_VALUE"""),"Cisco")</f>
        <v>Cisco</v>
      </c>
      <c r="E231" s="74" t="str">
        <f>IFERROR(__xludf.DUMMYFUNCTION("""COMPUTED_VALUE"""),"2")</f>
        <v>2</v>
      </c>
      <c r="F231" s="91">
        <f>IFERROR(__xludf.DUMMYFUNCTION("""COMPUTED_VALUE"""),44344.0)</f>
        <v>44344</v>
      </c>
      <c r="G231" s="91">
        <f>IFERROR(__xludf.DUMMYFUNCTION("""COMPUTED_VALUE"""),43674.0)</f>
        <v>43674</v>
      </c>
      <c r="H231" s="79">
        <f>IFERROR(__xludf.DUMMYFUNCTION("""COMPUTED_VALUE"""),43674.0)</f>
        <v>43674</v>
      </c>
      <c r="I231" s="92">
        <f>IFERROR(__xludf.DUMMYFUNCTION("""COMPUTED_VALUE"""),89.0)</f>
        <v>89</v>
      </c>
      <c r="J231" s="74" t="str">
        <f>IFERROR(__xludf.DUMMYFUNCTION("""COMPUTED_VALUE"""),"Self learning ")</f>
        <v>Self learning </v>
      </c>
      <c r="K231" s="80" t="str">
        <f>IFERROR(__xludf.DUMMYFUNCTION("""COMPUTED_VALUE"""),"https://drive.google.com/open?id=1DSJt6tFJ4O2jHUYmy6vh-Xa-G0Ke0L7V")</f>
        <v>https://drive.google.com/open?id=1DSJt6tFJ4O2jHUYmy6vh-Xa-G0Ke0L7V</v>
      </c>
      <c r="L231" s="74" t="str">
        <f>IFERROR(__xludf.DUMMYFUNCTION("""COMPUTED_VALUE"""),"2018-2022")</f>
        <v>2018-2022</v>
      </c>
      <c r="M231" s="74" t="str">
        <f>IFERROR(__xludf.DUMMYFUNCTION("""COMPUTED_VALUE"""),"S4: Student Certifications")</f>
        <v>S4: Student Certifications</v>
      </c>
      <c r="N231" s="74" t="str">
        <f>IFERROR(__xludf.DUMMYFUNCTION("""COMPUTED_VALUE"""),"jakkulapraseeda8@gmail.com")</f>
        <v>jakkulapraseeda8@gmail.com</v>
      </c>
      <c r="O231" s="74" t="str">
        <f>IFERROR(__xludf.DUMMYFUNCTION("""COMPUTED_VALUE"""),"SEM-8")</f>
        <v>SEM-8</v>
      </c>
      <c r="P231" s="74"/>
      <c r="Q231" s="74"/>
      <c r="R231" s="74"/>
      <c r="S231" s="74"/>
      <c r="T231" s="74"/>
      <c r="U231" s="74"/>
      <c r="V231" s="74"/>
      <c r="W231" s="74"/>
      <c r="X231" s="74"/>
      <c r="Y231" s="74"/>
    </row>
    <row r="232" ht="26.25" customHeight="1">
      <c r="A232" s="74" t="str">
        <f>IFERROR(__xludf.DUMMYFUNCTION("""COMPUTED_VALUE"""),"Praseeda Gayatri Jakkula")</f>
        <v>Praseeda Gayatri Jakkula</v>
      </c>
      <c r="B232" s="74" t="str">
        <f>IFERROR(__xludf.DUMMYFUNCTION("""COMPUTED_VALUE"""),"18331A0559 ")</f>
        <v>18331A0559 </v>
      </c>
      <c r="C232" s="90" t="str">
        <f>IFERROR(__xludf.DUMMYFUNCTION("""COMPUTED_VALUE"""),"Introduction to networks")</f>
        <v>Introduction to networks</v>
      </c>
      <c r="D232" s="74" t="str">
        <f>IFERROR(__xludf.DUMMYFUNCTION("""COMPUTED_VALUE"""),"Cisco ")</f>
        <v>Cisco </v>
      </c>
      <c r="E232" s="74" t="str">
        <f>IFERROR(__xludf.DUMMYFUNCTION("""COMPUTED_VALUE"""),"6")</f>
        <v>6</v>
      </c>
      <c r="F232" s="91">
        <f>IFERROR(__xludf.DUMMYFUNCTION("""COMPUTED_VALUE"""),44197.0)</f>
        <v>44197</v>
      </c>
      <c r="G232" s="91">
        <f>IFERROR(__xludf.DUMMYFUNCTION("""COMPUTED_VALUE"""),44377.0)</f>
        <v>44377</v>
      </c>
      <c r="H232" s="79">
        <f>IFERROR(__xludf.DUMMYFUNCTION("""COMPUTED_VALUE"""),44377.0)</f>
        <v>44377</v>
      </c>
      <c r="I232" s="92">
        <f>IFERROR(__xludf.DUMMYFUNCTION("""COMPUTED_VALUE"""),90.0)</f>
        <v>90</v>
      </c>
      <c r="J232" s="74" t="str">
        <f>IFERROR(__xludf.DUMMYFUNCTION("""COMPUTED_VALUE"""),"Self learning  ")</f>
        <v>Self learning  </v>
      </c>
      <c r="K232" s="80" t="str">
        <f>IFERROR(__xludf.DUMMYFUNCTION("""COMPUTED_VALUE"""),"https://drive.google.com/open?id=16y1iF3l2MA9mQJEl_Y8S7lqApti--mOm")</f>
        <v>https://drive.google.com/open?id=16y1iF3l2MA9mQJEl_Y8S7lqApti--mOm</v>
      </c>
      <c r="L232" s="74" t="str">
        <f>IFERROR(__xludf.DUMMYFUNCTION("""COMPUTED_VALUE"""),"2018-2022")</f>
        <v>2018-2022</v>
      </c>
      <c r="M232" s="74" t="str">
        <f>IFERROR(__xludf.DUMMYFUNCTION("""COMPUTED_VALUE"""),"S4: Student Certifications")</f>
        <v>S4: Student Certifications</v>
      </c>
      <c r="N232" s="74" t="str">
        <f>IFERROR(__xludf.DUMMYFUNCTION("""COMPUTED_VALUE"""),"jakkulapraseeda8@gmail.com")</f>
        <v>jakkulapraseeda8@gmail.com</v>
      </c>
      <c r="O232" s="74" t="str">
        <f>IFERROR(__xludf.DUMMYFUNCTION("""COMPUTED_VALUE"""),"SEM-8")</f>
        <v>SEM-8</v>
      </c>
      <c r="P232" s="74"/>
      <c r="Q232" s="74"/>
      <c r="R232" s="74"/>
      <c r="S232" s="74"/>
      <c r="T232" s="74"/>
      <c r="U232" s="74"/>
      <c r="V232" s="74"/>
      <c r="W232" s="74"/>
      <c r="X232" s="74"/>
      <c r="Y232" s="74"/>
    </row>
    <row r="233" ht="26.25" customHeight="1">
      <c r="A233" s="74" t="str">
        <f>IFERROR(__xludf.DUMMYFUNCTION("""COMPUTED_VALUE"""),"Sanapathi Parimala")</f>
        <v>Sanapathi Parimala</v>
      </c>
      <c r="B233" s="74" t="str">
        <f>IFERROR(__xludf.DUMMYFUNCTION("""COMPUTED_VALUE"""),"18331A05D8")</f>
        <v>18331A05D8</v>
      </c>
      <c r="C233" s="90" t="str">
        <f>IFERROR(__xludf.DUMMYFUNCTION("""COMPUTED_VALUE"""),"Cybersecurity Essentials")</f>
        <v>Cybersecurity Essentials</v>
      </c>
      <c r="D233" s="74" t="str">
        <f>IFERROR(__xludf.DUMMYFUNCTION("""COMPUTED_VALUE"""),"Cisco")</f>
        <v>Cisco</v>
      </c>
      <c r="E233" s="74" t="str">
        <f>IFERROR(__xludf.DUMMYFUNCTION("""COMPUTED_VALUE"""),"1month")</f>
        <v>1month</v>
      </c>
      <c r="F233" s="91">
        <f>IFERROR(__xludf.DUMMYFUNCTION("""COMPUTED_VALUE"""),43646.0)</f>
        <v>43646</v>
      </c>
      <c r="G233" s="91">
        <f>IFERROR(__xludf.DUMMYFUNCTION("""COMPUTED_VALUE"""),43676.0)</f>
        <v>43676</v>
      </c>
      <c r="H233" s="79">
        <f>IFERROR(__xludf.DUMMYFUNCTION("""COMPUTED_VALUE"""),43677.0)</f>
        <v>43677</v>
      </c>
      <c r="I233" s="92">
        <f>IFERROR(__xludf.DUMMYFUNCTION("""COMPUTED_VALUE"""),90.0)</f>
        <v>90</v>
      </c>
      <c r="J233" s="74" t="str">
        <f>IFERROR(__xludf.DUMMYFUNCTION("""COMPUTED_VALUE"""),"Ravi Kiran Varma ")</f>
        <v>Ravi Kiran Varma </v>
      </c>
      <c r="K233" s="80" t="str">
        <f>IFERROR(__xludf.DUMMYFUNCTION("""COMPUTED_VALUE"""),"https://drive.google.com/open?id=18TIirDTEcMvezXQ8kG1pGurYT2PnZ9xW")</f>
        <v>https://drive.google.com/open?id=18TIirDTEcMvezXQ8kG1pGurYT2PnZ9xW</v>
      </c>
      <c r="L233" s="74" t="str">
        <f>IFERROR(__xludf.DUMMYFUNCTION("""COMPUTED_VALUE"""),"2018-2022")</f>
        <v>2018-2022</v>
      </c>
      <c r="M233" s="74" t="str">
        <f>IFERROR(__xludf.DUMMYFUNCTION("""COMPUTED_VALUE"""),"S4: Student Certifications")</f>
        <v>S4: Student Certifications</v>
      </c>
      <c r="N233" s="74" t="str">
        <f>IFERROR(__xludf.DUMMYFUNCTION("""COMPUTED_VALUE"""),"parichari2000@gmail.com")</f>
        <v>parichari2000@gmail.com</v>
      </c>
      <c r="O233" s="74" t="str">
        <f>IFERROR(__xludf.DUMMYFUNCTION("""COMPUTED_VALUE"""),"SEM-8")</f>
        <v>SEM-8</v>
      </c>
      <c r="P233" s="74"/>
      <c r="Q233" s="74"/>
      <c r="R233" s="74"/>
      <c r="S233" s="74"/>
      <c r="T233" s="74"/>
      <c r="U233" s="74"/>
      <c r="V233" s="74"/>
      <c r="W233" s="74"/>
      <c r="X233" s="74"/>
      <c r="Y233" s="74"/>
    </row>
    <row r="234" ht="26.25" customHeight="1">
      <c r="A234" s="74" t="str">
        <f>IFERROR(__xludf.DUMMYFUNCTION("""COMPUTED_VALUE"""),"Madhavi Latha Maduthuri")</f>
        <v>Madhavi Latha Maduthuri</v>
      </c>
      <c r="B234" s="74" t="str">
        <f>IFERROR(__xludf.DUMMYFUNCTION("""COMPUTED_VALUE"""),"18331A0590")</f>
        <v>18331A0590</v>
      </c>
      <c r="C234" s="90" t="str">
        <f>IFERROR(__xludf.DUMMYFUNCTION("""COMPUTED_VALUE"""),"Linux")</f>
        <v>Linux</v>
      </c>
      <c r="D234" s="74" t="str">
        <f>IFERROR(__xludf.DUMMYFUNCTION("""COMPUTED_VALUE"""),"Ret Hat Academy")</f>
        <v>Ret Hat Academy</v>
      </c>
      <c r="E234" s="74" t="str">
        <f>IFERROR(__xludf.DUMMYFUNCTION("""COMPUTED_VALUE"""),"1")</f>
        <v>1</v>
      </c>
      <c r="F234" s="91">
        <f>IFERROR(__xludf.DUMMYFUNCTION("""COMPUTED_VALUE"""),44627.0)</f>
        <v>44627</v>
      </c>
      <c r="G234" s="91">
        <f>IFERROR(__xludf.DUMMYFUNCTION("""COMPUTED_VALUE"""),44658.0)</f>
        <v>44658</v>
      </c>
      <c r="H234" s="79">
        <f>IFERROR(__xludf.DUMMYFUNCTION("""COMPUTED_VALUE"""),44658.0)</f>
        <v>44658</v>
      </c>
      <c r="I234" s="92">
        <f>IFERROR(__xludf.DUMMYFUNCTION("""COMPUTED_VALUE"""),100.0)</f>
        <v>100</v>
      </c>
      <c r="J234" s="74" t="str">
        <f>IFERROR(__xludf.DUMMYFUNCTION("""COMPUTED_VALUE"""),"Subba Raju.k")</f>
        <v>Subba Raju.k</v>
      </c>
      <c r="K234" s="80" t="str">
        <f>IFERROR(__xludf.DUMMYFUNCTION("""COMPUTED_VALUE"""),"https://drive.google.com/open?id=1LsdtgiAGWx7Vab0obt7ZLMgD7sa7LOIh")</f>
        <v>https://drive.google.com/open?id=1LsdtgiAGWx7Vab0obt7ZLMgD7sa7LOIh</v>
      </c>
      <c r="L234" s="74" t="str">
        <f>IFERROR(__xludf.DUMMYFUNCTION("""COMPUTED_VALUE"""),"2018-2022")</f>
        <v>2018-2022</v>
      </c>
      <c r="M234" s="74" t="str">
        <f>IFERROR(__xludf.DUMMYFUNCTION("""COMPUTED_VALUE"""),"S4: Student Certifications")</f>
        <v>S4: Student Certifications</v>
      </c>
      <c r="N234" s="74" t="str">
        <f>IFERROR(__xludf.DUMMYFUNCTION("""COMPUTED_VALUE"""),"madhavimaduthuri5@gmail.com")</f>
        <v>madhavimaduthuri5@gmail.com</v>
      </c>
      <c r="O234" s="74" t="str">
        <f>IFERROR(__xludf.DUMMYFUNCTION("""COMPUTED_VALUE"""),"SEM-8")</f>
        <v>SEM-8</v>
      </c>
      <c r="P234" s="74"/>
      <c r="Q234" s="74"/>
      <c r="R234" s="74"/>
      <c r="S234" s="74"/>
      <c r="T234" s="74"/>
      <c r="U234" s="74"/>
      <c r="V234" s="74"/>
      <c r="W234" s="74"/>
      <c r="X234" s="74"/>
      <c r="Y234" s="74"/>
    </row>
    <row r="235" ht="26.25" customHeight="1">
      <c r="A235" s="74" t="str">
        <f>IFERROR(__xludf.DUMMYFUNCTION("""COMPUTED_VALUE"""),"Arun Prasad")</f>
        <v>Arun Prasad</v>
      </c>
      <c r="B235" s="74" t="str">
        <f>IFERROR(__xludf.DUMMYFUNCTION("""COMPUTED_VALUE"""),"18331A0564")</f>
        <v>18331A0564</v>
      </c>
      <c r="C235" s="90" t="str">
        <f>IFERROR(__xludf.DUMMYFUNCTION("""COMPUTED_VALUE"""),"Cybersecurity Essentials")</f>
        <v>Cybersecurity Essentials</v>
      </c>
      <c r="D235" s="74" t="str">
        <f>IFERROR(__xludf.DUMMYFUNCTION("""COMPUTED_VALUE"""),"Cisco")</f>
        <v>Cisco</v>
      </c>
      <c r="E235" s="74" t="str">
        <f>IFERROR(__xludf.DUMMYFUNCTION("""COMPUTED_VALUE"""),"1 month")</f>
        <v>1 month</v>
      </c>
      <c r="F235" s="91">
        <f>IFERROR(__xludf.DUMMYFUNCTION("""COMPUTED_VALUE"""),43646.0)</f>
        <v>43646</v>
      </c>
      <c r="G235" s="91">
        <f>IFERROR(__xludf.DUMMYFUNCTION("""COMPUTED_VALUE"""),43676.0)</f>
        <v>43676</v>
      </c>
      <c r="H235" s="79">
        <f>IFERROR(__xludf.DUMMYFUNCTION("""COMPUTED_VALUE"""),43676.0)</f>
        <v>43676</v>
      </c>
      <c r="I235" s="92">
        <f>IFERROR(__xludf.DUMMYFUNCTION("""COMPUTED_VALUE"""),100.0)</f>
        <v>100</v>
      </c>
      <c r="J235" s="74" t="str">
        <f>IFERROR(__xludf.DUMMYFUNCTION("""COMPUTED_VALUE"""),"Ravi Kumar Varma")</f>
        <v>Ravi Kumar Varma</v>
      </c>
      <c r="K235" s="80" t="str">
        <f>IFERROR(__xludf.DUMMYFUNCTION("""COMPUTED_VALUE"""),"https://drive.google.com/open?id=1unNQDUrlO24WN9Qw-Oz_biIXQnl2FzTf")</f>
        <v>https://drive.google.com/open?id=1unNQDUrlO24WN9Qw-Oz_biIXQnl2FzTf</v>
      </c>
      <c r="L235" s="74" t="str">
        <f>IFERROR(__xludf.DUMMYFUNCTION("""COMPUTED_VALUE"""),"2018-2022")</f>
        <v>2018-2022</v>
      </c>
      <c r="M235" s="74" t="str">
        <f>IFERROR(__xludf.DUMMYFUNCTION("""COMPUTED_VALUE"""),"S4: Student Certifications")</f>
        <v>S4: Student Certifications</v>
      </c>
      <c r="N235" s="74" t="str">
        <f>IFERROR(__xludf.DUMMYFUNCTION("""COMPUTED_VALUE"""),"arunprasadkalla@gmail.com")</f>
        <v>arunprasadkalla@gmail.com</v>
      </c>
      <c r="O235" s="74" t="str">
        <f>IFERROR(__xludf.DUMMYFUNCTION("""COMPUTED_VALUE"""),"SEM-8")</f>
        <v>SEM-8</v>
      </c>
      <c r="P235" s="74"/>
      <c r="Q235" s="74"/>
      <c r="R235" s="74"/>
      <c r="S235" s="74"/>
      <c r="T235" s="74"/>
      <c r="U235" s="74"/>
      <c r="V235" s="74"/>
      <c r="W235" s="74"/>
      <c r="X235" s="74"/>
      <c r="Y235" s="74"/>
    </row>
    <row r="236" ht="26.25" customHeight="1">
      <c r="A236" s="74" t="str">
        <f>IFERROR(__xludf.DUMMYFUNCTION("""COMPUTED_VALUE"""),"Praseeda Gayatri Jakkula")</f>
        <v>Praseeda Gayatri Jakkula</v>
      </c>
      <c r="B236" s="74" t="str">
        <f>IFERROR(__xludf.DUMMYFUNCTION("""COMPUTED_VALUE"""),"18331A0559 ")</f>
        <v>18331A0559 </v>
      </c>
      <c r="C236" s="90" t="str">
        <f>IFERROR(__xludf.DUMMYFUNCTION("""COMPUTED_VALUE"""),"Programming essentials in python ")</f>
        <v>Programming essentials in python </v>
      </c>
      <c r="D236" s="74" t="str">
        <f>IFERROR(__xludf.DUMMYFUNCTION("""COMPUTED_VALUE"""),"Cisco ")</f>
        <v>Cisco </v>
      </c>
      <c r="E236" s="74" t="str">
        <f>IFERROR(__xludf.DUMMYFUNCTION("""COMPUTED_VALUE"""),"2")</f>
        <v>2</v>
      </c>
      <c r="F236" s="91">
        <f>IFERROR(__xludf.DUMMYFUNCTION("""COMPUTED_VALUE"""),44324.0)</f>
        <v>44324</v>
      </c>
      <c r="G236" s="91">
        <f>IFERROR(__xludf.DUMMYFUNCTION("""COMPUTED_VALUE"""),44385.0)</f>
        <v>44385</v>
      </c>
      <c r="H236" s="79">
        <f>IFERROR(__xludf.DUMMYFUNCTION("""COMPUTED_VALUE"""),44385.0)</f>
        <v>44385</v>
      </c>
      <c r="I236" s="92">
        <f>IFERROR(__xludf.DUMMYFUNCTION("""COMPUTED_VALUE"""),89.0)</f>
        <v>89</v>
      </c>
      <c r="J236" s="74" t="str">
        <f>IFERROR(__xludf.DUMMYFUNCTION("""COMPUTED_VALUE"""),"Self learning ")</f>
        <v>Self learning </v>
      </c>
      <c r="K236" s="80" t="str">
        <f>IFERROR(__xludf.DUMMYFUNCTION("""COMPUTED_VALUE"""),"https://drive.google.com/open?id=1Te42C1BjAkSS5lPVsAkrwzxRDe3HYG1t")</f>
        <v>https://drive.google.com/open?id=1Te42C1BjAkSS5lPVsAkrwzxRDe3HYG1t</v>
      </c>
      <c r="L236" s="74" t="str">
        <f>IFERROR(__xludf.DUMMYFUNCTION("""COMPUTED_VALUE"""),"2018-2022")</f>
        <v>2018-2022</v>
      </c>
      <c r="M236" s="74" t="str">
        <f>IFERROR(__xludf.DUMMYFUNCTION("""COMPUTED_VALUE"""),"S4: Student Certifications")</f>
        <v>S4: Student Certifications</v>
      </c>
      <c r="N236" s="74" t="str">
        <f>IFERROR(__xludf.DUMMYFUNCTION("""COMPUTED_VALUE"""),"jakkulapraseeda8@gmail.com")</f>
        <v>jakkulapraseeda8@gmail.com</v>
      </c>
      <c r="O236" s="74" t="str">
        <f>IFERROR(__xludf.DUMMYFUNCTION("""COMPUTED_VALUE"""),"SEM-8")</f>
        <v>SEM-8</v>
      </c>
      <c r="P236" s="74"/>
      <c r="Q236" s="74"/>
      <c r="R236" s="74"/>
      <c r="S236" s="74"/>
      <c r="T236" s="74"/>
      <c r="U236" s="74"/>
      <c r="V236" s="74"/>
      <c r="W236" s="74"/>
      <c r="X236" s="74"/>
      <c r="Y236" s="74"/>
    </row>
    <row r="237" ht="26.25" customHeight="1">
      <c r="A237" s="74" t="str">
        <f>IFERROR(__xludf.DUMMYFUNCTION("""COMPUTED_VALUE"""),"Sanapathi Parimala")</f>
        <v>Sanapathi Parimala</v>
      </c>
      <c r="B237" s="74" t="str">
        <f>IFERROR(__xludf.DUMMYFUNCTION("""COMPUTED_VALUE"""),"18331A05D8")</f>
        <v>18331A05D8</v>
      </c>
      <c r="C237" s="90" t="str">
        <f>IFERROR(__xludf.DUMMYFUNCTION("""COMPUTED_VALUE"""),"Programming essentials in C")</f>
        <v>Programming essentials in C</v>
      </c>
      <c r="D237" s="74" t="str">
        <f>IFERROR(__xludf.DUMMYFUNCTION("""COMPUTED_VALUE"""),"Cisco")</f>
        <v>Cisco</v>
      </c>
      <c r="E237" s="74" t="str">
        <f>IFERROR(__xludf.DUMMYFUNCTION("""COMPUTED_VALUE"""),"1 month")</f>
        <v>1 month</v>
      </c>
      <c r="F237" s="91">
        <f>IFERROR(__xludf.DUMMYFUNCTION("""COMPUTED_VALUE"""),43529.0)</f>
        <v>43529</v>
      </c>
      <c r="G237" s="91">
        <f>IFERROR(__xludf.DUMMYFUNCTION("""COMPUTED_VALUE"""),43585.0)</f>
        <v>43585</v>
      </c>
      <c r="H237" s="79">
        <f>IFERROR(__xludf.DUMMYFUNCTION("""COMPUTED_VALUE"""),43585.0)</f>
        <v>43585</v>
      </c>
      <c r="I237" s="92">
        <f>IFERROR(__xludf.DUMMYFUNCTION("""COMPUTED_VALUE"""),90.0)</f>
        <v>90</v>
      </c>
      <c r="J237" s="74" t="str">
        <f>IFERROR(__xludf.DUMMYFUNCTION("""COMPUTED_VALUE"""),"Ravi Kiran Varma")</f>
        <v>Ravi Kiran Varma</v>
      </c>
      <c r="K237" s="80" t="str">
        <f>IFERROR(__xludf.DUMMYFUNCTION("""COMPUTED_VALUE"""),"https://drive.google.com/open?id=12YJ5IMud9HHYs3B98G5gZFsYH0UVkzhJ")</f>
        <v>https://drive.google.com/open?id=12YJ5IMud9HHYs3B98G5gZFsYH0UVkzhJ</v>
      </c>
      <c r="L237" s="74" t="str">
        <f>IFERROR(__xludf.DUMMYFUNCTION("""COMPUTED_VALUE"""),"2018-2022")</f>
        <v>2018-2022</v>
      </c>
      <c r="M237" s="74" t="str">
        <f>IFERROR(__xludf.DUMMYFUNCTION("""COMPUTED_VALUE"""),"S4: Student Certifications")</f>
        <v>S4: Student Certifications</v>
      </c>
      <c r="N237" s="74" t="str">
        <f>IFERROR(__xludf.DUMMYFUNCTION("""COMPUTED_VALUE"""),"parichari2000@gmail.com")</f>
        <v>parichari2000@gmail.com</v>
      </c>
      <c r="O237" s="74" t="str">
        <f>IFERROR(__xludf.DUMMYFUNCTION("""COMPUTED_VALUE"""),"SEM-8")</f>
        <v>SEM-8</v>
      </c>
      <c r="P237" s="74"/>
      <c r="Q237" s="74"/>
      <c r="R237" s="74"/>
      <c r="S237" s="74"/>
      <c r="T237" s="74"/>
      <c r="U237" s="74"/>
      <c r="V237" s="74"/>
      <c r="W237" s="74"/>
      <c r="X237" s="74"/>
      <c r="Y237" s="74"/>
    </row>
    <row r="238" ht="26.25" customHeight="1">
      <c r="A238" s="74" t="str">
        <f>IFERROR(__xludf.DUMMYFUNCTION("""COMPUTED_VALUE"""),"MEESALA UPENDRA VENKATA AKHIL ")</f>
        <v>MEESALA UPENDRA VENKATA AKHIL </v>
      </c>
      <c r="B238" s="74" t="str">
        <f>IFERROR(__xludf.DUMMYFUNCTION("""COMPUTED_VALUE"""),"18331A0597")</f>
        <v>18331A0597</v>
      </c>
      <c r="C238" s="90" t="str">
        <f>IFERROR(__xludf.DUMMYFUNCTION("""COMPUTED_VALUE"""),"Red Hat System Administration I (RH124)")</f>
        <v>Red Hat System Administration I (RH124)</v>
      </c>
      <c r="D238" s="74" t="str">
        <f>IFERROR(__xludf.DUMMYFUNCTION("""COMPUTED_VALUE"""),"AICTE")</f>
        <v>AICTE</v>
      </c>
      <c r="E238" s="74" t="str">
        <f>IFERROR(__xludf.DUMMYFUNCTION("""COMPUTED_VALUE"""),"1 month")</f>
        <v>1 month</v>
      </c>
      <c r="F238" s="91">
        <f>IFERROR(__xludf.DUMMYFUNCTION("""COMPUTED_VALUE"""),44652.0)</f>
        <v>44652</v>
      </c>
      <c r="G238" s="91">
        <f>IFERROR(__xludf.DUMMYFUNCTION("""COMPUTED_VALUE"""),44681.0)</f>
        <v>44681</v>
      </c>
      <c r="H238" s="79">
        <f>IFERROR(__xludf.DUMMYFUNCTION("""COMPUTED_VALUE"""),44681.0)</f>
        <v>44681</v>
      </c>
      <c r="I238" s="92">
        <f>IFERROR(__xludf.DUMMYFUNCTION("""COMPUTED_VALUE"""),100.0)</f>
        <v>100</v>
      </c>
      <c r="J238" s="74" t="str">
        <f>IFERROR(__xludf.DUMMYFUNCTION("""COMPUTED_VALUE"""),"Subba Raju K V")</f>
        <v>Subba Raju K V</v>
      </c>
      <c r="K238" s="80" t="str">
        <f>IFERROR(__xludf.DUMMYFUNCTION("""COMPUTED_VALUE"""),"https://drive.google.com/open?id=1S_xIhpWCnipqO8l3vqfjrx7_gB06fmn1")</f>
        <v>https://drive.google.com/open?id=1S_xIhpWCnipqO8l3vqfjrx7_gB06fmn1</v>
      </c>
      <c r="L238" s="74" t="str">
        <f>IFERROR(__xludf.DUMMYFUNCTION("""COMPUTED_VALUE"""),"2018-2022")</f>
        <v>2018-2022</v>
      </c>
      <c r="M238" s="74" t="str">
        <f>IFERROR(__xludf.DUMMYFUNCTION("""COMPUTED_VALUE"""),"S4: Student Certifications")</f>
        <v>S4: Student Certifications</v>
      </c>
      <c r="N238" s="74" t="str">
        <f>IFERROR(__xludf.DUMMYFUNCTION("""COMPUTED_VALUE"""),"meesalaakhil2000@gmail.com")</f>
        <v>meesalaakhil2000@gmail.com</v>
      </c>
      <c r="O238" s="74" t="str">
        <f>IFERROR(__xludf.DUMMYFUNCTION("""COMPUTED_VALUE"""),"SEM-7")</f>
        <v>SEM-7</v>
      </c>
      <c r="P238" s="74"/>
      <c r="Q238" s="74"/>
      <c r="R238" s="74"/>
      <c r="S238" s="74"/>
      <c r="T238" s="74"/>
      <c r="U238" s="74"/>
      <c r="V238" s="74"/>
      <c r="W238" s="74"/>
      <c r="X238" s="74"/>
      <c r="Y238" s="74"/>
    </row>
    <row r="239" ht="26.25" customHeight="1">
      <c r="A239" s="74" t="str">
        <f>IFERROR(__xludf.DUMMYFUNCTION("""COMPUTED_VALUE"""),"Madhavi Latha Maduthuri")</f>
        <v>Madhavi Latha Maduthuri</v>
      </c>
      <c r="B239" s="74" t="str">
        <f>IFERROR(__xludf.DUMMYFUNCTION("""COMPUTED_VALUE"""),"18331A0590")</f>
        <v>18331A0590</v>
      </c>
      <c r="C239" s="90" t="str">
        <f>IFERROR(__xludf.DUMMYFUNCTION("""COMPUTED_VALUE"""),"Introduction to cybersecurity")</f>
        <v>Introduction to cybersecurity</v>
      </c>
      <c r="D239" s="74" t="str">
        <f>IFERROR(__xludf.DUMMYFUNCTION("""COMPUTED_VALUE"""),"Cisco")</f>
        <v>Cisco</v>
      </c>
      <c r="E239" s="74" t="str">
        <f>IFERROR(__xludf.DUMMYFUNCTION("""COMPUTED_VALUE"""),"1")</f>
        <v>1</v>
      </c>
      <c r="F239" s="91">
        <f>IFERROR(__xludf.DUMMYFUNCTION("""COMPUTED_VALUE"""),44265.0)</f>
        <v>44265</v>
      </c>
      <c r="G239" s="91">
        <f>IFERROR(__xludf.DUMMYFUNCTION("""COMPUTED_VALUE"""),44295.0)</f>
        <v>44295</v>
      </c>
      <c r="H239" s="79">
        <f>IFERROR(__xludf.DUMMYFUNCTION("""COMPUTED_VALUE"""),44302.0)</f>
        <v>44302</v>
      </c>
      <c r="I239" s="92">
        <f>IFERROR(__xludf.DUMMYFUNCTION("""COMPUTED_VALUE"""),100.0)</f>
        <v>100</v>
      </c>
      <c r="J239" s="74" t="str">
        <f>IFERROR(__xludf.DUMMYFUNCTION("""COMPUTED_VALUE"""),"DR.Ravi Kiran Varma Penmatsa")</f>
        <v>DR.Ravi Kiran Varma Penmatsa</v>
      </c>
      <c r="K239" s="80" t="str">
        <f>IFERROR(__xludf.DUMMYFUNCTION("""COMPUTED_VALUE"""),"https://drive.google.com/open?id=163j5j2XeooYEkwlKvEJ11gq6V3MU9zTa")</f>
        <v>https://drive.google.com/open?id=163j5j2XeooYEkwlKvEJ11gq6V3MU9zTa</v>
      </c>
      <c r="L239" s="74" t="str">
        <f>IFERROR(__xludf.DUMMYFUNCTION("""COMPUTED_VALUE"""),"2018-2022")</f>
        <v>2018-2022</v>
      </c>
      <c r="M239" s="74" t="str">
        <f>IFERROR(__xludf.DUMMYFUNCTION("""COMPUTED_VALUE"""),"S4: Student Certifications")</f>
        <v>S4: Student Certifications</v>
      </c>
      <c r="N239" s="74" t="str">
        <f>IFERROR(__xludf.DUMMYFUNCTION("""COMPUTED_VALUE"""),"madhavimaduthuri5@gmail.com")</f>
        <v>madhavimaduthuri5@gmail.com</v>
      </c>
      <c r="O239" s="74" t="str">
        <f>IFERROR(__xludf.DUMMYFUNCTION("""COMPUTED_VALUE"""),"SEM-2")</f>
        <v>SEM-2</v>
      </c>
      <c r="P239" s="74"/>
      <c r="Q239" s="74"/>
      <c r="R239" s="74"/>
      <c r="S239" s="74"/>
      <c r="T239" s="74"/>
      <c r="U239" s="74"/>
      <c r="V239" s="74"/>
      <c r="W239" s="74"/>
      <c r="X239" s="74"/>
      <c r="Y239" s="74"/>
    </row>
    <row r="240" ht="26.25" customHeight="1">
      <c r="A240" s="74" t="str">
        <f>IFERROR(__xludf.DUMMYFUNCTION("""COMPUTED_VALUE"""),"Praseeda Gayatri Jakkula")</f>
        <v>Praseeda Gayatri Jakkula</v>
      </c>
      <c r="B240" s="74" t="str">
        <f>IFERROR(__xludf.DUMMYFUNCTION("""COMPUTED_VALUE"""),"18331A0559 ")</f>
        <v>18331A0559 </v>
      </c>
      <c r="C240" s="90" t="str">
        <f>IFERROR(__xludf.DUMMYFUNCTION("""COMPUTED_VALUE"""),"Python for beginners ")</f>
        <v>Python for beginners </v>
      </c>
      <c r="D240" s="74" t="str">
        <f>IFERROR(__xludf.DUMMYFUNCTION("""COMPUTED_VALUE"""),"Udemy")</f>
        <v>Udemy</v>
      </c>
      <c r="E240" s="74" t="str">
        <f>IFERROR(__xludf.DUMMYFUNCTION("""COMPUTED_VALUE"""),"5hr")</f>
        <v>5hr</v>
      </c>
      <c r="F240" s="91">
        <f>IFERROR(__xludf.DUMMYFUNCTION("""COMPUTED_VALUE"""),44013.0)</f>
        <v>44013</v>
      </c>
      <c r="G240" s="91">
        <f>IFERROR(__xludf.DUMMYFUNCTION("""COMPUTED_VALUE"""),44013.0)</f>
        <v>44013</v>
      </c>
      <c r="H240" s="79">
        <f>IFERROR(__xludf.DUMMYFUNCTION("""COMPUTED_VALUE"""),44013.0)</f>
        <v>44013</v>
      </c>
      <c r="I240" s="92">
        <f>IFERROR(__xludf.DUMMYFUNCTION("""COMPUTED_VALUE"""),100.0)</f>
        <v>100</v>
      </c>
      <c r="J240" s="74" t="str">
        <f>IFERROR(__xludf.DUMMYFUNCTION("""COMPUTED_VALUE"""),"Self learning ")</f>
        <v>Self learning </v>
      </c>
      <c r="K240" s="80" t="str">
        <f>IFERROR(__xludf.DUMMYFUNCTION("""COMPUTED_VALUE"""),"https://drive.google.com/open?id=1YxvWo0-QXKLcKQzguE7dv8y65JIh9gKX")</f>
        <v>https://drive.google.com/open?id=1YxvWo0-QXKLcKQzguE7dv8y65JIh9gKX</v>
      </c>
      <c r="L240" s="74" t="str">
        <f>IFERROR(__xludf.DUMMYFUNCTION("""COMPUTED_VALUE"""),"2018-2022")</f>
        <v>2018-2022</v>
      </c>
      <c r="M240" s="74" t="str">
        <f>IFERROR(__xludf.DUMMYFUNCTION("""COMPUTED_VALUE"""),"S4: Student Certifications")</f>
        <v>S4: Student Certifications</v>
      </c>
      <c r="N240" s="74" t="str">
        <f>IFERROR(__xludf.DUMMYFUNCTION("""COMPUTED_VALUE"""),"jakkulapraseeda8@gmail.com")</f>
        <v>jakkulapraseeda8@gmail.com</v>
      </c>
      <c r="O240" s="74" t="str">
        <f>IFERROR(__xludf.DUMMYFUNCTION("""COMPUTED_VALUE"""),"SEM-8")</f>
        <v>SEM-8</v>
      </c>
      <c r="P240" s="74"/>
      <c r="Q240" s="74"/>
      <c r="R240" s="74"/>
      <c r="S240" s="74"/>
      <c r="T240" s="74"/>
      <c r="U240" s="74"/>
      <c r="V240" s="74"/>
      <c r="W240" s="74"/>
      <c r="X240" s="74"/>
      <c r="Y240" s="74"/>
    </row>
    <row r="241" ht="26.25" customHeight="1">
      <c r="A241" s="74" t="str">
        <f>IFERROR(__xludf.DUMMYFUNCTION("""COMPUTED_VALUE"""),"MEESALA UPENDRA VENKATA AKHIL ")</f>
        <v>MEESALA UPENDRA VENKATA AKHIL </v>
      </c>
      <c r="B241" s="74" t="str">
        <f>IFERROR(__xludf.DUMMYFUNCTION("""COMPUTED_VALUE"""),"18331A0597")</f>
        <v>18331A0597</v>
      </c>
      <c r="C241" s="90" t="str">
        <f>IFERROR(__xludf.DUMMYFUNCTION("""COMPUTED_VALUE"""),"Aws Academy Cloud Foundation ")</f>
        <v>Aws Academy Cloud Foundation </v>
      </c>
      <c r="D241" s="74" t="str">
        <f>IFERROR(__xludf.DUMMYFUNCTION("""COMPUTED_VALUE"""),"AICTE")</f>
        <v>AICTE</v>
      </c>
      <c r="E241" s="74" t="str">
        <f>IFERROR(__xludf.DUMMYFUNCTION("""COMPUTED_VALUE"""),"20 hours")</f>
        <v>20 hours</v>
      </c>
      <c r="F241" s="91">
        <f>IFERROR(__xludf.DUMMYFUNCTION("""COMPUTED_VALUE"""),44876.0)</f>
        <v>44876</v>
      </c>
      <c r="G241" s="91">
        <f>IFERROR(__xludf.DUMMYFUNCTION("""COMPUTED_VALUE"""),44876.0)</f>
        <v>44876</v>
      </c>
      <c r="H241" s="79">
        <f>IFERROR(__xludf.DUMMYFUNCTION("""COMPUTED_VALUE"""),44876.0)</f>
        <v>44876</v>
      </c>
      <c r="I241" s="92">
        <f>IFERROR(__xludf.DUMMYFUNCTION("""COMPUTED_VALUE"""),98.0)</f>
        <v>98</v>
      </c>
      <c r="J241" s="74" t="str">
        <f>IFERROR(__xludf.DUMMYFUNCTION("""COMPUTED_VALUE"""),"Dr.Ravi Kiran Varma")</f>
        <v>Dr.Ravi Kiran Varma</v>
      </c>
      <c r="K241" s="80" t="str">
        <f>IFERROR(__xludf.DUMMYFUNCTION("""COMPUTED_VALUE"""),"https://drive.google.com/open?id=1de7x2fVjRWzN06eIg7w4V41EJ0irYQnv")</f>
        <v>https://drive.google.com/open?id=1de7x2fVjRWzN06eIg7w4V41EJ0irYQnv</v>
      </c>
      <c r="L241" s="74" t="str">
        <f>IFERROR(__xludf.DUMMYFUNCTION("""COMPUTED_VALUE"""),"2018-2022")</f>
        <v>2018-2022</v>
      </c>
      <c r="M241" s="74" t="str">
        <f>IFERROR(__xludf.DUMMYFUNCTION("""COMPUTED_VALUE"""),"S4: Student Certifications")</f>
        <v>S4: Student Certifications</v>
      </c>
      <c r="N241" s="74" t="str">
        <f>IFERROR(__xludf.DUMMYFUNCTION("""COMPUTED_VALUE"""),"meesalaakhil2000@gmail.com")</f>
        <v>meesalaakhil2000@gmail.com</v>
      </c>
      <c r="O241" s="74" t="str">
        <f>IFERROR(__xludf.DUMMYFUNCTION("""COMPUTED_VALUE"""),"SEM-7")</f>
        <v>SEM-7</v>
      </c>
      <c r="P241" s="74"/>
      <c r="Q241" s="74"/>
      <c r="R241" s="74"/>
      <c r="S241" s="74"/>
      <c r="T241" s="74"/>
      <c r="U241" s="74"/>
      <c r="V241" s="74"/>
      <c r="W241" s="74"/>
      <c r="X241" s="74"/>
      <c r="Y241" s="74"/>
    </row>
    <row r="242" ht="26.25" customHeight="1">
      <c r="A242" s="74" t="str">
        <f>IFERROR(__xludf.DUMMYFUNCTION("""COMPUTED_VALUE"""),"Sanapathi Parimala")</f>
        <v>Sanapathi Parimala</v>
      </c>
      <c r="B242" s="74" t="str">
        <f>IFERROR(__xludf.DUMMYFUNCTION("""COMPUTED_VALUE"""),"18331A05D8")</f>
        <v>18331A05D8</v>
      </c>
      <c r="C242" s="90" t="str">
        <f>IFERROR(__xludf.DUMMYFUNCTION("""COMPUTED_VALUE"""),"Introduction to Artificial intelligence")</f>
        <v>Introduction to Artificial intelligence</v>
      </c>
      <c r="D242" s="74" t="str">
        <f>IFERROR(__xludf.DUMMYFUNCTION("""COMPUTED_VALUE"""),"Coursera")</f>
        <v>Coursera</v>
      </c>
      <c r="E242" s="74" t="str">
        <f>IFERROR(__xludf.DUMMYFUNCTION("""COMPUTED_VALUE"""),"1 month")</f>
        <v>1 month</v>
      </c>
      <c r="F242" s="91">
        <f>IFERROR(__xludf.DUMMYFUNCTION("""COMPUTED_VALUE"""),43930.0)</f>
        <v>43930</v>
      </c>
      <c r="G242" s="91">
        <f>IFERROR(__xludf.DUMMYFUNCTION("""COMPUTED_VALUE"""),43967.0)</f>
        <v>43967</v>
      </c>
      <c r="H242" s="79">
        <f>IFERROR(__xludf.DUMMYFUNCTION("""COMPUTED_VALUE"""),43967.0)</f>
        <v>43967</v>
      </c>
      <c r="I242" s="92">
        <f>IFERROR(__xludf.DUMMYFUNCTION("""COMPUTED_VALUE"""),100.0)</f>
        <v>100</v>
      </c>
      <c r="J242" s="74" t="str">
        <f>IFERROR(__xludf.DUMMYFUNCTION("""COMPUTED_VALUE"""),"NA")</f>
        <v>NA</v>
      </c>
      <c r="K242" s="80" t="str">
        <f>IFERROR(__xludf.DUMMYFUNCTION("""COMPUTED_VALUE"""),"https://drive.google.com/open?id=1iO3XouAEkbdhcbi2x1DPtekEr2EXacSH")</f>
        <v>https://drive.google.com/open?id=1iO3XouAEkbdhcbi2x1DPtekEr2EXacSH</v>
      </c>
      <c r="L242" s="74" t="str">
        <f>IFERROR(__xludf.DUMMYFUNCTION("""COMPUTED_VALUE"""),"2018-2022")</f>
        <v>2018-2022</v>
      </c>
      <c r="M242" s="74" t="str">
        <f>IFERROR(__xludf.DUMMYFUNCTION("""COMPUTED_VALUE"""),"S4: Student Certifications")</f>
        <v>S4: Student Certifications</v>
      </c>
      <c r="N242" s="74" t="str">
        <f>IFERROR(__xludf.DUMMYFUNCTION("""COMPUTED_VALUE"""),"parichari2000@gmail.com")</f>
        <v>parichari2000@gmail.com</v>
      </c>
      <c r="O242" s="74" t="str">
        <f>IFERROR(__xludf.DUMMYFUNCTION("""COMPUTED_VALUE"""),"SEM-8")</f>
        <v>SEM-8</v>
      </c>
      <c r="P242" s="74"/>
      <c r="Q242" s="74"/>
      <c r="R242" s="74"/>
      <c r="S242" s="74"/>
      <c r="T242" s="74"/>
      <c r="U242" s="74"/>
      <c r="V242" s="74"/>
      <c r="W242" s="74"/>
      <c r="X242" s="74"/>
      <c r="Y242" s="74"/>
    </row>
    <row r="243" ht="26.25" customHeight="1">
      <c r="A243" s="74" t="str">
        <f>IFERROR(__xludf.DUMMYFUNCTION("""COMPUTED_VALUE"""),"Praseeda Gayatri Jakkula")</f>
        <v>Praseeda Gayatri Jakkula</v>
      </c>
      <c r="B243" s="74" t="str">
        <f>IFERROR(__xludf.DUMMYFUNCTION("""COMPUTED_VALUE"""),"18331A0559 ")</f>
        <v>18331A0559 </v>
      </c>
      <c r="C243" s="90" t="str">
        <f>IFERROR(__xludf.DUMMYFUNCTION("""COMPUTED_VALUE"""),"The complete  2021 php full stack web developer bootcamp")</f>
        <v>The complete  2021 php full stack web developer bootcamp</v>
      </c>
      <c r="D243" s="74" t="str">
        <f>IFERROR(__xludf.DUMMYFUNCTION("""COMPUTED_VALUE"""),"Udemy")</f>
        <v>Udemy</v>
      </c>
      <c r="E243" s="74" t="str">
        <f>IFERROR(__xludf.DUMMYFUNCTION("""COMPUTED_VALUE"""),"49 hrs")</f>
        <v>49 hrs</v>
      </c>
      <c r="F243" s="91">
        <f>IFERROR(__xludf.DUMMYFUNCTION("""COMPUTED_VALUE"""),44593.0)</f>
        <v>44593</v>
      </c>
      <c r="G243" s="91">
        <f>IFERROR(__xludf.DUMMYFUNCTION("""COMPUTED_VALUE"""),44657.0)</f>
        <v>44657</v>
      </c>
      <c r="H243" s="79">
        <f>IFERROR(__xludf.DUMMYFUNCTION("""COMPUTED_VALUE"""),44657.0)</f>
        <v>44657</v>
      </c>
      <c r="I243" s="92">
        <f>IFERROR(__xludf.DUMMYFUNCTION("""COMPUTED_VALUE"""),100.0)</f>
        <v>100</v>
      </c>
      <c r="J243" s="74" t="str">
        <f>IFERROR(__xludf.DUMMYFUNCTION("""COMPUTED_VALUE"""),"Self learning ")</f>
        <v>Self learning </v>
      </c>
      <c r="K243" s="80" t="str">
        <f>IFERROR(__xludf.DUMMYFUNCTION("""COMPUTED_VALUE"""),"https://drive.google.com/open?id=1nGRXkId6o5cqj3xIaeRBqo0koBoDqQqF")</f>
        <v>https://drive.google.com/open?id=1nGRXkId6o5cqj3xIaeRBqo0koBoDqQqF</v>
      </c>
      <c r="L243" s="74" t="str">
        <f>IFERROR(__xludf.DUMMYFUNCTION("""COMPUTED_VALUE"""),"2018-2022")</f>
        <v>2018-2022</v>
      </c>
      <c r="M243" s="74" t="str">
        <f>IFERROR(__xludf.DUMMYFUNCTION("""COMPUTED_VALUE"""),"S4: Student Certifications")</f>
        <v>S4: Student Certifications</v>
      </c>
      <c r="N243" s="74" t="str">
        <f>IFERROR(__xludf.DUMMYFUNCTION("""COMPUTED_VALUE"""),"jakkulapraseeda8@gmail.com")</f>
        <v>jakkulapraseeda8@gmail.com</v>
      </c>
      <c r="O243" s="74" t="str">
        <f>IFERROR(__xludf.DUMMYFUNCTION("""COMPUTED_VALUE"""),"SEM-8")</f>
        <v>SEM-8</v>
      </c>
      <c r="P243" s="74"/>
      <c r="Q243" s="74"/>
      <c r="R243" s="74"/>
      <c r="S243" s="74"/>
      <c r="T243" s="74"/>
      <c r="U243" s="74"/>
      <c r="V243" s="74"/>
      <c r="W243" s="74"/>
      <c r="X243" s="74"/>
      <c r="Y243" s="74"/>
    </row>
    <row r="244" ht="26.25" customHeight="1">
      <c r="A244" s="74" t="str">
        <f>IFERROR(__xludf.DUMMYFUNCTION("""COMPUTED_VALUE"""),"MEESALA UPENDRA VENKATA AKHIL ")</f>
        <v>MEESALA UPENDRA VENKATA AKHIL </v>
      </c>
      <c r="B244" s="74" t="str">
        <f>IFERROR(__xludf.DUMMYFUNCTION("""COMPUTED_VALUE"""),"18331A0597")</f>
        <v>18331A0597</v>
      </c>
      <c r="C244" s="90" t="str">
        <f>IFERROR(__xludf.DUMMYFUNCTION("""COMPUTED_VALUE"""),"Aws Academy cloud architecting")</f>
        <v>Aws Academy cloud architecting</v>
      </c>
      <c r="D244" s="74" t="str">
        <f>IFERROR(__xludf.DUMMYFUNCTION("""COMPUTED_VALUE"""),"Aws Academy ")</f>
        <v>Aws Academy </v>
      </c>
      <c r="E244" s="74" t="str">
        <f>IFERROR(__xludf.DUMMYFUNCTION("""COMPUTED_VALUE"""),"20 hours ")</f>
        <v>20 hours </v>
      </c>
      <c r="F244" s="91">
        <f>IFERROR(__xludf.DUMMYFUNCTION("""COMPUTED_VALUE"""),44896.0)</f>
        <v>44896</v>
      </c>
      <c r="G244" s="91">
        <f>IFERROR(__xludf.DUMMYFUNCTION("""COMPUTED_VALUE"""),44896.0)</f>
        <v>44896</v>
      </c>
      <c r="H244" s="79">
        <f>IFERROR(__xludf.DUMMYFUNCTION("""COMPUTED_VALUE"""),44896.0)</f>
        <v>44896</v>
      </c>
      <c r="I244" s="92">
        <f>IFERROR(__xludf.DUMMYFUNCTION("""COMPUTED_VALUE"""),98.0)</f>
        <v>98</v>
      </c>
      <c r="J244" s="74" t="str">
        <f>IFERROR(__xludf.DUMMYFUNCTION("""COMPUTED_VALUE"""),"Dr.Ravi Kiran Varma")</f>
        <v>Dr.Ravi Kiran Varma</v>
      </c>
      <c r="K244" s="80" t="str">
        <f>IFERROR(__xludf.DUMMYFUNCTION("""COMPUTED_VALUE"""),"https://drive.google.com/open?id=14-6G2e_21ywg6bnLAmBUKYzIZlJF7i-X")</f>
        <v>https://drive.google.com/open?id=14-6G2e_21ywg6bnLAmBUKYzIZlJF7i-X</v>
      </c>
      <c r="L244" s="74" t="str">
        <f>IFERROR(__xludf.DUMMYFUNCTION("""COMPUTED_VALUE"""),"2018-2022")</f>
        <v>2018-2022</v>
      </c>
      <c r="M244" s="74" t="str">
        <f>IFERROR(__xludf.DUMMYFUNCTION("""COMPUTED_VALUE"""),"S4: Student Certifications")</f>
        <v>S4: Student Certifications</v>
      </c>
      <c r="N244" s="74" t="str">
        <f>IFERROR(__xludf.DUMMYFUNCTION("""COMPUTED_VALUE"""),"meesalaakhil2000@gmail.com")</f>
        <v>meesalaakhil2000@gmail.com</v>
      </c>
      <c r="O244" s="74" t="str">
        <f>IFERROR(__xludf.DUMMYFUNCTION("""COMPUTED_VALUE"""),"SEM-7")</f>
        <v>SEM-7</v>
      </c>
      <c r="P244" s="74"/>
      <c r="Q244" s="74"/>
      <c r="R244" s="74"/>
      <c r="S244" s="74"/>
      <c r="T244" s="74"/>
      <c r="U244" s="74"/>
      <c r="V244" s="74"/>
      <c r="W244" s="74"/>
      <c r="X244" s="74"/>
      <c r="Y244" s="74"/>
    </row>
    <row r="245" ht="26.25" customHeight="1">
      <c r="A245" s="74" t="str">
        <f>IFERROR(__xludf.DUMMYFUNCTION("""COMPUTED_VALUE"""),"Sanapathi Parimala")</f>
        <v>Sanapathi Parimala</v>
      </c>
      <c r="B245" s="74" t="str">
        <f>IFERROR(__xludf.DUMMYFUNCTION("""COMPUTED_VALUE"""),"18331A05D8")</f>
        <v>18331A05D8</v>
      </c>
      <c r="C245" s="90" t="str">
        <f>IFERROR(__xludf.DUMMYFUNCTION("""COMPUTED_VALUE"""),"Python for Everybody")</f>
        <v>Python for Everybody</v>
      </c>
      <c r="D245" s="74" t="str">
        <f>IFERROR(__xludf.DUMMYFUNCTION("""COMPUTED_VALUE"""),"Cousera")</f>
        <v>Cousera</v>
      </c>
      <c r="E245" s="74" t="str">
        <f>IFERROR(__xludf.DUMMYFUNCTION("""COMPUTED_VALUE"""),"2 months")</f>
        <v>2 months</v>
      </c>
      <c r="F245" s="91">
        <f>IFERROR(__xludf.DUMMYFUNCTION("""COMPUTED_VALUE"""),43923.0)</f>
        <v>43923</v>
      </c>
      <c r="G245" s="91">
        <f>IFERROR(__xludf.DUMMYFUNCTION("""COMPUTED_VALUE"""),44007.0)</f>
        <v>44007</v>
      </c>
      <c r="H245" s="79">
        <f>IFERROR(__xludf.DUMMYFUNCTION("""COMPUTED_VALUE"""),44007.0)</f>
        <v>44007</v>
      </c>
      <c r="I245" s="92">
        <f>IFERROR(__xludf.DUMMYFUNCTION("""COMPUTED_VALUE"""),80.0)</f>
        <v>80</v>
      </c>
      <c r="J245" s="74" t="str">
        <f>IFERROR(__xludf.DUMMYFUNCTION("""COMPUTED_VALUE"""),"NA")</f>
        <v>NA</v>
      </c>
      <c r="K245" s="80" t="str">
        <f>IFERROR(__xludf.DUMMYFUNCTION("""COMPUTED_VALUE"""),"https://drive.google.com/open?id=1TEMftiyrdghPbyJBdcw26PbaHhraB9Gt")</f>
        <v>https://drive.google.com/open?id=1TEMftiyrdghPbyJBdcw26PbaHhraB9Gt</v>
      </c>
      <c r="L245" s="74" t="str">
        <f>IFERROR(__xludf.DUMMYFUNCTION("""COMPUTED_VALUE"""),"2018-2022")</f>
        <v>2018-2022</v>
      </c>
      <c r="M245" s="74" t="str">
        <f>IFERROR(__xludf.DUMMYFUNCTION("""COMPUTED_VALUE"""),"S4: Student Certifications")</f>
        <v>S4: Student Certifications</v>
      </c>
      <c r="N245" s="74" t="str">
        <f>IFERROR(__xludf.DUMMYFUNCTION("""COMPUTED_VALUE"""),"parichari2000@gmail.com")</f>
        <v>parichari2000@gmail.com</v>
      </c>
      <c r="O245" s="74" t="str">
        <f>IFERROR(__xludf.DUMMYFUNCTION("""COMPUTED_VALUE"""),"SEM-8")</f>
        <v>SEM-8</v>
      </c>
      <c r="P245" s="74"/>
      <c r="Q245" s="74"/>
      <c r="R245" s="74"/>
      <c r="S245" s="74"/>
      <c r="T245" s="74"/>
      <c r="U245" s="74"/>
      <c r="V245" s="74"/>
      <c r="W245" s="74"/>
      <c r="X245" s="74"/>
      <c r="Y245" s="74"/>
    </row>
    <row r="246" ht="26.25" customHeight="1">
      <c r="A246" s="74" t="str">
        <f>IFERROR(__xludf.DUMMYFUNCTION("""COMPUTED_VALUE"""),"Praseeda Gayatri Jakkula")</f>
        <v>Praseeda Gayatri Jakkula</v>
      </c>
      <c r="B246" s="74" t="str">
        <f>IFERROR(__xludf.DUMMYFUNCTION("""COMPUTED_VALUE"""),"18331A0559 ")</f>
        <v>18331A0559 </v>
      </c>
      <c r="C246" s="90" t="str">
        <f>IFERROR(__xludf.DUMMYFUNCTION("""COMPUTED_VALUE"""),"Data science  for non data scientists ")</f>
        <v>Data science  for non data scientists </v>
      </c>
      <c r="D246" s="74" t="str">
        <f>IFERROR(__xludf.DUMMYFUNCTION("""COMPUTED_VALUE"""),"Udemy")</f>
        <v>Udemy</v>
      </c>
      <c r="E246" s="74" t="str">
        <f>IFERROR(__xludf.DUMMYFUNCTION("""COMPUTED_VALUE"""),"5 hrs")</f>
        <v>5 hrs</v>
      </c>
      <c r="F246" s="91">
        <f>IFERROR(__xludf.DUMMYFUNCTION("""COMPUTED_VALUE"""),44653.0)</f>
        <v>44653</v>
      </c>
      <c r="G246" s="91">
        <f>IFERROR(__xludf.DUMMYFUNCTION("""COMPUTED_VALUE"""),44657.0)</f>
        <v>44657</v>
      </c>
      <c r="H246" s="79">
        <f>IFERROR(__xludf.DUMMYFUNCTION("""COMPUTED_VALUE"""),44657.0)</f>
        <v>44657</v>
      </c>
      <c r="I246" s="92">
        <f>IFERROR(__xludf.DUMMYFUNCTION("""COMPUTED_VALUE"""),100.0)</f>
        <v>100</v>
      </c>
      <c r="J246" s="74" t="str">
        <f>IFERROR(__xludf.DUMMYFUNCTION("""COMPUTED_VALUE"""),"Self learning ")</f>
        <v>Self learning </v>
      </c>
      <c r="K246" s="80" t="str">
        <f>IFERROR(__xludf.DUMMYFUNCTION("""COMPUTED_VALUE"""),"https://drive.google.com/open?id=1D_K3ZQUUgJStHoH0_5tpdXyvMvpvv40N")</f>
        <v>https://drive.google.com/open?id=1D_K3ZQUUgJStHoH0_5tpdXyvMvpvv40N</v>
      </c>
      <c r="L246" s="74" t="str">
        <f>IFERROR(__xludf.DUMMYFUNCTION("""COMPUTED_VALUE"""),"2018-2022")</f>
        <v>2018-2022</v>
      </c>
      <c r="M246" s="74" t="str">
        <f>IFERROR(__xludf.DUMMYFUNCTION("""COMPUTED_VALUE"""),"S4: Student Certifications")</f>
        <v>S4: Student Certifications</v>
      </c>
      <c r="N246" s="74" t="str">
        <f>IFERROR(__xludf.DUMMYFUNCTION("""COMPUTED_VALUE"""),"jakkulapraseeda8@gmail.com")</f>
        <v>jakkulapraseeda8@gmail.com</v>
      </c>
      <c r="O246" s="74" t="str">
        <f>IFERROR(__xludf.DUMMYFUNCTION("""COMPUTED_VALUE"""),"SEM-8")</f>
        <v>SEM-8</v>
      </c>
      <c r="P246" s="74"/>
      <c r="Q246" s="74"/>
      <c r="R246" s="74"/>
      <c r="S246" s="74"/>
      <c r="T246" s="74"/>
      <c r="U246" s="74"/>
      <c r="V246" s="74"/>
      <c r="W246" s="74"/>
      <c r="X246" s="74"/>
      <c r="Y246" s="74"/>
    </row>
    <row r="247" ht="26.25" customHeight="1">
      <c r="A247" s="78" t="str">
        <f>IFERROR(__xludf.DUMMYFUNCTION("""COMPUTED_VALUE"""),"Kalivarapu Nikitha")</f>
        <v>Kalivarapu Nikitha</v>
      </c>
      <c r="B247" s="78" t="str">
        <f>IFERROR(__xludf.DUMMYFUNCTION("""COMPUTED_VALUE"""),"18331A0563")</f>
        <v>18331A0563</v>
      </c>
      <c r="C247" s="93" t="str">
        <f>IFERROR(__xludf.DUMMYFUNCTION("""COMPUTED_VALUE"""),"Web technologies ")</f>
        <v>Web technologies </v>
      </c>
      <c r="D247" s="78" t="str">
        <f>IFERROR(__xludf.DUMMYFUNCTION("""COMPUTED_VALUE"""),"Swecha freedom fesr")</f>
        <v>Swecha freedom fesr</v>
      </c>
      <c r="E247" s="78" t="str">
        <f>IFERROR(__xludf.DUMMYFUNCTION("""COMPUTED_VALUE"""),"2")</f>
        <v>2</v>
      </c>
      <c r="F247" s="94">
        <f>IFERROR(__xludf.DUMMYFUNCTION("""COMPUTED_VALUE"""),43505.0)</f>
        <v>43505</v>
      </c>
      <c r="G247" s="94">
        <f>IFERROR(__xludf.DUMMYFUNCTION("""COMPUTED_VALUE"""),43506.0)</f>
        <v>43506</v>
      </c>
      <c r="H247" s="84">
        <f>IFERROR(__xludf.DUMMYFUNCTION("""COMPUTED_VALUE"""),43506.0)</f>
        <v>43506</v>
      </c>
      <c r="I247" s="95">
        <f>IFERROR(__xludf.DUMMYFUNCTION("""COMPUTED_VALUE"""),100.0)</f>
        <v>100</v>
      </c>
      <c r="J247" s="78" t="str">
        <f>IFERROR(__xludf.DUMMYFUNCTION("""COMPUTED_VALUE"""),"Vamsi krishna")</f>
        <v>Vamsi krishna</v>
      </c>
      <c r="K247" s="85" t="str">
        <f>IFERROR(__xludf.DUMMYFUNCTION("""COMPUTED_VALUE"""),"https://drive.google.com/open?id=1sWMBO_Kz5DIB1sTOzC2ljXUUNi-6Jj7w")</f>
        <v>https://drive.google.com/open?id=1sWMBO_Kz5DIB1sTOzC2ljXUUNi-6Jj7w</v>
      </c>
      <c r="L247" s="78" t="str">
        <f>IFERROR(__xludf.DUMMYFUNCTION("""COMPUTED_VALUE"""),"2018-2022")</f>
        <v>2018-2022</v>
      </c>
      <c r="M247" s="78" t="str">
        <f>IFERROR(__xludf.DUMMYFUNCTION("""COMPUTED_VALUE"""),"S4: Student Certifications")</f>
        <v>S4: Student Certifications</v>
      </c>
      <c r="N247" s="78" t="str">
        <f>IFERROR(__xludf.DUMMYFUNCTION("""COMPUTED_VALUE"""),"nikithakalivarapu0404@gmail.com")</f>
        <v>nikithakalivarapu0404@gmail.com</v>
      </c>
      <c r="O247" s="78" t="str">
        <f>IFERROR(__xludf.DUMMYFUNCTION("""COMPUTED_VALUE"""),"SEM-8")</f>
        <v>SEM-8</v>
      </c>
      <c r="P247" s="78"/>
      <c r="Q247" s="78"/>
      <c r="R247" s="78"/>
      <c r="S247" s="78"/>
      <c r="T247" s="78"/>
      <c r="U247" s="78"/>
      <c r="V247" s="78"/>
      <c r="W247" s="78"/>
      <c r="X247" s="78"/>
      <c r="Y247" s="78"/>
    </row>
    <row r="248" ht="26.25" customHeight="1">
      <c r="A248" s="74" t="str">
        <f>IFERROR(__xludf.DUMMYFUNCTION("""COMPUTED_VALUE"""),"Kalivarapu Nikitha")</f>
        <v>Kalivarapu Nikitha</v>
      </c>
      <c r="B248" s="74" t="str">
        <f>IFERROR(__xludf.DUMMYFUNCTION("""COMPUTED_VALUE"""),"18331A0563")</f>
        <v>18331A0563</v>
      </c>
      <c r="C248" s="90" t="str">
        <f>IFERROR(__xludf.DUMMYFUNCTION("""COMPUTED_VALUE"""),"University of Michigan")</f>
        <v>University of Michigan</v>
      </c>
      <c r="D248" s="74" t="str">
        <f>IFERROR(__xludf.DUMMYFUNCTION("""COMPUTED_VALUE"""),"Programming for everybody ")</f>
        <v>Programming for everybody </v>
      </c>
      <c r="E248" s="74" t="str">
        <f>IFERROR(__xludf.DUMMYFUNCTION("""COMPUTED_VALUE"""),"2")</f>
        <v>2</v>
      </c>
      <c r="F248" s="91">
        <f>IFERROR(__xludf.DUMMYFUNCTION("""COMPUTED_VALUE"""),44295.0)</f>
        <v>44295</v>
      </c>
      <c r="G248" s="91">
        <f>IFERROR(__xludf.DUMMYFUNCTION("""COMPUTED_VALUE"""),44419.0)</f>
        <v>44419</v>
      </c>
      <c r="H248" s="79">
        <f>IFERROR(__xludf.DUMMYFUNCTION("""COMPUTED_VALUE"""),44415.0)</f>
        <v>44415</v>
      </c>
      <c r="I248" s="92">
        <f>IFERROR(__xludf.DUMMYFUNCTION("""COMPUTED_VALUE"""),100.0)</f>
        <v>100</v>
      </c>
      <c r="J248" s="74" t="str">
        <f>IFERROR(__xludf.DUMMYFUNCTION("""COMPUTED_VALUE"""),"K.V.Subba Raju ")</f>
        <v>K.V.Subba Raju </v>
      </c>
      <c r="K248" s="80" t="str">
        <f>IFERROR(__xludf.DUMMYFUNCTION("""COMPUTED_VALUE"""),"https://drive.google.com/open?id=1zn_3aP5fg2NK4Sa2zP-gGo0Bdj0__thB")</f>
        <v>https://drive.google.com/open?id=1zn_3aP5fg2NK4Sa2zP-gGo0Bdj0__thB</v>
      </c>
      <c r="L248" s="74" t="str">
        <f>IFERROR(__xludf.DUMMYFUNCTION("""COMPUTED_VALUE"""),"2018-2022")</f>
        <v>2018-2022</v>
      </c>
      <c r="M248" s="74" t="str">
        <f>IFERROR(__xludf.DUMMYFUNCTION("""COMPUTED_VALUE"""),"S4: Student Certifications")</f>
        <v>S4: Student Certifications</v>
      </c>
      <c r="N248" s="74" t="str">
        <f>IFERROR(__xludf.DUMMYFUNCTION("""COMPUTED_VALUE"""),"nikithakalivarapu0404@gmail.com")</f>
        <v>nikithakalivarapu0404@gmail.com</v>
      </c>
      <c r="O248" s="74" t="str">
        <f>IFERROR(__xludf.DUMMYFUNCTION("""COMPUTED_VALUE"""),"SEM-8")</f>
        <v>SEM-8</v>
      </c>
      <c r="P248" s="74"/>
      <c r="Q248" s="74"/>
      <c r="R248" s="74"/>
      <c r="S248" s="74"/>
      <c r="T248" s="74"/>
      <c r="U248" s="74"/>
      <c r="V248" s="74"/>
      <c r="W248" s="74"/>
      <c r="X248" s="74"/>
      <c r="Y248" s="74"/>
    </row>
    <row r="249" ht="26.25" customHeight="1">
      <c r="A249" s="74" t="str">
        <f>IFERROR(__xludf.DUMMYFUNCTION("""COMPUTED_VALUE"""),"Kalivarapu Nikitha")</f>
        <v>Kalivarapu Nikitha</v>
      </c>
      <c r="B249" s="74" t="str">
        <f>IFERROR(__xludf.DUMMYFUNCTION("""COMPUTED_VALUE"""),"18331A0563")</f>
        <v>18331A0563</v>
      </c>
      <c r="C249" s="90" t="str">
        <f>IFERROR(__xludf.DUMMYFUNCTION("""COMPUTED_VALUE"""),"Deep learning.AI")</f>
        <v>Deep learning.AI</v>
      </c>
      <c r="D249" s="74" t="str">
        <f>IFERROR(__xludf.DUMMYFUNCTION("""COMPUTED_VALUE"""),"Coursera")</f>
        <v>Coursera</v>
      </c>
      <c r="E249" s="74" t="str">
        <f>IFERROR(__xludf.DUMMYFUNCTION("""COMPUTED_VALUE"""),"2 months")</f>
        <v>2 months</v>
      </c>
      <c r="F249" s="91">
        <f>IFERROR(__xludf.DUMMYFUNCTION("""COMPUTED_VALUE"""),44317.0)</f>
        <v>44317</v>
      </c>
      <c r="G249" s="91">
        <f>IFERROR(__xludf.DUMMYFUNCTION("""COMPUTED_VALUE"""),44378.0)</f>
        <v>44378</v>
      </c>
      <c r="H249" s="79">
        <f>IFERROR(__xludf.DUMMYFUNCTION("""COMPUTED_VALUE"""),44347.0)</f>
        <v>44347</v>
      </c>
      <c r="I249" s="92">
        <f>IFERROR(__xludf.DUMMYFUNCTION("""COMPUTED_VALUE"""),100.0)</f>
        <v>100</v>
      </c>
      <c r="J249" s="74" t="str">
        <f>IFERROR(__xludf.DUMMYFUNCTION("""COMPUTED_VALUE"""),"Subba Raju")</f>
        <v>Subba Raju</v>
      </c>
      <c r="K249" s="80" t="str">
        <f>IFERROR(__xludf.DUMMYFUNCTION("""COMPUTED_VALUE"""),"https://drive.google.com/open?id=1zpmm0W3UGpW7gPZdfB1tomu7zAu655rf")</f>
        <v>https://drive.google.com/open?id=1zpmm0W3UGpW7gPZdfB1tomu7zAu655rf</v>
      </c>
      <c r="L249" s="74" t="str">
        <f>IFERROR(__xludf.DUMMYFUNCTION("""COMPUTED_VALUE"""),"2018-2022")</f>
        <v>2018-2022</v>
      </c>
      <c r="M249" s="74" t="str">
        <f>IFERROR(__xludf.DUMMYFUNCTION("""COMPUTED_VALUE"""),"S4: Student Certifications")</f>
        <v>S4: Student Certifications</v>
      </c>
      <c r="N249" s="74" t="str">
        <f>IFERROR(__xludf.DUMMYFUNCTION("""COMPUTED_VALUE"""),"nikithakalivarapu0404@gmail.com")</f>
        <v>nikithakalivarapu0404@gmail.com</v>
      </c>
      <c r="O249" s="74" t="str">
        <f>IFERROR(__xludf.DUMMYFUNCTION("""COMPUTED_VALUE"""),"SEM-8")</f>
        <v>SEM-8</v>
      </c>
      <c r="P249" s="74"/>
      <c r="Q249" s="74"/>
      <c r="R249" s="74"/>
      <c r="S249" s="74"/>
      <c r="T249" s="74"/>
      <c r="U249" s="74"/>
      <c r="V249" s="74"/>
      <c r="W249" s="74"/>
      <c r="X249" s="74"/>
      <c r="Y249" s="74"/>
    </row>
    <row r="250" ht="26.25" customHeight="1">
      <c r="A250" s="74" t="str">
        <f>IFERROR(__xludf.DUMMYFUNCTION("""COMPUTED_VALUE"""),"VADLAPUDI DHEERAJ KUMAR ")</f>
        <v>VADLAPUDI DHEERAJ KUMAR </v>
      </c>
      <c r="B250" s="74" t="str">
        <f>IFERROR(__xludf.DUMMYFUNCTION("""COMPUTED_VALUE"""),"18331A05G4")</f>
        <v>18331A05G4</v>
      </c>
      <c r="C250" s="90" t="str">
        <f>IFERROR(__xludf.DUMMYFUNCTION("""COMPUTED_VALUE"""),"Programming essential in Python")</f>
        <v>Programming essential in Python</v>
      </c>
      <c r="D250" s="74" t="str">
        <f>IFERROR(__xludf.DUMMYFUNCTION("""COMPUTED_VALUE"""),"CISCO")</f>
        <v>CISCO</v>
      </c>
      <c r="E250" s="74" t="str">
        <f>IFERROR(__xludf.DUMMYFUNCTION("""COMPUTED_VALUE"""),"2 month")</f>
        <v>2 month</v>
      </c>
      <c r="F250" s="91">
        <f>IFERROR(__xludf.DUMMYFUNCTION("""COMPUTED_VALUE"""),44317.0)</f>
        <v>44317</v>
      </c>
      <c r="G250" s="91">
        <f>IFERROR(__xludf.DUMMYFUNCTION("""COMPUTED_VALUE"""),44742.0)</f>
        <v>44742</v>
      </c>
      <c r="H250" s="79">
        <f>IFERROR(__xludf.DUMMYFUNCTION("""COMPUTED_VALUE"""),44385.0)</f>
        <v>44385</v>
      </c>
      <c r="I250" s="92">
        <f>IFERROR(__xludf.DUMMYFUNCTION("""COMPUTED_VALUE"""),90.0)</f>
        <v>90</v>
      </c>
      <c r="J250" s="74" t="str">
        <f>IFERROR(__xludf.DUMMYFUNCTION("""COMPUTED_VALUE"""),"Ravi Kiran Varma Penmasta ")</f>
        <v>Ravi Kiran Varma Penmasta </v>
      </c>
      <c r="K250" s="80" t="str">
        <f>IFERROR(__xludf.DUMMYFUNCTION("""COMPUTED_VALUE"""),"https://drive.google.com/open?id=1vT3ht79J_rL3R2Y6cNERNbj2zqtKCjbQ")</f>
        <v>https://drive.google.com/open?id=1vT3ht79J_rL3R2Y6cNERNbj2zqtKCjbQ</v>
      </c>
      <c r="L250" s="74" t="str">
        <f>IFERROR(__xludf.DUMMYFUNCTION("""COMPUTED_VALUE"""),"2018-2022")</f>
        <v>2018-2022</v>
      </c>
      <c r="M250" s="74" t="str">
        <f>IFERROR(__xludf.DUMMYFUNCTION("""COMPUTED_VALUE"""),"S4: Student Certifications")</f>
        <v>S4: Student Certifications</v>
      </c>
      <c r="N250" s="74" t="str">
        <f>IFERROR(__xludf.DUMMYFUNCTION("""COMPUTED_VALUE"""),"vdkumar1200@gmail.com")</f>
        <v>vdkumar1200@gmail.com</v>
      </c>
      <c r="O250" s="74" t="str">
        <f>IFERROR(__xludf.DUMMYFUNCTION("""COMPUTED_VALUE"""),"SEM-8")</f>
        <v>SEM-8</v>
      </c>
      <c r="P250" s="74"/>
      <c r="Q250" s="74"/>
      <c r="R250" s="74"/>
      <c r="S250" s="74"/>
      <c r="T250" s="74"/>
      <c r="U250" s="74"/>
      <c r="V250" s="74"/>
      <c r="W250" s="74"/>
      <c r="X250" s="74"/>
      <c r="Y250" s="74"/>
    </row>
    <row r="251" ht="26.25" customHeight="1">
      <c r="A251" s="78" t="str">
        <f>IFERROR(__xludf.DUMMYFUNCTION("""COMPUTED_VALUE"""),"Jampana Harshini")</f>
        <v>Jampana Harshini</v>
      </c>
      <c r="B251" s="78" t="str">
        <f>IFERROR(__xludf.DUMMYFUNCTION("""COMPUTED_VALUE"""),"18331A0561")</f>
        <v>18331A0561</v>
      </c>
      <c r="C251" s="93" t="str">
        <f>IFERROR(__xludf.DUMMYFUNCTION("""COMPUTED_VALUE"""),"Artificial Internship Workshop ")</f>
        <v>Artificial Internship Workshop </v>
      </c>
      <c r="D251" s="78" t="str">
        <f>IFERROR(__xludf.DUMMYFUNCTION("""COMPUTED_VALUE"""),"IIT Hyderabad ")</f>
        <v>IIT Hyderabad </v>
      </c>
      <c r="E251" s="78" t="str">
        <f>IFERROR(__xludf.DUMMYFUNCTION("""COMPUTED_VALUE"""),"2")</f>
        <v>2</v>
      </c>
      <c r="F251" s="94">
        <f>IFERROR(__xludf.DUMMYFUNCTION("""COMPUTED_VALUE"""),43694.0)</f>
        <v>43694</v>
      </c>
      <c r="G251" s="94">
        <f>IFERROR(__xludf.DUMMYFUNCTION("""COMPUTED_VALUE"""),43695.0)</f>
        <v>43695</v>
      </c>
      <c r="H251" s="84">
        <f>IFERROR(__xludf.DUMMYFUNCTION("""COMPUTED_VALUE"""),43695.0)</f>
        <v>43695</v>
      </c>
      <c r="I251" s="95">
        <f>IFERROR(__xludf.DUMMYFUNCTION("""COMPUTED_VALUE"""),100.0)</f>
        <v>100</v>
      </c>
      <c r="J251" s="78" t="str">
        <f>IFERROR(__xludf.DUMMYFUNCTION("""COMPUTED_VALUE"""),"Subba Raju K V")</f>
        <v>Subba Raju K V</v>
      </c>
      <c r="K251" s="85" t="str">
        <f>IFERROR(__xludf.DUMMYFUNCTION("""COMPUTED_VALUE"""),"https://drive.google.com/open?id=1Btn5Fd1QtPh7OtnhdJFnojpZJ3vuU6is")</f>
        <v>https://drive.google.com/open?id=1Btn5Fd1QtPh7OtnhdJFnojpZJ3vuU6is</v>
      </c>
      <c r="L251" s="78" t="str">
        <f>IFERROR(__xludf.DUMMYFUNCTION("""COMPUTED_VALUE"""),"2018-2022")</f>
        <v>2018-2022</v>
      </c>
      <c r="M251" s="78" t="str">
        <f>IFERROR(__xludf.DUMMYFUNCTION("""COMPUTED_VALUE"""),"S4: Student Certifications")</f>
        <v>S4: Student Certifications</v>
      </c>
      <c r="N251" s="78" t="str">
        <f>IFERROR(__xludf.DUMMYFUNCTION("""COMPUTED_VALUE"""),"harshini.jampana@gmail.com")</f>
        <v>harshini.jampana@gmail.com</v>
      </c>
      <c r="O251" s="78" t="str">
        <f>IFERROR(__xludf.DUMMYFUNCTION("""COMPUTED_VALUE"""),"SEM-8")</f>
        <v>SEM-8</v>
      </c>
      <c r="P251" s="78"/>
      <c r="Q251" s="78"/>
      <c r="R251" s="78"/>
      <c r="S251" s="78"/>
      <c r="T251" s="78"/>
      <c r="U251" s="78"/>
      <c r="V251" s="78"/>
      <c r="W251" s="78"/>
      <c r="X251" s="78"/>
      <c r="Y251" s="78"/>
    </row>
    <row r="252" ht="26.25" customHeight="1">
      <c r="A252" s="74" t="str">
        <f>IFERROR(__xludf.DUMMYFUNCTION("""COMPUTED_VALUE"""),"Kalivarapu Nikitha")</f>
        <v>Kalivarapu Nikitha</v>
      </c>
      <c r="B252" s="74" t="str">
        <f>IFERROR(__xludf.DUMMYFUNCTION("""COMPUTED_VALUE"""),"18331A0563")</f>
        <v>18331A0563</v>
      </c>
      <c r="C252" s="90" t="str">
        <f>IFERROR(__xludf.DUMMYFUNCTION("""COMPUTED_VALUE"""),"Cybersecurity Essentials ")</f>
        <v>Cybersecurity Essentials </v>
      </c>
      <c r="D252" s="74" t="str">
        <f>IFERROR(__xludf.DUMMYFUNCTION("""COMPUTED_VALUE"""),"Cisco")</f>
        <v>Cisco</v>
      </c>
      <c r="E252" s="74" t="str">
        <f>IFERROR(__xludf.DUMMYFUNCTION("""COMPUTED_VALUE"""),"2 months ")</f>
        <v>2 months </v>
      </c>
      <c r="F252" s="91">
        <f>IFERROR(__xludf.DUMMYFUNCTION("""COMPUTED_VALUE"""),43607.0)</f>
        <v>43607</v>
      </c>
      <c r="G252" s="91">
        <f>IFERROR(__xludf.DUMMYFUNCTION("""COMPUTED_VALUE"""),43675.0)</f>
        <v>43675</v>
      </c>
      <c r="H252" s="79">
        <f>IFERROR(__xludf.DUMMYFUNCTION("""COMPUTED_VALUE"""),43675.0)</f>
        <v>43675</v>
      </c>
      <c r="I252" s="92">
        <f>IFERROR(__xludf.DUMMYFUNCTION("""COMPUTED_VALUE"""),100.0)</f>
        <v>100</v>
      </c>
      <c r="J252" s="74" t="str">
        <f>IFERROR(__xludf.DUMMYFUNCTION("""COMPUTED_VALUE"""),"DR.RAVI KIRAN VARMA PENMATSA")</f>
        <v>DR.RAVI KIRAN VARMA PENMATSA</v>
      </c>
      <c r="K252" s="80" t="str">
        <f>IFERROR(__xludf.DUMMYFUNCTION("""COMPUTED_VALUE"""),"https://drive.google.com/open?id=1QXxIknCStY1FADfkr_8n33MRValOUXhr")</f>
        <v>https://drive.google.com/open?id=1QXxIknCStY1FADfkr_8n33MRValOUXhr</v>
      </c>
      <c r="L252" s="74" t="str">
        <f>IFERROR(__xludf.DUMMYFUNCTION("""COMPUTED_VALUE"""),"2018-2022")</f>
        <v>2018-2022</v>
      </c>
      <c r="M252" s="74" t="str">
        <f>IFERROR(__xludf.DUMMYFUNCTION("""COMPUTED_VALUE"""),"S4: Student Certifications")</f>
        <v>S4: Student Certifications</v>
      </c>
      <c r="N252" s="74" t="str">
        <f>IFERROR(__xludf.DUMMYFUNCTION("""COMPUTED_VALUE"""),"nikithakalivarapu0404@gmail.com")</f>
        <v>nikithakalivarapu0404@gmail.com</v>
      </c>
      <c r="O252" s="74" t="str">
        <f>IFERROR(__xludf.DUMMYFUNCTION("""COMPUTED_VALUE"""),"SEM-8")</f>
        <v>SEM-8</v>
      </c>
      <c r="P252" s="74"/>
      <c r="Q252" s="74"/>
      <c r="R252" s="74"/>
      <c r="S252" s="74"/>
      <c r="T252" s="74"/>
      <c r="U252" s="74"/>
      <c r="V252" s="74"/>
      <c r="W252" s="74"/>
      <c r="X252" s="74"/>
      <c r="Y252" s="74"/>
    </row>
    <row r="253" ht="26.25" customHeight="1">
      <c r="A253" s="74" t="str">
        <f>IFERROR(__xludf.DUMMYFUNCTION("""COMPUTED_VALUE"""),"Harshini Jampana")</f>
        <v>Harshini Jampana</v>
      </c>
      <c r="B253" s="74" t="str">
        <f>IFERROR(__xludf.DUMMYFUNCTION("""COMPUTED_VALUE"""),"18331A0561")</f>
        <v>18331A0561</v>
      </c>
      <c r="C253" s="90" t="str">
        <f>IFERROR(__xludf.DUMMYFUNCTION("""COMPUTED_VALUE"""),"Programming for everybody (python)")</f>
        <v>Programming for everybody (python)</v>
      </c>
      <c r="D253" s="74" t="str">
        <f>IFERROR(__xludf.DUMMYFUNCTION("""COMPUTED_VALUE"""),"Coursera")</f>
        <v>Coursera</v>
      </c>
      <c r="E253" s="74" t="str">
        <f>IFERROR(__xludf.DUMMYFUNCTION("""COMPUTED_VALUE"""),"2 months")</f>
        <v>2 months</v>
      </c>
      <c r="F253" s="91">
        <f>IFERROR(__xludf.DUMMYFUNCTION("""COMPUTED_VALUE"""),43911.0)</f>
        <v>43911</v>
      </c>
      <c r="G253" s="91">
        <f>IFERROR(__xludf.DUMMYFUNCTION("""COMPUTED_VALUE"""),43982.0)</f>
        <v>43982</v>
      </c>
      <c r="H253" s="79">
        <f>IFERROR(__xludf.DUMMYFUNCTION("""COMPUTED_VALUE"""),43982.0)</f>
        <v>43982</v>
      </c>
      <c r="I253" s="92">
        <f>IFERROR(__xludf.DUMMYFUNCTION("""COMPUTED_VALUE"""),100.0)</f>
        <v>100</v>
      </c>
      <c r="J253" s="74" t="str">
        <f>IFERROR(__xludf.DUMMYFUNCTION("""COMPUTED_VALUE"""),"Subba Raju ")</f>
        <v>Subba Raju </v>
      </c>
      <c r="K253" s="80" t="str">
        <f>IFERROR(__xludf.DUMMYFUNCTION("""COMPUTED_VALUE"""),"https://drive.google.com/open?id=1xj8sKmz3AYv0ZHoz3yUKwCxwhKOie9j4")</f>
        <v>https://drive.google.com/open?id=1xj8sKmz3AYv0ZHoz3yUKwCxwhKOie9j4</v>
      </c>
      <c r="L253" s="74" t="str">
        <f>IFERROR(__xludf.DUMMYFUNCTION("""COMPUTED_VALUE"""),"2018-2022")</f>
        <v>2018-2022</v>
      </c>
      <c r="M253" s="74" t="str">
        <f>IFERROR(__xludf.DUMMYFUNCTION("""COMPUTED_VALUE"""),"S4: Student Certifications")</f>
        <v>S4: Student Certifications</v>
      </c>
      <c r="N253" s="74" t="str">
        <f>IFERROR(__xludf.DUMMYFUNCTION("""COMPUTED_VALUE"""),"harshini.jampana@gmail.com")</f>
        <v>harshini.jampana@gmail.com</v>
      </c>
      <c r="O253" s="74" t="str">
        <f>IFERROR(__xludf.DUMMYFUNCTION("""COMPUTED_VALUE"""),"SEM-8")</f>
        <v>SEM-8</v>
      </c>
      <c r="P253" s="74"/>
      <c r="Q253" s="74"/>
      <c r="R253" s="74"/>
      <c r="S253" s="74"/>
      <c r="T253" s="74"/>
      <c r="U253" s="74"/>
      <c r="V253" s="74"/>
      <c r="W253" s="74"/>
      <c r="X253" s="74"/>
      <c r="Y253" s="74"/>
    </row>
    <row r="254" ht="26.25" customHeight="1">
      <c r="A254" s="74" t="str">
        <f>IFERROR(__xludf.DUMMYFUNCTION("""COMPUTED_VALUE"""),"VADLAPUDI DHEERAJ KUMAR ")</f>
        <v>VADLAPUDI DHEERAJ KUMAR </v>
      </c>
      <c r="B254" s="74" t="str">
        <f>IFERROR(__xludf.DUMMYFUNCTION("""COMPUTED_VALUE"""),"18331A05G4")</f>
        <v>18331A05G4</v>
      </c>
      <c r="C254" s="90" t="str">
        <f>IFERROR(__xludf.DUMMYFUNCTION("""COMPUTED_VALUE"""),"Cybersecurity Foundation ")</f>
        <v>Cybersecurity Foundation </v>
      </c>
      <c r="D254" s="74" t="str">
        <f>IFERROR(__xludf.DUMMYFUNCTION("""COMPUTED_VALUE"""),"Palo Alto Networks ")</f>
        <v>Palo Alto Networks </v>
      </c>
      <c r="E254" s="74" t="str">
        <f>IFERROR(__xludf.DUMMYFUNCTION("""COMPUTED_VALUE"""),"2 months")</f>
        <v>2 months</v>
      </c>
      <c r="F254" s="91">
        <f>IFERROR(__xludf.DUMMYFUNCTION("""COMPUTED_VALUE"""),44317.0)</f>
        <v>44317</v>
      </c>
      <c r="G254" s="91">
        <f>IFERROR(__xludf.DUMMYFUNCTION("""COMPUTED_VALUE"""),44377.0)</f>
        <v>44377</v>
      </c>
      <c r="H254" s="79">
        <f>IFERROR(__xludf.DUMMYFUNCTION("""COMPUTED_VALUE"""),44401.0)</f>
        <v>44401</v>
      </c>
      <c r="I254" s="92">
        <f>IFERROR(__xludf.DUMMYFUNCTION("""COMPUTED_VALUE"""),90.0)</f>
        <v>90</v>
      </c>
      <c r="J254" s="74" t="str">
        <f>IFERROR(__xludf.DUMMYFUNCTION("""COMPUTED_VALUE"""),"Ravi Kiran Varma ")</f>
        <v>Ravi Kiran Varma </v>
      </c>
      <c r="K254" s="80" t="str">
        <f>IFERROR(__xludf.DUMMYFUNCTION("""COMPUTED_VALUE"""),"https://drive.google.com/open?id=1StTaZaaV_ip8ZODPg62FDxhm_OrJUdMv")</f>
        <v>https://drive.google.com/open?id=1StTaZaaV_ip8ZODPg62FDxhm_OrJUdMv</v>
      </c>
      <c r="L254" s="74" t="str">
        <f>IFERROR(__xludf.DUMMYFUNCTION("""COMPUTED_VALUE"""),"2018-2022")</f>
        <v>2018-2022</v>
      </c>
      <c r="M254" s="74" t="str">
        <f>IFERROR(__xludf.DUMMYFUNCTION("""COMPUTED_VALUE"""),"S4: Student Certifications")</f>
        <v>S4: Student Certifications</v>
      </c>
      <c r="N254" s="74" t="str">
        <f>IFERROR(__xludf.DUMMYFUNCTION("""COMPUTED_VALUE"""),"vdkumar1200@gmail.com")</f>
        <v>vdkumar1200@gmail.com</v>
      </c>
      <c r="O254" s="74" t="str">
        <f>IFERROR(__xludf.DUMMYFUNCTION("""COMPUTED_VALUE"""),"SEM-8")</f>
        <v>SEM-8</v>
      </c>
      <c r="P254" s="74"/>
      <c r="Q254" s="74"/>
      <c r="R254" s="74"/>
      <c r="S254" s="74"/>
      <c r="T254" s="74"/>
      <c r="U254" s="74"/>
      <c r="V254" s="74"/>
      <c r="W254" s="74"/>
      <c r="X254" s="74"/>
      <c r="Y254" s="74"/>
    </row>
    <row r="255" ht="26.25" customHeight="1">
      <c r="A255" s="74" t="str">
        <f>IFERROR(__xludf.DUMMYFUNCTION("""COMPUTED_VALUE"""),"Harshini jampana")</f>
        <v>Harshini jampana</v>
      </c>
      <c r="B255" s="74" t="str">
        <f>IFERROR(__xludf.DUMMYFUNCTION("""COMPUTED_VALUE"""),"18331A0561")</f>
        <v>18331A0561</v>
      </c>
      <c r="C255" s="90" t="str">
        <f>IFERROR(__xludf.DUMMYFUNCTION("""COMPUTED_VALUE"""),"AI for Everyone ")</f>
        <v>AI for Everyone </v>
      </c>
      <c r="D255" s="74" t="str">
        <f>IFERROR(__xludf.DUMMYFUNCTION("""COMPUTED_VALUE"""),"Coursera")</f>
        <v>Coursera</v>
      </c>
      <c r="E255" s="74" t="str">
        <f>IFERROR(__xludf.DUMMYFUNCTION("""COMPUTED_VALUE"""),"2 months")</f>
        <v>2 months</v>
      </c>
      <c r="F255" s="91">
        <f>IFERROR(__xludf.DUMMYFUNCTION("""COMPUTED_VALUE"""),43911.0)</f>
        <v>43911</v>
      </c>
      <c r="G255" s="91">
        <f>IFERROR(__xludf.DUMMYFUNCTION("""COMPUTED_VALUE"""),43962.0)</f>
        <v>43962</v>
      </c>
      <c r="H255" s="79">
        <f>IFERROR(__xludf.DUMMYFUNCTION("""COMPUTED_VALUE"""),43962.0)</f>
        <v>43962</v>
      </c>
      <c r="I255" s="92">
        <f>IFERROR(__xludf.DUMMYFUNCTION("""COMPUTED_VALUE"""),100.0)</f>
        <v>100</v>
      </c>
      <c r="J255" s="74" t="str">
        <f>IFERROR(__xludf.DUMMYFUNCTION("""COMPUTED_VALUE"""),"Subba Raju ")</f>
        <v>Subba Raju </v>
      </c>
      <c r="K255" s="80" t="str">
        <f>IFERROR(__xludf.DUMMYFUNCTION("""COMPUTED_VALUE"""),"https://drive.google.com/open?id=1uVtJF_NIxSsHhdA36qHb5H9Q1jIBSLHj")</f>
        <v>https://drive.google.com/open?id=1uVtJF_NIxSsHhdA36qHb5H9Q1jIBSLHj</v>
      </c>
      <c r="L255" s="74" t="str">
        <f>IFERROR(__xludf.DUMMYFUNCTION("""COMPUTED_VALUE"""),"2018-2022")</f>
        <v>2018-2022</v>
      </c>
      <c r="M255" s="74" t="str">
        <f>IFERROR(__xludf.DUMMYFUNCTION("""COMPUTED_VALUE"""),"S4: Student Certifications")</f>
        <v>S4: Student Certifications</v>
      </c>
      <c r="N255" s="74" t="str">
        <f>IFERROR(__xludf.DUMMYFUNCTION("""COMPUTED_VALUE"""),"harshini.jampana@gmail.com")</f>
        <v>harshini.jampana@gmail.com</v>
      </c>
      <c r="O255" s="74" t="str">
        <f>IFERROR(__xludf.DUMMYFUNCTION("""COMPUTED_VALUE"""),"SEM-8")</f>
        <v>SEM-8</v>
      </c>
      <c r="P255" s="74"/>
      <c r="Q255" s="74"/>
      <c r="R255" s="74"/>
      <c r="S255" s="74"/>
      <c r="T255" s="74"/>
      <c r="U255" s="74"/>
      <c r="V255" s="74"/>
      <c r="W255" s="74"/>
      <c r="X255" s="74"/>
      <c r="Y255" s="74"/>
    </row>
    <row r="256" ht="26.25" customHeight="1">
      <c r="A256" s="74" t="str">
        <f>IFERROR(__xludf.DUMMYFUNCTION("""COMPUTED_VALUE"""),"MEESALA UPENDRA VENKATA AKHIL")</f>
        <v>MEESALA UPENDRA VENKATA AKHIL</v>
      </c>
      <c r="B256" s="74" t="str">
        <f>IFERROR(__xludf.DUMMYFUNCTION("""COMPUTED_VALUE"""),"18331A0597")</f>
        <v>18331A0597</v>
      </c>
      <c r="C256" s="90" t="str">
        <f>IFERROR(__xludf.DUMMYFUNCTION("""COMPUTED_VALUE"""),"Applied Machine Learning in Python")</f>
        <v>Applied Machine Learning in Python</v>
      </c>
      <c r="D256" s="74" t="str">
        <f>IFERROR(__xludf.DUMMYFUNCTION("""COMPUTED_VALUE"""),"COURSERA")</f>
        <v>COURSERA</v>
      </c>
      <c r="E256" s="74" t="str">
        <f>IFERROR(__xludf.DUMMYFUNCTION("""COMPUTED_VALUE"""),"1 month")</f>
        <v>1 month</v>
      </c>
      <c r="F256" s="91">
        <f>IFERROR(__xludf.DUMMYFUNCTION("""COMPUTED_VALUE"""),43925.0)</f>
        <v>43925</v>
      </c>
      <c r="G256" s="91">
        <f>IFERROR(__xludf.DUMMYFUNCTION("""COMPUTED_VALUE"""),43955.0)</f>
        <v>43955</v>
      </c>
      <c r="H256" s="79">
        <f>IFERROR(__xludf.DUMMYFUNCTION("""COMPUTED_VALUE"""),43955.0)</f>
        <v>43955</v>
      </c>
      <c r="I256" s="92">
        <f>IFERROR(__xludf.DUMMYFUNCTION("""COMPUTED_VALUE"""),98.0)</f>
        <v>98</v>
      </c>
      <c r="J256" s="74" t="str">
        <f>IFERROR(__xludf.DUMMYFUNCTION("""COMPUTED_VALUE"""),"NA")</f>
        <v>NA</v>
      </c>
      <c r="K256" s="80" t="str">
        <f>IFERROR(__xludf.DUMMYFUNCTION("""COMPUTED_VALUE"""),"https://drive.google.com/open?id=1gYjOMzNjOvKJepuv6ao08mqXhsq92C1T")</f>
        <v>https://drive.google.com/open?id=1gYjOMzNjOvKJepuv6ao08mqXhsq92C1T</v>
      </c>
      <c r="L256" s="74" t="str">
        <f>IFERROR(__xludf.DUMMYFUNCTION("""COMPUTED_VALUE"""),"2018-2022")</f>
        <v>2018-2022</v>
      </c>
      <c r="M256" s="74" t="str">
        <f>IFERROR(__xludf.DUMMYFUNCTION("""COMPUTED_VALUE"""),"S4: Student Certifications")</f>
        <v>S4: Student Certifications</v>
      </c>
      <c r="N256" s="74" t="str">
        <f>IFERROR(__xludf.DUMMYFUNCTION("""COMPUTED_VALUE"""),"meesalaakhil2000@gmail.com")</f>
        <v>meesalaakhil2000@gmail.com</v>
      </c>
      <c r="O256" s="74" t="str">
        <f>IFERROR(__xludf.DUMMYFUNCTION("""COMPUTED_VALUE"""),"SEM-4")</f>
        <v>SEM-4</v>
      </c>
      <c r="P256" s="74"/>
      <c r="Q256" s="74"/>
      <c r="R256" s="74"/>
      <c r="S256" s="74"/>
      <c r="T256" s="74"/>
      <c r="U256" s="74"/>
      <c r="V256" s="74"/>
      <c r="W256" s="74"/>
      <c r="X256" s="74"/>
      <c r="Y256" s="74"/>
    </row>
    <row r="257" ht="26.25" customHeight="1">
      <c r="A257" s="74" t="str">
        <f>IFERROR(__xludf.DUMMYFUNCTION("""COMPUTED_VALUE"""),"Harshini jampana")</f>
        <v>Harshini jampana</v>
      </c>
      <c r="B257" s="74" t="str">
        <f>IFERROR(__xludf.DUMMYFUNCTION("""COMPUTED_VALUE"""),"18331A0561")</f>
        <v>18331A0561</v>
      </c>
      <c r="C257" s="90" t="str">
        <f>IFERROR(__xludf.DUMMYFUNCTION("""COMPUTED_VALUE"""),"Cybersecurity Essentials ")</f>
        <v>Cybersecurity Essentials </v>
      </c>
      <c r="D257" s="74" t="str">
        <f>IFERROR(__xludf.DUMMYFUNCTION("""COMPUTED_VALUE"""),"Cisco")</f>
        <v>Cisco</v>
      </c>
      <c r="E257" s="74" t="str">
        <f>IFERROR(__xludf.DUMMYFUNCTION("""COMPUTED_VALUE"""),"1 month")</f>
        <v>1 month</v>
      </c>
      <c r="F257" s="91">
        <f>IFERROR(__xludf.DUMMYFUNCTION("""COMPUTED_VALUE"""),43641.0)</f>
        <v>43641</v>
      </c>
      <c r="G257" s="91">
        <f>IFERROR(__xludf.DUMMYFUNCTION("""COMPUTED_VALUE"""),43675.0)</f>
        <v>43675</v>
      </c>
      <c r="H257" s="79">
        <f>IFERROR(__xludf.DUMMYFUNCTION("""COMPUTED_VALUE"""),43675.0)</f>
        <v>43675</v>
      </c>
      <c r="I257" s="92">
        <f>IFERROR(__xludf.DUMMYFUNCTION("""COMPUTED_VALUE"""),100.0)</f>
        <v>100</v>
      </c>
      <c r="J257" s="74" t="str">
        <f>IFERROR(__xludf.DUMMYFUNCTION("""COMPUTED_VALUE"""),"Subba Raju K V ")</f>
        <v>Subba Raju K V </v>
      </c>
      <c r="K257" s="80" t="str">
        <f>IFERROR(__xludf.DUMMYFUNCTION("""COMPUTED_VALUE"""),"https://drive.google.com/open?id=11bQE7iUqWXnUTU6vjyfJICAwQh-lTG5q")</f>
        <v>https://drive.google.com/open?id=11bQE7iUqWXnUTU6vjyfJICAwQh-lTG5q</v>
      </c>
      <c r="L257" s="74" t="str">
        <f>IFERROR(__xludf.DUMMYFUNCTION("""COMPUTED_VALUE"""),"2018-2022")</f>
        <v>2018-2022</v>
      </c>
      <c r="M257" s="74" t="str">
        <f>IFERROR(__xludf.DUMMYFUNCTION("""COMPUTED_VALUE"""),"S4: Student Certifications")</f>
        <v>S4: Student Certifications</v>
      </c>
      <c r="N257" s="74" t="str">
        <f>IFERROR(__xludf.DUMMYFUNCTION("""COMPUTED_VALUE"""),"harshini.jampana@gmail.com")</f>
        <v>harshini.jampana@gmail.com</v>
      </c>
      <c r="O257" s="74" t="str">
        <f>IFERROR(__xludf.DUMMYFUNCTION("""COMPUTED_VALUE"""),"SEM-8")</f>
        <v>SEM-8</v>
      </c>
      <c r="P257" s="74"/>
      <c r="Q257" s="74"/>
      <c r="R257" s="74"/>
      <c r="S257" s="74"/>
      <c r="T257" s="74"/>
      <c r="U257" s="74"/>
      <c r="V257" s="74"/>
      <c r="W257" s="74"/>
      <c r="X257" s="74"/>
      <c r="Y257" s="74"/>
    </row>
    <row r="258" ht="26.25" customHeight="1">
      <c r="A258" s="74" t="str">
        <f>IFERROR(__xludf.DUMMYFUNCTION("""COMPUTED_VALUE"""),"VADLAPUDI DHEERAJ KUMAR ")</f>
        <v>VADLAPUDI DHEERAJ KUMAR </v>
      </c>
      <c r="B258" s="74" t="str">
        <f>IFERROR(__xludf.DUMMYFUNCTION("""COMPUTED_VALUE"""),"18331A05G4")</f>
        <v>18331A05G4</v>
      </c>
      <c r="C258" s="90" t="str">
        <f>IFERROR(__xludf.DUMMYFUNCTION("""COMPUTED_VALUE"""),"Joy of computing in Python")</f>
        <v>Joy of computing in Python</v>
      </c>
      <c r="D258" s="74" t="str">
        <f>IFERROR(__xludf.DUMMYFUNCTION("""COMPUTED_VALUE"""),"NPTL")</f>
        <v>NPTL</v>
      </c>
      <c r="E258" s="74" t="str">
        <f>IFERROR(__xludf.DUMMYFUNCTION("""COMPUTED_VALUE"""),"12 weeks")</f>
        <v>12 weeks</v>
      </c>
      <c r="F258" s="91">
        <f>IFERROR(__xludf.DUMMYFUNCTION("""COMPUTED_VALUE"""),44197.0)</f>
        <v>44197</v>
      </c>
      <c r="G258" s="91">
        <f>IFERROR(__xludf.DUMMYFUNCTION("""COMPUTED_VALUE"""),44316.0)</f>
        <v>44316</v>
      </c>
      <c r="H258" s="79">
        <f>IFERROR(__xludf.DUMMYFUNCTION("""COMPUTED_VALUE"""),44318.0)</f>
        <v>44318</v>
      </c>
      <c r="I258" s="92">
        <f>IFERROR(__xludf.DUMMYFUNCTION("""COMPUTED_VALUE"""),77.0)</f>
        <v>77</v>
      </c>
      <c r="J258" s="74" t="str">
        <f>IFERROR(__xludf.DUMMYFUNCTION("""COMPUTED_VALUE"""),".")</f>
        <v>.</v>
      </c>
      <c r="K258" s="80" t="str">
        <f>IFERROR(__xludf.DUMMYFUNCTION("""COMPUTED_VALUE"""),"https://drive.google.com/open?id=1Un1H0AIrb1uOW-ZLxouxeSlD51o_s6yJ")</f>
        <v>https://drive.google.com/open?id=1Un1H0AIrb1uOW-ZLxouxeSlD51o_s6yJ</v>
      </c>
      <c r="L258" s="74" t="str">
        <f>IFERROR(__xludf.DUMMYFUNCTION("""COMPUTED_VALUE"""),"2018-2022")</f>
        <v>2018-2022</v>
      </c>
      <c r="M258" s="74" t="str">
        <f>IFERROR(__xludf.DUMMYFUNCTION("""COMPUTED_VALUE"""),"S4: Student Certifications")</f>
        <v>S4: Student Certifications</v>
      </c>
      <c r="N258" s="74" t="str">
        <f>IFERROR(__xludf.DUMMYFUNCTION("""COMPUTED_VALUE"""),"vdkumar1200@gmail.com")</f>
        <v>vdkumar1200@gmail.com</v>
      </c>
      <c r="O258" s="74" t="str">
        <f>IFERROR(__xludf.DUMMYFUNCTION("""COMPUTED_VALUE"""),"SEM-8")</f>
        <v>SEM-8</v>
      </c>
      <c r="P258" s="74"/>
      <c r="Q258" s="74"/>
      <c r="R258" s="74"/>
      <c r="S258" s="74"/>
      <c r="T258" s="74"/>
      <c r="U258" s="74"/>
      <c r="V258" s="74"/>
      <c r="W258" s="74"/>
      <c r="X258" s="74"/>
      <c r="Y258" s="74"/>
    </row>
    <row r="259" ht="26.25" customHeight="1">
      <c r="A259" s="74" t="str">
        <f>IFERROR(__xludf.DUMMYFUNCTION("""COMPUTED_VALUE"""),"VADLAPUDI DHEERAJ KUMAR ")</f>
        <v>VADLAPUDI DHEERAJ KUMAR </v>
      </c>
      <c r="B259" s="74" t="str">
        <f>IFERROR(__xludf.DUMMYFUNCTION("""COMPUTED_VALUE"""),"18331A05G4")</f>
        <v>18331A05G4</v>
      </c>
      <c r="C259" s="90" t="str">
        <f>IFERROR(__xludf.DUMMYFUNCTION("""COMPUTED_VALUE"""),"IoT Fundamentals: Connecting Things")</f>
        <v>IoT Fundamentals: Connecting Things</v>
      </c>
      <c r="D259" s="74" t="str">
        <f>IFERROR(__xludf.DUMMYFUNCTION("""COMPUTED_VALUE"""),"CISCO")</f>
        <v>CISCO</v>
      </c>
      <c r="E259" s="74" t="str">
        <f>IFERROR(__xludf.DUMMYFUNCTION("""COMPUTED_VALUE"""),"2 months ")</f>
        <v>2 months </v>
      </c>
      <c r="F259" s="91">
        <f>IFERROR(__xludf.DUMMYFUNCTION("""COMPUTED_VALUE"""),44136.0)</f>
        <v>44136</v>
      </c>
      <c r="G259" s="91">
        <f>IFERROR(__xludf.DUMMYFUNCTION("""COMPUTED_VALUE"""),44196.0)</f>
        <v>44196</v>
      </c>
      <c r="H259" s="79">
        <f>IFERROR(__xludf.DUMMYFUNCTION("""COMPUTED_VALUE"""),44223.0)</f>
        <v>44223</v>
      </c>
      <c r="I259" s="92">
        <f>IFERROR(__xludf.DUMMYFUNCTION("""COMPUTED_VALUE"""),80.0)</f>
        <v>80</v>
      </c>
      <c r="J259" s="74" t="str">
        <f>IFERROR(__xludf.DUMMYFUNCTION("""COMPUTED_VALUE"""),"Ravi Kiran Varma ")</f>
        <v>Ravi Kiran Varma </v>
      </c>
      <c r="K259" s="80" t="str">
        <f>IFERROR(__xludf.DUMMYFUNCTION("""COMPUTED_VALUE"""),"https://drive.google.com/open?id=11vOXoyyj2R4fsgYVAYNT-egC_Om5iX96")</f>
        <v>https://drive.google.com/open?id=11vOXoyyj2R4fsgYVAYNT-egC_Om5iX96</v>
      </c>
      <c r="L259" s="74" t="str">
        <f>IFERROR(__xludf.DUMMYFUNCTION("""COMPUTED_VALUE"""),"2018-2022")</f>
        <v>2018-2022</v>
      </c>
      <c r="M259" s="74" t="str">
        <f>IFERROR(__xludf.DUMMYFUNCTION("""COMPUTED_VALUE"""),"S4: Student Certifications")</f>
        <v>S4: Student Certifications</v>
      </c>
      <c r="N259" s="74" t="str">
        <f>IFERROR(__xludf.DUMMYFUNCTION("""COMPUTED_VALUE"""),"vdkumar1200@gmail.com")</f>
        <v>vdkumar1200@gmail.com</v>
      </c>
      <c r="O259" s="74" t="str">
        <f>IFERROR(__xludf.DUMMYFUNCTION("""COMPUTED_VALUE"""),"SEM-8")</f>
        <v>SEM-8</v>
      </c>
      <c r="P259" s="74"/>
      <c r="Q259" s="74"/>
      <c r="R259" s="74"/>
      <c r="S259" s="74"/>
      <c r="T259" s="74"/>
      <c r="U259" s="74"/>
      <c r="V259" s="74"/>
      <c r="W259" s="74"/>
      <c r="X259" s="74"/>
      <c r="Y259" s="74"/>
    </row>
    <row r="260" ht="26.25" customHeight="1">
      <c r="A260" s="74" t="str">
        <f>IFERROR(__xludf.DUMMYFUNCTION("""COMPUTED_VALUE"""),"Giduturi Sneha Latha")</f>
        <v>Giduturi Sneha Latha</v>
      </c>
      <c r="B260" s="74" t="str">
        <f>IFERROR(__xludf.DUMMYFUNCTION("""COMPUTED_VALUE"""),"18331A0547")</f>
        <v>18331A0547</v>
      </c>
      <c r="C260" s="90" t="str">
        <f>IFERROR(__xludf.DUMMYFUNCTION("""COMPUTED_VALUE"""),"C for Everyone: Programming Fundamentals")</f>
        <v>C for Everyone: Programming Fundamentals</v>
      </c>
      <c r="D260" s="74" t="str">
        <f>IFERROR(__xludf.DUMMYFUNCTION("""COMPUTED_VALUE"""),"Coursera")</f>
        <v>Coursera</v>
      </c>
      <c r="E260" s="74" t="str">
        <f>IFERROR(__xludf.DUMMYFUNCTION("""COMPUTED_VALUE"""),"1 month")</f>
        <v>1 month</v>
      </c>
      <c r="F260" s="91">
        <f>IFERROR(__xludf.DUMMYFUNCTION("""COMPUTED_VALUE"""),44075.0)</f>
        <v>44075</v>
      </c>
      <c r="G260" s="91">
        <f>IFERROR(__xludf.DUMMYFUNCTION("""COMPUTED_VALUE"""),44086.0)</f>
        <v>44086</v>
      </c>
      <c r="H260" s="79">
        <f>IFERROR(__xludf.DUMMYFUNCTION("""COMPUTED_VALUE"""),44086.0)</f>
        <v>44086</v>
      </c>
      <c r="I260" s="92"/>
      <c r="J260" s="74" t="str">
        <f>IFERROR(__xludf.DUMMYFUNCTION("""COMPUTED_VALUE"""),"-")</f>
        <v>-</v>
      </c>
      <c r="K260" s="80" t="str">
        <f>IFERROR(__xludf.DUMMYFUNCTION("""COMPUTED_VALUE"""),"https://drive.google.com/open?id=1KJE6jTvg3cwUXAjwv6DyLbIhO_2sf296")</f>
        <v>https://drive.google.com/open?id=1KJE6jTvg3cwUXAjwv6DyLbIhO_2sf296</v>
      </c>
      <c r="L260" s="74" t="str">
        <f>IFERROR(__xludf.DUMMYFUNCTION("""COMPUTED_VALUE"""),"2018-2022")</f>
        <v>2018-2022</v>
      </c>
      <c r="M260" s="74" t="str">
        <f>IFERROR(__xludf.DUMMYFUNCTION("""COMPUTED_VALUE"""),"S4: Student Certifications")</f>
        <v>S4: Student Certifications</v>
      </c>
      <c r="N260" s="74" t="str">
        <f>IFERROR(__xludf.DUMMYFUNCTION("""COMPUTED_VALUE"""),"snehalathagiduturi@gmail.com")</f>
        <v>snehalathagiduturi@gmail.com</v>
      </c>
      <c r="O260" s="74" t="str">
        <f>IFERROR(__xludf.DUMMYFUNCTION("""COMPUTED_VALUE"""),"SEM-8")</f>
        <v>SEM-8</v>
      </c>
      <c r="P260" s="74"/>
      <c r="Q260" s="74"/>
      <c r="R260" s="74"/>
      <c r="S260" s="74"/>
      <c r="T260" s="74"/>
      <c r="U260" s="74"/>
      <c r="V260" s="74"/>
      <c r="W260" s="74"/>
      <c r="X260" s="74"/>
      <c r="Y260" s="74"/>
    </row>
    <row r="261" ht="26.25" customHeight="1">
      <c r="A261" s="74" t="str">
        <f>IFERROR(__xludf.DUMMYFUNCTION("""COMPUTED_VALUE"""),"Yasaswi Dendukuri")</f>
        <v>Yasaswi Dendukuri</v>
      </c>
      <c r="B261" s="74" t="str">
        <f>IFERROR(__xludf.DUMMYFUNCTION("""COMPUTED_VALUE"""),"18331A0531")</f>
        <v>18331A0531</v>
      </c>
      <c r="C261" s="90" t="str">
        <f>IFERROR(__xludf.DUMMYFUNCTION("""COMPUTED_VALUE"""),"Javascript")</f>
        <v>Javascript</v>
      </c>
      <c r="D261" s="74" t="str">
        <f>IFERROR(__xludf.DUMMYFUNCTION("""COMPUTED_VALUE"""),"Coursera")</f>
        <v>Coursera</v>
      </c>
      <c r="E261" s="74" t="str">
        <f>IFERROR(__xludf.DUMMYFUNCTION("""COMPUTED_VALUE"""),"1 month")</f>
        <v>1 month</v>
      </c>
      <c r="F261" s="91">
        <f>IFERROR(__xludf.DUMMYFUNCTION("""COMPUTED_VALUE"""),43956.0)</f>
        <v>43956</v>
      </c>
      <c r="G261" s="91">
        <f>IFERROR(__xludf.DUMMYFUNCTION("""COMPUTED_VALUE"""),43984.0)</f>
        <v>43984</v>
      </c>
      <c r="H261" s="79">
        <f>IFERROR(__xludf.DUMMYFUNCTION("""COMPUTED_VALUE"""),43984.0)</f>
        <v>43984</v>
      </c>
      <c r="I261" s="92">
        <f>IFERROR(__xludf.DUMMYFUNCTION("""COMPUTED_VALUE"""),0.88)</f>
        <v>0.88</v>
      </c>
      <c r="J261" s="74" t="str">
        <f>IFERROR(__xludf.DUMMYFUNCTION("""COMPUTED_VALUE"""),"NA")</f>
        <v>NA</v>
      </c>
      <c r="K261" s="80" t="str">
        <f>IFERROR(__xludf.DUMMYFUNCTION("""COMPUTED_VALUE"""),"https://drive.google.com/open?id=1KmNugm_XisKqjzAylIcY0aqZxNJlRQzk")</f>
        <v>https://drive.google.com/open?id=1KmNugm_XisKqjzAylIcY0aqZxNJlRQzk</v>
      </c>
      <c r="L261" s="74" t="str">
        <f>IFERROR(__xludf.DUMMYFUNCTION("""COMPUTED_VALUE"""),"2018-2022")</f>
        <v>2018-2022</v>
      </c>
      <c r="M261" s="74" t="str">
        <f>IFERROR(__xludf.DUMMYFUNCTION("""COMPUTED_VALUE"""),"S4: Student Certifications")</f>
        <v>S4: Student Certifications</v>
      </c>
      <c r="N261" s="74" t="str">
        <f>IFERROR(__xludf.DUMMYFUNCTION("""COMPUTED_VALUE"""),"dendukuri.16@gmail.com")</f>
        <v>dendukuri.16@gmail.com</v>
      </c>
      <c r="O261" s="74" t="str">
        <f>IFERROR(__xludf.DUMMYFUNCTION("""COMPUTED_VALUE"""),"SEM-8")</f>
        <v>SEM-8</v>
      </c>
      <c r="P261" s="74"/>
      <c r="Q261" s="74"/>
      <c r="R261" s="74"/>
      <c r="S261" s="74"/>
      <c r="T261" s="74"/>
      <c r="U261" s="74"/>
      <c r="V261" s="74"/>
      <c r="W261" s="74"/>
      <c r="X261" s="74"/>
      <c r="Y261" s="74"/>
    </row>
    <row r="262" ht="26.25" customHeight="1">
      <c r="A262" s="74" t="str">
        <f>IFERROR(__xludf.DUMMYFUNCTION("""COMPUTED_VALUE"""),"Dandu Sravani ")</f>
        <v>Dandu Sravani </v>
      </c>
      <c r="B262" s="74" t="str">
        <f>IFERROR(__xludf.DUMMYFUNCTION("""COMPUTED_VALUE"""),"18331A0529")</f>
        <v>18331A0529</v>
      </c>
      <c r="C262" s="90" t="str">
        <f>IFERROR(__xludf.DUMMYFUNCTION("""COMPUTED_VALUE"""),"Coursera python for everybody")</f>
        <v>Coursera python for everybody</v>
      </c>
      <c r="D262" s="74" t="str">
        <f>IFERROR(__xludf.DUMMYFUNCTION("""COMPUTED_VALUE"""),"Coursera")</f>
        <v>Coursera</v>
      </c>
      <c r="E262" s="74" t="str">
        <f>IFERROR(__xludf.DUMMYFUNCTION("""COMPUTED_VALUE"""),"Seven weeks ")</f>
        <v>Seven weeks </v>
      </c>
      <c r="F262" s="91">
        <f>IFERROR(__xludf.DUMMYFUNCTION("""COMPUTED_VALUE"""),43914.0)</f>
        <v>43914</v>
      </c>
      <c r="G262" s="91">
        <f>IFERROR(__xludf.DUMMYFUNCTION("""COMPUTED_VALUE"""),43963.0)</f>
        <v>43963</v>
      </c>
      <c r="H262" s="79">
        <f>IFERROR(__xludf.DUMMYFUNCTION("""COMPUTED_VALUE"""),43963.0)</f>
        <v>43963</v>
      </c>
      <c r="I262" s="92">
        <f>IFERROR(__xludf.DUMMYFUNCTION("""COMPUTED_VALUE"""),0.99)</f>
        <v>0.99</v>
      </c>
      <c r="J262" s="74" t="str">
        <f>IFERROR(__xludf.DUMMYFUNCTION("""COMPUTED_VALUE"""),"P. Satheesh ")</f>
        <v>P. Satheesh </v>
      </c>
      <c r="K262" s="80" t="str">
        <f>IFERROR(__xludf.DUMMYFUNCTION("""COMPUTED_VALUE"""),"https://drive.google.com/open?id=1ToU8ynlyYDOTVYC4oabKICXuq5AnKW3p")</f>
        <v>https://drive.google.com/open?id=1ToU8ynlyYDOTVYC4oabKICXuq5AnKW3p</v>
      </c>
      <c r="L262" s="74" t="str">
        <f>IFERROR(__xludf.DUMMYFUNCTION("""COMPUTED_VALUE"""),"2018-2022")</f>
        <v>2018-2022</v>
      </c>
      <c r="M262" s="74" t="str">
        <f>IFERROR(__xludf.DUMMYFUNCTION("""COMPUTED_VALUE"""),"S4: Student Certifications")</f>
        <v>S4: Student Certifications</v>
      </c>
      <c r="N262" s="74" t="str">
        <f>IFERROR(__xludf.DUMMYFUNCTION("""COMPUTED_VALUE"""),"sravyadandu200@gmail.com")</f>
        <v>sravyadandu200@gmail.com</v>
      </c>
      <c r="O262" s="74" t="str">
        <f>IFERROR(__xludf.DUMMYFUNCTION("""COMPUTED_VALUE"""),"SEM-4")</f>
        <v>SEM-4</v>
      </c>
      <c r="P262" s="74"/>
      <c r="Q262" s="74"/>
      <c r="R262" s="74"/>
      <c r="S262" s="74"/>
      <c r="T262" s="74"/>
      <c r="U262" s="74"/>
      <c r="V262" s="74"/>
      <c r="W262" s="74"/>
      <c r="X262" s="74"/>
      <c r="Y262" s="74"/>
    </row>
    <row r="263" ht="26.25" customHeight="1">
      <c r="A263" s="74" t="str">
        <f>IFERROR(__xludf.DUMMYFUNCTION("""COMPUTED_VALUE""")," Yasaswi Dendukuri")</f>
        <v> Yasaswi Dendukuri</v>
      </c>
      <c r="B263" s="74" t="str">
        <f>IFERROR(__xludf.DUMMYFUNCTION("""COMPUTED_VALUE"""),"18331A0531")</f>
        <v>18331A0531</v>
      </c>
      <c r="C263" s="90" t="str">
        <f>IFERROR(__xludf.DUMMYFUNCTION("""COMPUTED_VALUE"""),"Html5")</f>
        <v>Html5</v>
      </c>
      <c r="D263" s="74" t="str">
        <f>IFERROR(__xludf.DUMMYFUNCTION("""COMPUTED_VALUE"""),"Coursera")</f>
        <v>Coursera</v>
      </c>
      <c r="E263" s="74" t="str">
        <f>IFERROR(__xludf.DUMMYFUNCTION("""COMPUTED_VALUE"""),"1month")</f>
        <v>1month</v>
      </c>
      <c r="F263" s="91">
        <f>IFERROR(__xludf.DUMMYFUNCTION("""COMPUTED_VALUE"""),43951.0)</f>
        <v>43951</v>
      </c>
      <c r="G263" s="91">
        <f>IFERROR(__xludf.DUMMYFUNCTION("""COMPUTED_VALUE"""),43982.0)</f>
        <v>43982</v>
      </c>
      <c r="H263" s="79">
        <f>IFERROR(__xludf.DUMMYFUNCTION("""COMPUTED_VALUE"""),43982.0)</f>
        <v>43982</v>
      </c>
      <c r="I263" s="92">
        <f>IFERROR(__xludf.DUMMYFUNCTION("""COMPUTED_VALUE"""),87.0)</f>
        <v>87</v>
      </c>
      <c r="J263" s="74" t="str">
        <f>IFERROR(__xludf.DUMMYFUNCTION("""COMPUTED_VALUE"""),"Na")</f>
        <v>Na</v>
      </c>
      <c r="K263" s="80" t="str">
        <f>IFERROR(__xludf.DUMMYFUNCTION("""COMPUTED_VALUE"""),"https://drive.google.com/open?id=1pcLpbVr2HuqKqMGYfZNDpRDZ5rGJa3qz")</f>
        <v>https://drive.google.com/open?id=1pcLpbVr2HuqKqMGYfZNDpRDZ5rGJa3qz</v>
      </c>
      <c r="L263" s="74" t="str">
        <f>IFERROR(__xludf.DUMMYFUNCTION("""COMPUTED_VALUE"""),"2018-2022")</f>
        <v>2018-2022</v>
      </c>
      <c r="M263" s="74" t="str">
        <f>IFERROR(__xludf.DUMMYFUNCTION("""COMPUTED_VALUE"""),"S4: Student Certifications")</f>
        <v>S4: Student Certifications</v>
      </c>
      <c r="N263" s="74" t="str">
        <f>IFERROR(__xludf.DUMMYFUNCTION("""COMPUTED_VALUE"""),"dendukuri.16@gmail.com")</f>
        <v>dendukuri.16@gmail.com</v>
      </c>
      <c r="O263" s="74" t="str">
        <f>IFERROR(__xludf.DUMMYFUNCTION("""COMPUTED_VALUE"""),"SEM-8")</f>
        <v>SEM-8</v>
      </c>
      <c r="P263" s="74"/>
      <c r="Q263" s="74"/>
      <c r="R263" s="74"/>
      <c r="S263" s="74"/>
      <c r="T263" s="74"/>
      <c r="U263" s="74"/>
      <c r="V263" s="74"/>
      <c r="W263" s="74"/>
      <c r="X263" s="74"/>
      <c r="Y263" s="74"/>
    </row>
    <row r="264" ht="26.25" customHeight="1">
      <c r="A264" s="74" t="str">
        <f>IFERROR(__xludf.DUMMYFUNCTION("""COMPUTED_VALUE"""),"SAI VENKATA ROHIT NAIK BHUKYA")</f>
        <v>SAI VENKATA ROHIT NAIK BHUKYA</v>
      </c>
      <c r="B264" s="74" t="str">
        <f>IFERROR(__xludf.DUMMYFUNCTION("""COMPUTED_VALUE"""),"18331A05D3")</f>
        <v>18331A05D3</v>
      </c>
      <c r="C264" s="90" t="str">
        <f>IFERROR(__xludf.DUMMYFUNCTION("""COMPUTED_VALUE"""),"Web Development ")</f>
        <v>Web Development </v>
      </c>
      <c r="D264" s="74" t="str">
        <f>IFERROR(__xludf.DUMMYFUNCTION("""COMPUTED_VALUE"""),"Coursera")</f>
        <v>Coursera</v>
      </c>
      <c r="E264" s="74" t="str">
        <f>IFERROR(__xludf.DUMMYFUNCTION("""COMPUTED_VALUE"""),"6 months ")</f>
        <v>6 months </v>
      </c>
      <c r="F264" s="91">
        <f>IFERROR(__xludf.DUMMYFUNCTION("""COMPUTED_VALUE"""),43832.0)</f>
        <v>43832</v>
      </c>
      <c r="G264" s="91">
        <f>IFERROR(__xludf.DUMMYFUNCTION("""COMPUTED_VALUE"""),43998.0)</f>
        <v>43998</v>
      </c>
      <c r="H264" s="79">
        <f>IFERROR(__xludf.DUMMYFUNCTION("""COMPUTED_VALUE"""),43994.0)</f>
        <v>43994</v>
      </c>
      <c r="I264" s="92">
        <f>IFERROR(__xludf.DUMMYFUNCTION("""COMPUTED_VALUE"""),0.85)</f>
        <v>0.85</v>
      </c>
      <c r="J264" s="74" t="str">
        <f>IFERROR(__xludf.DUMMYFUNCTION("""COMPUTED_VALUE"""),"Colleen van lent ")</f>
        <v>Colleen van lent </v>
      </c>
      <c r="K264" s="80" t="str">
        <f>IFERROR(__xludf.DUMMYFUNCTION("""COMPUTED_VALUE"""),"https://drive.google.com/open?id=1__g9ayAlDo4o5BLco3HRndl_PozQVYIF")</f>
        <v>https://drive.google.com/open?id=1__g9ayAlDo4o5BLco3HRndl_PozQVYIF</v>
      </c>
      <c r="L264" s="74" t="str">
        <f>IFERROR(__xludf.DUMMYFUNCTION("""COMPUTED_VALUE"""),"2018-2022")</f>
        <v>2018-2022</v>
      </c>
      <c r="M264" s="74" t="str">
        <f>IFERROR(__xludf.DUMMYFUNCTION("""COMPUTED_VALUE"""),"S4: Student Certifications")</f>
        <v>S4: Student Certifications</v>
      </c>
      <c r="N264" s="74" t="str">
        <f>IFERROR(__xludf.DUMMYFUNCTION("""COMPUTED_VALUE"""),"rohitbhukya@gmail.com")</f>
        <v>rohitbhukya@gmail.com</v>
      </c>
      <c r="O264" s="74" t="str">
        <f>IFERROR(__xludf.DUMMYFUNCTION("""COMPUTED_VALUE"""),"SEM-8")</f>
        <v>SEM-8</v>
      </c>
      <c r="P264" s="74"/>
      <c r="Q264" s="74"/>
      <c r="R264" s="74"/>
      <c r="S264" s="74"/>
      <c r="T264" s="74"/>
      <c r="U264" s="74"/>
      <c r="V264" s="74"/>
      <c r="W264" s="74"/>
      <c r="X264" s="74"/>
      <c r="Y264" s="74"/>
    </row>
    <row r="265" ht="26.25" customHeight="1">
      <c r="A265" s="74" t="str">
        <f>IFERROR(__xludf.DUMMYFUNCTION("""COMPUTED_VALUE"""),"Yasaswi Dendukuri")</f>
        <v>Yasaswi Dendukuri</v>
      </c>
      <c r="B265" s="74" t="str">
        <f>IFERROR(__xludf.DUMMYFUNCTION("""COMPUTED_VALUE"""),"18331A0531")</f>
        <v>18331A0531</v>
      </c>
      <c r="C265" s="90" t="str">
        <f>IFERROR(__xludf.DUMMYFUNCTION("""COMPUTED_VALUE"""),"Coursera")</f>
        <v>Coursera</v>
      </c>
      <c r="D265" s="74" t="str">
        <f>IFERROR(__xludf.DUMMYFUNCTION("""COMPUTED_VALUE"""),"Introduction to Web development")</f>
        <v>Introduction to Web development</v>
      </c>
      <c r="E265" s="74" t="str">
        <f>IFERROR(__xludf.DUMMYFUNCTION("""COMPUTED_VALUE"""),"1month")</f>
        <v>1month</v>
      </c>
      <c r="F265" s="91">
        <f>IFERROR(__xludf.DUMMYFUNCTION("""COMPUTED_VALUE"""),43951.0)</f>
        <v>43951</v>
      </c>
      <c r="G265" s="91">
        <f>IFERROR(__xludf.DUMMYFUNCTION("""COMPUTED_VALUE"""),43960.0)</f>
        <v>43960</v>
      </c>
      <c r="H265" s="79">
        <f>IFERROR(__xludf.DUMMYFUNCTION("""COMPUTED_VALUE"""),43960.0)</f>
        <v>43960</v>
      </c>
      <c r="I265" s="92">
        <f>IFERROR(__xludf.DUMMYFUNCTION("""COMPUTED_VALUE"""),80.0)</f>
        <v>80</v>
      </c>
      <c r="J265" s="74" t="str">
        <f>IFERROR(__xludf.DUMMYFUNCTION("""COMPUTED_VALUE"""),"NA")</f>
        <v>NA</v>
      </c>
      <c r="K265" s="80" t="str">
        <f>IFERROR(__xludf.DUMMYFUNCTION("""COMPUTED_VALUE"""),"https://drive.google.com/open?id=1kJPv0I6H9Kk9nyK1ZXr0M2XPCPxfRoTd")</f>
        <v>https://drive.google.com/open?id=1kJPv0I6H9Kk9nyK1ZXr0M2XPCPxfRoTd</v>
      </c>
      <c r="L265" s="74" t="str">
        <f>IFERROR(__xludf.DUMMYFUNCTION("""COMPUTED_VALUE"""),"2018-2022")</f>
        <v>2018-2022</v>
      </c>
      <c r="M265" s="74" t="str">
        <f>IFERROR(__xludf.DUMMYFUNCTION("""COMPUTED_VALUE"""),"S4: Student Certifications")</f>
        <v>S4: Student Certifications</v>
      </c>
      <c r="N265" s="74" t="str">
        <f>IFERROR(__xludf.DUMMYFUNCTION("""COMPUTED_VALUE"""),"dendukuri.16@gmail.com")</f>
        <v>dendukuri.16@gmail.com</v>
      </c>
      <c r="O265" s="74" t="str">
        <f>IFERROR(__xludf.DUMMYFUNCTION("""COMPUTED_VALUE"""),"SEM-8")</f>
        <v>SEM-8</v>
      </c>
      <c r="P265" s="74"/>
      <c r="Q265" s="74"/>
      <c r="R265" s="74"/>
      <c r="S265" s="74"/>
      <c r="T265" s="74"/>
      <c r="U265" s="74"/>
      <c r="V265" s="74"/>
      <c r="W265" s="74"/>
      <c r="X265" s="74"/>
      <c r="Y265" s="74"/>
    </row>
    <row r="266" ht="26.25" customHeight="1">
      <c r="A266" s="74" t="str">
        <f>IFERROR(__xludf.DUMMYFUNCTION("""COMPUTED_VALUE"""),"Dandu Sravani ")</f>
        <v>Dandu Sravani </v>
      </c>
      <c r="B266" s="74" t="str">
        <f>IFERROR(__xludf.DUMMYFUNCTION("""COMPUTED_VALUE"""),"18331A0529")</f>
        <v>18331A0529</v>
      </c>
      <c r="C266" s="90" t="str">
        <f>IFERROR(__xludf.DUMMYFUNCTION("""COMPUTED_VALUE"""),"Coursera introduction to html5")</f>
        <v>Coursera introduction to html5</v>
      </c>
      <c r="D266" s="74" t="str">
        <f>IFERROR(__xludf.DUMMYFUNCTION("""COMPUTED_VALUE"""),"Coursera")</f>
        <v>Coursera</v>
      </c>
      <c r="E266" s="74" t="str">
        <f>IFERROR(__xludf.DUMMYFUNCTION("""COMPUTED_VALUE"""),"Three weeks")</f>
        <v>Three weeks</v>
      </c>
      <c r="F266" s="91">
        <f>IFERROR(__xludf.DUMMYFUNCTION("""COMPUTED_VALUE"""),44639.0)</f>
        <v>44639</v>
      </c>
      <c r="G266" s="91">
        <f>IFERROR(__xludf.DUMMYFUNCTION("""COMPUTED_VALUE"""),43991.0)</f>
        <v>43991</v>
      </c>
      <c r="H266" s="79">
        <f>IFERROR(__xludf.DUMMYFUNCTION("""COMPUTED_VALUE"""),43991.0)</f>
        <v>43991</v>
      </c>
      <c r="I266" s="92">
        <f>IFERROR(__xludf.DUMMYFUNCTION("""COMPUTED_VALUE"""),0.98)</f>
        <v>0.98</v>
      </c>
      <c r="J266" s="74" t="str">
        <f>IFERROR(__xludf.DUMMYFUNCTION("""COMPUTED_VALUE"""),"P. Satheesh ")</f>
        <v>P. Satheesh </v>
      </c>
      <c r="K266" s="80" t="str">
        <f>IFERROR(__xludf.DUMMYFUNCTION("""COMPUTED_VALUE"""),"https://drive.google.com/open?id=1ywwRx2BTwuQhj21kkoPE0IoFic1e0lG4")</f>
        <v>https://drive.google.com/open?id=1ywwRx2BTwuQhj21kkoPE0IoFic1e0lG4</v>
      </c>
      <c r="L266" s="74" t="str">
        <f>IFERROR(__xludf.DUMMYFUNCTION("""COMPUTED_VALUE"""),"2018-2022")</f>
        <v>2018-2022</v>
      </c>
      <c r="M266" s="74" t="str">
        <f>IFERROR(__xludf.DUMMYFUNCTION("""COMPUTED_VALUE"""),"S4: Student Certifications")</f>
        <v>S4: Student Certifications</v>
      </c>
      <c r="N266" s="74" t="str">
        <f>IFERROR(__xludf.DUMMYFUNCTION("""COMPUTED_VALUE"""),"sravyadandu200@gmail.com")</f>
        <v>sravyadandu200@gmail.com</v>
      </c>
      <c r="O266" s="74" t="str">
        <f>IFERROR(__xludf.DUMMYFUNCTION("""COMPUTED_VALUE"""),"SEM-4")</f>
        <v>SEM-4</v>
      </c>
      <c r="P266" s="74"/>
      <c r="Q266" s="74"/>
      <c r="R266" s="74"/>
      <c r="S266" s="74"/>
      <c r="T266" s="74"/>
      <c r="U266" s="74"/>
      <c r="V266" s="74"/>
      <c r="W266" s="74"/>
      <c r="X266" s="74"/>
      <c r="Y266" s="74"/>
    </row>
    <row r="267" ht="26.25" customHeight="1">
      <c r="A267" s="74" t="str">
        <f>IFERROR(__xludf.DUMMYFUNCTION("""COMPUTED_VALUE"""),"Giduturi Sneha Latha")</f>
        <v>Giduturi Sneha Latha</v>
      </c>
      <c r="B267" s="74" t="str">
        <f>IFERROR(__xludf.DUMMYFUNCTION("""COMPUTED_VALUE"""),"18331A0547")</f>
        <v>18331A0547</v>
      </c>
      <c r="C267" s="90" t="str">
        <f>IFERROR(__xludf.DUMMYFUNCTION("""COMPUTED_VALUE"""),"Introduction to HTML5")</f>
        <v>Introduction to HTML5</v>
      </c>
      <c r="D267" s="74" t="str">
        <f>IFERROR(__xludf.DUMMYFUNCTION("""COMPUTED_VALUE"""),"Coursera")</f>
        <v>Coursera</v>
      </c>
      <c r="E267" s="74" t="str">
        <f>IFERROR(__xludf.DUMMYFUNCTION("""COMPUTED_VALUE"""),"1 month")</f>
        <v>1 month</v>
      </c>
      <c r="F267" s="91">
        <f>IFERROR(__xludf.DUMMYFUNCTION("""COMPUTED_VALUE"""),43961.0)</f>
        <v>43961</v>
      </c>
      <c r="G267" s="91">
        <f>IFERROR(__xludf.DUMMYFUNCTION("""COMPUTED_VALUE"""),43970.0)</f>
        <v>43970</v>
      </c>
      <c r="H267" s="79">
        <f>IFERROR(__xludf.DUMMYFUNCTION("""COMPUTED_VALUE"""),43970.0)</f>
        <v>43970</v>
      </c>
      <c r="I267" s="92"/>
      <c r="J267" s="74" t="str">
        <f>IFERROR(__xludf.DUMMYFUNCTION("""COMPUTED_VALUE"""),"-")</f>
        <v>-</v>
      </c>
      <c r="K267" s="80" t="str">
        <f>IFERROR(__xludf.DUMMYFUNCTION("""COMPUTED_VALUE"""),"https://drive.google.com/open?id=1JQ5wy0mFP75VcieLkSgUlKUHipxnVgZB")</f>
        <v>https://drive.google.com/open?id=1JQ5wy0mFP75VcieLkSgUlKUHipxnVgZB</v>
      </c>
      <c r="L267" s="74" t="str">
        <f>IFERROR(__xludf.DUMMYFUNCTION("""COMPUTED_VALUE"""),"2018-2022")</f>
        <v>2018-2022</v>
      </c>
      <c r="M267" s="74" t="str">
        <f>IFERROR(__xludf.DUMMYFUNCTION("""COMPUTED_VALUE"""),"S4: Student Certifications")</f>
        <v>S4: Student Certifications</v>
      </c>
      <c r="N267" s="74" t="str">
        <f>IFERROR(__xludf.DUMMYFUNCTION("""COMPUTED_VALUE"""),"snehalathagiduturi@gmail.com")</f>
        <v>snehalathagiduturi@gmail.com</v>
      </c>
      <c r="O267" s="74" t="str">
        <f>IFERROR(__xludf.DUMMYFUNCTION("""COMPUTED_VALUE"""),"SEM-8")</f>
        <v>SEM-8</v>
      </c>
      <c r="P267" s="74"/>
      <c r="Q267" s="74"/>
      <c r="R267" s="74"/>
      <c r="S267" s="74"/>
      <c r="T267" s="74"/>
      <c r="U267" s="74"/>
      <c r="V267" s="74"/>
      <c r="W267" s="74"/>
      <c r="X267" s="74"/>
      <c r="Y267" s="74"/>
    </row>
    <row r="268" ht="26.25" customHeight="1">
      <c r="A268" s="74" t="str">
        <f>IFERROR(__xludf.DUMMYFUNCTION("""COMPUTED_VALUE"""),"Dandu Sravani ")</f>
        <v>Dandu Sravani </v>
      </c>
      <c r="B268" s="74" t="str">
        <f>IFERROR(__xludf.DUMMYFUNCTION("""COMPUTED_VALUE"""),"18331A0539")</f>
        <v>18331A0539</v>
      </c>
      <c r="C268" s="90" t="str">
        <f>IFERROR(__xludf.DUMMYFUNCTION("""COMPUTED_VALUE"""),"Coursera Python Data structures ")</f>
        <v>Coursera Python Data structures </v>
      </c>
      <c r="D268" s="74" t="str">
        <f>IFERROR(__xludf.DUMMYFUNCTION("""COMPUTED_VALUE"""),"Coursera")</f>
        <v>Coursera</v>
      </c>
      <c r="E268" s="74" t="str">
        <f>IFERROR(__xludf.DUMMYFUNCTION("""COMPUTED_VALUE"""),"Seven weeks ")</f>
        <v>Seven weeks </v>
      </c>
      <c r="F268" s="91">
        <f>IFERROR(__xludf.DUMMYFUNCTION("""COMPUTED_VALUE"""),44298.0)</f>
        <v>44298</v>
      </c>
      <c r="G268" s="91">
        <f>IFERROR(__xludf.DUMMYFUNCTION("""COMPUTED_VALUE"""),44366.0)</f>
        <v>44366</v>
      </c>
      <c r="H268" s="79">
        <f>IFERROR(__xludf.DUMMYFUNCTION("""COMPUTED_VALUE"""),44366.0)</f>
        <v>44366</v>
      </c>
      <c r="I268" s="92">
        <f>IFERROR(__xludf.DUMMYFUNCTION("""COMPUTED_VALUE"""),0.99)</f>
        <v>0.99</v>
      </c>
      <c r="J268" s="74" t="str">
        <f>IFERROR(__xludf.DUMMYFUNCTION("""COMPUTED_VALUE"""),"P. Satheesh ")</f>
        <v>P. Satheesh </v>
      </c>
      <c r="K268" s="80" t="str">
        <f>IFERROR(__xludf.DUMMYFUNCTION("""COMPUTED_VALUE"""),"https://drive.google.com/open?id=1E7huDsRdgt5PdBLlOHyYPh6mOB9NeyoA")</f>
        <v>https://drive.google.com/open?id=1E7huDsRdgt5PdBLlOHyYPh6mOB9NeyoA</v>
      </c>
      <c r="L268" s="74" t="str">
        <f>IFERROR(__xludf.DUMMYFUNCTION("""COMPUTED_VALUE"""),"2018-2022")</f>
        <v>2018-2022</v>
      </c>
      <c r="M268" s="74" t="str">
        <f>IFERROR(__xludf.DUMMYFUNCTION("""COMPUTED_VALUE"""),"S4: Student Certifications")</f>
        <v>S4: Student Certifications</v>
      </c>
      <c r="N268" s="74" t="str">
        <f>IFERROR(__xludf.DUMMYFUNCTION("""COMPUTED_VALUE"""),"sravyadandu200@gmail.com")</f>
        <v>sravyadandu200@gmail.com</v>
      </c>
      <c r="O268" s="74" t="str">
        <f>IFERROR(__xludf.DUMMYFUNCTION("""COMPUTED_VALUE"""),"SEM-4")</f>
        <v>SEM-4</v>
      </c>
      <c r="P268" s="74"/>
      <c r="Q268" s="74"/>
      <c r="R268" s="74"/>
      <c r="S268" s="74"/>
      <c r="T268" s="74"/>
      <c r="U268" s="74"/>
      <c r="V268" s="74"/>
      <c r="W268" s="74"/>
      <c r="X268" s="74"/>
      <c r="Y268" s="74"/>
    </row>
    <row r="269" ht="26.25" customHeight="1">
      <c r="A269" s="74" t="str">
        <f>IFERROR(__xludf.DUMMYFUNCTION("""COMPUTED_VALUE"""),"Giduturi Sneha Latha")</f>
        <v>Giduturi Sneha Latha</v>
      </c>
      <c r="B269" s="74" t="str">
        <f>IFERROR(__xludf.DUMMYFUNCTION("""COMPUTED_VALUE"""),"18331A0547")</f>
        <v>18331A0547</v>
      </c>
      <c r="C269" s="90" t="str">
        <f>IFERROR(__xludf.DUMMYFUNCTION("""COMPUTED_VALUE"""),"Python Data Structures")</f>
        <v>Python Data Structures</v>
      </c>
      <c r="D269" s="74" t="str">
        <f>IFERROR(__xludf.DUMMYFUNCTION("""COMPUTED_VALUE"""),"coursera")</f>
        <v>coursera</v>
      </c>
      <c r="E269" s="74" t="str">
        <f>IFERROR(__xludf.DUMMYFUNCTION("""COMPUTED_VALUE"""),"1 month")</f>
        <v>1 month</v>
      </c>
      <c r="F269" s="91">
        <f>IFERROR(__xludf.DUMMYFUNCTION("""COMPUTED_VALUE"""),43914.0)</f>
        <v>43914</v>
      </c>
      <c r="G269" s="91">
        <f>IFERROR(__xludf.DUMMYFUNCTION("""COMPUTED_VALUE"""),43945.0)</f>
        <v>43945</v>
      </c>
      <c r="H269" s="79">
        <f>IFERROR(__xludf.DUMMYFUNCTION("""COMPUTED_VALUE"""),43945.0)</f>
        <v>43945</v>
      </c>
      <c r="I269" s="92"/>
      <c r="J269" s="74" t="str">
        <f>IFERROR(__xludf.DUMMYFUNCTION("""COMPUTED_VALUE"""),"-")</f>
        <v>-</v>
      </c>
      <c r="K269" s="80" t="str">
        <f>IFERROR(__xludf.DUMMYFUNCTION("""COMPUTED_VALUE"""),"https://drive.google.com/open?id=1n9PlgNueWUsKnTR51cXZAMTfxtOvAthK")</f>
        <v>https://drive.google.com/open?id=1n9PlgNueWUsKnTR51cXZAMTfxtOvAthK</v>
      </c>
      <c r="L269" s="74" t="str">
        <f>IFERROR(__xludf.DUMMYFUNCTION("""COMPUTED_VALUE"""),"2018-2022")</f>
        <v>2018-2022</v>
      </c>
      <c r="M269" s="74" t="str">
        <f>IFERROR(__xludf.DUMMYFUNCTION("""COMPUTED_VALUE"""),"S4: Student Certifications")</f>
        <v>S4: Student Certifications</v>
      </c>
      <c r="N269" s="74" t="str">
        <f>IFERROR(__xludf.DUMMYFUNCTION("""COMPUTED_VALUE"""),"snehalathagiduturi@gmail.com")</f>
        <v>snehalathagiduturi@gmail.com</v>
      </c>
      <c r="O269" s="74" t="str">
        <f>IFERROR(__xludf.DUMMYFUNCTION("""COMPUTED_VALUE"""),"SEM-8")</f>
        <v>SEM-8</v>
      </c>
      <c r="P269" s="74"/>
      <c r="Q269" s="74"/>
      <c r="R269" s="74"/>
      <c r="S269" s="74"/>
      <c r="T269" s="74"/>
      <c r="U269" s="74"/>
      <c r="V269" s="74"/>
      <c r="W269" s="74"/>
      <c r="X269" s="74"/>
      <c r="Y269" s="74"/>
    </row>
    <row r="270" ht="26.25" customHeight="1">
      <c r="A270" s="74" t="str">
        <f>IFERROR(__xludf.DUMMYFUNCTION("""COMPUTED_VALUE"""),"VADLAPUDI DHEERAJ KUMAR ")</f>
        <v>VADLAPUDI DHEERAJ KUMAR </v>
      </c>
      <c r="B270" s="74" t="str">
        <f>IFERROR(__xludf.DUMMYFUNCTION("""COMPUTED_VALUE"""),"18331A05G4")</f>
        <v>18331A05G4</v>
      </c>
      <c r="C270" s="90" t="str">
        <f>IFERROR(__xludf.DUMMYFUNCTION("""COMPUTED_VALUE"""),"CCNAv7 Introduction to Networks")</f>
        <v>CCNAv7 Introduction to Networks</v>
      </c>
      <c r="D270" s="74" t="str">
        <f>IFERROR(__xludf.DUMMYFUNCTION("""COMPUTED_VALUE"""),"CISCO")</f>
        <v>CISCO</v>
      </c>
      <c r="E270" s="74" t="str">
        <f>IFERROR(__xludf.DUMMYFUNCTION("""COMPUTED_VALUE"""),"6 months")</f>
        <v>6 months</v>
      </c>
      <c r="F270" s="91">
        <f>IFERROR(__xludf.DUMMYFUNCTION("""COMPUTED_VALUE"""),43800.0)</f>
        <v>43800</v>
      </c>
      <c r="G270" s="91">
        <f>IFERROR(__xludf.DUMMYFUNCTION("""COMPUTED_VALUE"""),43951.0)</f>
        <v>43951</v>
      </c>
      <c r="H270" s="79">
        <f>IFERROR(__xludf.DUMMYFUNCTION("""COMPUTED_VALUE"""),43967.0)</f>
        <v>43967</v>
      </c>
      <c r="I270" s="92">
        <f>IFERROR(__xludf.DUMMYFUNCTION("""COMPUTED_VALUE"""),85.0)</f>
        <v>85</v>
      </c>
      <c r="J270" s="74" t="str">
        <f>IFERROR(__xludf.DUMMYFUNCTION("""COMPUTED_VALUE"""),"Ravi Kiran Varma Penmasta ")</f>
        <v>Ravi Kiran Varma Penmasta </v>
      </c>
      <c r="K270" s="80" t="str">
        <f>IFERROR(__xludf.DUMMYFUNCTION("""COMPUTED_VALUE"""),"https://drive.google.com/open?id=1h9mBg40srAoiXjTsWHdo3xEaW2L5sHlk")</f>
        <v>https://drive.google.com/open?id=1h9mBg40srAoiXjTsWHdo3xEaW2L5sHlk</v>
      </c>
      <c r="L270" s="74" t="str">
        <f>IFERROR(__xludf.DUMMYFUNCTION("""COMPUTED_VALUE"""),"2018-2022")</f>
        <v>2018-2022</v>
      </c>
      <c r="M270" s="74" t="str">
        <f>IFERROR(__xludf.DUMMYFUNCTION("""COMPUTED_VALUE"""),"S4: Student Certifications")</f>
        <v>S4: Student Certifications</v>
      </c>
      <c r="N270" s="74" t="str">
        <f>IFERROR(__xludf.DUMMYFUNCTION("""COMPUTED_VALUE"""),"vdkumar1200@gmail.com")</f>
        <v>vdkumar1200@gmail.com</v>
      </c>
      <c r="O270" s="74" t="str">
        <f>IFERROR(__xludf.DUMMYFUNCTION("""COMPUTED_VALUE"""),"SEM-8")</f>
        <v>SEM-8</v>
      </c>
      <c r="P270" s="74"/>
      <c r="Q270" s="74"/>
      <c r="R270" s="74"/>
      <c r="S270" s="74"/>
      <c r="T270" s="74"/>
      <c r="U270" s="74"/>
      <c r="V270" s="74"/>
      <c r="W270" s="74"/>
      <c r="X270" s="74"/>
      <c r="Y270" s="74"/>
    </row>
    <row r="271" ht="26.25" customHeight="1">
      <c r="A271" s="78" t="str">
        <f>IFERROR(__xludf.DUMMYFUNCTION("""COMPUTED_VALUE"""),"K. Neelima")</f>
        <v>K. Neelima</v>
      </c>
      <c r="B271" s="78" t="str">
        <f>IFERROR(__xludf.DUMMYFUNCTION("""COMPUTED_VALUE"""),"19335A0508")</f>
        <v>19335A0508</v>
      </c>
      <c r="C271" s="93" t="str">
        <f>IFERROR(__xludf.DUMMYFUNCTION("""COMPUTED_VALUE"""),"Neural Hack2021-season 5")</f>
        <v>Neural Hack2021-season 5</v>
      </c>
      <c r="D271" s="78" t="str">
        <f>IFERROR(__xludf.DUMMYFUNCTION("""COMPUTED_VALUE"""),"Virtusa")</f>
        <v>Virtusa</v>
      </c>
      <c r="E271" s="78" t="str">
        <f>IFERROR(__xludf.DUMMYFUNCTION("""COMPUTED_VALUE"""),"1")</f>
        <v>1</v>
      </c>
      <c r="F271" s="94">
        <f>IFERROR(__xludf.DUMMYFUNCTION("""COMPUTED_VALUE"""),44489.0)</f>
        <v>44489</v>
      </c>
      <c r="G271" s="94">
        <f>IFERROR(__xludf.DUMMYFUNCTION("""COMPUTED_VALUE"""),44489.0)</f>
        <v>44489</v>
      </c>
      <c r="H271" s="84">
        <f>IFERROR(__xludf.DUMMYFUNCTION("""COMPUTED_VALUE"""),44489.0)</f>
        <v>44489</v>
      </c>
      <c r="I271" s="95">
        <f>IFERROR(__xludf.DUMMYFUNCTION("""COMPUTED_VALUE"""),100.0)</f>
        <v>100</v>
      </c>
      <c r="J271" s="78" t="str">
        <f>IFERROR(__xludf.DUMMYFUNCTION("""COMPUTED_VALUE"""),"Team Virtusa")</f>
        <v>Team Virtusa</v>
      </c>
      <c r="K271" s="85" t="str">
        <f>IFERROR(__xludf.DUMMYFUNCTION("""COMPUTED_VALUE"""),"https://drive.google.com/open?id=19jrZAI10BQmb-sfpxY5DRbl_KKgFEZOd")</f>
        <v>https://drive.google.com/open?id=19jrZAI10BQmb-sfpxY5DRbl_KKgFEZOd</v>
      </c>
      <c r="L271" s="78" t="str">
        <f>IFERROR(__xludf.DUMMYFUNCTION("""COMPUTED_VALUE"""),"2018-2022")</f>
        <v>2018-2022</v>
      </c>
      <c r="M271" s="78" t="str">
        <f>IFERROR(__xludf.DUMMYFUNCTION("""COMPUTED_VALUE"""),"S4: Student Certifications")</f>
        <v>S4: Student Certifications</v>
      </c>
      <c r="N271" s="78" t="str">
        <f>IFERROR(__xludf.DUMMYFUNCTION("""COMPUTED_VALUE"""),"kneelima2001@gmail.com")</f>
        <v>kneelima2001@gmail.com</v>
      </c>
      <c r="O271" s="78" t="str">
        <f>IFERROR(__xludf.DUMMYFUNCTION("""COMPUTED_VALUE"""),"SEM-6")</f>
        <v>SEM-6</v>
      </c>
      <c r="P271" s="78"/>
      <c r="Q271" s="78"/>
      <c r="R271" s="78"/>
      <c r="S271" s="78"/>
      <c r="T271" s="78"/>
      <c r="U271" s="78"/>
      <c r="V271" s="78"/>
      <c r="W271" s="78"/>
      <c r="X271" s="78"/>
      <c r="Y271" s="78"/>
    </row>
    <row r="272" ht="26.25" customHeight="1">
      <c r="A272" s="74" t="str">
        <f>IFERROR(__xludf.DUMMYFUNCTION("""COMPUTED_VALUE"""),"VADLAPUDI DHEERAJ KUMAR ")</f>
        <v>VADLAPUDI DHEERAJ KUMAR </v>
      </c>
      <c r="B272" s="74" t="str">
        <f>IFERROR(__xludf.DUMMYFUNCTION("""COMPUTED_VALUE"""),"18331A05G4")</f>
        <v>18331A05G4</v>
      </c>
      <c r="C272" s="90" t="str">
        <f>IFERROR(__xludf.DUMMYFUNCTION("""COMPUTED_VALUE"""),"CCNAv7: Switching, Routing and Wireless Essentials")</f>
        <v>CCNAv7: Switching, Routing and Wireless Essentials</v>
      </c>
      <c r="D272" s="74" t="str">
        <f>IFERROR(__xludf.DUMMYFUNCTION("""COMPUTED_VALUE"""),"CISCO")</f>
        <v>CISCO</v>
      </c>
      <c r="E272" s="74" t="str">
        <f>IFERROR(__xludf.DUMMYFUNCTION("""COMPUTED_VALUE"""),"6 months")</f>
        <v>6 months</v>
      </c>
      <c r="F272" s="91">
        <f>IFERROR(__xludf.DUMMYFUNCTION("""COMPUTED_VALUE"""),43800.0)</f>
        <v>43800</v>
      </c>
      <c r="G272" s="91">
        <f>IFERROR(__xludf.DUMMYFUNCTION("""COMPUTED_VALUE"""),43982.0)</f>
        <v>43982</v>
      </c>
      <c r="H272" s="79">
        <f>IFERROR(__xludf.DUMMYFUNCTION("""COMPUTED_VALUE"""),43990.0)</f>
        <v>43990</v>
      </c>
      <c r="I272" s="92">
        <f>IFERROR(__xludf.DUMMYFUNCTION("""COMPUTED_VALUE"""),80.0)</f>
        <v>80</v>
      </c>
      <c r="J272" s="74" t="str">
        <f>IFERROR(__xludf.DUMMYFUNCTION("""COMPUTED_VALUE"""),"Ravi Kiran Varma Penmasta ")</f>
        <v>Ravi Kiran Varma Penmasta </v>
      </c>
      <c r="K272" s="80" t="str">
        <f>IFERROR(__xludf.DUMMYFUNCTION("""COMPUTED_VALUE"""),"https://drive.google.com/open?id=1tDOHp__OtFWbzJDmUCm6oh-7tDAAm6WE")</f>
        <v>https://drive.google.com/open?id=1tDOHp__OtFWbzJDmUCm6oh-7tDAAm6WE</v>
      </c>
      <c r="L272" s="74" t="str">
        <f>IFERROR(__xludf.DUMMYFUNCTION("""COMPUTED_VALUE"""),"2018-2022")</f>
        <v>2018-2022</v>
      </c>
      <c r="M272" s="74" t="str">
        <f>IFERROR(__xludf.DUMMYFUNCTION("""COMPUTED_VALUE"""),"S4: Student Certifications")</f>
        <v>S4: Student Certifications</v>
      </c>
      <c r="N272" s="74" t="str">
        <f>IFERROR(__xludf.DUMMYFUNCTION("""COMPUTED_VALUE"""),"vdkumar1200@gmail.com")</f>
        <v>vdkumar1200@gmail.com</v>
      </c>
      <c r="O272" s="74" t="str">
        <f>IFERROR(__xludf.DUMMYFUNCTION("""COMPUTED_VALUE"""),"SEM-8")</f>
        <v>SEM-8</v>
      </c>
      <c r="P272" s="74"/>
      <c r="Q272" s="74"/>
      <c r="R272" s="74"/>
      <c r="S272" s="74"/>
      <c r="T272" s="74"/>
      <c r="U272" s="74"/>
      <c r="V272" s="74"/>
      <c r="W272" s="74"/>
      <c r="X272" s="74"/>
      <c r="Y272" s="74"/>
    </row>
    <row r="273" ht="26.25" customHeight="1">
      <c r="A273" s="78" t="str">
        <f>IFERROR(__xludf.DUMMYFUNCTION("""COMPUTED_VALUE"""),"NEELAPU MANISH REDDY")</f>
        <v>NEELAPU MANISH REDDY</v>
      </c>
      <c r="B273" s="78" t="str">
        <f>IFERROR(__xludf.DUMMYFUNCTION("""COMPUTED_VALUE"""),"18331A05B2")</f>
        <v>18331A05B2</v>
      </c>
      <c r="C273" s="93" t="str">
        <f>IFERROR(__xludf.DUMMYFUNCTION("""COMPUTED_VALUE"""),"Internship ")</f>
        <v>Internship </v>
      </c>
      <c r="D273" s="78" t="str">
        <f>IFERROR(__xludf.DUMMYFUNCTION("""COMPUTED_VALUE"""),"1stop ")</f>
        <v>1stop </v>
      </c>
      <c r="E273" s="78" t="str">
        <f>IFERROR(__xludf.DUMMYFUNCTION("""COMPUTED_VALUE"""),"3 months")</f>
        <v>3 months</v>
      </c>
      <c r="F273" s="94">
        <f>IFERROR(__xludf.DUMMYFUNCTION("""COMPUTED_VALUE"""),44722.0)</f>
        <v>44722</v>
      </c>
      <c r="G273" s="94">
        <f>IFERROR(__xludf.DUMMYFUNCTION("""COMPUTED_VALUE"""),44783.0)</f>
        <v>44783</v>
      </c>
      <c r="H273" s="84">
        <f>IFERROR(__xludf.DUMMYFUNCTION("""COMPUTED_VALUE"""),44672.0)</f>
        <v>44672</v>
      </c>
      <c r="I273" s="95">
        <f>IFERROR(__xludf.DUMMYFUNCTION("""COMPUTED_VALUE"""),100.0)</f>
        <v>100</v>
      </c>
      <c r="J273" s="78" t="str">
        <f>IFERROR(__xludf.DUMMYFUNCTION("""COMPUTED_VALUE"""),"Megha singh")</f>
        <v>Megha singh</v>
      </c>
      <c r="K273" s="85" t="str">
        <f>IFERROR(__xludf.DUMMYFUNCTION("""COMPUTED_VALUE"""),"https://drive.google.com/open?id=1a89jgZ_mpPNAvxA-fn3pEpDnpQyYxyZM")</f>
        <v>https://drive.google.com/open?id=1a89jgZ_mpPNAvxA-fn3pEpDnpQyYxyZM</v>
      </c>
      <c r="L273" s="78" t="str">
        <f>IFERROR(__xludf.DUMMYFUNCTION("""COMPUTED_VALUE"""),"2018-2022")</f>
        <v>2018-2022</v>
      </c>
      <c r="M273" s="78" t="str">
        <f>IFERROR(__xludf.DUMMYFUNCTION("""COMPUTED_VALUE"""),"S4: Student Certifications")</f>
        <v>S4: Student Certifications</v>
      </c>
      <c r="N273" s="78" t="str">
        <f>IFERROR(__xludf.DUMMYFUNCTION("""COMPUTED_VALUE"""),"manish18200011@gmail.com")</f>
        <v>manish18200011@gmail.com</v>
      </c>
      <c r="O273" s="78" t="str">
        <f>IFERROR(__xludf.DUMMYFUNCTION("""COMPUTED_VALUE"""),"SEM-8")</f>
        <v>SEM-8</v>
      </c>
      <c r="P273" s="78"/>
      <c r="Q273" s="78"/>
      <c r="R273" s="78"/>
      <c r="S273" s="78"/>
      <c r="T273" s="78"/>
      <c r="U273" s="78"/>
      <c r="V273" s="78"/>
      <c r="W273" s="78"/>
      <c r="X273" s="78"/>
      <c r="Y273" s="78"/>
    </row>
    <row r="274" ht="26.25" customHeight="1">
      <c r="A274" s="74" t="str">
        <f>IFERROR(__xludf.DUMMYFUNCTION("""COMPUTED_VALUE"""),"KADAGALA RAVIKUAMR")</f>
        <v>KADAGALA RAVIKUAMR</v>
      </c>
      <c r="B274" s="74" t="str">
        <f>IFERROR(__xludf.DUMMYFUNCTION("""COMPUTED_VALUE"""),"19335A0506")</f>
        <v>19335A0506</v>
      </c>
      <c r="C274" s="90" t="str">
        <f>IFERROR(__xludf.DUMMYFUNCTION("""COMPUTED_VALUE"""),"PALO ALTO ON CYBER SECURITY")</f>
        <v>PALO ALTO ON CYBER SECURITY</v>
      </c>
      <c r="D274" s="74" t="str">
        <f>IFERROR(__xludf.DUMMYFUNCTION("""COMPUTED_VALUE"""),"PALO ALTO NETWORKS")</f>
        <v>PALO ALTO NETWORKS</v>
      </c>
      <c r="E274" s="74" t="str">
        <f>IFERROR(__xludf.DUMMYFUNCTION("""COMPUTED_VALUE"""),"2 MONTHS")</f>
        <v>2 MONTHS</v>
      </c>
      <c r="F274" s="91">
        <f>IFERROR(__xludf.DUMMYFUNCTION("""COMPUTED_VALUE"""),44317.0)</f>
        <v>44317</v>
      </c>
      <c r="G274" s="91">
        <f>IFERROR(__xludf.DUMMYFUNCTION("""COMPUTED_VALUE"""),44401.0)</f>
        <v>44401</v>
      </c>
      <c r="H274" s="79">
        <f>IFERROR(__xludf.DUMMYFUNCTION("""COMPUTED_VALUE"""),44354.0)</f>
        <v>44354</v>
      </c>
      <c r="I274" s="92">
        <f>IFERROR(__xludf.DUMMYFUNCTION("""COMPUTED_VALUE"""),85.0)</f>
        <v>85</v>
      </c>
      <c r="J274" s="74" t="str">
        <f>IFERROR(__xludf.DUMMYFUNCTION("""COMPUTED_VALUE"""),"RAVI KIRAN VARMA P")</f>
        <v>RAVI KIRAN VARMA P</v>
      </c>
      <c r="K274" s="80" t="str">
        <f>IFERROR(__xludf.DUMMYFUNCTION("""COMPUTED_VALUE"""),"https://drive.google.com/open?id=1Oa6VnPsSdeAhKvr7XSPH2ZBfnjOkfsDN")</f>
        <v>https://drive.google.com/open?id=1Oa6VnPsSdeAhKvr7XSPH2ZBfnjOkfsDN</v>
      </c>
      <c r="L274" s="74" t="str">
        <f>IFERROR(__xludf.DUMMYFUNCTION("""COMPUTED_VALUE"""),"2018-2022")</f>
        <v>2018-2022</v>
      </c>
      <c r="M274" s="74" t="str">
        <f>IFERROR(__xludf.DUMMYFUNCTION("""COMPUTED_VALUE"""),"S4: Student Certifications")</f>
        <v>S4: Student Certifications</v>
      </c>
      <c r="N274" s="74" t="str">
        <f>IFERROR(__xludf.DUMMYFUNCTION("""COMPUTED_VALUE"""),"ravikadagala9494@gmail.com")</f>
        <v>ravikadagala9494@gmail.com</v>
      </c>
      <c r="O274" s="74" t="str">
        <f>IFERROR(__xludf.DUMMYFUNCTION("""COMPUTED_VALUE"""),"SEM-6")</f>
        <v>SEM-6</v>
      </c>
      <c r="P274" s="74"/>
      <c r="Q274" s="74"/>
      <c r="R274" s="74"/>
      <c r="S274" s="74"/>
      <c r="T274" s="74"/>
      <c r="U274" s="74"/>
      <c r="V274" s="74"/>
      <c r="W274" s="74"/>
      <c r="X274" s="74"/>
      <c r="Y274" s="74"/>
    </row>
    <row r="275" ht="26.25" customHeight="1">
      <c r="A275" s="74" t="str">
        <f>IFERROR(__xludf.DUMMYFUNCTION("""COMPUTED_VALUE"""),"VADLAPUDI DHEERAJ KUMAR ")</f>
        <v>VADLAPUDI DHEERAJ KUMAR </v>
      </c>
      <c r="B275" s="74" t="str">
        <f>IFERROR(__xludf.DUMMYFUNCTION("""COMPUTED_VALUE"""),"18331A05G4")</f>
        <v>18331A05G4</v>
      </c>
      <c r="C275" s="90" t="str">
        <f>IFERROR(__xludf.DUMMYFUNCTION("""COMPUTED_VALUE"""),"CCNAv7: Enterprise Networking, Security and Automation ")</f>
        <v>CCNAv7: Enterprise Networking, Security and Automation </v>
      </c>
      <c r="D275" s="74" t="str">
        <f>IFERROR(__xludf.DUMMYFUNCTION("""COMPUTED_VALUE"""),"CISCO")</f>
        <v>CISCO</v>
      </c>
      <c r="E275" s="74" t="str">
        <f>IFERROR(__xludf.DUMMYFUNCTION("""COMPUTED_VALUE"""),"6 months")</f>
        <v>6 months</v>
      </c>
      <c r="F275" s="91">
        <f>IFERROR(__xludf.DUMMYFUNCTION("""COMPUTED_VALUE"""),43831.0)</f>
        <v>43831</v>
      </c>
      <c r="G275" s="91">
        <f>IFERROR(__xludf.DUMMYFUNCTION("""COMPUTED_VALUE"""),44012.0)</f>
        <v>44012</v>
      </c>
      <c r="H275" s="79">
        <f>IFERROR(__xludf.DUMMYFUNCTION("""COMPUTED_VALUE"""),43995.0)</f>
        <v>43995</v>
      </c>
      <c r="I275" s="92">
        <f>IFERROR(__xludf.DUMMYFUNCTION("""COMPUTED_VALUE"""),87.0)</f>
        <v>87</v>
      </c>
      <c r="J275" s="74" t="str">
        <f>IFERROR(__xludf.DUMMYFUNCTION("""COMPUTED_VALUE"""),"Ravi Kiran Varma Penmasta ")</f>
        <v>Ravi Kiran Varma Penmasta </v>
      </c>
      <c r="K275" s="80" t="str">
        <f>IFERROR(__xludf.DUMMYFUNCTION("""COMPUTED_VALUE"""),"https://drive.google.com/open?id=119hO-WqLyV7FzJ2-_hIX5dSvmZUDHsU-")</f>
        <v>https://drive.google.com/open?id=119hO-WqLyV7FzJ2-_hIX5dSvmZUDHsU-</v>
      </c>
      <c r="L275" s="74" t="str">
        <f>IFERROR(__xludf.DUMMYFUNCTION("""COMPUTED_VALUE"""),"2018-2022")</f>
        <v>2018-2022</v>
      </c>
      <c r="M275" s="74" t="str">
        <f>IFERROR(__xludf.DUMMYFUNCTION("""COMPUTED_VALUE"""),"S4: Student Certifications")</f>
        <v>S4: Student Certifications</v>
      </c>
      <c r="N275" s="74" t="str">
        <f>IFERROR(__xludf.DUMMYFUNCTION("""COMPUTED_VALUE"""),"vdkumar1200@gmail.com")</f>
        <v>vdkumar1200@gmail.com</v>
      </c>
      <c r="O275" s="74" t="str">
        <f>IFERROR(__xludf.DUMMYFUNCTION("""COMPUTED_VALUE"""),"SEM-8")</f>
        <v>SEM-8</v>
      </c>
      <c r="P275" s="74"/>
      <c r="Q275" s="74"/>
      <c r="R275" s="74"/>
      <c r="S275" s="74"/>
      <c r="T275" s="74"/>
      <c r="U275" s="74"/>
      <c r="V275" s="74"/>
      <c r="W275" s="74"/>
      <c r="X275" s="74"/>
      <c r="Y275" s="74"/>
    </row>
    <row r="276" ht="49.5" customHeight="1">
      <c r="A276" s="74" t="str">
        <f>IFERROR(__xludf.DUMMYFUNCTION("""COMPUTED_VALUE"""),"Mummudivarapu Narendra")</f>
        <v>Mummudivarapu Narendra</v>
      </c>
      <c r="B276" s="74" t="str">
        <f>IFERROR(__xludf.DUMMYFUNCTION("""COMPUTED_VALUE"""),"19335A0511")</f>
        <v>19335A0511</v>
      </c>
      <c r="C276" s="90" t="str">
        <f>IFERROR(__xludf.DUMMYFUNCTION("""COMPUTED_VALUE"""),"Programming for Everybody (Getting Started with Python), University of Michigan in  Coursera • Python Data Structures, University of Michigan in Coursera • AI For Everyone, DeepLearning.AI in Coursera • What is Data Science? IBM in Coursera, COVID19 Data "&amp;"Analysis Using Python")</f>
        <v>Programming for Everybody (Getting Started with Python), University of Michigan in  Coursera • Python Data Structures, University of Michigan in Coursera • AI For Everyone, DeepLearning.AI in Coursera • What is Data Science? IBM in Coursera, COVID19 Data Analysis Using Python</v>
      </c>
      <c r="D276" s="74" t="str">
        <f>IFERROR(__xludf.DUMMYFUNCTION("""COMPUTED_VALUE"""),"Coursera ")</f>
        <v>Coursera </v>
      </c>
      <c r="E276" s="74" t="str">
        <f>IFERROR(__xludf.DUMMYFUNCTION("""COMPUTED_VALUE"""),"3 months")</f>
        <v>3 months</v>
      </c>
      <c r="F276" s="91">
        <f>IFERROR(__xludf.DUMMYFUNCTION("""COMPUTED_VALUE"""),43942.0)</f>
        <v>43942</v>
      </c>
      <c r="G276" s="91">
        <f>IFERROR(__xludf.DUMMYFUNCTION("""COMPUTED_VALUE"""),43982.0)</f>
        <v>43982</v>
      </c>
      <c r="H276" s="79">
        <f>IFERROR(__xludf.DUMMYFUNCTION("""COMPUTED_VALUE"""),43982.0)</f>
        <v>43982</v>
      </c>
      <c r="I276" s="92"/>
      <c r="J276" s="74" t="str">
        <f>IFERROR(__xludf.DUMMYFUNCTION("""COMPUTED_VALUE"""),"NO")</f>
        <v>NO</v>
      </c>
      <c r="K276" s="80" t="str">
        <f>IFERROR(__xludf.DUMMYFUNCTION("""COMPUTED_VALUE"""),"https://drive.google.com/open?id=1I6zZ9K06c1wCT1L431NBOjkohm3g5IhF")</f>
        <v>https://drive.google.com/open?id=1I6zZ9K06c1wCT1L431NBOjkohm3g5IhF</v>
      </c>
      <c r="L276" s="74" t="str">
        <f>IFERROR(__xludf.DUMMYFUNCTION("""COMPUTED_VALUE"""),"2018-2022")</f>
        <v>2018-2022</v>
      </c>
      <c r="M276" s="74" t="str">
        <f>IFERROR(__xludf.DUMMYFUNCTION("""COMPUTED_VALUE"""),"S4: Student Certifications")</f>
        <v>S4: Student Certifications</v>
      </c>
      <c r="N276" s="74" t="str">
        <f>IFERROR(__xludf.DUMMYFUNCTION("""COMPUTED_VALUE"""),"shanmukhanarendra3@gmail.com")</f>
        <v>shanmukhanarendra3@gmail.com</v>
      </c>
      <c r="O276" s="74" t="str">
        <f>IFERROR(__xludf.DUMMYFUNCTION("""COMPUTED_VALUE"""),"SEM-8")</f>
        <v>SEM-8</v>
      </c>
      <c r="P276" s="74"/>
      <c r="Q276" s="74"/>
      <c r="R276" s="74"/>
      <c r="S276" s="74"/>
      <c r="T276" s="74"/>
      <c r="U276" s="74"/>
      <c r="V276" s="74"/>
      <c r="W276" s="74"/>
      <c r="X276" s="74"/>
      <c r="Y276" s="74"/>
    </row>
    <row r="277" ht="26.25" customHeight="1">
      <c r="A277" s="74" t="str">
        <f>IFERROR(__xludf.DUMMYFUNCTION("""COMPUTED_VALUE"""),"SANAPALA SAI NEERAJ")</f>
        <v>SANAPALA SAI NEERAJ</v>
      </c>
      <c r="B277" s="74" t="str">
        <f>IFERROR(__xludf.DUMMYFUNCTION("""COMPUTED_VALUE"""),"18331A05D6")</f>
        <v>18331A05D6</v>
      </c>
      <c r="C277" s="90" t="str">
        <f>IFERROR(__xludf.DUMMYFUNCTION("""COMPUTED_VALUE"""),"Cisco - c programming essentials")</f>
        <v>Cisco - c programming essentials</v>
      </c>
      <c r="D277" s="74" t="str">
        <f>IFERROR(__xludf.DUMMYFUNCTION("""COMPUTED_VALUE"""),"CISCO")</f>
        <v>CISCO</v>
      </c>
      <c r="E277" s="74" t="str">
        <f>IFERROR(__xludf.DUMMYFUNCTION("""COMPUTED_VALUE"""),"70 days")</f>
        <v>70 days</v>
      </c>
      <c r="F277" s="91">
        <f>IFERROR(__xludf.DUMMYFUNCTION("""COMPUTED_VALUE"""),43506.0)</f>
        <v>43506</v>
      </c>
      <c r="G277" s="91">
        <f>IFERROR(__xludf.DUMMYFUNCTION("""COMPUTED_VALUE"""),43585.0)</f>
        <v>43585</v>
      </c>
      <c r="H277" s="79">
        <f>IFERROR(__xludf.DUMMYFUNCTION("""COMPUTED_VALUE"""),43570.0)</f>
        <v>43570</v>
      </c>
      <c r="I277" s="92"/>
      <c r="J277" s="74" t="str">
        <f>IFERROR(__xludf.DUMMYFUNCTION("""COMPUTED_VALUE"""),"RAVI KIRAN  VARMA PENMATSA")</f>
        <v>RAVI KIRAN  VARMA PENMATSA</v>
      </c>
      <c r="K277" s="80" t="str">
        <f>IFERROR(__xludf.DUMMYFUNCTION("""COMPUTED_VALUE"""),"https://drive.google.com/open?id=1T_NXKMeQmB7MiH4olcxYiiU7HYwI_m2z")</f>
        <v>https://drive.google.com/open?id=1T_NXKMeQmB7MiH4olcxYiiU7HYwI_m2z</v>
      </c>
      <c r="L277" s="74" t="str">
        <f>IFERROR(__xludf.DUMMYFUNCTION("""COMPUTED_VALUE"""),"2018-2022")</f>
        <v>2018-2022</v>
      </c>
      <c r="M277" s="74" t="str">
        <f>IFERROR(__xludf.DUMMYFUNCTION("""COMPUTED_VALUE"""),"S4: Student Certifications")</f>
        <v>S4: Student Certifications</v>
      </c>
      <c r="N277" s="74" t="str">
        <f>IFERROR(__xludf.DUMMYFUNCTION("""COMPUTED_VALUE"""),"sanapala.saineeraj4000@gmail.com")</f>
        <v>sanapala.saineeraj4000@gmail.com</v>
      </c>
      <c r="O277" s="74" t="str">
        <f>IFERROR(__xludf.DUMMYFUNCTION("""COMPUTED_VALUE"""),"SEM-2")</f>
        <v>SEM-2</v>
      </c>
      <c r="P277" s="74"/>
      <c r="Q277" s="74"/>
      <c r="R277" s="74"/>
      <c r="S277" s="74"/>
      <c r="T277" s="74"/>
      <c r="U277" s="74"/>
      <c r="V277" s="74"/>
      <c r="W277" s="74"/>
      <c r="X277" s="74"/>
      <c r="Y277" s="74"/>
    </row>
    <row r="278" ht="26.25" customHeight="1">
      <c r="A278" s="74" t="str">
        <f>IFERROR(__xludf.DUMMYFUNCTION("""COMPUTED_VALUE"""),"KADAGALA RAVIKUAMR")</f>
        <v>KADAGALA RAVIKUAMR</v>
      </c>
      <c r="B278" s="74" t="str">
        <f>IFERROR(__xludf.DUMMYFUNCTION("""COMPUTED_VALUE"""),"19335A0506")</f>
        <v>19335A0506</v>
      </c>
      <c r="C278" s="90" t="str">
        <f>IFERROR(__xludf.DUMMYFUNCTION("""COMPUTED_VALUE"""),"Programming Essentials in Python")</f>
        <v>Programming Essentials in Python</v>
      </c>
      <c r="D278" s="74" t="str">
        <f>IFERROR(__xludf.DUMMYFUNCTION("""COMPUTED_VALUE"""),"CISCO")</f>
        <v>CISCO</v>
      </c>
      <c r="E278" s="74" t="str">
        <f>IFERROR(__xludf.DUMMYFUNCTION("""COMPUTED_VALUE"""),"2 MONTHS")</f>
        <v>2 MONTHS</v>
      </c>
      <c r="F278" s="91">
        <f>IFERROR(__xludf.DUMMYFUNCTION("""COMPUTED_VALUE"""),44317.0)</f>
        <v>44317</v>
      </c>
      <c r="G278" s="91">
        <f>IFERROR(__xludf.DUMMYFUNCTION("""COMPUTED_VALUE"""),44376.0)</f>
        <v>44376</v>
      </c>
      <c r="H278" s="79">
        <f>IFERROR(__xludf.DUMMYFUNCTION("""COMPUTED_VALUE"""),44379.0)</f>
        <v>44379</v>
      </c>
      <c r="I278" s="92">
        <f>IFERROR(__xludf.DUMMYFUNCTION("""COMPUTED_VALUE"""),96.0)</f>
        <v>96</v>
      </c>
      <c r="J278" s="74" t="str">
        <f>IFERROR(__xludf.DUMMYFUNCTION("""COMPUTED_VALUE"""),"SUBBA RAJU K V")</f>
        <v>SUBBA RAJU K V</v>
      </c>
      <c r="K278" s="80" t="str">
        <f>IFERROR(__xludf.DUMMYFUNCTION("""COMPUTED_VALUE"""),"https://drive.google.com/open?id=1bJOZk-Z-twZuGoL4UVAoKmqU_iTREof7")</f>
        <v>https://drive.google.com/open?id=1bJOZk-Z-twZuGoL4UVAoKmqU_iTREof7</v>
      </c>
      <c r="L278" s="74" t="str">
        <f>IFERROR(__xludf.DUMMYFUNCTION("""COMPUTED_VALUE"""),"2018-2022")</f>
        <v>2018-2022</v>
      </c>
      <c r="M278" s="74" t="str">
        <f>IFERROR(__xludf.DUMMYFUNCTION("""COMPUTED_VALUE"""),"S4: Student Certifications")</f>
        <v>S4: Student Certifications</v>
      </c>
      <c r="N278" s="74" t="str">
        <f>IFERROR(__xludf.DUMMYFUNCTION("""COMPUTED_VALUE"""),"ravikadagala9494@gmail.com")</f>
        <v>ravikadagala9494@gmail.com</v>
      </c>
      <c r="O278" s="74" t="str">
        <f>IFERROR(__xludf.DUMMYFUNCTION("""COMPUTED_VALUE"""),"SEM-6")</f>
        <v>SEM-6</v>
      </c>
      <c r="P278" s="74"/>
      <c r="Q278" s="74"/>
      <c r="R278" s="74"/>
      <c r="S278" s="74"/>
      <c r="T278" s="74"/>
      <c r="U278" s="74"/>
      <c r="V278" s="74"/>
      <c r="W278" s="74"/>
      <c r="X278" s="74"/>
      <c r="Y278" s="74"/>
    </row>
    <row r="279" ht="26.25" customHeight="1">
      <c r="A279" s="74" t="str">
        <f>IFERROR(__xludf.DUMMYFUNCTION("""COMPUTED_VALUE"""),"KADAGALA RAVIKUAMR")</f>
        <v>KADAGALA RAVIKUAMR</v>
      </c>
      <c r="B279" s="74" t="str">
        <f>IFERROR(__xludf.DUMMYFUNCTION("""COMPUTED_VALUE"""),"19335A0506")</f>
        <v>19335A0506</v>
      </c>
      <c r="C279" s="90" t="str">
        <f>IFERROR(__xludf.DUMMYFUNCTION("""COMPUTED_VALUE"""),"What is Data Science")</f>
        <v>What is Data Science</v>
      </c>
      <c r="D279" s="74" t="str">
        <f>IFERROR(__xludf.DUMMYFUNCTION("""COMPUTED_VALUE"""),"COURSERA")</f>
        <v>COURSERA</v>
      </c>
      <c r="E279" s="74" t="str">
        <f>IFERROR(__xludf.DUMMYFUNCTION("""COMPUTED_VALUE"""),"2 MONTHS")</f>
        <v>2 MONTHS</v>
      </c>
      <c r="F279" s="91">
        <f>IFERROR(__xludf.DUMMYFUNCTION("""COMPUTED_VALUE"""),43922.0)</f>
        <v>43922</v>
      </c>
      <c r="G279" s="91">
        <f>IFERROR(__xludf.DUMMYFUNCTION("""COMPUTED_VALUE"""),43984.0)</f>
        <v>43984</v>
      </c>
      <c r="H279" s="79">
        <f>IFERROR(__xludf.DUMMYFUNCTION("""COMPUTED_VALUE"""),43985.0)</f>
        <v>43985</v>
      </c>
      <c r="I279" s="92">
        <f>IFERROR(__xludf.DUMMYFUNCTION("""COMPUTED_VALUE"""),90.0)</f>
        <v>90</v>
      </c>
      <c r="J279" s="74" t="str">
        <f>IFERROR(__xludf.DUMMYFUNCTION("""COMPUTED_VALUE"""),".")</f>
        <v>.</v>
      </c>
      <c r="K279" s="80" t="str">
        <f>IFERROR(__xludf.DUMMYFUNCTION("""COMPUTED_VALUE"""),"https://drive.google.com/open?id=1iix9taZqOSqzBb3UlKmCC1uecq-qn_xj")</f>
        <v>https://drive.google.com/open?id=1iix9taZqOSqzBb3UlKmCC1uecq-qn_xj</v>
      </c>
      <c r="L279" s="74" t="str">
        <f>IFERROR(__xludf.DUMMYFUNCTION("""COMPUTED_VALUE"""),"2018-2022")</f>
        <v>2018-2022</v>
      </c>
      <c r="M279" s="74" t="str">
        <f>IFERROR(__xludf.DUMMYFUNCTION("""COMPUTED_VALUE"""),"S4: Student Certifications")</f>
        <v>S4: Student Certifications</v>
      </c>
      <c r="N279" s="74" t="str">
        <f>IFERROR(__xludf.DUMMYFUNCTION("""COMPUTED_VALUE"""),"ravikadagala9494@gmail.com")</f>
        <v>ravikadagala9494@gmail.com</v>
      </c>
      <c r="O279" s="74" t="str">
        <f>IFERROR(__xludf.DUMMYFUNCTION("""COMPUTED_VALUE"""),"SEM-4")</f>
        <v>SEM-4</v>
      </c>
      <c r="P279" s="74"/>
      <c r="Q279" s="74"/>
      <c r="R279" s="74"/>
      <c r="S279" s="74"/>
      <c r="T279" s="74"/>
      <c r="U279" s="74"/>
      <c r="V279" s="74"/>
      <c r="W279" s="74"/>
      <c r="X279" s="74"/>
      <c r="Y279" s="74"/>
    </row>
    <row r="280" ht="26.25" customHeight="1">
      <c r="A280" s="74" t="str">
        <f>IFERROR(__xludf.DUMMYFUNCTION("""COMPUTED_VALUE"""),"KADAGALA RAVIKUAMR")</f>
        <v>KADAGALA RAVIKUAMR</v>
      </c>
      <c r="B280" s="74" t="str">
        <f>IFERROR(__xludf.DUMMYFUNCTION("""COMPUTED_VALUE"""),"19335A0506")</f>
        <v>19335A0506</v>
      </c>
      <c r="C280" s="90" t="str">
        <f>IFERROR(__xludf.DUMMYFUNCTION("""COMPUTED_VALUE"""),"Programming for Everybody")</f>
        <v>Programming for Everybody</v>
      </c>
      <c r="D280" s="74" t="str">
        <f>IFERROR(__xludf.DUMMYFUNCTION("""COMPUTED_VALUE"""),"COURSERA")</f>
        <v>COURSERA</v>
      </c>
      <c r="E280" s="74" t="str">
        <f>IFERROR(__xludf.DUMMYFUNCTION("""COMPUTED_VALUE"""),"2 MONTHS")</f>
        <v>2 MONTHS</v>
      </c>
      <c r="F280" s="91">
        <f>IFERROR(__xludf.DUMMYFUNCTION("""COMPUTED_VALUE"""),43985.0)</f>
        <v>43985</v>
      </c>
      <c r="G280" s="91">
        <f>IFERROR(__xludf.DUMMYFUNCTION("""COMPUTED_VALUE"""),44043.0)</f>
        <v>44043</v>
      </c>
      <c r="H280" s="79">
        <f>IFERROR(__xludf.DUMMYFUNCTION("""COMPUTED_VALUE"""),44044.0)</f>
        <v>44044</v>
      </c>
      <c r="I280" s="92">
        <f>IFERROR(__xludf.DUMMYFUNCTION("""COMPUTED_VALUE"""),93.0)</f>
        <v>93</v>
      </c>
      <c r="J280" s="74" t="str">
        <f>IFERROR(__xludf.DUMMYFUNCTION("""COMPUTED_VALUE"""),".")</f>
        <v>.</v>
      </c>
      <c r="K280" s="80" t="str">
        <f>IFERROR(__xludf.DUMMYFUNCTION("""COMPUTED_VALUE"""),"https://drive.google.com/open?id=1Lku-n1N6xKb4YeQ2ISDrulg3EnW8yOlb")</f>
        <v>https://drive.google.com/open?id=1Lku-n1N6xKb4YeQ2ISDrulg3EnW8yOlb</v>
      </c>
      <c r="L280" s="74" t="str">
        <f>IFERROR(__xludf.DUMMYFUNCTION("""COMPUTED_VALUE"""),"2018-2022")</f>
        <v>2018-2022</v>
      </c>
      <c r="M280" s="74" t="str">
        <f>IFERROR(__xludf.DUMMYFUNCTION("""COMPUTED_VALUE"""),"S4: Student Certifications")</f>
        <v>S4: Student Certifications</v>
      </c>
      <c r="N280" s="74" t="str">
        <f>IFERROR(__xludf.DUMMYFUNCTION("""COMPUTED_VALUE"""),"ravikadagala9494@gmail.com")</f>
        <v>ravikadagala9494@gmail.com</v>
      </c>
      <c r="O280" s="74" t="str">
        <f>IFERROR(__xludf.DUMMYFUNCTION("""COMPUTED_VALUE"""),"SEM-4")</f>
        <v>SEM-4</v>
      </c>
      <c r="P280" s="74"/>
      <c r="Q280" s="74"/>
      <c r="R280" s="74"/>
      <c r="S280" s="74"/>
      <c r="T280" s="74"/>
      <c r="U280" s="74"/>
      <c r="V280" s="74"/>
      <c r="W280" s="74"/>
      <c r="X280" s="74"/>
      <c r="Y280" s="74"/>
    </row>
    <row r="281" ht="26.25" customHeight="1">
      <c r="A281" s="74" t="str">
        <f>IFERROR(__xludf.DUMMYFUNCTION("""COMPUTED_VALUE"""),"Mummudivarapu Narendra")</f>
        <v>Mummudivarapu Narendra</v>
      </c>
      <c r="B281" s="74" t="str">
        <f>IFERROR(__xludf.DUMMYFUNCTION("""COMPUTED_VALUE"""),"19335A0511")</f>
        <v>19335A0511</v>
      </c>
      <c r="C281" s="90" t="str">
        <f>IFERROR(__xludf.DUMMYFUNCTION("""COMPUTED_VALUE"""),"Python Data Structures, University of Michigan in Coursera")</f>
        <v>Python Data Structures, University of Michigan in Coursera</v>
      </c>
      <c r="D281" s="74" t="str">
        <f>IFERROR(__xludf.DUMMYFUNCTION("""COMPUTED_VALUE"""),"Coursera")</f>
        <v>Coursera</v>
      </c>
      <c r="E281" s="74" t="str">
        <f>IFERROR(__xludf.DUMMYFUNCTION("""COMPUTED_VALUE"""),"1 month")</f>
        <v>1 month</v>
      </c>
      <c r="F281" s="91">
        <f>IFERROR(__xludf.DUMMYFUNCTION("""COMPUTED_VALUE"""),43922.0)</f>
        <v>43922</v>
      </c>
      <c r="G281" s="91">
        <f>IFERROR(__xludf.DUMMYFUNCTION("""COMPUTED_VALUE"""),43977.0)</f>
        <v>43977</v>
      </c>
      <c r="H281" s="79">
        <f>IFERROR(__xludf.DUMMYFUNCTION("""COMPUTED_VALUE"""),43977.0)</f>
        <v>43977</v>
      </c>
      <c r="I281" s="92"/>
      <c r="J281" s="74" t="str">
        <f>IFERROR(__xludf.DUMMYFUNCTION("""COMPUTED_VALUE"""),"NO")</f>
        <v>NO</v>
      </c>
      <c r="K281" s="80" t="str">
        <f>IFERROR(__xludf.DUMMYFUNCTION("""COMPUTED_VALUE"""),"https://drive.google.com/open?id=1woLJmmeh4K84uqSqrMp4r-wGbeA2Wlh2")</f>
        <v>https://drive.google.com/open?id=1woLJmmeh4K84uqSqrMp4r-wGbeA2Wlh2</v>
      </c>
      <c r="L281" s="74" t="str">
        <f>IFERROR(__xludf.DUMMYFUNCTION("""COMPUTED_VALUE"""),"2018-2022")</f>
        <v>2018-2022</v>
      </c>
      <c r="M281" s="74" t="str">
        <f>IFERROR(__xludf.DUMMYFUNCTION("""COMPUTED_VALUE"""),"S4: Student Certifications")</f>
        <v>S4: Student Certifications</v>
      </c>
      <c r="N281" s="74" t="str">
        <f>IFERROR(__xludf.DUMMYFUNCTION("""COMPUTED_VALUE"""),"shanmukhanarendra3@gmail.com")</f>
        <v>shanmukhanarendra3@gmail.com</v>
      </c>
      <c r="O281" s="74" t="str">
        <f>IFERROR(__xludf.DUMMYFUNCTION("""COMPUTED_VALUE"""),"SEM-8")</f>
        <v>SEM-8</v>
      </c>
      <c r="P281" s="74"/>
      <c r="Q281" s="74"/>
      <c r="R281" s="74"/>
      <c r="S281" s="74"/>
      <c r="T281" s="74"/>
      <c r="U281" s="74"/>
      <c r="V281" s="74"/>
      <c r="W281" s="74"/>
      <c r="X281" s="74"/>
      <c r="Y281" s="74"/>
    </row>
    <row r="282" ht="26.25" customHeight="1">
      <c r="A282" s="74" t="str">
        <f>IFERROR(__xludf.DUMMYFUNCTION("""COMPUTED_VALUE"""),"KADAGALA RAVIKUAMR")</f>
        <v>KADAGALA RAVIKUAMR</v>
      </c>
      <c r="B282" s="74" t="str">
        <f>IFERROR(__xludf.DUMMYFUNCTION("""COMPUTED_VALUE"""),"19335A0506")</f>
        <v>19335A0506</v>
      </c>
      <c r="C282" s="90" t="str">
        <f>IFERROR(__xludf.DUMMYFUNCTION("""COMPUTED_VALUE"""),"Cybersecurity Foundation")</f>
        <v>Cybersecurity Foundation</v>
      </c>
      <c r="D282" s="74" t="str">
        <f>IFERROR(__xludf.DUMMYFUNCTION("""COMPUTED_VALUE"""),"PALO ALTO NETWORKS CYBERSECURITY ACADAMEY")</f>
        <v>PALO ALTO NETWORKS CYBERSECURITY ACADAMEY</v>
      </c>
      <c r="E282" s="74" t="str">
        <f>IFERROR(__xludf.DUMMYFUNCTION("""COMPUTED_VALUE"""),"2 MONTHS")</f>
        <v>2 MONTHS</v>
      </c>
      <c r="F282" s="91">
        <f>IFERROR(__xludf.DUMMYFUNCTION("""COMPUTED_VALUE"""),44318.0)</f>
        <v>44318</v>
      </c>
      <c r="G282" s="91">
        <f>IFERROR(__xludf.DUMMYFUNCTION("""COMPUTED_VALUE"""),44378.0)</f>
        <v>44378</v>
      </c>
      <c r="H282" s="79">
        <f>IFERROR(__xludf.DUMMYFUNCTION("""COMPUTED_VALUE"""),44380.0)</f>
        <v>44380</v>
      </c>
      <c r="I282" s="92">
        <f>IFERROR(__xludf.DUMMYFUNCTION("""COMPUTED_VALUE"""),93.0)</f>
        <v>93</v>
      </c>
      <c r="J282" s="74" t="str">
        <f>IFERROR(__xludf.DUMMYFUNCTION("""COMPUTED_VALUE"""),".")</f>
        <v>.</v>
      </c>
      <c r="K282" s="80" t="str">
        <f>IFERROR(__xludf.DUMMYFUNCTION("""COMPUTED_VALUE"""),"https://drive.google.com/open?id=1nafLwFRJBG-q1nNRHwDX29EsbpCu0eL7")</f>
        <v>https://drive.google.com/open?id=1nafLwFRJBG-q1nNRHwDX29EsbpCu0eL7</v>
      </c>
      <c r="L282" s="74" t="str">
        <f>IFERROR(__xludf.DUMMYFUNCTION("""COMPUTED_VALUE"""),"2018-2022")</f>
        <v>2018-2022</v>
      </c>
      <c r="M282" s="74" t="str">
        <f>IFERROR(__xludf.DUMMYFUNCTION("""COMPUTED_VALUE"""),"S4: Student Certifications")</f>
        <v>S4: Student Certifications</v>
      </c>
      <c r="N282" s="74" t="str">
        <f>IFERROR(__xludf.DUMMYFUNCTION("""COMPUTED_VALUE"""),"ravikadagala9494@gmail.com")</f>
        <v>ravikadagala9494@gmail.com</v>
      </c>
      <c r="O282" s="74" t="str">
        <f>IFERROR(__xludf.DUMMYFUNCTION("""COMPUTED_VALUE"""),"SEM-6")</f>
        <v>SEM-6</v>
      </c>
      <c r="P282" s="74"/>
      <c r="Q282" s="74"/>
      <c r="R282" s="74"/>
      <c r="S282" s="74"/>
      <c r="T282" s="74"/>
      <c r="U282" s="74"/>
      <c r="V282" s="74"/>
      <c r="W282" s="74"/>
      <c r="X282" s="74"/>
      <c r="Y282" s="74"/>
    </row>
    <row r="283" ht="26.25" customHeight="1">
      <c r="A283" s="74" t="str">
        <f>IFERROR(__xludf.DUMMYFUNCTION("""COMPUTED_VALUE"""),"Mummudivarapu Narendra")</f>
        <v>Mummudivarapu Narendra</v>
      </c>
      <c r="B283" s="74" t="str">
        <f>IFERROR(__xludf.DUMMYFUNCTION("""COMPUTED_VALUE"""),"19335A0511")</f>
        <v>19335A0511</v>
      </c>
      <c r="C283" s="90" t="str">
        <f>IFERROR(__xludf.DUMMYFUNCTION("""COMPUTED_VALUE"""),"What is Data Science? IBM in Coursera")</f>
        <v>What is Data Science? IBM in Coursera</v>
      </c>
      <c r="D283" s="74" t="str">
        <f>IFERROR(__xludf.DUMMYFUNCTION("""COMPUTED_VALUE""")," Coursera")</f>
        <v> Coursera</v>
      </c>
      <c r="E283" s="74" t="str">
        <f>IFERROR(__xludf.DUMMYFUNCTION("""COMPUTED_VALUE"""),"1 month")</f>
        <v>1 month</v>
      </c>
      <c r="F283" s="91">
        <f>IFERROR(__xludf.DUMMYFUNCTION("""COMPUTED_VALUE"""),43952.0)</f>
        <v>43952</v>
      </c>
      <c r="G283" s="91">
        <f>IFERROR(__xludf.DUMMYFUNCTION("""COMPUTED_VALUE"""),43973.0)</f>
        <v>43973</v>
      </c>
      <c r="H283" s="79">
        <f>IFERROR(__xludf.DUMMYFUNCTION("""COMPUTED_VALUE"""),43973.0)</f>
        <v>43973</v>
      </c>
      <c r="I283" s="92"/>
      <c r="J283" s="74" t="str">
        <f>IFERROR(__xludf.DUMMYFUNCTION("""COMPUTED_VALUE"""),"NO")</f>
        <v>NO</v>
      </c>
      <c r="K283" s="80" t="str">
        <f>IFERROR(__xludf.DUMMYFUNCTION("""COMPUTED_VALUE"""),"https://drive.google.com/open?id=1AmH3w3-44GU5sGNa3DzDod4lpkTUtORf")</f>
        <v>https://drive.google.com/open?id=1AmH3w3-44GU5sGNa3DzDod4lpkTUtORf</v>
      </c>
      <c r="L283" s="74" t="str">
        <f>IFERROR(__xludf.DUMMYFUNCTION("""COMPUTED_VALUE"""),"2018-2022")</f>
        <v>2018-2022</v>
      </c>
      <c r="M283" s="74" t="str">
        <f>IFERROR(__xludf.DUMMYFUNCTION("""COMPUTED_VALUE"""),"S4: Student Certifications")</f>
        <v>S4: Student Certifications</v>
      </c>
      <c r="N283" s="74" t="str">
        <f>IFERROR(__xludf.DUMMYFUNCTION("""COMPUTED_VALUE"""),"shanmukhanarendra3@gmail.com")</f>
        <v>shanmukhanarendra3@gmail.com</v>
      </c>
      <c r="O283" s="74" t="str">
        <f>IFERROR(__xludf.DUMMYFUNCTION("""COMPUTED_VALUE"""),"SEM-8")</f>
        <v>SEM-8</v>
      </c>
      <c r="P283" s="74"/>
      <c r="Q283" s="74"/>
      <c r="R283" s="74"/>
      <c r="S283" s="74"/>
      <c r="T283" s="74"/>
      <c r="U283" s="74"/>
      <c r="V283" s="74"/>
      <c r="W283" s="74"/>
      <c r="X283" s="74"/>
      <c r="Y283" s="74"/>
    </row>
    <row r="284" ht="26.25" customHeight="1">
      <c r="A284" s="74" t="str">
        <f>IFERROR(__xludf.DUMMYFUNCTION("""COMPUTED_VALUE"""),"Devadula N C S CH Sudhakar")</f>
        <v>Devadula N C S CH Sudhakar</v>
      </c>
      <c r="B284" s="74" t="str">
        <f>IFERROR(__xludf.DUMMYFUNCTION("""COMPUTED_VALUE"""),"19335A0504")</f>
        <v>19335A0504</v>
      </c>
      <c r="C284" s="90" t="str">
        <f>IFERROR(__xludf.DUMMYFUNCTION("""COMPUTED_VALUE"""),"Palo Alto networks cyber security ")</f>
        <v>Palo Alto networks cyber security </v>
      </c>
      <c r="D284" s="74" t="str">
        <f>IFERROR(__xludf.DUMMYFUNCTION("""COMPUTED_VALUE"""),"palo alto")</f>
        <v>palo alto</v>
      </c>
      <c r="E284" s="74" t="str">
        <f>IFERROR(__xludf.DUMMYFUNCTION("""COMPUTED_VALUE"""),"1 month")</f>
        <v>1 month</v>
      </c>
      <c r="F284" s="91">
        <f>IFERROR(__xludf.DUMMYFUNCTION("""COMPUTED_VALUE"""),44367.0)</f>
        <v>44367</v>
      </c>
      <c r="G284" s="91">
        <f>IFERROR(__xludf.DUMMYFUNCTION("""COMPUTED_VALUE"""),44401.0)</f>
        <v>44401</v>
      </c>
      <c r="H284" s="79">
        <f>IFERROR(__xludf.DUMMYFUNCTION("""COMPUTED_VALUE"""),44400.0)</f>
        <v>44400</v>
      </c>
      <c r="I284" s="92">
        <f>IFERROR(__xludf.DUMMYFUNCTION("""COMPUTED_VALUE"""),100.0)</f>
        <v>100</v>
      </c>
      <c r="J284" s="74" t="str">
        <f>IFERROR(__xludf.DUMMYFUNCTION("""COMPUTED_VALUE"""),"Ravi kiran varma")</f>
        <v>Ravi kiran varma</v>
      </c>
      <c r="K284" s="80" t="str">
        <f>IFERROR(__xludf.DUMMYFUNCTION("""COMPUTED_VALUE"""),"https://drive.google.com/open?id=11kUcBBqKkglYBl2WjxBweseQQrqhNbiJ")</f>
        <v>https://drive.google.com/open?id=11kUcBBqKkglYBl2WjxBweseQQrqhNbiJ</v>
      </c>
      <c r="L284" s="74" t="str">
        <f>IFERROR(__xludf.DUMMYFUNCTION("""COMPUTED_VALUE"""),"2018-2022")</f>
        <v>2018-2022</v>
      </c>
      <c r="M284" s="74" t="str">
        <f>IFERROR(__xludf.DUMMYFUNCTION("""COMPUTED_VALUE"""),"S4: Student Certifications")</f>
        <v>S4: Student Certifications</v>
      </c>
      <c r="N284" s="74" t="str">
        <f>IFERROR(__xludf.DUMMYFUNCTION("""COMPUTED_VALUE"""),"naveendevadula706@gmail.com")</f>
        <v>naveendevadula706@gmail.com</v>
      </c>
      <c r="O284" s="74" t="str">
        <f>IFERROR(__xludf.DUMMYFUNCTION("""COMPUTED_VALUE"""),"SEM-5")</f>
        <v>SEM-5</v>
      </c>
      <c r="P284" s="74"/>
      <c r="Q284" s="74"/>
      <c r="R284" s="74"/>
      <c r="S284" s="74"/>
      <c r="T284" s="74"/>
      <c r="U284" s="74"/>
      <c r="V284" s="74"/>
      <c r="W284" s="74"/>
      <c r="X284" s="74"/>
      <c r="Y284" s="74"/>
    </row>
    <row r="285" ht="26.25" customHeight="1">
      <c r="A285" s="74" t="str">
        <f>IFERROR(__xludf.DUMMYFUNCTION("""COMPUTED_VALUE"""),"Mummudivarapu Narendra")</f>
        <v>Mummudivarapu Narendra</v>
      </c>
      <c r="B285" s="74" t="str">
        <f>IFERROR(__xludf.DUMMYFUNCTION("""COMPUTED_VALUE"""),"19335A0511")</f>
        <v>19335A0511</v>
      </c>
      <c r="C285" s="90" t="str">
        <f>IFERROR(__xludf.DUMMYFUNCTION("""COMPUTED_VALUE"""),"COVID19 Data Analysis Using Python in Coursera Project Network")</f>
        <v>COVID19 Data Analysis Using Python in Coursera Project Network</v>
      </c>
      <c r="D285" s="74" t="str">
        <f>IFERROR(__xludf.DUMMYFUNCTION("""COMPUTED_VALUE"""),"Coursera")</f>
        <v>Coursera</v>
      </c>
      <c r="E285" s="74" t="str">
        <f>IFERROR(__xludf.DUMMYFUNCTION("""COMPUTED_VALUE"""),"7 days")</f>
        <v>7 days</v>
      </c>
      <c r="F285" s="91">
        <f>IFERROR(__xludf.DUMMYFUNCTION("""COMPUTED_VALUE"""),44013.0)</f>
        <v>44013</v>
      </c>
      <c r="G285" s="91">
        <f>IFERROR(__xludf.DUMMYFUNCTION("""COMPUTED_VALUE"""),44019.0)</f>
        <v>44019</v>
      </c>
      <c r="H285" s="79">
        <f>IFERROR(__xludf.DUMMYFUNCTION("""COMPUTED_VALUE"""),44019.0)</f>
        <v>44019</v>
      </c>
      <c r="I285" s="92"/>
      <c r="J285" s="74" t="str">
        <f>IFERROR(__xludf.DUMMYFUNCTION("""COMPUTED_VALUE"""),"NO")</f>
        <v>NO</v>
      </c>
      <c r="K285" s="80" t="str">
        <f>IFERROR(__xludf.DUMMYFUNCTION("""COMPUTED_VALUE"""),"https://drive.google.com/open?id=1jiIJU8ZvyKMBVP_vkvOEkTVZRG6nYWi9")</f>
        <v>https://drive.google.com/open?id=1jiIJU8ZvyKMBVP_vkvOEkTVZRG6nYWi9</v>
      </c>
      <c r="L285" s="74" t="str">
        <f>IFERROR(__xludf.DUMMYFUNCTION("""COMPUTED_VALUE"""),"2018-2022")</f>
        <v>2018-2022</v>
      </c>
      <c r="M285" s="74" t="str">
        <f>IFERROR(__xludf.DUMMYFUNCTION("""COMPUTED_VALUE"""),"S4: Student Certifications")</f>
        <v>S4: Student Certifications</v>
      </c>
      <c r="N285" s="74" t="str">
        <f>IFERROR(__xludf.DUMMYFUNCTION("""COMPUTED_VALUE"""),"shanmukhanarendra3@gmail.com")</f>
        <v>shanmukhanarendra3@gmail.com</v>
      </c>
      <c r="O285" s="74" t="str">
        <f>IFERROR(__xludf.DUMMYFUNCTION("""COMPUTED_VALUE"""),"SEM-8")</f>
        <v>SEM-8</v>
      </c>
      <c r="P285" s="74"/>
      <c r="Q285" s="74"/>
      <c r="R285" s="74"/>
      <c r="S285" s="74"/>
      <c r="T285" s="74"/>
      <c r="U285" s="74"/>
      <c r="V285" s="74"/>
      <c r="W285" s="74"/>
      <c r="X285" s="74"/>
      <c r="Y285" s="74"/>
    </row>
    <row r="286" ht="26.25" customHeight="1">
      <c r="A286" s="74" t="str">
        <f>IFERROR(__xludf.DUMMYFUNCTION("""COMPUTED_VALUE"""),"Mummudivarapu Narendra")</f>
        <v>Mummudivarapu Narendra</v>
      </c>
      <c r="B286" s="74" t="str">
        <f>IFERROR(__xludf.DUMMYFUNCTION("""COMPUTED_VALUE"""),"19335A0511")</f>
        <v>19335A0511</v>
      </c>
      <c r="C286" s="90" t="str">
        <f>IFERROR(__xludf.DUMMYFUNCTION("""COMPUTED_VALUE"""),"AI For Everyone, DeepLearning.AI in Coursera")</f>
        <v>AI For Everyone, DeepLearning.AI in Coursera</v>
      </c>
      <c r="D286" s="74" t="str">
        <f>IFERROR(__xludf.DUMMYFUNCTION("""COMPUTED_VALUE"""),"Coursera")</f>
        <v>Coursera</v>
      </c>
      <c r="E286" s="74" t="str">
        <f>IFERROR(__xludf.DUMMYFUNCTION("""COMPUTED_VALUE"""),"1 month")</f>
        <v>1 month</v>
      </c>
      <c r="F286" s="91">
        <f>IFERROR(__xludf.DUMMYFUNCTION("""COMPUTED_VALUE"""),44013.0)</f>
        <v>44013</v>
      </c>
      <c r="G286" s="91">
        <f>IFERROR(__xludf.DUMMYFUNCTION("""COMPUTED_VALUE"""),44017.0)</f>
        <v>44017</v>
      </c>
      <c r="H286" s="79">
        <f>IFERROR(__xludf.DUMMYFUNCTION("""COMPUTED_VALUE"""),44017.0)</f>
        <v>44017</v>
      </c>
      <c r="I286" s="92"/>
      <c r="J286" s="74" t="str">
        <f>IFERROR(__xludf.DUMMYFUNCTION("""COMPUTED_VALUE"""),"NO")</f>
        <v>NO</v>
      </c>
      <c r="K286" s="80" t="str">
        <f>IFERROR(__xludf.DUMMYFUNCTION("""COMPUTED_VALUE"""),"https://drive.google.com/open?id=1g4cAStMYWAGWLinDZd771nGBJDVj-ByV")</f>
        <v>https://drive.google.com/open?id=1g4cAStMYWAGWLinDZd771nGBJDVj-ByV</v>
      </c>
      <c r="L286" s="74" t="str">
        <f>IFERROR(__xludf.DUMMYFUNCTION("""COMPUTED_VALUE"""),"2018-2022")</f>
        <v>2018-2022</v>
      </c>
      <c r="M286" s="74" t="str">
        <f>IFERROR(__xludf.DUMMYFUNCTION("""COMPUTED_VALUE"""),"S4: Student Certifications")</f>
        <v>S4: Student Certifications</v>
      </c>
      <c r="N286" s="74" t="str">
        <f>IFERROR(__xludf.DUMMYFUNCTION("""COMPUTED_VALUE"""),"shanmukhanarendra3@gmail.com")</f>
        <v>shanmukhanarendra3@gmail.com</v>
      </c>
      <c r="O286" s="74" t="str">
        <f>IFERROR(__xludf.DUMMYFUNCTION("""COMPUTED_VALUE"""),"SEM-8")</f>
        <v>SEM-8</v>
      </c>
      <c r="P286" s="74"/>
      <c r="Q286" s="74"/>
      <c r="R286" s="74"/>
      <c r="S286" s="74"/>
      <c r="T286" s="74"/>
      <c r="U286" s="74"/>
      <c r="V286" s="74"/>
      <c r="W286" s="74"/>
      <c r="X286" s="74"/>
      <c r="Y286" s="74"/>
    </row>
    <row r="287" ht="26.25" customHeight="1">
      <c r="A287" s="74" t="str">
        <f>IFERROR(__xludf.DUMMYFUNCTION("""COMPUTED_VALUE"""),"Mummudivarapu Narendra")</f>
        <v>Mummudivarapu Narendra</v>
      </c>
      <c r="B287" s="74" t="str">
        <f>IFERROR(__xludf.DUMMYFUNCTION("""COMPUTED_VALUE"""),"19335A0511")</f>
        <v>19335A0511</v>
      </c>
      <c r="C287" s="90" t="str">
        <f>IFERROR(__xludf.DUMMYFUNCTION("""COMPUTED_VALUE"""),"Programming for Everybody (Getting Started with Python), University of Michigan in Coursera")</f>
        <v>Programming for Everybody (Getting Started with Python), University of Michigan in Coursera</v>
      </c>
      <c r="D287" s="74" t="str">
        <f>IFERROR(__xludf.DUMMYFUNCTION("""COMPUTED_VALUE"""),"Coursera")</f>
        <v>Coursera</v>
      </c>
      <c r="E287" s="74" t="str">
        <f>IFERROR(__xludf.DUMMYFUNCTION("""COMPUTED_VALUE"""),"2 month")</f>
        <v>2 month</v>
      </c>
      <c r="F287" s="91">
        <f>IFERROR(__xludf.DUMMYFUNCTION("""COMPUTED_VALUE"""),43891.0)</f>
        <v>43891</v>
      </c>
      <c r="G287" s="91">
        <f>IFERROR(__xludf.DUMMYFUNCTION("""COMPUTED_VALUE"""),43968.0)</f>
        <v>43968</v>
      </c>
      <c r="H287" s="79">
        <f>IFERROR(__xludf.DUMMYFUNCTION("""COMPUTED_VALUE"""),43968.0)</f>
        <v>43968</v>
      </c>
      <c r="I287" s="92"/>
      <c r="J287" s="74" t="str">
        <f>IFERROR(__xludf.DUMMYFUNCTION("""COMPUTED_VALUE"""),"NO")</f>
        <v>NO</v>
      </c>
      <c r="K287" s="80" t="str">
        <f>IFERROR(__xludf.DUMMYFUNCTION("""COMPUTED_VALUE"""),"https://drive.google.com/open?id=18o0SK3peIRcyf0MCpt0WbB7IFzl3U_3J")</f>
        <v>https://drive.google.com/open?id=18o0SK3peIRcyf0MCpt0WbB7IFzl3U_3J</v>
      </c>
      <c r="L287" s="74" t="str">
        <f>IFERROR(__xludf.DUMMYFUNCTION("""COMPUTED_VALUE"""),"2018-2022")</f>
        <v>2018-2022</v>
      </c>
      <c r="M287" s="74" t="str">
        <f>IFERROR(__xludf.DUMMYFUNCTION("""COMPUTED_VALUE"""),"S4: Student Certifications")</f>
        <v>S4: Student Certifications</v>
      </c>
      <c r="N287" s="74" t="str">
        <f>IFERROR(__xludf.DUMMYFUNCTION("""COMPUTED_VALUE"""),"shanmukhanarendra3@gmail.com")</f>
        <v>shanmukhanarendra3@gmail.com</v>
      </c>
      <c r="O287" s="74" t="str">
        <f>IFERROR(__xludf.DUMMYFUNCTION("""COMPUTED_VALUE"""),"SEM-8")</f>
        <v>SEM-8</v>
      </c>
      <c r="P287" s="74"/>
      <c r="Q287" s="74"/>
      <c r="R287" s="74"/>
      <c r="S287" s="74"/>
      <c r="T287" s="74"/>
      <c r="U287" s="74"/>
      <c r="V287" s="74"/>
      <c r="W287" s="74"/>
      <c r="X287" s="74"/>
      <c r="Y287" s="74"/>
    </row>
    <row r="288" ht="26.25" customHeight="1">
      <c r="A288" s="78" t="str">
        <f>IFERROR(__xludf.DUMMYFUNCTION("""COMPUTED_VALUE"""),"Gulla Sai Bhavana")</f>
        <v>Gulla Sai Bhavana</v>
      </c>
      <c r="B288" s="78" t="str">
        <f>IFERROR(__xludf.DUMMYFUNCTION("""COMPUTED_VALUE"""),"18331A0552")</f>
        <v>18331A0552</v>
      </c>
      <c r="C288" s="93" t="str">
        <f>IFERROR(__xludf.DUMMYFUNCTION("""COMPUTED_VALUE"""),"AWS")</f>
        <v>AWS</v>
      </c>
      <c r="D288" s="78" t="str">
        <f>IFERROR(__xludf.DUMMYFUNCTION("""COMPUTED_VALUE"""),"AICTE")</f>
        <v>AICTE</v>
      </c>
      <c r="E288" s="78" t="str">
        <f>IFERROR(__xludf.DUMMYFUNCTION("""COMPUTED_VALUE"""),"3 months")</f>
        <v>3 months</v>
      </c>
      <c r="F288" s="94">
        <f>IFERROR(__xludf.DUMMYFUNCTION("""COMPUTED_VALUE"""),44476.0)</f>
        <v>44476</v>
      </c>
      <c r="G288" s="94">
        <f>IFERROR(__xludf.DUMMYFUNCTION("""COMPUTED_VALUE"""),44537.0)</f>
        <v>44537</v>
      </c>
      <c r="H288" s="84">
        <f>IFERROR(__xludf.DUMMYFUNCTION("""COMPUTED_VALUE"""),44536.0)</f>
        <v>44536</v>
      </c>
      <c r="I288" s="95">
        <f>IFERROR(__xludf.DUMMYFUNCTION("""COMPUTED_VALUE"""),100.0)</f>
        <v>100</v>
      </c>
      <c r="J288" s="78" t="str">
        <f>IFERROR(__xludf.DUMMYFUNCTION("""COMPUTED_VALUE"""),"Ravi Kiran varma")</f>
        <v>Ravi Kiran varma</v>
      </c>
      <c r="K288" s="85" t="str">
        <f>IFERROR(__xludf.DUMMYFUNCTION("""COMPUTED_VALUE"""),"https://drive.google.com/open?id=16Z5RdP2vQp6lMUtgglv2xjoJf6auni2F")</f>
        <v>https://drive.google.com/open?id=16Z5RdP2vQp6lMUtgglv2xjoJf6auni2F</v>
      </c>
      <c r="L288" s="78" t="str">
        <f>IFERROR(__xludf.DUMMYFUNCTION("""COMPUTED_VALUE"""),"2018-2022")</f>
        <v>2018-2022</v>
      </c>
      <c r="M288" s="78" t="str">
        <f>IFERROR(__xludf.DUMMYFUNCTION("""COMPUTED_VALUE"""),"S4: Student Certifications")</f>
        <v>S4: Student Certifications</v>
      </c>
      <c r="N288" s="78" t="str">
        <f>IFERROR(__xludf.DUMMYFUNCTION("""COMPUTED_VALUE"""),"saibhavana.as16@gmail.com")</f>
        <v>saibhavana.as16@gmail.com</v>
      </c>
      <c r="O288" s="78" t="str">
        <f>IFERROR(__xludf.DUMMYFUNCTION("""COMPUTED_VALUE"""),"SEM-8")</f>
        <v>SEM-8</v>
      </c>
      <c r="P288" s="78"/>
      <c r="Q288" s="78"/>
      <c r="R288" s="78"/>
      <c r="S288" s="78"/>
      <c r="T288" s="78"/>
      <c r="U288" s="78"/>
      <c r="V288" s="78"/>
      <c r="W288" s="78"/>
      <c r="X288" s="78"/>
      <c r="Y288" s="78"/>
    </row>
    <row r="289" ht="26.25" customHeight="1">
      <c r="A289" s="74" t="str">
        <f>IFERROR(__xludf.DUMMYFUNCTION("""COMPUTED_VALUE"""),"YASHWANTH BOGGARAPU")</f>
        <v>YASHWANTH BOGGARAPU</v>
      </c>
      <c r="B289" s="74" t="str">
        <f>IFERROR(__xludf.DUMMYFUNCTION("""COMPUTED_VALUE"""),"18331A0517")</f>
        <v>18331A0517</v>
      </c>
      <c r="C289" s="90" t="str">
        <f>IFERROR(__xludf.DUMMYFUNCTION("""COMPUTED_VALUE"""),"Basics of C")</f>
        <v>Basics of C</v>
      </c>
      <c r="D289" s="74" t="str">
        <f>IFERROR(__xludf.DUMMYFUNCTION("""COMPUTED_VALUE"""),"Udemy")</f>
        <v>Udemy</v>
      </c>
      <c r="E289" s="74" t="str">
        <f>IFERROR(__xludf.DUMMYFUNCTION("""COMPUTED_VALUE"""),"1Hour")</f>
        <v>1Hour</v>
      </c>
      <c r="F289" s="91">
        <f>IFERROR(__xludf.DUMMYFUNCTION("""COMPUTED_VALUE"""),43930.0)</f>
        <v>43930</v>
      </c>
      <c r="G289" s="91">
        <f>IFERROR(__xludf.DUMMYFUNCTION("""COMPUTED_VALUE"""),43931.0)</f>
        <v>43931</v>
      </c>
      <c r="H289" s="79">
        <f>IFERROR(__xludf.DUMMYFUNCTION("""COMPUTED_VALUE"""),43930.0)</f>
        <v>43930</v>
      </c>
      <c r="I289" s="92">
        <f>IFERROR(__xludf.DUMMYFUNCTION("""COMPUTED_VALUE"""),80.0)</f>
        <v>80</v>
      </c>
      <c r="J289" s="74" t="str">
        <f>IFERROR(__xludf.DUMMYFUNCTION("""COMPUTED_VALUE"""),"Self Learning")</f>
        <v>Self Learning</v>
      </c>
      <c r="K289" s="80" t="str">
        <f>IFERROR(__xludf.DUMMYFUNCTION("""COMPUTED_VALUE"""),"https://drive.google.com/open?id=1buShck1TZ1p1G5nDkhqST59D4U3bZYLH")</f>
        <v>https://drive.google.com/open?id=1buShck1TZ1p1G5nDkhqST59D4U3bZYLH</v>
      </c>
      <c r="L289" s="74" t="str">
        <f>IFERROR(__xludf.DUMMYFUNCTION("""COMPUTED_VALUE"""),"2018-2022")</f>
        <v>2018-2022</v>
      </c>
      <c r="M289" s="74" t="str">
        <f>IFERROR(__xludf.DUMMYFUNCTION("""COMPUTED_VALUE"""),"S4: Student Certifications")</f>
        <v>S4: Student Certifications</v>
      </c>
      <c r="N289" s="74" t="str">
        <f>IFERROR(__xludf.DUMMYFUNCTION("""COMPUTED_VALUE"""),"yashwanthboggarapu2000@gmail.com")</f>
        <v>yashwanthboggarapu2000@gmail.com</v>
      </c>
      <c r="O289" s="74" t="str">
        <f>IFERROR(__xludf.DUMMYFUNCTION("""COMPUTED_VALUE"""),"SEM-8")</f>
        <v>SEM-8</v>
      </c>
      <c r="P289" s="74"/>
      <c r="Q289" s="74"/>
      <c r="R289" s="74"/>
      <c r="S289" s="74"/>
      <c r="T289" s="74"/>
      <c r="U289" s="74"/>
      <c r="V289" s="74"/>
      <c r="W289" s="74"/>
      <c r="X289" s="74"/>
      <c r="Y289" s="74"/>
    </row>
    <row r="290" ht="26.25" customHeight="1">
      <c r="A290" s="74" t="str">
        <f>IFERROR(__xludf.DUMMYFUNCTION("""COMPUTED_VALUE"""),"Gorle Shri Aiswarya")</f>
        <v>Gorle Shri Aiswarya</v>
      </c>
      <c r="B290" s="74" t="str">
        <f>IFERROR(__xludf.DUMMYFUNCTION("""COMPUTED_VALUE"""),"18331A0549")</f>
        <v>18331A0549</v>
      </c>
      <c r="C290" s="90" t="str">
        <f>IFERROR(__xludf.DUMMYFUNCTION("""COMPUTED_VALUE"""),"AICTE Internship")</f>
        <v>AICTE Internship</v>
      </c>
      <c r="D290" s="74" t="str">
        <f>IFERROR(__xludf.DUMMYFUNCTION("""COMPUTED_VALUE"""),"AWS")</f>
        <v>AWS</v>
      </c>
      <c r="E290" s="74" t="str">
        <f>IFERROR(__xludf.DUMMYFUNCTION("""COMPUTED_VALUE"""),"3 months")</f>
        <v>3 months</v>
      </c>
      <c r="F290" s="91">
        <f>IFERROR(__xludf.DUMMYFUNCTION("""COMPUTED_VALUE"""),44479.0)</f>
        <v>44479</v>
      </c>
      <c r="G290" s="91">
        <f>IFERROR(__xludf.DUMMYFUNCTION("""COMPUTED_VALUE"""),44571.0)</f>
        <v>44571</v>
      </c>
      <c r="H290" s="79">
        <f>IFERROR(__xludf.DUMMYFUNCTION("""COMPUTED_VALUE"""),44572.0)</f>
        <v>44572</v>
      </c>
      <c r="I290" s="92">
        <f>IFERROR(__xludf.DUMMYFUNCTION("""COMPUTED_VALUE"""),100.0)</f>
        <v>100</v>
      </c>
      <c r="J290" s="74" t="str">
        <f>IFERROR(__xludf.DUMMYFUNCTION("""COMPUTED_VALUE"""),"Ravi Kiran Varma ")</f>
        <v>Ravi Kiran Varma </v>
      </c>
      <c r="K290" s="80" t="str">
        <f>IFERROR(__xludf.DUMMYFUNCTION("""COMPUTED_VALUE"""),"https://drive.google.com/open?id=1G-l2_HdaTZMDsWqoGZ4rN5EPJbHtt5E_")</f>
        <v>https://drive.google.com/open?id=1G-l2_HdaTZMDsWqoGZ4rN5EPJbHtt5E_</v>
      </c>
      <c r="L290" s="74" t="str">
        <f>IFERROR(__xludf.DUMMYFUNCTION("""COMPUTED_VALUE"""),"2018-2022")</f>
        <v>2018-2022</v>
      </c>
      <c r="M290" s="74" t="str">
        <f>IFERROR(__xludf.DUMMYFUNCTION("""COMPUTED_VALUE"""),"S4: Student Certifications")</f>
        <v>S4: Student Certifications</v>
      </c>
      <c r="N290" s="74" t="str">
        <f>IFERROR(__xludf.DUMMYFUNCTION("""COMPUTED_VALUE"""),"aiswarya15112000@gmail.com")</f>
        <v>aiswarya15112000@gmail.com</v>
      </c>
      <c r="O290" s="74" t="str">
        <f>IFERROR(__xludf.DUMMYFUNCTION("""COMPUTED_VALUE"""),"SEM-8")</f>
        <v>SEM-8</v>
      </c>
      <c r="P290" s="74"/>
      <c r="Q290" s="74"/>
      <c r="R290" s="74"/>
      <c r="S290" s="74"/>
      <c r="T290" s="74"/>
      <c r="U290" s="74"/>
      <c r="V290" s="74"/>
      <c r="W290" s="74"/>
      <c r="X290" s="74"/>
      <c r="Y290" s="74"/>
    </row>
    <row r="291" ht="26.25" customHeight="1">
      <c r="A291" s="74" t="str">
        <f>IFERROR(__xludf.DUMMYFUNCTION("""COMPUTED_VALUE"""),"N K V SRIHARSHA")</f>
        <v>N K V SRIHARSHA</v>
      </c>
      <c r="B291" s="74" t="str">
        <f>IFERROR(__xludf.DUMMYFUNCTION("""COMPUTED_VALUE"""),"18331A05A4")</f>
        <v>18331A05A4</v>
      </c>
      <c r="C291" s="90" t="str">
        <f>IFERROR(__xludf.DUMMYFUNCTION("""COMPUTED_VALUE"""),"Cyber security")</f>
        <v>Cyber security</v>
      </c>
      <c r="D291" s="74" t="str">
        <f>IFERROR(__xludf.DUMMYFUNCTION("""COMPUTED_VALUE"""),"Cisco")</f>
        <v>Cisco</v>
      </c>
      <c r="E291" s="74" t="str">
        <f>IFERROR(__xludf.DUMMYFUNCTION("""COMPUTED_VALUE"""),"2 months")</f>
        <v>2 months</v>
      </c>
      <c r="F291" s="91">
        <f>IFERROR(__xludf.DUMMYFUNCTION("""COMPUTED_VALUE"""),43601.0)</f>
        <v>43601</v>
      </c>
      <c r="G291" s="91">
        <f>IFERROR(__xludf.DUMMYFUNCTION("""COMPUTED_VALUE"""),43672.0)</f>
        <v>43672</v>
      </c>
      <c r="H291" s="79">
        <f>IFERROR(__xludf.DUMMYFUNCTION("""COMPUTED_VALUE"""),43672.0)</f>
        <v>43672</v>
      </c>
      <c r="I291" s="92">
        <f>IFERROR(__xludf.DUMMYFUNCTION("""COMPUTED_VALUE"""),90.0)</f>
        <v>90</v>
      </c>
      <c r="J291" s="74" t="str">
        <f>IFERROR(__xludf.DUMMYFUNCTION("""COMPUTED_VALUE"""),"Ravi Kiran varma")</f>
        <v>Ravi Kiran varma</v>
      </c>
      <c r="K291" s="80" t="str">
        <f>IFERROR(__xludf.DUMMYFUNCTION("""COMPUTED_VALUE"""),"https://drive.google.com/open?id=15Pk_sGZWE6Flko1Wb2O2twwEnxSdKUX2")</f>
        <v>https://drive.google.com/open?id=15Pk_sGZWE6Flko1Wb2O2twwEnxSdKUX2</v>
      </c>
      <c r="L291" s="74" t="str">
        <f>IFERROR(__xludf.DUMMYFUNCTION("""COMPUTED_VALUE"""),"2018-2022")</f>
        <v>2018-2022</v>
      </c>
      <c r="M291" s="74" t="str">
        <f>IFERROR(__xludf.DUMMYFUNCTION("""COMPUTED_VALUE"""),"S4: Student Certifications")</f>
        <v>S4: Student Certifications</v>
      </c>
      <c r="N291" s="74" t="str">
        <f>IFERROR(__xludf.DUMMYFUNCTION("""COMPUTED_VALUE"""),"sriharshankv312001@gmail.com")</f>
        <v>sriharshankv312001@gmail.com</v>
      </c>
      <c r="O291" s="74" t="str">
        <f>IFERROR(__xludf.DUMMYFUNCTION("""COMPUTED_VALUE"""),"SEM-1")</f>
        <v>SEM-1</v>
      </c>
      <c r="P291" s="74"/>
      <c r="Q291" s="74"/>
      <c r="R291" s="74"/>
      <c r="S291" s="74"/>
      <c r="T291" s="74"/>
      <c r="U291" s="74"/>
      <c r="V291" s="74"/>
      <c r="W291" s="74"/>
      <c r="X291" s="74"/>
      <c r="Y291" s="74"/>
    </row>
    <row r="292" ht="26.25" customHeight="1">
      <c r="A292" s="74" t="str">
        <f>IFERROR(__xludf.DUMMYFUNCTION("""COMPUTED_VALUE"""),"Gorle Shri Aiswarya")</f>
        <v>Gorle Shri Aiswarya</v>
      </c>
      <c r="B292" s="74" t="str">
        <f>IFERROR(__xludf.DUMMYFUNCTION("""COMPUTED_VALUE"""),"18331A0549")</f>
        <v>18331A0549</v>
      </c>
      <c r="C292" s="90" t="str">
        <f>IFERROR(__xludf.DUMMYFUNCTION("""COMPUTED_VALUE"""),"Cybersecurity Essentials")</f>
        <v>Cybersecurity Essentials</v>
      </c>
      <c r="D292" s="74" t="str">
        <f>IFERROR(__xludf.DUMMYFUNCTION("""COMPUTED_VALUE"""),"Cisco")</f>
        <v>Cisco</v>
      </c>
      <c r="E292" s="74" t="str">
        <f>IFERROR(__xludf.DUMMYFUNCTION("""COMPUTED_VALUE"""),"3 months")</f>
        <v>3 months</v>
      </c>
      <c r="F292" s="91">
        <f>IFERROR(__xludf.DUMMYFUNCTION("""COMPUTED_VALUE"""),43564.0)</f>
        <v>43564</v>
      </c>
      <c r="G292" s="91">
        <f>IFERROR(__xludf.DUMMYFUNCTION("""COMPUTED_VALUE"""),43665.0)</f>
        <v>43665</v>
      </c>
      <c r="H292" s="79">
        <f>IFERROR(__xludf.DUMMYFUNCTION("""COMPUTED_VALUE"""),43672.0)</f>
        <v>43672</v>
      </c>
      <c r="I292" s="92">
        <f>IFERROR(__xludf.DUMMYFUNCTION("""COMPUTED_VALUE"""),98.0)</f>
        <v>98</v>
      </c>
      <c r="J292" s="74" t="str">
        <f>IFERROR(__xludf.DUMMYFUNCTION("""COMPUTED_VALUE"""),"Ravi Kiran Varma")</f>
        <v>Ravi Kiran Varma</v>
      </c>
      <c r="K292" s="80" t="str">
        <f>IFERROR(__xludf.DUMMYFUNCTION("""COMPUTED_VALUE"""),"https://drive.google.com/open?id=1pxy4YbkI-sDS6ij1d0Nqu69p9VIc-cBR")</f>
        <v>https://drive.google.com/open?id=1pxy4YbkI-sDS6ij1d0Nqu69p9VIc-cBR</v>
      </c>
      <c r="L292" s="74" t="str">
        <f>IFERROR(__xludf.DUMMYFUNCTION("""COMPUTED_VALUE"""),"2018-2022")</f>
        <v>2018-2022</v>
      </c>
      <c r="M292" s="74" t="str">
        <f>IFERROR(__xludf.DUMMYFUNCTION("""COMPUTED_VALUE"""),"S4: Student Certifications")</f>
        <v>S4: Student Certifications</v>
      </c>
      <c r="N292" s="74" t="str">
        <f>IFERROR(__xludf.DUMMYFUNCTION("""COMPUTED_VALUE"""),"aiswarya15112000@gmail.com")</f>
        <v>aiswarya15112000@gmail.com</v>
      </c>
      <c r="O292" s="74" t="str">
        <f>IFERROR(__xludf.DUMMYFUNCTION("""COMPUTED_VALUE"""),"SEM-8")</f>
        <v>SEM-8</v>
      </c>
      <c r="P292" s="74"/>
      <c r="Q292" s="74"/>
      <c r="R292" s="74"/>
      <c r="S292" s="74"/>
      <c r="T292" s="74"/>
      <c r="U292" s="74"/>
      <c r="V292" s="74"/>
      <c r="W292" s="74"/>
      <c r="X292" s="74"/>
      <c r="Y292" s="74"/>
    </row>
    <row r="293" ht="26.25" customHeight="1">
      <c r="A293" s="74" t="str">
        <f>IFERROR(__xludf.DUMMYFUNCTION("""COMPUTED_VALUE"""),"Ichapurapu C S V Krishna Devarayalu")</f>
        <v>Ichapurapu C S V Krishna Devarayalu</v>
      </c>
      <c r="B293" s="74" t="str">
        <f>IFERROR(__xludf.DUMMYFUNCTION("""COMPUTED_VALUE"""),"18331A0557")</f>
        <v>18331A0557</v>
      </c>
      <c r="C293" s="90" t="str">
        <f>IFERROR(__xludf.DUMMYFUNCTION("""COMPUTED_VALUE"""),"Python")</f>
        <v>Python</v>
      </c>
      <c r="D293" s="74" t="str">
        <f>IFERROR(__xludf.DUMMYFUNCTION("""COMPUTED_VALUE"""),"Udemy")</f>
        <v>Udemy</v>
      </c>
      <c r="E293" s="74" t="str">
        <f>IFERROR(__xludf.DUMMYFUNCTION("""COMPUTED_VALUE"""),"1 month")</f>
        <v>1 month</v>
      </c>
      <c r="F293" s="91">
        <f>IFERROR(__xludf.DUMMYFUNCTION("""COMPUTED_VALUE"""),44063.0)</f>
        <v>44063</v>
      </c>
      <c r="G293" s="91">
        <f>IFERROR(__xludf.DUMMYFUNCTION("""COMPUTED_VALUE"""),44092.0)</f>
        <v>44092</v>
      </c>
      <c r="H293" s="79">
        <f>IFERROR(__xludf.DUMMYFUNCTION("""COMPUTED_VALUE"""),44094.0)</f>
        <v>44094</v>
      </c>
      <c r="I293" s="92">
        <f>IFERROR(__xludf.DUMMYFUNCTION("""COMPUTED_VALUE"""),90.0)</f>
        <v>90</v>
      </c>
      <c r="J293" s="74" t="str">
        <f>IFERROR(__xludf.DUMMYFUNCTION("""COMPUTED_VALUE"""),"None")</f>
        <v>None</v>
      </c>
      <c r="K293" s="80" t="str">
        <f>IFERROR(__xludf.DUMMYFUNCTION("""COMPUTED_VALUE"""),"https://drive.google.com/open?id=1ND4We0vstlu_HdYGx2G6nGW02_8BM1Aj")</f>
        <v>https://drive.google.com/open?id=1ND4We0vstlu_HdYGx2G6nGW02_8BM1Aj</v>
      </c>
      <c r="L293" s="74" t="str">
        <f>IFERROR(__xludf.DUMMYFUNCTION("""COMPUTED_VALUE"""),"2018-2022")</f>
        <v>2018-2022</v>
      </c>
      <c r="M293" s="74" t="str">
        <f>IFERROR(__xludf.DUMMYFUNCTION("""COMPUTED_VALUE"""),"S4: Student Certifications")</f>
        <v>S4: Student Certifications</v>
      </c>
      <c r="N293" s="74" t="str">
        <f>IFERROR(__xludf.DUMMYFUNCTION("""COMPUTED_VALUE"""),"devarayalu29@gmail.com")</f>
        <v>devarayalu29@gmail.com</v>
      </c>
      <c r="O293" s="74" t="str">
        <f>IFERROR(__xludf.DUMMYFUNCTION("""COMPUTED_VALUE"""),"SEM-8")</f>
        <v>SEM-8</v>
      </c>
      <c r="P293" s="74"/>
      <c r="Q293" s="74"/>
      <c r="R293" s="74"/>
      <c r="S293" s="74"/>
      <c r="T293" s="74"/>
      <c r="U293" s="74"/>
      <c r="V293" s="74"/>
      <c r="W293" s="74"/>
      <c r="X293" s="74"/>
      <c r="Y293" s="74"/>
    </row>
    <row r="294" ht="26.25" customHeight="1">
      <c r="A294" s="74" t="str">
        <f>IFERROR(__xludf.DUMMYFUNCTION("""COMPUTED_VALUE"""),"Ichapurapu C S V Krishna Devarayalu")</f>
        <v>Ichapurapu C S V Krishna Devarayalu</v>
      </c>
      <c r="B294" s="74" t="str">
        <f>IFERROR(__xludf.DUMMYFUNCTION("""COMPUTED_VALUE"""),"18331A0557")</f>
        <v>18331A0557</v>
      </c>
      <c r="C294" s="90" t="str">
        <f>IFERROR(__xludf.DUMMYFUNCTION("""COMPUTED_VALUE"""),"Machine learning with Verzeo")</f>
        <v>Machine learning with Verzeo</v>
      </c>
      <c r="D294" s="74" t="str">
        <f>IFERROR(__xludf.DUMMYFUNCTION("""COMPUTED_VALUE"""),"Verzeo")</f>
        <v>Verzeo</v>
      </c>
      <c r="E294" s="74" t="str">
        <f>IFERROR(__xludf.DUMMYFUNCTION("""COMPUTED_VALUE"""),"3 months")</f>
        <v>3 months</v>
      </c>
      <c r="F294" s="91">
        <f>IFERROR(__xludf.DUMMYFUNCTION("""COMPUTED_VALUE"""),44096.0)</f>
        <v>44096</v>
      </c>
      <c r="G294" s="91">
        <f>IFERROR(__xludf.DUMMYFUNCTION("""COMPUTED_VALUE"""),44181.0)</f>
        <v>44181</v>
      </c>
      <c r="H294" s="79">
        <f>IFERROR(__xludf.DUMMYFUNCTION("""COMPUTED_VALUE"""),44157.0)</f>
        <v>44157</v>
      </c>
      <c r="I294" s="92"/>
      <c r="J294" s="74" t="str">
        <f>IFERROR(__xludf.DUMMYFUNCTION("""COMPUTED_VALUE"""),"Verzei")</f>
        <v>Verzei</v>
      </c>
      <c r="K294" s="80" t="str">
        <f>IFERROR(__xludf.DUMMYFUNCTION("""COMPUTED_VALUE"""),"https://drive.google.com/open?id=1w3Q2vDhXD7K6JmivRgDShFYxy502g-7Z")</f>
        <v>https://drive.google.com/open?id=1w3Q2vDhXD7K6JmivRgDShFYxy502g-7Z</v>
      </c>
      <c r="L294" s="74" t="str">
        <f>IFERROR(__xludf.DUMMYFUNCTION("""COMPUTED_VALUE"""),"2018-2022")</f>
        <v>2018-2022</v>
      </c>
      <c r="M294" s="74" t="str">
        <f>IFERROR(__xludf.DUMMYFUNCTION("""COMPUTED_VALUE"""),"S4: Student Certifications")</f>
        <v>S4: Student Certifications</v>
      </c>
      <c r="N294" s="74" t="str">
        <f>IFERROR(__xludf.DUMMYFUNCTION("""COMPUTED_VALUE"""),"devarayalu29@gmail.com")</f>
        <v>devarayalu29@gmail.com</v>
      </c>
      <c r="O294" s="74" t="str">
        <f>IFERROR(__xludf.DUMMYFUNCTION("""COMPUTED_VALUE"""),"SEM-8")</f>
        <v>SEM-8</v>
      </c>
      <c r="P294" s="74"/>
      <c r="Q294" s="74"/>
      <c r="R294" s="74"/>
      <c r="S294" s="74"/>
      <c r="T294" s="74"/>
      <c r="U294" s="74"/>
      <c r="V294" s="74"/>
      <c r="W294" s="74"/>
      <c r="X294" s="74"/>
      <c r="Y294" s="74"/>
    </row>
    <row r="295" ht="26.25" customHeight="1">
      <c r="A295" s="74" t="str">
        <f>IFERROR(__xludf.DUMMYFUNCTION("""COMPUTED_VALUE"""),"Gorle Shri Aiswarya")</f>
        <v>Gorle Shri Aiswarya</v>
      </c>
      <c r="B295" s="74" t="str">
        <f>IFERROR(__xludf.DUMMYFUNCTION("""COMPUTED_VALUE"""),"18331A0549")</f>
        <v>18331A0549</v>
      </c>
      <c r="C295" s="90" t="str">
        <f>IFERROR(__xludf.DUMMYFUNCTION("""COMPUTED_VALUE"""),"PYTHON BASICS")</f>
        <v>PYTHON BASICS</v>
      </c>
      <c r="D295" s="74" t="str">
        <f>IFERROR(__xludf.DUMMYFUNCTION("""COMPUTED_VALUE"""),"Coursera")</f>
        <v>Coursera</v>
      </c>
      <c r="E295" s="74" t="str">
        <f>IFERROR(__xludf.DUMMYFUNCTION("""COMPUTED_VALUE"""),"3 months")</f>
        <v>3 months</v>
      </c>
      <c r="F295" s="91">
        <f>IFERROR(__xludf.DUMMYFUNCTION("""COMPUTED_VALUE"""),43875.0)</f>
        <v>43875</v>
      </c>
      <c r="G295" s="91">
        <f>IFERROR(__xludf.DUMMYFUNCTION("""COMPUTED_VALUE"""),43971.0)</f>
        <v>43971</v>
      </c>
      <c r="H295" s="79">
        <f>IFERROR(__xludf.DUMMYFUNCTION("""COMPUTED_VALUE"""),43976.0)</f>
        <v>43976</v>
      </c>
      <c r="I295" s="92">
        <f>IFERROR(__xludf.DUMMYFUNCTION("""COMPUTED_VALUE"""),99.0)</f>
        <v>99</v>
      </c>
      <c r="J295" s="74" t="str">
        <f>IFERROR(__xludf.DUMMYFUNCTION("""COMPUTED_VALUE"""),"Self Learning")</f>
        <v>Self Learning</v>
      </c>
      <c r="K295" s="80" t="str">
        <f>IFERROR(__xludf.DUMMYFUNCTION("""COMPUTED_VALUE"""),"https://drive.google.com/open?id=1DR6n0B5vS7rx8FgO0IsPV3YHM7XgoHqq")</f>
        <v>https://drive.google.com/open?id=1DR6n0B5vS7rx8FgO0IsPV3YHM7XgoHqq</v>
      </c>
      <c r="L295" s="74" t="str">
        <f>IFERROR(__xludf.DUMMYFUNCTION("""COMPUTED_VALUE"""),"2018-2022")</f>
        <v>2018-2022</v>
      </c>
      <c r="M295" s="74" t="str">
        <f>IFERROR(__xludf.DUMMYFUNCTION("""COMPUTED_VALUE"""),"S4: Student Certifications")</f>
        <v>S4: Student Certifications</v>
      </c>
      <c r="N295" s="74" t="str">
        <f>IFERROR(__xludf.DUMMYFUNCTION("""COMPUTED_VALUE"""),"aiswarya15112000@gmail.com")</f>
        <v>aiswarya15112000@gmail.com</v>
      </c>
      <c r="O295" s="74" t="str">
        <f>IFERROR(__xludf.DUMMYFUNCTION("""COMPUTED_VALUE"""),"SEM-8")</f>
        <v>SEM-8</v>
      </c>
      <c r="P295" s="74"/>
      <c r="Q295" s="74"/>
      <c r="R295" s="74"/>
      <c r="S295" s="74"/>
      <c r="T295" s="74"/>
      <c r="U295" s="74"/>
      <c r="V295" s="74"/>
      <c r="W295" s="74"/>
      <c r="X295" s="74"/>
      <c r="Y295" s="74"/>
    </row>
    <row r="296" ht="26.25" customHeight="1">
      <c r="A296" s="74" t="str">
        <f>IFERROR(__xludf.DUMMYFUNCTION("""COMPUTED_VALUE"""),"Gorle Shri Aiswarya")</f>
        <v>Gorle Shri Aiswarya</v>
      </c>
      <c r="B296" s="74" t="str">
        <f>IFERROR(__xludf.DUMMYFUNCTION("""COMPUTED_VALUE"""),"18331A0549")</f>
        <v>18331A0549</v>
      </c>
      <c r="C296" s="90" t="str">
        <f>IFERROR(__xludf.DUMMYFUNCTION("""COMPUTED_VALUE"""),"Basics of c programming")</f>
        <v>Basics of c programming</v>
      </c>
      <c r="D296" s="74" t="str">
        <f>IFERROR(__xludf.DUMMYFUNCTION("""COMPUTED_VALUE"""),"Udemy")</f>
        <v>Udemy</v>
      </c>
      <c r="E296" s="74" t="str">
        <f>IFERROR(__xludf.DUMMYFUNCTION("""COMPUTED_VALUE"""),"60 mins")</f>
        <v>60 mins</v>
      </c>
      <c r="F296" s="91">
        <f>IFERROR(__xludf.DUMMYFUNCTION("""COMPUTED_VALUE"""),43525.0)</f>
        <v>43525</v>
      </c>
      <c r="G296" s="91">
        <f>IFERROR(__xludf.DUMMYFUNCTION("""COMPUTED_VALUE"""),43531.0)</f>
        <v>43531</v>
      </c>
      <c r="H296" s="79">
        <f>IFERROR(__xludf.DUMMYFUNCTION("""COMPUTED_VALUE"""),43547.0)</f>
        <v>43547</v>
      </c>
      <c r="I296" s="92">
        <f>IFERROR(__xludf.DUMMYFUNCTION("""COMPUTED_VALUE"""),100.0)</f>
        <v>100</v>
      </c>
      <c r="J296" s="74" t="str">
        <f>IFERROR(__xludf.DUMMYFUNCTION("""COMPUTED_VALUE"""),"Self Learning")</f>
        <v>Self Learning</v>
      </c>
      <c r="K296" s="80" t="str">
        <f>IFERROR(__xludf.DUMMYFUNCTION("""COMPUTED_VALUE"""),"https://drive.google.com/open?id=1qnoXfzoIm_xbQw2fRc9wW-eeTtUjs97_")</f>
        <v>https://drive.google.com/open?id=1qnoXfzoIm_xbQw2fRc9wW-eeTtUjs97_</v>
      </c>
      <c r="L296" s="74" t="str">
        <f>IFERROR(__xludf.DUMMYFUNCTION("""COMPUTED_VALUE"""),"2018-2022")</f>
        <v>2018-2022</v>
      </c>
      <c r="M296" s="74" t="str">
        <f>IFERROR(__xludf.DUMMYFUNCTION("""COMPUTED_VALUE"""),"S4: Student Certifications")</f>
        <v>S4: Student Certifications</v>
      </c>
      <c r="N296" s="74" t="str">
        <f>IFERROR(__xludf.DUMMYFUNCTION("""COMPUTED_VALUE"""),"aiswarya15112000@gmail.com")</f>
        <v>aiswarya15112000@gmail.com</v>
      </c>
      <c r="O296" s="74" t="str">
        <f>IFERROR(__xludf.DUMMYFUNCTION("""COMPUTED_VALUE"""),"SEM-8")</f>
        <v>SEM-8</v>
      </c>
      <c r="P296" s="74"/>
      <c r="Q296" s="74"/>
      <c r="R296" s="74"/>
      <c r="S296" s="74"/>
      <c r="T296" s="74"/>
      <c r="U296" s="74"/>
      <c r="V296" s="74"/>
      <c r="W296" s="74"/>
      <c r="X296" s="74"/>
      <c r="Y296" s="74"/>
    </row>
    <row r="297" ht="26.25" customHeight="1">
      <c r="A297" s="74" t="str">
        <f>IFERROR(__xludf.DUMMYFUNCTION("""COMPUTED_VALUE"""),"Gorle Shri Aiswarya")</f>
        <v>Gorle Shri Aiswarya</v>
      </c>
      <c r="B297" s="74" t="str">
        <f>IFERROR(__xludf.DUMMYFUNCTION("""COMPUTED_VALUE"""),"18331A0549")</f>
        <v>18331A0549</v>
      </c>
      <c r="C297" s="90" t="str">
        <f>IFERROR(__xludf.DUMMYFUNCTION("""COMPUTED_VALUE"""),"Data Structures Concepts and Singly Linked List")</f>
        <v>Data Structures Concepts and Singly Linked List</v>
      </c>
      <c r="D297" s="74" t="str">
        <f>IFERROR(__xludf.DUMMYFUNCTION("""COMPUTED_VALUE"""),"Udemy")</f>
        <v>Udemy</v>
      </c>
      <c r="E297" s="74" t="str">
        <f>IFERROR(__xludf.DUMMYFUNCTION("""COMPUTED_VALUE"""),"90mins")</f>
        <v>90mins</v>
      </c>
      <c r="F297" s="91">
        <f>IFERROR(__xludf.DUMMYFUNCTION("""COMPUTED_VALUE"""),43970.0)</f>
        <v>43970</v>
      </c>
      <c r="G297" s="91">
        <f>IFERROR(__xludf.DUMMYFUNCTION("""COMPUTED_VALUE"""),43976.0)</f>
        <v>43976</v>
      </c>
      <c r="H297" s="79">
        <f>IFERROR(__xludf.DUMMYFUNCTION("""COMPUTED_VALUE"""),43976.0)</f>
        <v>43976</v>
      </c>
      <c r="I297" s="92"/>
      <c r="J297" s="74" t="str">
        <f>IFERROR(__xludf.DUMMYFUNCTION("""COMPUTED_VALUE"""),"Self Learning")</f>
        <v>Self Learning</v>
      </c>
      <c r="K297" s="80" t="str">
        <f>IFERROR(__xludf.DUMMYFUNCTION("""COMPUTED_VALUE"""),"https://drive.google.com/open?id=1XZPrlwYuQ8RNAX-qNAdMU_fytsLHWrYs")</f>
        <v>https://drive.google.com/open?id=1XZPrlwYuQ8RNAX-qNAdMU_fytsLHWrYs</v>
      </c>
      <c r="L297" s="74" t="str">
        <f>IFERROR(__xludf.DUMMYFUNCTION("""COMPUTED_VALUE"""),"2018-2022")</f>
        <v>2018-2022</v>
      </c>
      <c r="M297" s="74" t="str">
        <f>IFERROR(__xludf.DUMMYFUNCTION("""COMPUTED_VALUE"""),"S4: Student Certifications")</f>
        <v>S4: Student Certifications</v>
      </c>
      <c r="N297" s="74" t="str">
        <f>IFERROR(__xludf.DUMMYFUNCTION("""COMPUTED_VALUE"""),"aiswarya15112000@gmail.com")</f>
        <v>aiswarya15112000@gmail.com</v>
      </c>
      <c r="O297" s="74" t="str">
        <f>IFERROR(__xludf.DUMMYFUNCTION("""COMPUTED_VALUE"""),"SEM-8")</f>
        <v>SEM-8</v>
      </c>
      <c r="P297" s="74"/>
      <c r="Q297" s="74"/>
      <c r="R297" s="74"/>
      <c r="S297" s="74"/>
      <c r="T297" s="74"/>
      <c r="U297" s="74"/>
      <c r="V297" s="74"/>
      <c r="W297" s="74"/>
      <c r="X297" s="74"/>
      <c r="Y297" s="74"/>
    </row>
    <row r="298" ht="26.25" customHeight="1">
      <c r="A298" s="74" t="str">
        <f>IFERROR(__xludf.DUMMYFUNCTION("""COMPUTED_VALUE"""),"Ichapurapu C S V Krishna Devarayalu")</f>
        <v>Ichapurapu C S V Krishna Devarayalu</v>
      </c>
      <c r="B298" s="74" t="str">
        <f>IFERROR(__xludf.DUMMYFUNCTION("""COMPUTED_VALUE"""),"18331A0557")</f>
        <v>18331A0557</v>
      </c>
      <c r="C298" s="90" t="str">
        <f>IFERROR(__xludf.DUMMYFUNCTION("""COMPUTED_VALUE"""),"AWS cloud")</f>
        <v>AWS cloud</v>
      </c>
      <c r="D298" s="74" t="str">
        <f>IFERROR(__xludf.DUMMYFUNCTION("""COMPUTED_VALUE"""),"AWS academy ")</f>
        <v>AWS academy </v>
      </c>
      <c r="E298" s="74" t="str">
        <f>IFERROR(__xludf.DUMMYFUNCTION("""COMPUTED_VALUE"""),"2 months")</f>
        <v>2 months</v>
      </c>
      <c r="F298" s="91">
        <f>IFERROR(__xludf.DUMMYFUNCTION("""COMPUTED_VALUE"""),44166.0)</f>
        <v>44166</v>
      </c>
      <c r="G298" s="91">
        <f>IFERROR(__xludf.DUMMYFUNCTION("""COMPUTED_VALUE"""),44177.0)</f>
        <v>44177</v>
      </c>
      <c r="H298" s="79">
        <f>IFERROR(__xludf.DUMMYFUNCTION("""COMPUTED_VALUE"""),44177.0)</f>
        <v>44177</v>
      </c>
      <c r="I298" s="92">
        <f>IFERROR(__xludf.DUMMYFUNCTION("""COMPUTED_VALUE"""),95.0)</f>
        <v>95</v>
      </c>
      <c r="J298" s="74" t="str">
        <f>IFERROR(__xludf.DUMMYFUNCTION("""COMPUTED_VALUE"""),"Dr.Ravi Kiran Varma")</f>
        <v>Dr.Ravi Kiran Varma</v>
      </c>
      <c r="K298" s="80" t="str">
        <f>IFERROR(__xludf.DUMMYFUNCTION("""COMPUTED_VALUE"""),"https://drive.google.com/open?id=149ESPV0oXnCADUJfxkqG3CkaYT08LuIp")</f>
        <v>https://drive.google.com/open?id=149ESPV0oXnCADUJfxkqG3CkaYT08LuIp</v>
      </c>
      <c r="L298" s="74" t="str">
        <f>IFERROR(__xludf.DUMMYFUNCTION("""COMPUTED_VALUE"""),"2018-2022")</f>
        <v>2018-2022</v>
      </c>
      <c r="M298" s="74" t="str">
        <f>IFERROR(__xludf.DUMMYFUNCTION("""COMPUTED_VALUE"""),"S4: Student Certifications")</f>
        <v>S4: Student Certifications</v>
      </c>
      <c r="N298" s="74" t="str">
        <f>IFERROR(__xludf.DUMMYFUNCTION("""COMPUTED_VALUE"""),"devarayalu29@gmail.com")</f>
        <v>devarayalu29@gmail.com</v>
      </c>
      <c r="O298" s="74" t="str">
        <f>IFERROR(__xludf.DUMMYFUNCTION("""COMPUTED_VALUE"""),"SEM-8")</f>
        <v>SEM-8</v>
      </c>
      <c r="P298" s="74"/>
      <c r="Q298" s="74"/>
      <c r="R298" s="74"/>
      <c r="S298" s="74"/>
      <c r="T298" s="74"/>
      <c r="U298" s="74"/>
      <c r="V298" s="74"/>
      <c r="W298" s="74"/>
      <c r="X298" s="74"/>
      <c r="Y298" s="74"/>
    </row>
    <row r="299" ht="26.25" customHeight="1">
      <c r="A299" s="74" t="str">
        <f>IFERROR(__xludf.DUMMYFUNCTION("""COMPUTED_VALUE"""),"Gulla Sai Bhavana")</f>
        <v>Gulla Sai Bhavana</v>
      </c>
      <c r="B299" s="74" t="str">
        <f>IFERROR(__xludf.DUMMYFUNCTION("""COMPUTED_VALUE"""),"18331A0552")</f>
        <v>18331A0552</v>
      </c>
      <c r="C299" s="90" t="str">
        <f>IFERROR(__xludf.DUMMYFUNCTION("""COMPUTED_VALUE"""),"Udemy c programming")</f>
        <v>Udemy c programming</v>
      </c>
      <c r="D299" s="74" t="str">
        <f>IFERROR(__xludf.DUMMYFUNCTION("""COMPUTED_VALUE"""),"Udemy")</f>
        <v>Udemy</v>
      </c>
      <c r="E299" s="74" t="str">
        <f>IFERROR(__xludf.DUMMYFUNCTION("""COMPUTED_VALUE"""),"60mins")</f>
        <v>60mins</v>
      </c>
      <c r="F299" s="91">
        <f>IFERROR(__xludf.DUMMYFUNCTION("""COMPUTED_VALUE"""),43434.0)</f>
        <v>43434</v>
      </c>
      <c r="G299" s="91">
        <f>IFERROR(__xludf.DUMMYFUNCTION("""COMPUTED_VALUE"""),43441.0)</f>
        <v>43441</v>
      </c>
      <c r="H299" s="79">
        <f>IFERROR(__xludf.DUMMYFUNCTION("""COMPUTED_VALUE"""),43441.0)</f>
        <v>43441</v>
      </c>
      <c r="I299" s="92">
        <f>IFERROR(__xludf.DUMMYFUNCTION("""COMPUTED_VALUE"""),90.0)</f>
        <v>90</v>
      </c>
      <c r="J299" s="74" t="str">
        <f>IFERROR(__xludf.DUMMYFUNCTION("""COMPUTED_VALUE"""),"Self learning")</f>
        <v>Self learning</v>
      </c>
      <c r="K299" s="80" t="str">
        <f>IFERROR(__xludf.DUMMYFUNCTION("""COMPUTED_VALUE"""),"https://drive.google.com/open?id=104yQPZ9U-vypFW9lO_evhFhRF4jQHd61")</f>
        <v>https://drive.google.com/open?id=104yQPZ9U-vypFW9lO_evhFhRF4jQHd61</v>
      </c>
      <c r="L299" s="74" t="str">
        <f>IFERROR(__xludf.DUMMYFUNCTION("""COMPUTED_VALUE"""),"2018-2022")</f>
        <v>2018-2022</v>
      </c>
      <c r="M299" s="74" t="str">
        <f>IFERROR(__xludf.DUMMYFUNCTION("""COMPUTED_VALUE"""),"S4: Student Certifications")</f>
        <v>S4: Student Certifications</v>
      </c>
      <c r="N299" s="74" t="str">
        <f>IFERROR(__xludf.DUMMYFUNCTION("""COMPUTED_VALUE"""),"saibhavana.as16@gmail.com")</f>
        <v>saibhavana.as16@gmail.com</v>
      </c>
      <c r="O299" s="74" t="str">
        <f>IFERROR(__xludf.DUMMYFUNCTION("""COMPUTED_VALUE"""),"SEM-1")</f>
        <v>SEM-1</v>
      </c>
      <c r="P299" s="74"/>
      <c r="Q299" s="74"/>
      <c r="R299" s="74"/>
      <c r="S299" s="74"/>
      <c r="T299" s="74"/>
      <c r="U299" s="74"/>
      <c r="V299" s="74"/>
      <c r="W299" s="74"/>
      <c r="X299" s="74"/>
      <c r="Y299" s="74"/>
    </row>
    <row r="300" ht="26.25" customHeight="1">
      <c r="A300" s="78" t="str">
        <f>IFERROR(__xludf.DUMMYFUNCTION("""COMPUTED_VALUE"""),"Dumpa Divakar Reddy")</f>
        <v>Dumpa Divakar Reddy</v>
      </c>
      <c r="B300" s="78" t="str">
        <f>IFERROR(__xludf.DUMMYFUNCTION("""COMPUTED_VALUE"""),"18331A0536")</f>
        <v>18331A0536</v>
      </c>
      <c r="C300" s="93" t="str">
        <f>IFERROR(__xludf.DUMMYFUNCTION("""COMPUTED_VALUE"""),"AWS")</f>
        <v>AWS</v>
      </c>
      <c r="D300" s="78" t="str">
        <f>IFERROR(__xludf.DUMMYFUNCTION("""COMPUTED_VALUE"""),"Mvgr")</f>
        <v>Mvgr</v>
      </c>
      <c r="E300" s="78" t="str">
        <f>IFERROR(__xludf.DUMMYFUNCTION("""COMPUTED_VALUE"""),"8 weeks")</f>
        <v>8 weeks</v>
      </c>
      <c r="F300" s="94">
        <f>IFERROR(__xludf.DUMMYFUNCTION("""COMPUTED_VALUE"""),44481.0)</f>
        <v>44481</v>
      </c>
      <c r="G300" s="94">
        <f>IFERROR(__xludf.DUMMYFUNCTION("""COMPUTED_VALUE"""),44542.0)</f>
        <v>44542</v>
      </c>
      <c r="H300" s="84">
        <f>IFERROR(__xludf.DUMMYFUNCTION("""COMPUTED_VALUE"""),44554.0)</f>
        <v>44554</v>
      </c>
      <c r="I300" s="95"/>
      <c r="J300" s="78" t="str">
        <f>IFERROR(__xludf.DUMMYFUNCTION("""COMPUTED_VALUE"""),"Ravi kiran varma")</f>
        <v>Ravi kiran varma</v>
      </c>
      <c r="K300" s="85" t="str">
        <f>IFERROR(__xludf.DUMMYFUNCTION("""COMPUTED_VALUE"""),"https://drive.google.com/open?id=1tOHKevKif4koHSLOdb0tc4-Ry3FHkosy")</f>
        <v>https://drive.google.com/open?id=1tOHKevKif4koHSLOdb0tc4-Ry3FHkosy</v>
      </c>
      <c r="L300" s="78" t="str">
        <f>IFERROR(__xludf.DUMMYFUNCTION("""COMPUTED_VALUE"""),"2018-2022")</f>
        <v>2018-2022</v>
      </c>
      <c r="M300" s="78" t="str">
        <f>IFERROR(__xludf.DUMMYFUNCTION("""COMPUTED_VALUE"""),"S4: Student Certifications")</f>
        <v>S4: Student Certifications</v>
      </c>
      <c r="N300" s="78" t="str">
        <f>IFERROR(__xludf.DUMMYFUNCTION("""COMPUTED_VALUE"""),"dumpadivakarreddy22@gmail.com")</f>
        <v>dumpadivakarreddy22@gmail.com</v>
      </c>
      <c r="O300" s="78" t="str">
        <f>IFERROR(__xludf.DUMMYFUNCTION("""COMPUTED_VALUE"""),"SEM-8")</f>
        <v>SEM-8</v>
      </c>
      <c r="P300" s="78"/>
      <c r="Q300" s="78"/>
      <c r="R300" s="78"/>
      <c r="S300" s="78"/>
      <c r="T300" s="78"/>
      <c r="U300" s="78"/>
      <c r="V300" s="78"/>
      <c r="W300" s="78"/>
      <c r="X300" s="78"/>
      <c r="Y300" s="78"/>
    </row>
    <row r="301" ht="26.25" customHeight="1">
      <c r="A301" s="74" t="str">
        <f>IFERROR(__xludf.DUMMYFUNCTION("""COMPUTED_VALUE"""),"MUKHEE JYOTHSNA")</f>
        <v>MUKHEE JYOTHSNA</v>
      </c>
      <c r="B301" s="74" t="str">
        <f>IFERROR(__xludf.DUMMYFUNCTION("""COMPUTED_VALUE"""),"18331A05A2")</f>
        <v>18331A05A2</v>
      </c>
      <c r="C301" s="90" t="str">
        <f>IFERROR(__xludf.DUMMYFUNCTION("""COMPUTED_VALUE"""),"Programming for Everybody (Getting Started with Python)")</f>
        <v>Programming for Everybody (Getting Started with Python)</v>
      </c>
      <c r="D301" s="74" t="str">
        <f>IFERROR(__xludf.DUMMYFUNCTION("""COMPUTED_VALUE"""),"Coursera")</f>
        <v>Coursera</v>
      </c>
      <c r="E301" s="74" t="str">
        <f>IFERROR(__xludf.DUMMYFUNCTION("""COMPUTED_VALUE"""),"2 Months")</f>
        <v>2 Months</v>
      </c>
      <c r="F301" s="91">
        <f>IFERROR(__xludf.DUMMYFUNCTION("""COMPUTED_VALUE"""),43899.0)</f>
        <v>43899</v>
      </c>
      <c r="G301" s="91">
        <f>IFERROR(__xludf.DUMMYFUNCTION("""COMPUTED_VALUE"""),43949.0)</f>
        <v>43949</v>
      </c>
      <c r="H301" s="79">
        <f>IFERROR(__xludf.DUMMYFUNCTION("""COMPUTED_VALUE"""),43949.0)</f>
        <v>43949</v>
      </c>
      <c r="I301" s="92"/>
      <c r="J301" s="74" t="str">
        <f>IFERROR(__xludf.DUMMYFUNCTION("""COMPUTED_VALUE"""),"Coursera")</f>
        <v>Coursera</v>
      </c>
      <c r="K301" s="80" t="str">
        <f>IFERROR(__xludf.DUMMYFUNCTION("""COMPUTED_VALUE"""),"https://drive.google.com/open?id=1IHDuFGK8kbwPdBAfTzfr3Yms7U5O4m0P")</f>
        <v>https://drive.google.com/open?id=1IHDuFGK8kbwPdBAfTzfr3Yms7U5O4m0P</v>
      </c>
      <c r="L301" s="74" t="str">
        <f>IFERROR(__xludf.DUMMYFUNCTION("""COMPUTED_VALUE"""),"2018-2022")</f>
        <v>2018-2022</v>
      </c>
      <c r="M301" s="74" t="str">
        <f>IFERROR(__xludf.DUMMYFUNCTION("""COMPUTED_VALUE"""),"S4: Student Certifications")</f>
        <v>S4: Student Certifications</v>
      </c>
      <c r="N301" s="74" t="str">
        <f>IFERROR(__xludf.DUMMYFUNCTION("""COMPUTED_VALUE"""),"jyothsnamukhee03@gmail.com")</f>
        <v>jyothsnamukhee03@gmail.com</v>
      </c>
      <c r="O301" s="74" t="str">
        <f>IFERROR(__xludf.DUMMYFUNCTION("""COMPUTED_VALUE"""),"SEM-8")</f>
        <v>SEM-8</v>
      </c>
      <c r="P301" s="74"/>
      <c r="Q301" s="74"/>
      <c r="R301" s="74"/>
      <c r="S301" s="74"/>
      <c r="T301" s="74"/>
      <c r="U301" s="74"/>
      <c r="V301" s="74"/>
      <c r="W301" s="74"/>
      <c r="X301" s="74"/>
      <c r="Y301" s="74"/>
    </row>
    <row r="302" ht="26.25" customHeight="1">
      <c r="A302" s="74" t="str">
        <f>IFERROR(__xludf.DUMMYFUNCTION("""COMPUTED_VALUE"""),"MUKHEE JYOTHSNA")</f>
        <v>MUKHEE JYOTHSNA</v>
      </c>
      <c r="B302" s="74" t="str">
        <f>IFERROR(__xludf.DUMMYFUNCTION("""COMPUTED_VALUE"""),"18331A05A2")</f>
        <v>18331A05A2</v>
      </c>
      <c r="C302" s="90" t="str">
        <f>IFERROR(__xludf.DUMMYFUNCTION("""COMPUTED_VALUE"""),"Python Data Structures")</f>
        <v>Python Data Structures</v>
      </c>
      <c r="D302" s="74" t="str">
        <f>IFERROR(__xludf.DUMMYFUNCTION("""COMPUTED_VALUE"""),"Coursera")</f>
        <v>Coursera</v>
      </c>
      <c r="E302" s="74" t="str">
        <f>IFERROR(__xludf.DUMMYFUNCTION("""COMPUTED_VALUE"""),"2 Months")</f>
        <v>2 Months</v>
      </c>
      <c r="F302" s="91">
        <f>IFERROR(__xludf.DUMMYFUNCTION("""COMPUTED_VALUE"""),43959.0)</f>
        <v>43959</v>
      </c>
      <c r="G302" s="91">
        <f>IFERROR(__xludf.DUMMYFUNCTION("""COMPUTED_VALUE"""),43990.0)</f>
        <v>43990</v>
      </c>
      <c r="H302" s="79">
        <f>IFERROR(__xludf.DUMMYFUNCTION("""COMPUTED_VALUE"""),43990.0)</f>
        <v>43990</v>
      </c>
      <c r="I302" s="92"/>
      <c r="J302" s="74" t="str">
        <f>IFERROR(__xludf.DUMMYFUNCTION("""COMPUTED_VALUE"""),"Coursera")</f>
        <v>Coursera</v>
      </c>
      <c r="K302" s="80" t="str">
        <f>IFERROR(__xludf.DUMMYFUNCTION("""COMPUTED_VALUE"""),"https://drive.google.com/open?id=13jDW6BHQVmmW42YSPFBqxRreQFVJWysf")</f>
        <v>https://drive.google.com/open?id=13jDW6BHQVmmW42YSPFBqxRreQFVJWysf</v>
      </c>
      <c r="L302" s="74" t="str">
        <f>IFERROR(__xludf.DUMMYFUNCTION("""COMPUTED_VALUE"""),"2018-2022")</f>
        <v>2018-2022</v>
      </c>
      <c r="M302" s="74" t="str">
        <f>IFERROR(__xludf.DUMMYFUNCTION("""COMPUTED_VALUE"""),"S4: Student Certifications")</f>
        <v>S4: Student Certifications</v>
      </c>
      <c r="N302" s="74" t="str">
        <f>IFERROR(__xludf.DUMMYFUNCTION("""COMPUTED_VALUE"""),"jyothsnamukhee03@gmail.com")</f>
        <v>jyothsnamukhee03@gmail.com</v>
      </c>
      <c r="O302" s="74" t="str">
        <f>IFERROR(__xludf.DUMMYFUNCTION("""COMPUTED_VALUE"""),"SEM-8")</f>
        <v>SEM-8</v>
      </c>
      <c r="P302" s="74"/>
      <c r="Q302" s="74"/>
      <c r="R302" s="74"/>
      <c r="S302" s="74"/>
      <c r="T302" s="74"/>
      <c r="U302" s="74"/>
      <c r="V302" s="74"/>
      <c r="W302" s="74"/>
      <c r="X302" s="74"/>
      <c r="Y302" s="74"/>
    </row>
    <row r="303" ht="26.25" customHeight="1">
      <c r="A303" s="74" t="str">
        <f>IFERROR(__xludf.DUMMYFUNCTION("""COMPUTED_VALUE"""),"MUKHEE JYOTHSNA")</f>
        <v>MUKHEE JYOTHSNA</v>
      </c>
      <c r="B303" s="74" t="str">
        <f>IFERROR(__xludf.DUMMYFUNCTION("""COMPUTED_VALUE"""),"18331A05A2")</f>
        <v>18331A05A2</v>
      </c>
      <c r="C303" s="90" t="str">
        <f>IFERROR(__xludf.DUMMYFUNCTION("""COMPUTED_VALUE"""),"Linux Essentials")</f>
        <v>Linux Essentials</v>
      </c>
      <c r="D303" s="74" t="str">
        <f>IFERROR(__xludf.DUMMYFUNCTION("""COMPUTED_VALUE"""),"CISCO")</f>
        <v>CISCO</v>
      </c>
      <c r="E303" s="74" t="str">
        <f>IFERROR(__xludf.DUMMYFUNCTION("""COMPUTED_VALUE"""),"2 Months")</f>
        <v>2 Months</v>
      </c>
      <c r="F303" s="91">
        <f>IFERROR(__xludf.DUMMYFUNCTION("""COMPUTED_VALUE"""),43918.0)</f>
        <v>43918</v>
      </c>
      <c r="G303" s="91">
        <f>IFERROR(__xludf.DUMMYFUNCTION("""COMPUTED_VALUE"""),43979.0)</f>
        <v>43979</v>
      </c>
      <c r="H303" s="79">
        <f>IFERROR(__xludf.DUMMYFUNCTION("""COMPUTED_VALUE"""),43979.0)</f>
        <v>43979</v>
      </c>
      <c r="I303" s="92"/>
      <c r="J303" s="74" t="str">
        <f>IFERROR(__xludf.DUMMYFUNCTION("""COMPUTED_VALUE"""),"Dr. Ravi Kiran Varma ")</f>
        <v>Dr. Ravi Kiran Varma </v>
      </c>
      <c r="K303" s="80" t="str">
        <f>IFERROR(__xludf.DUMMYFUNCTION("""COMPUTED_VALUE"""),"https://drive.google.com/open?id=1lyip7oxDkH1x2-lP8ojF2p4l2zLatMLF")</f>
        <v>https://drive.google.com/open?id=1lyip7oxDkH1x2-lP8ojF2p4l2zLatMLF</v>
      </c>
      <c r="L303" s="74" t="str">
        <f>IFERROR(__xludf.DUMMYFUNCTION("""COMPUTED_VALUE"""),"2018-2022")</f>
        <v>2018-2022</v>
      </c>
      <c r="M303" s="74" t="str">
        <f>IFERROR(__xludf.DUMMYFUNCTION("""COMPUTED_VALUE"""),"S4: Student Certifications")</f>
        <v>S4: Student Certifications</v>
      </c>
      <c r="N303" s="74" t="str">
        <f>IFERROR(__xludf.DUMMYFUNCTION("""COMPUTED_VALUE"""),"jyothsnamukhee03@gmail.com")</f>
        <v>jyothsnamukhee03@gmail.com</v>
      </c>
      <c r="O303" s="74" t="str">
        <f>IFERROR(__xludf.DUMMYFUNCTION("""COMPUTED_VALUE"""),"SEM-8")</f>
        <v>SEM-8</v>
      </c>
      <c r="P303" s="74"/>
      <c r="Q303" s="74"/>
      <c r="R303" s="74"/>
      <c r="S303" s="74"/>
      <c r="T303" s="74"/>
      <c r="U303" s="74"/>
      <c r="V303" s="74"/>
      <c r="W303" s="74"/>
      <c r="X303" s="74"/>
      <c r="Y303" s="74"/>
    </row>
    <row r="304" ht="26.25" customHeight="1">
      <c r="A304" s="74" t="str">
        <f>IFERROR(__xludf.DUMMYFUNCTION("""COMPUTED_VALUE"""),"MUKHEE JYOTHSNA")</f>
        <v>MUKHEE JYOTHSNA</v>
      </c>
      <c r="B304" s="74" t="str">
        <f>IFERROR(__xludf.DUMMYFUNCTION("""COMPUTED_VALUE"""),"18331A05A2")</f>
        <v>18331A05A2</v>
      </c>
      <c r="C304" s="90" t="str">
        <f>IFERROR(__xludf.DUMMYFUNCTION("""COMPUTED_VALUE"""),"Introduction to IoT")</f>
        <v>Introduction to IoT</v>
      </c>
      <c r="D304" s="74" t="str">
        <f>IFERROR(__xludf.DUMMYFUNCTION("""COMPUTED_VALUE"""),"CISCO")</f>
        <v>CISCO</v>
      </c>
      <c r="E304" s="74" t="str">
        <f>IFERROR(__xludf.DUMMYFUNCTION("""COMPUTED_VALUE"""),"3months")</f>
        <v>3months</v>
      </c>
      <c r="F304" s="91">
        <f>IFERROR(__xludf.DUMMYFUNCTION("""COMPUTED_VALUE"""),43686.0)</f>
        <v>43686</v>
      </c>
      <c r="G304" s="91">
        <f>IFERROR(__xludf.DUMMYFUNCTION("""COMPUTED_VALUE"""),43777.0)</f>
        <v>43777</v>
      </c>
      <c r="H304" s="79">
        <f>IFERROR(__xludf.DUMMYFUNCTION("""COMPUTED_VALUE"""),43777.0)</f>
        <v>43777</v>
      </c>
      <c r="I304" s="92"/>
      <c r="J304" s="74" t="str">
        <f>IFERROR(__xludf.DUMMYFUNCTION("""COMPUTED_VALUE"""),"K V Subba Raju")</f>
        <v>K V Subba Raju</v>
      </c>
      <c r="K304" s="80" t="str">
        <f>IFERROR(__xludf.DUMMYFUNCTION("""COMPUTED_VALUE"""),"https://drive.google.com/open?id=1vcHf6jIBARYMnFgJ8qweSZMkRjKwh6qh")</f>
        <v>https://drive.google.com/open?id=1vcHf6jIBARYMnFgJ8qweSZMkRjKwh6qh</v>
      </c>
      <c r="L304" s="74" t="str">
        <f>IFERROR(__xludf.DUMMYFUNCTION("""COMPUTED_VALUE"""),"2018-2022")</f>
        <v>2018-2022</v>
      </c>
      <c r="M304" s="74" t="str">
        <f>IFERROR(__xludf.DUMMYFUNCTION("""COMPUTED_VALUE"""),"S4: Student Certifications")</f>
        <v>S4: Student Certifications</v>
      </c>
      <c r="N304" s="74" t="str">
        <f>IFERROR(__xludf.DUMMYFUNCTION("""COMPUTED_VALUE"""),"jyothsnamukhee03@gmail.com")</f>
        <v>jyothsnamukhee03@gmail.com</v>
      </c>
      <c r="O304" s="74" t="str">
        <f>IFERROR(__xludf.DUMMYFUNCTION("""COMPUTED_VALUE"""),"SEM-8")</f>
        <v>SEM-8</v>
      </c>
      <c r="P304" s="74"/>
      <c r="Q304" s="74"/>
      <c r="R304" s="74"/>
      <c r="S304" s="74"/>
      <c r="T304" s="74"/>
      <c r="U304" s="74"/>
      <c r="V304" s="74"/>
      <c r="W304" s="74"/>
      <c r="X304" s="74"/>
      <c r="Y304" s="74"/>
    </row>
    <row r="305" ht="26.25" customHeight="1">
      <c r="A305" s="74" t="str">
        <f>IFERROR(__xludf.DUMMYFUNCTION("""COMPUTED_VALUE"""),"B Himavarsha")</f>
        <v>B Himavarsha</v>
      </c>
      <c r="B305" s="74" t="str">
        <f>IFERROR(__xludf.DUMMYFUNCTION("""COMPUTED_VALUE"""),"18331A0509")</f>
        <v>18331A0509</v>
      </c>
      <c r="C305" s="90" t="str">
        <f>IFERROR(__xludf.DUMMYFUNCTION("""COMPUTED_VALUE"""),"Interactivity with javascript")</f>
        <v>Interactivity with javascript</v>
      </c>
      <c r="D305" s="74" t="str">
        <f>IFERROR(__xludf.DUMMYFUNCTION("""COMPUTED_VALUE"""),"coursera")</f>
        <v>coursera</v>
      </c>
      <c r="E305" s="74" t="str">
        <f>IFERROR(__xludf.DUMMYFUNCTION("""COMPUTED_VALUE"""),"1 month")</f>
        <v>1 month</v>
      </c>
      <c r="F305" s="91">
        <f>IFERROR(__xludf.DUMMYFUNCTION("""COMPUTED_VALUE"""),43836.0)</f>
        <v>43836</v>
      </c>
      <c r="G305" s="91">
        <f>IFERROR(__xludf.DUMMYFUNCTION("""COMPUTED_VALUE"""),43867.0)</f>
        <v>43867</v>
      </c>
      <c r="H305" s="79">
        <f>IFERROR(__xludf.DUMMYFUNCTION("""COMPUTED_VALUE"""),43867.0)</f>
        <v>43867</v>
      </c>
      <c r="I305" s="92">
        <f>IFERROR(__xludf.DUMMYFUNCTION("""COMPUTED_VALUE"""),95.0)</f>
        <v>95</v>
      </c>
      <c r="J305" s="74" t="str">
        <f>IFERROR(__xludf.DUMMYFUNCTION("""COMPUTED_VALUE"""),"Online")</f>
        <v>Online</v>
      </c>
      <c r="K305" s="80" t="str">
        <f>IFERROR(__xludf.DUMMYFUNCTION("""COMPUTED_VALUE"""),"https://drive.google.com/open?id=1KtTbj7IeX1qRiGMk6w-TrmpeGOo0SNxk")</f>
        <v>https://drive.google.com/open?id=1KtTbj7IeX1qRiGMk6w-TrmpeGOo0SNxk</v>
      </c>
      <c r="L305" s="74" t="str">
        <f>IFERROR(__xludf.DUMMYFUNCTION("""COMPUTED_VALUE"""),"2018-2022")</f>
        <v>2018-2022</v>
      </c>
      <c r="M305" s="74" t="str">
        <f>IFERROR(__xludf.DUMMYFUNCTION("""COMPUTED_VALUE"""),"S4: Student Certifications")</f>
        <v>S4: Student Certifications</v>
      </c>
      <c r="N305" s="74" t="str">
        <f>IFERROR(__xludf.DUMMYFUNCTION("""COMPUTED_VALUE"""),"varuhima20@gmail.com")</f>
        <v>varuhima20@gmail.com</v>
      </c>
      <c r="O305" s="74" t="str">
        <f>IFERROR(__xludf.DUMMYFUNCTION("""COMPUTED_VALUE"""),"SEM-8")</f>
        <v>SEM-8</v>
      </c>
      <c r="P305" s="74"/>
      <c r="Q305" s="74"/>
      <c r="R305" s="74"/>
      <c r="S305" s="74"/>
      <c r="T305" s="74"/>
      <c r="U305" s="74"/>
      <c r="V305" s="74"/>
      <c r="W305" s="74"/>
      <c r="X305" s="74"/>
      <c r="Y305" s="74"/>
    </row>
    <row r="306" ht="26.25" customHeight="1">
      <c r="A306" s="74" t="str">
        <f>IFERROR(__xludf.DUMMYFUNCTION("""COMPUTED_VALUE"""),"MUKHEE JYOTHSNA")</f>
        <v>MUKHEE JYOTHSNA</v>
      </c>
      <c r="B306" s="74" t="str">
        <f>IFERROR(__xludf.DUMMYFUNCTION("""COMPUTED_VALUE"""),"18331A05A2")</f>
        <v>18331A05A2</v>
      </c>
      <c r="C306" s="90" t="str">
        <f>IFERROR(__xludf.DUMMYFUNCTION("""COMPUTED_VALUE"""),"Cybersecurity Essentials")</f>
        <v>Cybersecurity Essentials</v>
      </c>
      <c r="D306" s="74" t="str">
        <f>IFERROR(__xludf.DUMMYFUNCTION("""COMPUTED_VALUE"""),"CISCO")</f>
        <v>CISCO</v>
      </c>
      <c r="E306" s="74" t="str">
        <f>IFERROR(__xludf.DUMMYFUNCTION("""COMPUTED_VALUE"""),"1 MONTH")</f>
        <v>1 MONTH</v>
      </c>
      <c r="F306" s="91">
        <f>IFERROR(__xludf.DUMMYFUNCTION("""COMPUTED_VALUE"""),44007.0)</f>
        <v>44007</v>
      </c>
      <c r="G306" s="91">
        <f>IFERROR(__xludf.DUMMYFUNCTION("""COMPUTED_VALUE"""),43672.0)</f>
        <v>43672</v>
      </c>
      <c r="H306" s="79">
        <f>IFERROR(__xludf.DUMMYFUNCTION("""COMPUTED_VALUE"""),43672.0)</f>
        <v>43672</v>
      </c>
      <c r="I306" s="92"/>
      <c r="J306" s="74" t="str">
        <f>IFERROR(__xludf.DUMMYFUNCTION("""COMPUTED_VALUE"""),"Dr. Ravi Kiran Varma")</f>
        <v>Dr. Ravi Kiran Varma</v>
      </c>
      <c r="K306" s="80" t="str">
        <f>IFERROR(__xludf.DUMMYFUNCTION("""COMPUTED_VALUE"""),"https://drive.google.com/open?id=1WgcdOGmJehGo22q_Q3xA0nKWoCTqTHG6")</f>
        <v>https://drive.google.com/open?id=1WgcdOGmJehGo22q_Q3xA0nKWoCTqTHG6</v>
      </c>
      <c r="L306" s="74" t="str">
        <f>IFERROR(__xludf.DUMMYFUNCTION("""COMPUTED_VALUE"""),"2018-2022")</f>
        <v>2018-2022</v>
      </c>
      <c r="M306" s="74" t="str">
        <f>IFERROR(__xludf.DUMMYFUNCTION("""COMPUTED_VALUE"""),"S4: Student Certifications")</f>
        <v>S4: Student Certifications</v>
      </c>
      <c r="N306" s="74" t="str">
        <f>IFERROR(__xludf.DUMMYFUNCTION("""COMPUTED_VALUE"""),"jyothsnamukhee03@gmail.com")</f>
        <v>jyothsnamukhee03@gmail.com</v>
      </c>
      <c r="O306" s="74" t="str">
        <f>IFERROR(__xludf.DUMMYFUNCTION("""COMPUTED_VALUE"""),"SEM-8")</f>
        <v>SEM-8</v>
      </c>
      <c r="P306" s="74"/>
      <c r="Q306" s="74"/>
      <c r="R306" s="74"/>
      <c r="S306" s="74"/>
      <c r="T306" s="74"/>
      <c r="U306" s="74"/>
      <c r="V306" s="74"/>
      <c r="W306" s="74"/>
      <c r="X306" s="74"/>
      <c r="Y306" s="74"/>
    </row>
    <row r="307" ht="26.25" customHeight="1">
      <c r="A307" s="74" t="str">
        <f>IFERROR(__xludf.DUMMYFUNCTION("""COMPUTED_VALUE"""),"MUKHEE JYOTHSNA")</f>
        <v>MUKHEE JYOTHSNA</v>
      </c>
      <c r="B307" s="74" t="str">
        <f>IFERROR(__xludf.DUMMYFUNCTION("""COMPUTED_VALUE"""),"18331A05A2")</f>
        <v>18331A05A2</v>
      </c>
      <c r="C307" s="90" t="str">
        <f>IFERROR(__xludf.DUMMYFUNCTION("""COMPUTED_VALUE"""),"Programming Essentials in Python")</f>
        <v>Programming Essentials in Python</v>
      </c>
      <c r="D307" s="74" t="str">
        <f>IFERROR(__xludf.DUMMYFUNCTION("""COMPUTED_VALUE"""),"CISCO")</f>
        <v>CISCO</v>
      </c>
      <c r="E307" s="74" t="str">
        <f>IFERROR(__xludf.DUMMYFUNCTION("""COMPUTED_VALUE"""),"2 Months")</f>
        <v>2 Months</v>
      </c>
      <c r="F307" s="91">
        <f>IFERROR(__xludf.DUMMYFUNCTION("""COMPUTED_VALUE"""),44325.0)</f>
        <v>44325</v>
      </c>
      <c r="G307" s="91">
        <f>IFERROR(__xludf.DUMMYFUNCTION("""COMPUTED_VALUE"""),44386.0)</f>
        <v>44386</v>
      </c>
      <c r="H307" s="79">
        <f>IFERROR(__xludf.DUMMYFUNCTION("""COMPUTED_VALUE"""),44386.0)</f>
        <v>44386</v>
      </c>
      <c r="I307" s="92"/>
      <c r="J307" s="74" t="str">
        <f>IFERROR(__xludf.DUMMYFUNCTION("""COMPUTED_VALUE"""),"K V Subba Raju")</f>
        <v>K V Subba Raju</v>
      </c>
      <c r="K307" s="80" t="str">
        <f>IFERROR(__xludf.DUMMYFUNCTION("""COMPUTED_VALUE"""),"https://drive.google.com/open?id=1QS0nQI88rgIEiYjj7TO4KU58qQvkytVU")</f>
        <v>https://drive.google.com/open?id=1QS0nQI88rgIEiYjj7TO4KU58qQvkytVU</v>
      </c>
      <c r="L307" s="74" t="str">
        <f>IFERROR(__xludf.DUMMYFUNCTION("""COMPUTED_VALUE"""),"2018-2022")</f>
        <v>2018-2022</v>
      </c>
      <c r="M307" s="74" t="str">
        <f>IFERROR(__xludf.DUMMYFUNCTION("""COMPUTED_VALUE"""),"S4: Student Certifications")</f>
        <v>S4: Student Certifications</v>
      </c>
      <c r="N307" s="74" t="str">
        <f>IFERROR(__xludf.DUMMYFUNCTION("""COMPUTED_VALUE"""),"jyothsnamukhee03@gmail.com")</f>
        <v>jyothsnamukhee03@gmail.com</v>
      </c>
      <c r="O307" s="74" t="str">
        <f>IFERROR(__xludf.DUMMYFUNCTION("""COMPUTED_VALUE"""),"SEM-8")</f>
        <v>SEM-8</v>
      </c>
      <c r="P307" s="74"/>
      <c r="Q307" s="74"/>
      <c r="R307" s="74"/>
      <c r="S307" s="74"/>
      <c r="T307" s="74"/>
      <c r="U307" s="74"/>
      <c r="V307" s="74"/>
      <c r="W307" s="74"/>
      <c r="X307" s="74"/>
      <c r="Y307" s="74"/>
    </row>
    <row r="308" ht="26.25" customHeight="1">
      <c r="A308" s="74" t="str">
        <f>IFERROR(__xludf.DUMMYFUNCTION("""COMPUTED_VALUE"""),"MUKHEE JYOTHSNA")</f>
        <v>MUKHEE JYOTHSNA</v>
      </c>
      <c r="B308" s="74" t="str">
        <f>IFERROR(__xludf.DUMMYFUNCTION("""COMPUTED_VALUE"""),"18331A05A2")</f>
        <v>18331A05A2</v>
      </c>
      <c r="C308" s="90" t="str">
        <f>IFERROR(__xludf.DUMMYFUNCTION("""COMPUTED_VALUE"""),"Programming Essentials in C")</f>
        <v>Programming Essentials in C</v>
      </c>
      <c r="D308" s="74" t="str">
        <f>IFERROR(__xludf.DUMMYFUNCTION("""COMPUTED_VALUE"""),"CISCO")</f>
        <v>CISCO</v>
      </c>
      <c r="E308" s="74" t="str">
        <f>IFERROR(__xludf.DUMMYFUNCTION("""COMPUTED_VALUE"""),"2 Months")</f>
        <v>2 Months</v>
      </c>
      <c r="F308" s="91">
        <f>IFERROR(__xludf.DUMMYFUNCTION("""COMPUTED_VALUE"""),43611.0)</f>
        <v>43611</v>
      </c>
      <c r="G308" s="91">
        <f>IFERROR(__xludf.DUMMYFUNCTION("""COMPUTED_VALUE"""),43672.0)</f>
        <v>43672</v>
      </c>
      <c r="H308" s="79">
        <f>IFERROR(__xludf.DUMMYFUNCTION("""COMPUTED_VALUE"""),43672.0)</f>
        <v>43672</v>
      </c>
      <c r="I308" s="92"/>
      <c r="J308" s="74" t="str">
        <f>IFERROR(__xludf.DUMMYFUNCTION("""COMPUTED_VALUE"""),"VAMSI KRISHNA MAHABHASHYAM")</f>
        <v>VAMSI KRISHNA MAHABHASHYAM</v>
      </c>
      <c r="K308" s="80" t="str">
        <f>IFERROR(__xludf.DUMMYFUNCTION("""COMPUTED_VALUE"""),"https://drive.google.com/open?id=1JG2cKnTAt6FFwBtdLaOvidtCwg1Gx4CN")</f>
        <v>https://drive.google.com/open?id=1JG2cKnTAt6FFwBtdLaOvidtCwg1Gx4CN</v>
      </c>
      <c r="L308" s="74" t="str">
        <f>IFERROR(__xludf.DUMMYFUNCTION("""COMPUTED_VALUE"""),"2018-2022")</f>
        <v>2018-2022</v>
      </c>
      <c r="M308" s="74" t="str">
        <f>IFERROR(__xludf.DUMMYFUNCTION("""COMPUTED_VALUE"""),"S4: Student Certifications")</f>
        <v>S4: Student Certifications</v>
      </c>
      <c r="N308" s="74" t="str">
        <f>IFERROR(__xludf.DUMMYFUNCTION("""COMPUTED_VALUE"""),"jyothsnamukhee03@gmail.com")</f>
        <v>jyothsnamukhee03@gmail.com</v>
      </c>
      <c r="O308" s="74" t="str">
        <f>IFERROR(__xludf.DUMMYFUNCTION("""COMPUTED_VALUE"""),"SEM-8")</f>
        <v>SEM-8</v>
      </c>
      <c r="P308" s="74"/>
      <c r="Q308" s="74"/>
      <c r="R308" s="74"/>
      <c r="S308" s="74"/>
      <c r="T308" s="74"/>
      <c r="U308" s="74"/>
      <c r="V308" s="74"/>
      <c r="W308" s="74"/>
      <c r="X308" s="74"/>
      <c r="Y308" s="74"/>
    </row>
    <row r="309" ht="26.25" customHeight="1">
      <c r="A309" s="74" t="str">
        <f>IFERROR(__xludf.DUMMYFUNCTION("""COMPUTED_VALUE"""),"MUKHEE JYOTHSNA")</f>
        <v>MUKHEE JYOTHSNA</v>
      </c>
      <c r="B309" s="74" t="str">
        <f>IFERROR(__xludf.DUMMYFUNCTION("""COMPUTED_VALUE"""),"18331A05A2")</f>
        <v>18331A05A2</v>
      </c>
      <c r="C309" s="90" t="str">
        <f>IFERROR(__xludf.DUMMYFUNCTION("""COMPUTED_VALUE"""),"CCNAv7: Introduction to Networks")</f>
        <v>CCNAv7: Introduction to Networks</v>
      </c>
      <c r="D309" s="74" t="str">
        <f>IFERROR(__xludf.DUMMYFUNCTION("""COMPUTED_VALUE"""),"CISCO")</f>
        <v>CISCO</v>
      </c>
      <c r="E309" s="74" t="str">
        <f>IFERROR(__xludf.DUMMYFUNCTION("""COMPUTED_VALUE"""),"2 Months")</f>
        <v>2 Months</v>
      </c>
      <c r="F309" s="91">
        <f>IFERROR(__xludf.DUMMYFUNCTION("""COMPUTED_VALUE"""),44320.0)</f>
        <v>44320</v>
      </c>
      <c r="G309" s="91">
        <f>IFERROR(__xludf.DUMMYFUNCTION("""COMPUTED_VALUE"""),44381.0)</f>
        <v>44381</v>
      </c>
      <c r="H309" s="79">
        <f>IFERROR(__xludf.DUMMYFUNCTION("""COMPUTED_VALUE"""),44381.0)</f>
        <v>44381</v>
      </c>
      <c r="I309" s="92"/>
      <c r="J309" s="74" t="str">
        <f>IFERROR(__xludf.DUMMYFUNCTION("""COMPUTED_VALUE"""),"Dr. Ravi Kiran Varma")</f>
        <v>Dr. Ravi Kiran Varma</v>
      </c>
      <c r="K309" s="80" t="str">
        <f>IFERROR(__xludf.DUMMYFUNCTION("""COMPUTED_VALUE"""),"https://drive.google.com/open?id=1B45LHuXyosLJYJfrfizCUPhkpMVKLUxC")</f>
        <v>https://drive.google.com/open?id=1B45LHuXyosLJYJfrfizCUPhkpMVKLUxC</v>
      </c>
      <c r="L309" s="74" t="str">
        <f>IFERROR(__xludf.DUMMYFUNCTION("""COMPUTED_VALUE"""),"2018-2022")</f>
        <v>2018-2022</v>
      </c>
      <c r="M309" s="74" t="str">
        <f>IFERROR(__xludf.DUMMYFUNCTION("""COMPUTED_VALUE"""),"S4: Student Certifications")</f>
        <v>S4: Student Certifications</v>
      </c>
      <c r="N309" s="74" t="str">
        <f>IFERROR(__xludf.DUMMYFUNCTION("""COMPUTED_VALUE"""),"jyothsnamukhee03@gmail.com")</f>
        <v>jyothsnamukhee03@gmail.com</v>
      </c>
      <c r="O309" s="74" t="str">
        <f>IFERROR(__xludf.DUMMYFUNCTION("""COMPUTED_VALUE"""),"SEM-8")</f>
        <v>SEM-8</v>
      </c>
      <c r="P309" s="74"/>
      <c r="Q309" s="74"/>
      <c r="R309" s="74"/>
      <c r="S309" s="74"/>
      <c r="T309" s="74"/>
      <c r="U309" s="74"/>
      <c r="V309" s="74"/>
      <c r="W309" s="74"/>
      <c r="X309" s="74"/>
      <c r="Y309" s="74"/>
    </row>
    <row r="310" ht="26.25" customHeight="1">
      <c r="A310" s="74" t="str">
        <f>IFERROR(__xludf.DUMMYFUNCTION("""COMPUTED_VALUE"""),"MUKHEE JYOTHSNA")</f>
        <v>MUKHEE JYOTHSNA</v>
      </c>
      <c r="B310" s="74" t="str">
        <f>IFERROR(__xludf.DUMMYFUNCTION("""COMPUTED_VALUE"""),"18331A05A2")</f>
        <v>18331A05A2</v>
      </c>
      <c r="C310" s="90" t="str">
        <f>IFERROR(__xludf.DUMMYFUNCTION("""COMPUTED_VALUE"""),"Linux")</f>
        <v>Linux</v>
      </c>
      <c r="D310" s="74" t="str">
        <f>IFERROR(__xludf.DUMMYFUNCTION("""COMPUTED_VALUE"""),"Red Hat")</f>
        <v>Red Hat</v>
      </c>
      <c r="E310" s="74" t="str">
        <f>IFERROR(__xludf.DUMMYFUNCTION("""COMPUTED_VALUE"""),"1 Months")</f>
        <v>1 Months</v>
      </c>
      <c r="F310" s="91">
        <f>IFERROR(__xludf.DUMMYFUNCTION("""COMPUTED_VALUE"""),44625.0)</f>
        <v>44625</v>
      </c>
      <c r="G310" s="91">
        <f>IFERROR(__xludf.DUMMYFUNCTION("""COMPUTED_VALUE"""),44656.0)</f>
        <v>44656</v>
      </c>
      <c r="H310" s="79">
        <f>IFERROR(__xludf.DUMMYFUNCTION("""COMPUTED_VALUE"""),44656.0)</f>
        <v>44656</v>
      </c>
      <c r="I310" s="92"/>
      <c r="J310" s="74" t="str">
        <f>IFERROR(__xludf.DUMMYFUNCTION("""COMPUTED_VALUE"""),"K V Subba Raju")</f>
        <v>K V Subba Raju</v>
      </c>
      <c r="K310" s="80" t="str">
        <f>IFERROR(__xludf.DUMMYFUNCTION("""COMPUTED_VALUE"""),"https://drive.google.com/open?id=1nw46DLHTIhvxTqAm5_dB1SW8mAcDAZgU")</f>
        <v>https://drive.google.com/open?id=1nw46DLHTIhvxTqAm5_dB1SW8mAcDAZgU</v>
      </c>
      <c r="L310" s="74" t="str">
        <f>IFERROR(__xludf.DUMMYFUNCTION("""COMPUTED_VALUE"""),"2018-2022")</f>
        <v>2018-2022</v>
      </c>
      <c r="M310" s="74" t="str">
        <f>IFERROR(__xludf.DUMMYFUNCTION("""COMPUTED_VALUE"""),"S4: Student Certifications")</f>
        <v>S4: Student Certifications</v>
      </c>
      <c r="N310" s="74" t="str">
        <f>IFERROR(__xludf.DUMMYFUNCTION("""COMPUTED_VALUE"""),"jyothsnamukhee03@gmail.com")</f>
        <v>jyothsnamukhee03@gmail.com</v>
      </c>
      <c r="O310" s="74" t="str">
        <f>IFERROR(__xludf.DUMMYFUNCTION("""COMPUTED_VALUE"""),"SEM-8")</f>
        <v>SEM-8</v>
      </c>
      <c r="P310" s="74"/>
      <c r="Q310" s="74"/>
      <c r="R310" s="74"/>
      <c r="S310" s="74"/>
      <c r="T310" s="74"/>
      <c r="U310" s="74"/>
      <c r="V310" s="74"/>
      <c r="W310" s="74"/>
      <c r="X310" s="74"/>
      <c r="Y310" s="74"/>
    </row>
    <row r="311" ht="26.25" customHeight="1">
      <c r="A311" s="78" t="str">
        <f>IFERROR(__xludf.DUMMYFUNCTION("""COMPUTED_VALUE"""),"MUKHEE JYOTHSNA")</f>
        <v>MUKHEE JYOTHSNA</v>
      </c>
      <c r="B311" s="78" t="str">
        <f>IFERROR(__xludf.DUMMYFUNCTION("""COMPUTED_VALUE"""),"18331A05A2")</f>
        <v>18331A05A2</v>
      </c>
      <c r="C311" s="93" t="str">
        <f>IFERROR(__xludf.DUMMYFUNCTION("""COMPUTED_VALUE"""),"AI &amp; ML, Data Science")</f>
        <v>AI &amp; ML, Data Science</v>
      </c>
      <c r="D311" s="78" t="str">
        <f>IFERROR(__xludf.DUMMYFUNCTION("""COMPUTED_VALUE"""),"Next Wave")</f>
        <v>Next Wave</v>
      </c>
      <c r="E311" s="78" t="str">
        <f>IFERROR(__xludf.DUMMYFUNCTION("""COMPUTED_VALUE"""),"4 Months")</f>
        <v>4 Months</v>
      </c>
      <c r="F311" s="94">
        <f>IFERROR(__xludf.DUMMYFUNCTION("""COMPUTED_VALUE"""),44174.0)</f>
        <v>44174</v>
      </c>
      <c r="G311" s="94">
        <f>IFERROR(__xludf.DUMMYFUNCTION("""COMPUTED_VALUE"""),44296.0)</f>
        <v>44296</v>
      </c>
      <c r="H311" s="84">
        <f>IFERROR(__xludf.DUMMYFUNCTION("""COMPUTED_VALUE"""),44296.0)</f>
        <v>44296</v>
      </c>
      <c r="I311" s="95"/>
      <c r="J311" s="78" t="str">
        <f>IFERROR(__xludf.DUMMYFUNCTION("""COMPUTED_VALUE"""),"College")</f>
        <v>College</v>
      </c>
      <c r="K311" s="85" t="str">
        <f>IFERROR(__xludf.DUMMYFUNCTION("""COMPUTED_VALUE"""),"https://drive.google.com/open?id=1yXWfjkTzVJACdP3CmygqEhe8TFipaIH7")</f>
        <v>https://drive.google.com/open?id=1yXWfjkTzVJACdP3CmygqEhe8TFipaIH7</v>
      </c>
      <c r="L311" s="78" t="str">
        <f>IFERROR(__xludf.DUMMYFUNCTION("""COMPUTED_VALUE"""),"2018-2022")</f>
        <v>2018-2022</v>
      </c>
      <c r="M311" s="78" t="str">
        <f>IFERROR(__xludf.DUMMYFUNCTION("""COMPUTED_VALUE"""),"S4: Student Certifications")</f>
        <v>S4: Student Certifications</v>
      </c>
      <c r="N311" s="78" t="str">
        <f>IFERROR(__xludf.DUMMYFUNCTION("""COMPUTED_VALUE"""),"jyothsnamukhee03@gmail.com")</f>
        <v>jyothsnamukhee03@gmail.com</v>
      </c>
      <c r="O311" s="78" t="str">
        <f>IFERROR(__xludf.DUMMYFUNCTION("""COMPUTED_VALUE"""),"SEM-8")</f>
        <v>SEM-8</v>
      </c>
      <c r="P311" s="78"/>
      <c r="Q311" s="78"/>
      <c r="R311" s="78"/>
      <c r="S311" s="78"/>
      <c r="T311" s="78"/>
      <c r="U311" s="78"/>
      <c r="V311" s="78"/>
      <c r="W311" s="78"/>
      <c r="X311" s="78"/>
      <c r="Y311" s="78"/>
    </row>
    <row r="312" ht="26.25" customHeight="1">
      <c r="A312" s="74" t="str">
        <f>IFERROR(__xludf.DUMMYFUNCTION("""COMPUTED_VALUE"""),"MUKHEE JYOTHSNA")</f>
        <v>MUKHEE JYOTHSNA</v>
      </c>
      <c r="B312" s="74" t="str">
        <f>IFERROR(__xludf.DUMMYFUNCTION("""COMPUTED_VALUE"""),"18331A05A2")</f>
        <v>18331A05A2</v>
      </c>
      <c r="C312" s="90" t="str">
        <f>IFERROR(__xludf.DUMMYFUNCTION("""COMPUTED_VALUE"""),"coderiders")</f>
        <v>coderiders</v>
      </c>
      <c r="D312" s="74" t="str">
        <f>IFERROR(__xludf.DUMMYFUNCTION("""COMPUTED_VALUE"""),"CISCO")</f>
        <v>CISCO</v>
      </c>
      <c r="E312" s="74" t="str">
        <f>IFERROR(__xludf.DUMMYFUNCTION("""COMPUTED_VALUE"""),"1 Month")</f>
        <v>1 Month</v>
      </c>
      <c r="F312" s="91">
        <f>IFERROR(__xludf.DUMMYFUNCTION("""COMPUTED_VALUE"""),44357.0)</f>
        <v>44357</v>
      </c>
      <c r="G312" s="91">
        <f>IFERROR(__xludf.DUMMYFUNCTION("""COMPUTED_VALUE"""),44387.0)</f>
        <v>44387</v>
      </c>
      <c r="H312" s="79">
        <f>IFERROR(__xludf.DUMMYFUNCTION("""COMPUTED_VALUE"""),44387.0)</f>
        <v>44387</v>
      </c>
      <c r="I312" s="92"/>
      <c r="J312" s="74" t="str">
        <f>IFERROR(__xludf.DUMMYFUNCTION("""COMPUTED_VALUE"""),"College")</f>
        <v>College</v>
      </c>
      <c r="K312" s="80" t="str">
        <f>IFERROR(__xludf.DUMMYFUNCTION("""COMPUTED_VALUE"""),"https://drive.google.com/open?id=1QfD3YoKwUmM276CZ53kxVi9fxuGdfYai")</f>
        <v>https://drive.google.com/open?id=1QfD3YoKwUmM276CZ53kxVi9fxuGdfYai</v>
      </c>
      <c r="L312" s="74" t="str">
        <f>IFERROR(__xludf.DUMMYFUNCTION("""COMPUTED_VALUE"""),"2018-2022")</f>
        <v>2018-2022</v>
      </c>
      <c r="M312" s="74" t="str">
        <f>IFERROR(__xludf.DUMMYFUNCTION("""COMPUTED_VALUE"""),"S4: Student Certifications")</f>
        <v>S4: Student Certifications</v>
      </c>
      <c r="N312" s="74" t="str">
        <f>IFERROR(__xludf.DUMMYFUNCTION("""COMPUTED_VALUE"""),"jyothsnamukhee03@gmail.com")</f>
        <v>jyothsnamukhee03@gmail.com</v>
      </c>
      <c r="O312" s="74" t="str">
        <f>IFERROR(__xludf.DUMMYFUNCTION("""COMPUTED_VALUE"""),"SEM-8")</f>
        <v>SEM-8</v>
      </c>
      <c r="P312" s="74"/>
      <c r="Q312" s="74"/>
      <c r="R312" s="74"/>
      <c r="S312" s="74"/>
      <c r="T312" s="74"/>
      <c r="U312" s="74"/>
      <c r="V312" s="74"/>
      <c r="W312" s="74"/>
      <c r="X312" s="74"/>
      <c r="Y312" s="74"/>
    </row>
    <row r="313" ht="26.25" customHeight="1">
      <c r="A313" s="74" t="str">
        <f>IFERROR(__xludf.DUMMYFUNCTION("""COMPUTED_VALUE"""),"Sai Sri Priya Prasanthi Pulipati")</f>
        <v>Sai Sri Priya Prasanthi Pulipati</v>
      </c>
      <c r="B313" s="74" t="str">
        <f>IFERROR(__xludf.DUMMYFUNCTION("""COMPUTED_VALUE"""),"18331A05D2")</f>
        <v>18331A05D2</v>
      </c>
      <c r="C313" s="90" t="str">
        <f>IFERROR(__xludf.DUMMYFUNCTION("""COMPUTED_VALUE"""),"CLA: Programming Essentials in C")</f>
        <v>CLA: Programming Essentials in C</v>
      </c>
      <c r="D313" s="74" t="str">
        <f>IFERROR(__xludf.DUMMYFUNCTION("""COMPUTED_VALUE"""),"CISCO")</f>
        <v>CISCO</v>
      </c>
      <c r="E313" s="74" t="str">
        <f>IFERROR(__xludf.DUMMYFUNCTION("""COMPUTED_VALUE"""),"4 Months")</f>
        <v>4 Months</v>
      </c>
      <c r="F313" s="91">
        <f>IFERROR(__xludf.DUMMYFUNCTION("""COMPUTED_VALUE"""),43109.0)</f>
        <v>43109</v>
      </c>
      <c r="G313" s="91">
        <f>IFERROR(__xludf.DUMMYFUNCTION("""COMPUTED_VALUE"""),43565.0)</f>
        <v>43565</v>
      </c>
      <c r="H313" s="79">
        <f>IFERROR(__xludf.DUMMYFUNCTION("""COMPUTED_VALUE"""),43205.0)</f>
        <v>43205</v>
      </c>
      <c r="I313" s="92"/>
      <c r="J313" s="74" t="str">
        <f>IFERROR(__xludf.DUMMYFUNCTION("""COMPUTED_VALUE"""),"P.Ravi Kiran Varma")</f>
        <v>P.Ravi Kiran Varma</v>
      </c>
      <c r="K313" s="80" t="str">
        <f>IFERROR(__xludf.DUMMYFUNCTION("""COMPUTED_VALUE"""),"https://drive.google.com/open?id=1AUlxpqtAYLI6dnxM8-qKO9Qz_T3OjvE4")</f>
        <v>https://drive.google.com/open?id=1AUlxpqtAYLI6dnxM8-qKO9Qz_T3OjvE4</v>
      </c>
      <c r="L313" s="74" t="str">
        <f>IFERROR(__xludf.DUMMYFUNCTION("""COMPUTED_VALUE"""),"2018-2022")</f>
        <v>2018-2022</v>
      </c>
      <c r="M313" s="74" t="str">
        <f>IFERROR(__xludf.DUMMYFUNCTION("""COMPUTED_VALUE"""),"S4: Student Certifications")</f>
        <v>S4: Student Certifications</v>
      </c>
      <c r="N313" s="74" t="str">
        <f>IFERROR(__xludf.DUMMYFUNCTION("""COMPUTED_VALUE"""),"Priyaprasanthi.pulipati@gmail.com")</f>
        <v>Priyaprasanthi.pulipati@gmail.com</v>
      </c>
      <c r="O313" s="74" t="str">
        <f>IFERROR(__xludf.DUMMYFUNCTION("""COMPUTED_VALUE"""),"SEM-1")</f>
        <v>SEM-1</v>
      </c>
      <c r="P313" s="74"/>
      <c r="Q313" s="74"/>
      <c r="R313" s="74"/>
      <c r="S313" s="74"/>
      <c r="T313" s="74"/>
      <c r="U313" s="74"/>
      <c r="V313" s="74"/>
      <c r="W313" s="74"/>
      <c r="X313" s="74"/>
      <c r="Y313" s="74"/>
    </row>
    <row r="314" ht="26.25" customHeight="1">
      <c r="A314" s="74" t="str">
        <f>IFERROR(__xludf.DUMMYFUNCTION("""COMPUTED_VALUE"""),"Sai Sri Priya Prasanthi Pulipati")</f>
        <v>Sai Sri Priya Prasanthi Pulipati</v>
      </c>
      <c r="B314" s="74" t="str">
        <f>IFERROR(__xludf.DUMMYFUNCTION("""COMPUTED_VALUE"""),"18331A05D2")</f>
        <v>18331A05D2</v>
      </c>
      <c r="C314" s="90" t="str">
        <f>IFERROR(__xludf.DUMMYFUNCTION("""COMPUTED_VALUE"""),"Cybersecurity Essentials")</f>
        <v>Cybersecurity Essentials</v>
      </c>
      <c r="D314" s="74" t="str">
        <f>IFERROR(__xludf.DUMMYFUNCTION("""COMPUTED_VALUE"""),"CISCO")</f>
        <v>CISCO</v>
      </c>
      <c r="E314" s="74" t="str">
        <f>IFERROR(__xludf.DUMMYFUNCTION("""COMPUTED_VALUE"""),"5 Months")</f>
        <v>5 Months</v>
      </c>
      <c r="F314" s="91">
        <f>IFERROR(__xludf.DUMMYFUNCTION("""COMPUTED_VALUE"""),43447.0)</f>
        <v>43447</v>
      </c>
      <c r="G314" s="91">
        <f>IFERROR(__xludf.DUMMYFUNCTION("""COMPUTED_VALUE"""),43651.0)</f>
        <v>43651</v>
      </c>
      <c r="H314" s="79">
        <f>IFERROR(__xludf.DUMMYFUNCTION("""COMPUTED_VALUE"""),43664.0)</f>
        <v>43664</v>
      </c>
      <c r="I314" s="92"/>
      <c r="J314" s="74" t="str">
        <f>IFERROR(__xludf.DUMMYFUNCTION("""COMPUTED_VALUE"""),"P.Ravi Kiran Varma")</f>
        <v>P.Ravi Kiran Varma</v>
      </c>
      <c r="K314" s="80" t="str">
        <f>IFERROR(__xludf.DUMMYFUNCTION("""COMPUTED_VALUE"""),"https://drive.google.com/open?id=19aeJwC8b5XnMxqmN3pfcrhfeawrRDQwJ")</f>
        <v>https://drive.google.com/open?id=19aeJwC8b5XnMxqmN3pfcrhfeawrRDQwJ</v>
      </c>
      <c r="L314" s="74" t="str">
        <f>IFERROR(__xludf.DUMMYFUNCTION("""COMPUTED_VALUE"""),"2018-2022")</f>
        <v>2018-2022</v>
      </c>
      <c r="M314" s="74" t="str">
        <f>IFERROR(__xludf.DUMMYFUNCTION("""COMPUTED_VALUE"""),"S4: Student Certifications")</f>
        <v>S4: Student Certifications</v>
      </c>
      <c r="N314" s="74" t="str">
        <f>IFERROR(__xludf.DUMMYFUNCTION("""COMPUTED_VALUE"""),"Priyaprasanthi.pulipati@gmail.com")</f>
        <v>Priyaprasanthi.pulipati@gmail.com</v>
      </c>
      <c r="O314" s="74" t="str">
        <f>IFERROR(__xludf.DUMMYFUNCTION("""COMPUTED_VALUE"""),"SEM-2")</f>
        <v>SEM-2</v>
      </c>
      <c r="P314" s="74"/>
      <c r="Q314" s="74"/>
      <c r="R314" s="74"/>
      <c r="S314" s="74"/>
      <c r="T314" s="74"/>
      <c r="U314" s="74"/>
      <c r="V314" s="74"/>
      <c r="W314" s="74"/>
      <c r="X314" s="74"/>
      <c r="Y314" s="74"/>
    </row>
    <row r="315" ht="26.25" customHeight="1">
      <c r="A315" s="74" t="str">
        <f>IFERROR(__xludf.DUMMYFUNCTION("""COMPUTED_VALUE"""),"Sai Sri Priya Prasanthi Pulipati")</f>
        <v>Sai Sri Priya Prasanthi Pulipati</v>
      </c>
      <c r="B315" s="74" t="str">
        <f>IFERROR(__xludf.DUMMYFUNCTION("""COMPUTED_VALUE"""),"18331A05D2")</f>
        <v>18331A05D2</v>
      </c>
      <c r="C315" s="90" t="str">
        <f>IFERROR(__xludf.DUMMYFUNCTION("""COMPUTED_VALUE"""),"Introduction to Cybersecurity")</f>
        <v>Introduction to Cybersecurity</v>
      </c>
      <c r="D315" s="74" t="str">
        <f>IFERROR(__xludf.DUMMYFUNCTION("""COMPUTED_VALUE"""),"CISCO")</f>
        <v>CISCO</v>
      </c>
      <c r="E315" s="74" t="str">
        <f>IFERROR(__xludf.DUMMYFUNCTION("""COMPUTED_VALUE"""),"5 Months")</f>
        <v>5 Months</v>
      </c>
      <c r="F315" s="91">
        <f>IFERROR(__xludf.DUMMYFUNCTION("""COMPUTED_VALUE"""),43505.0)</f>
        <v>43505</v>
      </c>
      <c r="G315" s="91">
        <f>IFERROR(__xludf.DUMMYFUNCTION("""COMPUTED_VALUE"""),43649.0)</f>
        <v>43649</v>
      </c>
      <c r="H315" s="79">
        <f>IFERROR(__xludf.DUMMYFUNCTION("""COMPUTED_VALUE"""),43659.0)</f>
        <v>43659</v>
      </c>
      <c r="I315" s="92"/>
      <c r="J315" s="74" t="str">
        <f>IFERROR(__xludf.DUMMYFUNCTION("""COMPUTED_VALUE"""),"P.Ravi Kiran Varma")</f>
        <v>P.Ravi Kiran Varma</v>
      </c>
      <c r="K315" s="80" t="str">
        <f>IFERROR(__xludf.DUMMYFUNCTION("""COMPUTED_VALUE"""),"https://drive.google.com/open?id=1VaUH-A22cfvXSe2NQUv3nyEdsF86eyPR")</f>
        <v>https://drive.google.com/open?id=1VaUH-A22cfvXSe2NQUv3nyEdsF86eyPR</v>
      </c>
      <c r="L315" s="74" t="str">
        <f>IFERROR(__xludf.DUMMYFUNCTION("""COMPUTED_VALUE"""),"2018-2022")</f>
        <v>2018-2022</v>
      </c>
      <c r="M315" s="74" t="str">
        <f>IFERROR(__xludf.DUMMYFUNCTION("""COMPUTED_VALUE"""),"S4: Student Certifications")</f>
        <v>S4: Student Certifications</v>
      </c>
      <c r="N315" s="74" t="str">
        <f>IFERROR(__xludf.DUMMYFUNCTION("""COMPUTED_VALUE"""),"Priyaprasanthi.pulipati@gmail.com")</f>
        <v>Priyaprasanthi.pulipati@gmail.com</v>
      </c>
      <c r="O315" s="74" t="str">
        <f>IFERROR(__xludf.DUMMYFUNCTION("""COMPUTED_VALUE"""),"SEM-2")</f>
        <v>SEM-2</v>
      </c>
      <c r="P315" s="74"/>
      <c r="Q315" s="74"/>
      <c r="R315" s="74"/>
      <c r="S315" s="74"/>
      <c r="T315" s="74"/>
      <c r="U315" s="74"/>
      <c r="V315" s="74"/>
      <c r="W315" s="74"/>
      <c r="X315" s="74"/>
      <c r="Y315" s="74"/>
    </row>
    <row r="316" ht="26.25" customHeight="1">
      <c r="A316" s="74" t="str">
        <f>IFERROR(__xludf.DUMMYFUNCTION("""COMPUTED_VALUE"""),"Sai Sri Priya Prasanthi Pulipati")</f>
        <v>Sai Sri Priya Prasanthi Pulipati</v>
      </c>
      <c r="B316" s="74" t="str">
        <f>IFERROR(__xludf.DUMMYFUNCTION("""COMPUTED_VALUE"""),"18331A05D2")</f>
        <v>18331A05D2</v>
      </c>
      <c r="C316" s="90" t="str">
        <f>IFERROR(__xludf.DUMMYFUNCTION("""COMPUTED_VALUE"""),"Introduction to Web Development")</f>
        <v>Introduction to Web Development</v>
      </c>
      <c r="D316" s="74" t="str">
        <f>IFERROR(__xludf.DUMMYFUNCTION("""COMPUTED_VALUE"""),"Coursera")</f>
        <v>Coursera</v>
      </c>
      <c r="E316" s="74" t="str">
        <f>IFERROR(__xludf.DUMMYFUNCTION("""COMPUTED_VALUE"""),"4 Weeks")</f>
        <v>4 Weeks</v>
      </c>
      <c r="F316" s="91">
        <f>IFERROR(__xludf.DUMMYFUNCTION("""COMPUTED_VALUE"""),43910.0)</f>
        <v>43910</v>
      </c>
      <c r="G316" s="91">
        <f>IFERROR(__xludf.DUMMYFUNCTION("""COMPUTED_VALUE"""),43941.0)</f>
        <v>43941</v>
      </c>
      <c r="H316" s="79">
        <f>IFERROR(__xludf.DUMMYFUNCTION("""COMPUTED_VALUE"""),43941.0)</f>
        <v>43941</v>
      </c>
      <c r="I316" s="92"/>
      <c r="J316" s="74" t="str">
        <f>IFERROR(__xludf.DUMMYFUNCTION("""COMPUTED_VALUE"""),"Daniel Randall")</f>
        <v>Daniel Randall</v>
      </c>
      <c r="K316" s="80" t="str">
        <f>IFERROR(__xludf.DUMMYFUNCTION("""COMPUTED_VALUE"""),"https://drive.google.com/open?id=1P8w8GvyxqUANvL9Jmnanhtu3FmIqQJiy")</f>
        <v>https://drive.google.com/open?id=1P8w8GvyxqUANvL9Jmnanhtu3FmIqQJiy</v>
      </c>
      <c r="L316" s="74" t="str">
        <f>IFERROR(__xludf.DUMMYFUNCTION("""COMPUTED_VALUE"""),"2018-2022")</f>
        <v>2018-2022</v>
      </c>
      <c r="M316" s="74" t="str">
        <f>IFERROR(__xludf.DUMMYFUNCTION("""COMPUTED_VALUE"""),"S4: Student Certifications")</f>
        <v>S4: Student Certifications</v>
      </c>
      <c r="N316" s="74" t="str">
        <f>IFERROR(__xludf.DUMMYFUNCTION("""COMPUTED_VALUE"""),"Priyaprasanthi.pulipati@gmail.com")</f>
        <v>Priyaprasanthi.pulipati@gmail.com</v>
      </c>
      <c r="O316" s="74" t="str">
        <f>IFERROR(__xludf.DUMMYFUNCTION("""COMPUTED_VALUE"""),"SEM-3")</f>
        <v>SEM-3</v>
      </c>
      <c r="P316" s="74"/>
      <c r="Q316" s="74"/>
      <c r="R316" s="74"/>
      <c r="S316" s="74"/>
      <c r="T316" s="74"/>
      <c r="U316" s="74"/>
      <c r="V316" s="74"/>
      <c r="W316" s="74"/>
      <c r="X316" s="74"/>
      <c r="Y316" s="74"/>
    </row>
    <row r="317" ht="26.25" customHeight="1">
      <c r="A317" s="74" t="str">
        <f>IFERROR(__xludf.DUMMYFUNCTION("""COMPUTED_VALUE"""),"Sai Sri Priya Prasanthi Pulipati")</f>
        <v>Sai Sri Priya Prasanthi Pulipati</v>
      </c>
      <c r="B317" s="74" t="str">
        <f>IFERROR(__xludf.DUMMYFUNCTION("""COMPUTED_VALUE"""),"18331A05D2")</f>
        <v>18331A05D2</v>
      </c>
      <c r="C317" s="90" t="str">
        <f>IFERROR(__xludf.DUMMYFUNCTION("""COMPUTED_VALUE"""),"Cybersecurity and the Internet of Things")</f>
        <v>Cybersecurity and the Internet of Things</v>
      </c>
      <c r="D317" s="74" t="str">
        <f>IFERROR(__xludf.DUMMYFUNCTION("""COMPUTED_VALUE"""),"Coursera")</f>
        <v>Coursera</v>
      </c>
      <c r="E317" s="74" t="str">
        <f>IFERROR(__xludf.DUMMYFUNCTION("""COMPUTED_VALUE"""),"4 Weeks")</f>
        <v>4 Weeks</v>
      </c>
      <c r="F317" s="91">
        <f>IFERROR(__xludf.DUMMYFUNCTION("""COMPUTED_VALUE"""),43909.0)</f>
        <v>43909</v>
      </c>
      <c r="G317" s="91">
        <f>IFERROR(__xludf.DUMMYFUNCTION("""COMPUTED_VALUE"""),43940.0)</f>
        <v>43940</v>
      </c>
      <c r="H317" s="79">
        <f>IFERROR(__xludf.DUMMYFUNCTION("""COMPUTED_VALUE"""),43941.0)</f>
        <v>43941</v>
      </c>
      <c r="I317" s="92"/>
      <c r="J317" s="74" t="str">
        <f>IFERROR(__xludf.DUMMYFUNCTION("""COMPUTED_VALUE"""),"Dr. Traci Carte")</f>
        <v>Dr. Traci Carte</v>
      </c>
      <c r="K317" s="80" t="str">
        <f>IFERROR(__xludf.DUMMYFUNCTION("""COMPUTED_VALUE"""),"https://drive.google.com/open?id=1Ck3LnQotgKdjvrT_F1Y9zbynAxV3l9Ys")</f>
        <v>https://drive.google.com/open?id=1Ck3LnQotgKdjvrT_F1Y9zbynAxV3l9Ys</v>
      </c>
      <c r="L317" s="74" t="str">
        <f>IFERROR(__xludf.DUMMYFUNCTION("""COMPUTED_VALUE"""),"2018-2022")</f>
        <v>2018-2022</v>
      </c>
      <c r="M317" s="74" t="str">
        <f>IFERROR(__xludf.DUMMYFUNCTION("""COMPUTED_VALUE"""),"S4: Student Certifications")</f>
        <v>S4: Student Certifications</v>
      </c>
      <c r="N317" s="74" t="str">
        <f>IFERROR(__xludf.DUMMYFUNCTION("""COMPUTED_VALUE"""),"Priyaprasanthi.pulipati@gmail.com")</f>
        <v>Priyaprasanthi.pulipati@gmail.com</v>
      </c>
      <c r="O317" s="74" t="str">
        <f>IFERROR(__xludf.DUMMYFUNCTION("""COMPUTED_VALUE"""),"SEM-4")</f>
        <v>SEM-4</v>
      </c>
      <c r="P317" s="74"/>
      <c r="Q317" s="74"/>
      <c r="R317" s="74"/>
      <c r="S317" s="74"/>
      <c r="T317" s="74"/>
      <c r="U317" s="74"/>
      <c r="V317" s="74"/>
      <c r="W317" s="74"/>
      <c r="X317" s="74"/>
      <c r="Y317" s="74"/>
    </row>
    <row r="318" ht="26.25" customHeight="1">
      <c r="A318" s="74" t="str">
        <f>IFERROR(__xludf.DUMMYFUNCTION("""COMPUTED_VALUE"""),"Sai Sri Priya Prasanthi Pulipati")</f>
        <v>Sai Sri Priya Prasanthi Pulipati</v>
      </c>
      <c r="B318" s="74" t="str">
        <f>IFERROR(__xludf.DUMMYFUNCTION("""COMPUTED_VALUE"""),"18331A05D2")</f>
        <v>18331A05D2</v>
      </c>
      <c r="C318" s="90" t="str">
        <f>IFERROR(__xludf.DUMMYFUNCTION("""COMPUTED_VALUE"""),"AI For Everyone")</f>
        <v>AI For Everyone</v>
      </c>
      <c r="D318" s="74" t="str">
        <f>IFERROR(__xludf.DUMMYFUNCTION("""COMPUTED_VALUE"""),"Coursera")</f>
        <v>Coursera</v>
      </c>
      <c r="E318" s="74" t="str">
        <f>IFERROR(__xludf.DUMMYFUNCTION("""COMPUTED_VALUE"""),"3 weeks")</f>
        <v>3 weeks</v>
      </c>
      <c r="F318" s="91">
        <f>IFERROR(__xludf.DUMMYFUNCTION("""COMPUTED_VALUE"""),43920.0)</f>
        <v>43920</v>
      </c>
      <c r="G318" s="91">
        <f>IFERROR(__xludf.DUMMYFUNCTION("""COMPUTED_VALUE"""),43941.0)</f>
        <v>43941</v>
      </c>
      <c r="H318" s="79">
        <f>IFERROR(__xludf.DUMMYFUNCTION("""COMPUTED_VALUE"""),43941.0)</f>
        <v>43941</v>
      </c>
      <c r="I318" s="92"/>
      <c r="J318" s="74" t="str">
        <f>IFERROR(__xludf.DUMMYFUNCTION("""COMPUTED_VALUE"""),"Andrew Ng")</f>
        <v>Andrew Ng</v>
      </c>
      <c r="K318" s="80" t="str">
        <f>IFERROR(__xludf.DUMMYFUNCTION("""COMPUTED_VALUE"""),"https://drive.google.com/open?id=1i8HHuCsfFOoOcbEvNBTOAB_bxCKoXHKN")</f>
        <v>https://drive.google.com/open?id=1i8HHuCsfFOoOcbEvNBTOAB_bxCKoXHKN</v>
      </c>
      <c r="L318" s="74" t="str">
        <f>IFERROR(__xludf.DUMMYFUNCTION("""COMPUTED_VALUE"""),"2018-2022")</f>
        <v>2018-2022</v>
      </c>
      <c r="M318" s="74" t="str">
        <f>IFERROR(__xludf.DUMMYFUNCTION("""COMPUTED_VALUE"""),"S4: Student Certifications")</f>
        <v>S4: Student Certifications</v>
      </c>
      <c r="N318" s="74" t="str">
        <f>IFERROR(__xludf.DUMMYFUNCTION("""COMPUTED_VALUE"""),"Priyaprasanthi.pulipati@gmail.com")</f>
        <v>Priyaprasanthi.pulipati@gmail.com</v>
      </c>
      <c r="O318" s="74" t="str">
        <f>IFERROR(__xludf.DUMMYFUNCTION("""COMPUTED_VALUE"""),"SEM-4")</f>
        <v>SEM-4</v>
      </c>
      <c r="P318" s="74"/>
      <c r="Q318" s="74"/>
      <c r="R318" s="74"/>
      <c r="S318" s="74"/>
      <c r="T318" s="74"/>
      <c r="U318" s="74"/>
      <c r="V318" s="74"/>
      <c r="W318" s="74"/>
      <c r="X318" s="74"/>
      <c r="Y318" s="74"/>
    </row>
    <row r="319" ht="26.25" customHeight="1">
      <c r="A319" s="74" t="str">
        <f>IFERROR(__xludf.DUMMYFUNCTION("""COMPUTED_VALUE"""),"Sai Sri Priya Prasanthi Pulipati")</f>
        <v>Sai Sri Priya Prasanthi Pulipati</v>
      </c>
      <c r="B319" s="74" t="str">
        <f>IFERROR(__xludf.DUMMYFUNCTION("""COMPUTED_VALUE"""),"18331A05D2")</f>
        <v>18331A05D2</v>
      </c>
      <c r="C319" s="90" t="str">
        <f>IFERROR(__xludf.DUMMYFUNCTION("""COMPUTED_VALUE"""),"PCAP: Programming Essentials in Python")</f>
        <v>PCAP: Programming Essentials in Python</v>
      </c>
      <c r="D319" s="74" t="str">
        <f>IFERROR(__xludf.DUMMYFUNCTION("""COMPUTED_VALUE"""),"CISCO")</f>
        <v>CISCO</v>
      </c>
      <c r="E319" s="74" t="str">
        <f>IFERROR(__xludf.DUMMYFUNCTION("""COMPUTED_VALUE"""),"2 months")</f>
        <v>2 months</v>
      </c>
      <c r="F319" s="91">
        <f>IFERROR(__xludf.DUMMYFUNCTION("""COMPUTED_VALUE"""),44301.0)</f>
        <v>44301</v>
      </c>
      <c r="G319" s="91">
        <f>IFERROR(__xludf.DUMMYFUNCTION("""COMPUTED_VALUE"""),44362.0)</f>
        <v>44362</v>
      </c>
      <c r="H319" s="79">
        <f>IFERROR(__xludf.DUMMYFUNCTION("""COMPUTED_VALUE"""),44377.0)</f>
        <v>44377</v>
      </c>
      <c r="I319" s="92"/>
      <c r="J319" s="74" t="str">
        <f>IFERROR(__xludf.DUMMYFUNCTION("""COMPUTED_VALUE"""),"P.Ravi Kiran Varma")</f>
        <v>P.Ravi Kiran Varma</v>
      </c>
      <c r="K319" s="80" t="str">
        <f>IFERROR(__xludf.DUMMYFUNCTION("""COMPUTED_VALUE"""),"https://drive.google.com/open?id=1UBPcUGu-Eetauau5woeM7YBFkiac-EWx")</f>
        <v>https://drive.google.com/open?id=1UBPcUGu-Eetauau5woeM7YBFkiac-EWx</v>
      </c>
      <c r="L319" s="74" t="str">
        <f>IFERROR(__xludf.DUMMYFUNCTION("""COMPUTED_VALUE"""),"2018-2022")</f>
        <v>2018-2022</v>
      </c>
      <c r="M319" s="74" t="str">
        <f>IFERROR(__xludf.DUMMYFUNCTION("""COMPUTED_VALUE"""),"S4: Student Certifications")</f>
        <v>S4: Student Certifications</v>
      </c>
      <c r="N319" s="74" t="str">
        <f>IFERROR(__xludf.DUMMYFUNCTION("""COMPUTED_VALUE"""),"Priyaprasanthi.pulipati@gmail.com")</f>
        <v>Priyaprasanthi.pulipati@gmail.com</v>
      </c>
      <c r="O319" s="74" t="str">
        <f>IFERROR(__xludf.DUMMYFUNCTION("""COMPUTED_VALUE"""),"SEM-6")</f>
        <v>SEM-6</v>
      </c>
      <c r="P319" s="74"/>
      <c r="Q319" s="74"/>
      <c r="R319" s="74"/>
      <c r="S319" s="74"/>
      <c r="T319" s="74"/>
      <c r="U319" s="74"/>
      <c r="V319" s="74"/>
      <c r="W319" s="74"/>
      <c r="X319" s="74"/>
      <c r="Y319" s="74"/>
    </row>
    <row r="320" ht="26.25" customHeight="1">
      <c r="A320" s="78" t="str">
        <f>IFERROR(__xludf.DUMMYFUNCTION("""COMPUTED_VALUE"""),"Mudili Kavya")</f>
        <v>Mudili Kavya</v>
      </c>
      <c r="B320" s="78" t="str">
        <f>IFERROR(__xludf.DUMMYFUNCTION("""COMPUTED_VALUE"""),"18331A05A1")</f>
        <v>18331A05A1</v>
      </c>
      <c r="C320" s="93" t="str">
        <f>IFERROR(__xludf.DUMMYFUNCTION("""COMPUTED_VALUE"""),"SQL - quiz")</f>
        <v>SQL - quiz</v>
      </c>
      <c r="D320" s="78" t="str">
        <f>IFERROR(__xludf.DUMMYFUNCTION("""COMPUTED_VALUE"""),"Vignan institute of engineering for women")</f>
        <v>Vignan institute of engineering for women</v>
      </c>
      <c r="E320" s="78" t="str">
        <f>IFERROR(__xludf.DUMMYFUNCTION("""COMPUTED_VALUE"""),"1 week")</f>
        <v>1 week</v>
      </c>
      <c r="F320" s="94">
        <f>IFERROR(__xludf.DUMMYFUNCTION("""COMPUTED_VALUE"""),43971.0)</f>
        <v>43971</v>
      </c>
      <c r="G320" s="94">
        <f>IFERROR(__xludf.DUMMYFUNCTION("""COMPUTED_VALUE"""),43979.0)</f>
        <v>43979</v>
      </c>
      <c r="H320" s="84">
        <f>IFERROR(__xludf.DUMMYFUNCTION("""COMPUTED_VALUE"""),43979.0)</f>
        <v>43979</v>
      </c>
      <c r="I320" s="95">
        <f>IFERROR(__xludf.DUMMYFUNCTION("""COMPUTED_VALUE"""),0.92)</f>
        <v>0.92</v>
      </c>
      <c r="J320" s="78" t="str">
        <f>IFERROR(__xludf.DUMMYFUNCTION("""COMPUTED_VALUE"""),"Aruna Kumari")</f>
        <v>Aruna Kumari</v>
      </c>
      <c r="K320" s="85" t="str">
        <f>IFERROR(__xludf.DUMMYFUNCTION("""COMPUTED_VALUE"""),"https://drive.google.com/open?id=19Bz4-TSyMFGw2NJTz2LV242aaUzJXp0-")</f>
        <v>https://drive.google.com/open?id=19Bz4-TSyMFGw2NJTz2LV242aaUzJXp0-</v>
      </c>
      <c r="L320" s="78" t="str">
        <f>IFERROR(__xludf.DUMMYFUNCTION("""COMPUTED_VALUE"""),"2018-2022")</f>
        <v>2018-2022</v>
      </c>
      <c r="M320" s="78" t="str">
        <f>IFERROR(__xludf.DUMMYFUNCTION("""COMPUTED_VALUE"""),"S4: Student Certifications")</f>
        <v>S4: Student Certifications</v>
      </c>
      <c r="N320" s="78" t="str">
        <f>IFERROR(__xludf.DUMMYFUNCTION("""COMPUTED_VALUE"""),"kavyamudili2001@gmail.com")</f>
        <v>kavyamudili2001@gmail.com</v>
      </c>
      <c r="O320" s="78" t="str">
        <f>IFERROR(__xludf.DUMMYFUNCTION("""COMPUTED_VALUE"""),"SEM-8")</f>
        <v>SEM-8</v>
      </c>
      <c r="P320" s="78"/>
      <c r="Q320" s="78"/>
      <c r="R320" s="78"/>
      <c r="S320" s="78"/>
      <c r="T320" s="78"/>
      <c r="U320" s="78"/>
      <c r="V320" s="78"/>
      <c r="W320" s="78"/>
      <c r="X320" s="78"/>
      <c r="Y320" s="78"/>
    </row>
    <row r="321" ht="26.25" customHeight="1">
      <c r="A321" s="74" t="str">
        <f>IFERROR(__xludf.DUMMYFUNCTION("""COMPUTED_VALUE"""),"Sai Sri Priya Prasanthi Pulipati")</f>
        <v>Sai Sri Priya Prasanthi Pulipati</v>
      </c>
      <c r="B321" s="74" t="str">
        <f>IFERROR(__xludf.DUMMYFUNCTION("""COMPUTED_VALUE"""),"18331A05D2")</f>
        <v>18331A05D2</v>
      </c>
      <c r="C321" s="90" t="str">
        <f>IFERROR(__xludf.DUMMYFUNCTION("""COMPUTED_VALUE"""),"Juspay")</f>
        <v>Juspay</v>
      </c>
      <c r="D321" s="74" t="str">
        <f>IFERROR(__xludf.DUMMYFUNCTION("""COMPUTED_VALUE"""),"Dare2Compete")</f>
        <v>Dare2Compete</v>
      </c>
      <c r="E321" s="74" t="str">
        <f>IFERROR(__xludf.DUMMYFUNCTION("""COMPUTED_VALUE"""),"1 Day")</f>
        <v>1 Day</v>
      </c>
      <c r="F321" s="91">
        <f>IFERROR(__xludf.DUMMYFUNCTION("""COMPUTED_VALUE"""),44456.0)</f>
        <v>44456</v>
      </c>
      <c r="G321" s="91">
        <f>IFERROR(__xludf.DUMMYFUNCTION("""COMPUTED_VALUE"""),44456.0)</f>
        <v>44456</v>
      </c>
      <c r="H321" s="79">
        <f>IFERROR(__xludf.DUMMYFUNCTION("""COMPUTED_VALUE"""),44303.0)</f>
        <v>44303</v>
      </c>
      <c r="I321" s="92"/>
      <c r="J321" s="74" t="str">
        <f>IFERROR(__xludf.DUMMYFUNCTION("""COMPUTED_VALUE"""),"R.Ravi Kumar")</f>
        <v>R.Ravi Kumar</v>
      </c>
      <c r="K321" s="80" t="str">
        <f>IFERROR(__xludf.DUMMYFUNCTION("""COMPUTED_VALUE"""),"https://drive.google.com/open?id=1_3Y3Dn-fAuceIAkVOsN3hfSh-z_L91wz")</f>
        <v>https://drive.google.com/open?id=1_3Y3Dn-fAuceIAkVOsN3hfSh-z_L91wz</v>
      </c>
      <c r="L321" s="74" t="str">
        <f>IFERROR(__xludf.DUMMYFUNCTION("""COMPUTED_VALUE"""),"2018-2022")</f>
        <v>2018-2022</v>
      </c>
      <c r="M321" s="74" t="str">
        <f>IFERROR(__xludf.DUMMYFUNCTION("""COMPUTED_VALUE"""),"S4: Student Certifications")</f>
        <v>S4: Student Certifications</v>
      </c>
      <c r="N321" s="74" t="str">
        <f>IFERROR(__xludf.DUMMYFUNCTION("""COMPUTED_VALUE"""),"Priyaprasanthi.pulipati@gmail.com")</f>
        <v>Priyaprasanthi.pulipati@gmail.com</v>
      </c>
      <c r="O321" s="74" t="str">
        <f>IFERROR(__xludf.DUMMYFUNCTION("""COMPUTED_VALUE"""),"SEM-7")</f>
        <v>SEM-7</v>
      </c>
      <c r="P321" s="74"/>
      <c r="Q321" s="74"/>
      <c r="R321" s="74"/>
      <c r="S321" s="74"/>
      <c r="T321" s="74"/>
      <c r="U321" s="74"/>
      <c r="V321" s="74"/>
      <c r="W321" s="74"/>
      <c r="X321" s="74"/>
      <c r="Y321" s="74"/>
    </row>
    <row r="322" ht="26.25" customHeight="1">
      <c r="A322" s="74" t="str">
        <f>IFERROR(__xludf.DUMMYFUNCTION("""COMPUTED_VALUE"""),"mohammad riyazul haneef sharief")</f>
        <v>mohammad riyazul haneef sharief</v>
      </c>
      <c r="B322" s="74" t="str">
        <f>IFERROR(__xludf.DUMMYFUNCTION("""COMPUTED_VALUE"""),"18331A05H6")</f>
        <v>18331A05H6</v>
      </c>
      <c r="C322" s="90" t="str">
        <f>IFERROR(__xludf.DUMMYFUNCTION("""COMPUTED_VALUE"""),"AWS")</f>
        <v>AWS</v>
      </c>
      <c r="D322" s="74" t="str">
        <f>IFERROR(__xludf.DUMMYFUNCTION("""COMPUTED_VALUE"""),"AWS Academy Graduate - AWS Academy Cloud Foundations")</f>
        <v>AWS Academy Graduate - AWS Academy Cloud Foundations</v>
      </c>
      <c r="E322" s="74" t="str">
        <f>IFERROR(__xludf.DUMMYFUNCTION("""COMPUTED_VALUE"""),"20 hours")</f>
        <v>20 hours</v>
      </c>
      <c r="F322" s="91">
        <f>IFERROR(__xludf.DUMMYFUNCTION("""COMPUTED_VALUE"""),44511.0)</f>
        <v>44511</v>
      </c>
      <c r="G322" s="91">
        <f>IFERROR(__xludf.DUMMYFUNCTION("""COMPUTED_VALUE"""),44512.0)</f>
        <v>44512</v>
      </c>
      <c r="H322" s="79">
        <f>IFERROR(__xludf.DUMMYFUNCTION("""COMPUTED_VALUE"""),44512.0)</f>
        <v>44512</v>
      </c>
      <c r="I322" s="92">
        <f>IFERROR(__xludf.DUMMYFUNCTION("""COMPUTED_VALUE"""),80.0)</f>
        <v>80</v>
      </c>
      <c r="J322" s="74" t="str">
        <f>IFERROR(__xludf.DUMMYFUNCTION("""COMPUTED_VALUE"""),"hod")</f>
        <v>hod</v>
      </c>
      <c r="K322" s="80" t="str">
        <f>IFERROR(__xludf.DUMMYFUNCTION("""COMPUTED_VALUE"""),"https://drive.google.com/open?id=19h15cFhPipW5vUj08jHS_uz6zvL_TrVJ")</f>
        <v>https://drive.google.com/open?id=19h15cFhPipW5vUj08jHS_uz6zvL_TrVJ</v>
      </c>
      <c r="L322" s="74" t="str">
        <f>IFERROR(__xludf.DUMMYFUNCTION("""COMPUTED_VALUE"""),"2018-2022")</f>
        <v>2018-2022</v>
      </c>
      <c r="M322" s="74" t="str">
        <f>IFERROR(__xludf.DUMMYFUNCTION("""COMPUTED_VALUE"""),"S4: Student Certifications")</f>
        <v>S4: Student Certifications</v>
      </c>
      <c r="N322" s="74" t="str">
        <f>IFERROR(__xludf.DUMMYFUNCTION("""COMPUTED_VALUE"""),"haneefleo10@gmail.com")</f>
        <v>haneefleo10@gmail.com</v>
      </c>
      <c r="O322" s="74" t="str">
        <f>IFERROR(__xludf.DUMMYFUNCTION("""COMPUTED_VALUE"""),"SEM-8")</f>
        <v>SEM-8</v>
      </c>
      <c r="P322" s="74"/>
      <c r="Q322" s="74"/>
      <c r="R322" s="74"/>
      <c r="S322" s="74"/>
      <c r="T322" s="74"/>
      <c r="U322" s="74"/>
      <c r="V322" s="74"/>
      <c r="W322" s="74"/>
      <c r="X322" s="74"/>
      <c r="Y322" s="74"/>
    </row>
    <row r="323" ht="26.25" customHeight="1">
      <c r="A323" s="74" t="str">
        <f>IFERROR(__xludf.DUMMYFUNCTION("""COMPUTED_VALUE"""),"mohammad riyazul haneef sharief")</f>
        <v>mohammad riyazul haneef sharief</v>
      </c>
      <c r="B323" s="74" t="str">
        <f>IFERROR(__xludf.DUMMYFUNCTION("""COMPUTED_VALUE"""),"18331A05H6")</f>
        <v>18331A05H6</v>
      </c>
      <c r="C323" s="90" t="str">
        <f>IFERROR(__xludf.DUMMYFUNCTION("""COMPUTED_VALUE"""),"palo alto")</f>
        <v>palo alto</v>
      </c>
      <c r="D323" s="74" t="str">
        <f>IFERROR(__xludf.DUMMYFUNCTION("""COMPUTED_VALUE"""),"Cybersecurity Foundation")</f>
        <v>Cybersecurity Foundation</v>
      </c>
      <c r="E323" s="74" t="str">
        <f>IFERROR(__xludf.DUMMYFUNCTION("""COMPUTED_VALUE"""),"20")</f>
        <v>20</v>
      </c>
      <c r="F323" s="91">
        <f>IFERROR(__xludf.DUMMYFUNCTION("""COMPUTED_VALUE"""),44398.0)</f>
        <v>44398</v>
      </c>
      <c r="G323" s="91">
        <f>IFERROR(__xludf.DUMMYFUNCTION("""COMPUTED_VALUE"""),44399.0)</f>
        <v>44399</v>
      </c>
      <c r="H323" s="79">
        <f>IFERROR(__xludf.DUMMYFUNCTION("""COMPUTED_VALUE"""),44400.0)</f>
        <v>44400</v>
      </c>
      <c r="I323" s="92">
        <f>IFERROR(__xludf.DUMMYFUNCTION("""COMPUTED_VALUE"""),85.0)</f>
        <v>85</v>
      </c>
      <c r="J323" s="74" t="str">
        <f>IFERROR(__xludf.DUMMYFUNCTION("""COMPUTED_VALUE"""),"hod")</f>
        <v>hod</v>
      </c>
      <c r="K323" s="80" t="str">
        <f>IFERROR(__xludf.DUMMYFUNCTION("""COMPUTED_VALUE"""),"https://drive.google.com/open?id=1gL1-pFaJTVb4ekmp6tbUST46T9MTOiEa")</f>
        <v>https://drive.google.com/open?id=1gL1-pFaJTVb4ekmp6tbUST46T9MTOiEa</v>
      </c>
      <c r="L323" s="74" t="str">
        <f>IFERROR(__xludf.DUMMYFUNCTION("""COMPUTED_VALUE"""),"2018-2022")</f>
        <v>2018-2022</v>
      </c>
      <c r="M323" s="74" t="str">
        <f>IFERROR(__xludf.DUMMYFUNCTION("""COMPUTED_VALUE"""),"S4: Student Certifications")</f>
        <v>S4: Student Certifications</v>
      </c>
      <c r="N323" s="74" t="str">
        <f>IFERROR(__xludf.DUMMYFUNCTION("""COMPUTED_VALUE"""),"haneefleo10@gmail.com")</f>
        <v>haneefleo10@gmail.com</v>
      </c>
      <c r="O323" s="74" t="str">
        <f>IFERROR(__xludf.DUMMYFUNCTION("""COMPUTED_VALUE"""),"SEM-8")</f>
        <v>SEM-8</v>
      </c>
      <c r="P323" s="74"/>
      <c r="Q323" s="74"/>
      <c r="R323" s="74"/>
      <c r="S323" s="74"/>
      <c r="T323" s="74"/>
      <c r="U323" s="74"/>
      <c r="V323" s="74"/>
      <c r="W323" s="74"/>
      <c r="X323" s="74"/>
      <c r="Y323" s="74"/>
    </row>
    <row r="324" ht="26.25" customHeight="1">
      <c r="A324" s="74" t="str">
        <f>IFERROR(__xludf.DUMMYFUNCTION("""COMPUTED_VALUE"""),"Sai Sri Priya Prasanthi Pulipati")</f>
        <v>Sai Sri Priya Prasanthi Pulipati</v>
      </c>
      <c r="B324" s="74" t="str">
        <f>IFERROR(__xludf.DUMMYFUNCTION("""COMPUTED_VALUE"""),"18331A05D2")</f>
        <v>18331A05D2</v>
      </c>
      <c r="C324" s="90" t="str">
        <f>IFERROR(__xludf.DUMMYFUNCTION("""COMPUTED_VALUE"""),"Cybersecurity Foundation")</f>
        <v>Cybersecurity Foundation</v>
      </c>
      <c r="D324" s="74" t="str">
        <f>IFERROR(__xludf.DUMMYFUNCTION("""COMPUTED_VALUE"""),"Palo Alto Netwoks Cybersecurity Academy")</f>
        <v>Palo Alto Netwoks Cybersecurity Academy</v>
      </c>
      <c r="E324" s="74" t="str">
        <f>IFERROR(__xludf.DUMMYFUNCTION("""COMPUTED_VALUE"""),"5 Weeks")</f>
        <v>5 Weeks</v>
      </c>
      <c r="F324" s="91">
        <f>IFERROR(__xludf.DUMMYFUNCTION("""COMPUTED_VALUE"""),44360.0)</f>
        <v>44360</v>
      </c>
      <c r="G324" s="91">
        <f>IFERROR(__xludf.DUMMYFUNCTION("""COMPUTED_VALUE"""),44400.0)</f>
        <v>44400</v>
      </c>
      <c r="H324" s="79">
        <f>IFERROR(__xludf.DUMMYFUNCTION("""COMPUTED_VALUE"""),44401.0)</f>
        <v>44401</v>
      </c>
      <c r="I324" s="92"/>
      <c r="J324" s="74" t="str">
        <f>IFERROR(__xludf.DUMMYFUNCTION("""COMPUTED_VALUE"""),"P.Ravi Kian Varma")</f>
        <v>P.Ravi Kian Varma</v>
      </c>
      <c r="K324" s="80" t="str">
        <f>IFERROR(__xludf.DUMMYFUNCTION("""COMPUTED_VALUE"""),"https://drive.google.com/open?id=1z3bh4S-82Zij-0NQjhYOYn9onXj1uIj5")</f>
        <v>https://drive.google.com/open?id=1z3bh4S-82Zij-0NQjhYOYn9onXj1uIj5</v>
      </c>
      <c r="L324" s="74" t="str">
        <f>IFERROR(__xludf.DUMMYFUNCTION("""COMPUTED_VALUE"""),"2018-2022")</f>
        <v>2018-2022</v>
      </c>
      <c r="M324" s="74" t="str">
        <f>IFERROR(__xludf.DUMMYFUNCTION("""COMPUTED_VALUE"""),"S4: Student Certifications")</f>
        <v>S4: Student Certifications</v>
      </c>
      <c r="N324" s="74" t="str">
        <f>IFERROR(__xludf.DUMMYFUNCTION("""COMPUTED_VALUE"""),"Priyaprasanthi.pulipati@gmail.com")</f>
        <v>Priyaprasanthi.pulipati@gmail.com</v>
      </c>
      <c r="O324" s="74" t="str">
        <f>IFERROR(__xludf.DUMMYFUNCTION("""COMPUTED_VALUE"""),"SEM-7")</f>
        <v>SEM-7</v>
      </c>
      <c r="P324" s="74"/>
      <c r="Q324" s="74"/>
      <c r="R324" s="74"/>
      <c r="S324" s="74"/>
      <c r="T324" s="74"/>
      <c r="U324" s="74"/>
      <c r="V324" s="74"/>
      <c r="W324" s="74"/>
      <c r="X324" s="74"/>
      <c r="Y324" s="74"/>
    </row>
    <row r="325" ht="26.25" customHeight="1">
      <c r="A325" s="78" t="str">
        <f>IFERROR(__xludf.DUMMYFUNCTION("""COMPUTED_VALUE"""),"mohammad riyazul haneef sharief")</f>
        <v>mohammad riyazul haneef sharief</v>
      </c>
      <c r="B325" s="78" t="str">
        <f>IFERROR(__xludf.DUMMYFUNCTION("""COMPUTED_VALUE"""),"18331A05H6")</f>
        <v>18331A05H6</v>
      </c>
      <c r="C325" s="93" t="str">
        <f>IFERROR(__xludf.DUMMYFUNCTION("""COMPUTED_VALUE"""),"eduskills")</f>
        <v>eduskills</v>
      </c>
      <c r="D325" s="78" t="str">
        <f>IFERROR(__xludf.DUMMYFUNCTION("""COMPUTED_VALUE"""),"aws")</f>
        <v>aws</v>
      </c>
      <c r="E325" s="78" t="str">
        <f>IFERROR(__xludf.DUMMYFUNCTION("""COMPUTED_VALUE"""),"oct-dec")</f>
        <v>oct-dec</v>
      </c>
      <c r="F325" s="94">
        <f>IFERROR(__xludf.DUMMYFUNCTION("""COMPUTED_VALUE"""),44420.0)</f>
        <v>44420</v>
      </c>
      <c r="G325" s="94">
        <f>IFERROR(__xludf.DUMMYFUNCTION("""COMPUTED_VALUE"""),44535.0)</f>
        <v>44535</v>
      </c>
      <c r="H325" s="84">
        <f>IFERROR(__xludf.DUMMYFUNCTION("""COMPUTED_VALUE"""),44547.0)</f>
        <v>44547</v>
      </c>
      <c r="I325" s="95">
        <f>IFERROR(__xludf.DUMMYFUNCTION("""COMPUTED_VALUE"""),80.0)</f>
        <v>80</v>
      </c>
      <c r="J325" s="78" t="str">
        <f>IFERROR(__xludf.DUMMYFUNCTION("""COMPUTED_VALUE"""),"hod")</f>
        <v>hod</v>
      </c>
      <c r="K325" s="85" t="str">
        <f>IFERROR(__xludf.DUMMYFUNCTION("""COMPUTED_VALUE"""),"https://drive.google.com/open?id=1dSLAOq_qHDJ33dDwkguw-lP3lSBua3Rv")</f>
        <v>https://drive.google.com/open?id=1dSLAOq_qHDJ33dDwkguw-lP3lSBua3Rv</v>
      </c>
      <c r="L325" s="78" t="str">
        <f>IFERROR(__xludf.DUMMYFUNCTION("""COMPUTED_VALUE"""),"2018-2022")</f>
        <v>2018-2022</v>
      </c>
      <c r="M325" s="78" t="str">
        <f>IFERROR(__xludf.DUMMYFUNCTION("""COMPUTED_VALUE"""),"S4: Student Certifications")</f>
        <v>S4: Student Certifications</v>
      </c>
      <c r="N325" s="78" t="str">
        <f>IFERROR(__xludf.DUMMYFUNCTION("""COMPUTED_VALUE"""),"haneefleo10@gmail.com")</f>
        <v>haneefleo10@gmail.com</v>
      </c>
      <c r="O325" s="78" t="str">
        <f>IFERROR(__xludf.DUMMYFUNCTION("""COMPUTED_VALUE"""),"SEM-8")</f>
        <v>SEM-8</v>
      </c>
      <c r="P325" s="78"/>
      <c r="Q325" s="78"/>
      <c r="R325" s="78"/>
      <c r="S325" s="78"/>
      <c r="T325" s="78"/>
      <c r="U325" s="78"/>
      <c r="V325" s="78"/>
      <c r="W325" s="78"/>
      <c r="X325" s="78"/>
      <c r="Y325" s="78"/>
    </row>
    <row r="326" ht="26.25" customHeight="1">
      <c r="A326" s="78" t="str">
        <f>IFERROR(__xludf.DUMMYFUNCTION("""COMPUTED_VALUE"""),"mohammad riyazul haneef sharief")</f>
        <v>mohammad riyazul haneef sharief</v>
      </c>
      <c r="B326" s="78" t="str">
        <f>IFERROR(__xludf.DUMMYFUNCTION("""COMPUTED_VALUE"""),"18331A05H6")</f>
        <v>18331A05H6</v>
      </c>
      <c r="C326" s="93" t="str">
        <f>IFERROR(__xludf.DUMMYFUNCTION("""COMPUTED_VALUE"""),"ipr")</f>
        <v>ipr</v>
      </c>
      <c r="D326" s="78" t="str">
        <f>IFERROR(__xludf.DUMMYFUNCTION("""COMPUTED_VALUE"""),"nipam Intellectual  Property Office, India")</f>
        <v>nipam Intellectual  Property Office, India</v>
      </c>
      <c r="E326" s="78" t="str">
        <f>IFERROR(__xludf.DUMMYFUNCTION("""COMPUTED_VALUE"""),"15")</f>
        <v>15</v>
      </c>
      <c r="F326" s="94">
        <f>IFERROR(__xludf.DUMMYFUNCTION("""COMPUTED_VALUE"""),44567.0)</f>
        <v>44567</v>
      </c>
      <c r="G326" s="94">
        <f>IFERROR(__xludf.DUMMYFUNCTION("""COMPUTED_VALUE"""),44573.0)</f>
        <v>44573</v>
      </c>
      <c r="H326" s="84">
        <f>IFERROR(__xludf.DUMMYFUNCTION("""COMPUTED_VALUE"""),44573.0)</f>
        <v>44573</v>
      </c>
      <c r="I326" s="95">
        <f>IFERROR(__xludf.DUMMYFUNCTION("""COMPUTED_VALUE"""),79.0)</f>
        <v>79</v>
      </c>
      <c r="J326" s="78" t="str">
        <f>IFERROR(__xludf.DUMMYFUNCTION("""COMPUTED_VALUE"""),"hod")</f>
        <v>hod</v>
      </c>
      <c r="K326" s="85" t="str">
        <f>IFERROR(__xludf.DUMMYFUNCTION("""COMPUTED_VALUE"""),"https://drive.google.com/open?id=1o9CmMMPo4x_cPDqfR1uAC4229rmDrOlE")</f>
        <v>https://drive.google.com/open?id=1o9CmMMPo4x_cPDqfR1uAC4229rmDrOlE</v>
      </c>
      <c r="L326" s="78" t="str">
        <f>IFERROR(__xludf.DUMMYFUNCTION("""COMPUTED_VALUE"""),"2018-2022")</f>
        <v>2018-2022</v>
      </c>
      <c r="M326" s="78" t="str">
        <f>IFERROR(__xludf.DUMMYFUNCTION("""COMPUTED_VALUE"""),"S4: Student Certifications")</f>
        <v>S4: Student Certifications</v>
      </c>
      <c r="N326" s="78" t="str">
        <f>IFERROR(__xludf.DUMMYFUNCTION("""COMPUTED_VALUE"""),"haneefleo10@gmail.com")</f>
        <v>haneefleo10@gmail.com</v>
      </c>
      <c r="O326" s="78" t="str">
        <f>IFERROR(__xludf.DUMMYFUNCTION("""COMPUTED_VALUE"""),"SEM-8")</f>
        <v>SEM-8</v>
      </c>
      <c r="P326" s="78"/>
      <c r="Q326" s="78"/>
      <c r="R326" s="78"/>
      <c r="S326" s="78"/>
      <c r="T326" s="78"/>
      <c r="U326" s="78"/>
      <c r="V326" s="78"/>
      <c r="W326" s="78"/>
      <c r="X326" s="78"/>
      <c r="Y326" s="78"/>
    </row>
    <row r="327" ht="26.25" customHeight="1">
      <c r="A327" s="78" t="str">
        <f>IFERROR(__xludf.DUMMYFUNCTION("""COMPUTED_VALUE"""),"mohammad riyazul haneef sharief")</f>
        <v>mohammad riyazul haneef sharief</v>
      </c>
      <c r="B327" s="78" t="str">
        <f>IFERROR(__xludf.DUMMYFUNCTION("""COMPUTED_VALUE"""),"18331A05H6")</f>
        <v>18331A05H6</v>
      </c>
      <c r="C327" s="93" t="str">
        <f>IFERROR(__xludf.DUMMYFUNCTION("""COMPUTED_VALUE"""),"nptel")</f>
        <v>nptel</v>
      </c>
      <c r="D327" s="78" t="str">
        <f>IFERROR(__xludf.DUMMYFUNCTION("""COMPUTED_VALUE"""),"programming")</f>
        <v>programming</v>
      </c>
      <c r="E327" s="78" t="str">
        <f>IFERROR(__xludf.DUMMYFUNCTION("""COMPUTED_VALUE"""),"13 weeks")</f>
        <v>13 weeks</v>
      </c>
      <c r="F327" s="94">
        <f>IFERROR(__xludf.DUMMYFUNCTION("""COMPUTED_VALUE"""),44242.0)</f>
        <v>44242</v>
      </c>
      <c r="G327" s="94">
        <f>IFERROR(__xludf.DUMMYFUNCTION("""COMPUTED_VALUE"""),44322.0)</f>
        <v>44322</v>
      </c>
      <c r="H327" s="84">
        <f>IFERROR(__xludf.DUMMYFUNCTION("""COMPUTED_VALUE"""),44354.0)</f>
        <v>44354</v>
      </c>
      <c r="I327" s="95">
        <f>IFERROR(__xludf.DUMMYFUNCTION("""COMPUTED_VALUE"""),43.0)</f>
        <v>43</v>
      </c>
      <c r="J327" s="78" t="str">
        <f>IFERROR(__xludf.DUMMYFUNCTION("""COMPUTED_VALUE"""),"hod")</f>
        <v>hod</v>
      </c>
      <c r="K327" s="85" t="str">
        <f>IFERROR(__xludf.DUMMYFUNCTION("""COMPUTED_VALUE"""),"https://drive.google.com/open?id=1j1LJB0cHO3-M56_bgxFu7Uv7ZXpyg8IL")</f>
        <v>https://drive.google.com/open?id=1j1LJB0cHO3-M56_bgxFu7Uv7ZXpyg8IL</v>
      </c>
      <c r="L327" s="78" t="str">
        <f>IFERROR(__xludf.DUMMYFUNCTION("""COMPUTED_VALUE"""),"2018-2022")</f>
        <v>2018-2022</v>
      </c>
      <c r="M327" s="78" t="str">
        <f>IFERROR(__xludf.DUMMYFUNCTION("""COMPUTED_VALUE"""),"S4: Student Certifications")</f>
        <v>S4: Student Certifications</v>
      </c>
      <c r="N327" s="78" t="str">
        <f>IFERROR(__xludf.DUMMYFUNCTION("""COMPUTED_VALUE"""),"haneefleo10@gmail.com")</f>
        <v>haneefleo10@gmail.com</v>
      </c>
      <c r="O327" s="78" t="str">
        <f>IFERROR(__xludf.DUMMYFUNCTION("""COMPUTED_VALUE"""),"SEM-8")</f>
        <v>SEM-8</v>
      </c>
      <c r="P327" s="78"/>
      <c r="Q327" s="78"/>
      <c r="R327" s="78"/>
      <c r="S327" s="78"/>
      <c r="T327" s="78"/>
      <c r="U327" s="78"/>
      <c r="V327" s="78"/>
      <c r="W327" s="78"/>
      <c r="X327" s="78"/>
      <c r="Y327" s="78"/>
    </row>
    <row r="328" ht="26.25" customHeight="1">
      <c r="A328" s="74" t="str">
        <f>IFERROR(__xludf.DUMMYFUNCTION("""COMPUTED_VALUE"""),"mohammad riyazul haneef sharief")</f>
        <v>mohammad riyazul haneef sharief</v>
      </c>
      <c r="B328" s="74" t="str">
        <f>IFERROR(__xludf.DUMMYFUNCTION("""COMPUTED_VALUE"""),"18331A05H6")</f>
        <v>18331A05H6</v>
      </c>
      <c r="C328" s="90" t="str">
        <f>IFERROR(__xludf.DUMMYFUNCTION("""COMPUTED_VALUE"""),"redhat")</f>
        <v>redhat</v>
      </c>
      <c r="D328" s="74" t="str">
        <f>IFERROR(__xludf.DUMMYFUNCTION("""COMPUTED_VALUE"""),"networking")</f>
        <v>networking</v>
      </c>
      <c r="E328" s="74" t="str">
        <f>IFERROR(__xludf.DUMMYFUNCTION("""COMPUTED_VALUE"""),"15 days")</f>
        <v>15 days</v>
      </c>
      <c r="F328" s="91">
        <f>IFERROR(__xludf.DUMMYFUNCTION("""COMPUTED_VALUE"""),44632.0)</f>
        <v>44632</v>
      </c>
      <c r="G328" s="91">
        <f>IFERROR(__xludf.DUMMYFUNCTION("""COMPUTED_VALUE"""),44653.0)</f>
        <v>44653</v>
      </c>
      <c r="H328" s="79">
        <f>IFERROR(__xludf.DUMMYFUNCTION("""COMPUTED_VALUE"""),44654.0)</f>
        <v>44654</v>
      </c>
      <c r="I328" s="92">
        <f>IFERROR(__xludf.DUMMYFUNCTION("""COMPUTED_VALUE"""),100.0)</f>
        <v>100</v>
      </c>
      <c r="J328" s="74" t="str">
        <f>IFERROR(__xludf.DUMMYFUNCTION("""COMPUTED_VALUE"""),"hod")</f>
        <v>hod</v>
      </c>
      <c r="K328" s="80" t="str">
        <f>IFERROR(__xludf.DUMMYFUNCTION("""COMPUTED_VALUE"""),"https://drive.google.com/open?id=1DX0D2SIWhzLk7FMpUnFIMNLM8oPjm0_4")</f>
        <v>https://drive.google.com/open?id=1DX0D2SIWhzLk7FMpUnFIMNLM8oPjm0_4</v>
      </c>
      <c r="L328" s="74" t="str">
        <f>IFERROR(__xludf.DUMMYFUNCTION("""COMPUTED_VALUE"""),"2018-2022")</f>
        <v>2018-2022</v>
      </c>
      <c r="M328" s="74" t="str">
        <f>IFERROR(__xludf.DUMMYFUNCTION("""COMPUTED_VALUE"""),"S4: Student Certifications")</f>
        <v>S4: Student Certifications</v>
      </c>
      <c r="N328" s="74" t="str">
        <f>IFERROR(__xludf.DUMMYFUNCTION("""COMPUTED_VALUE"""),"haneefleo10@gmail.com")</f>
        <v>haneefleo10@gmail.com</v>
      </c>
      <c r="O328" s="74" t="str">
        <f>IFERROR(__xludf.DUMMYFUNCTION("""COMPUTED_VALUE"""),"SEM-8")</f>
        <v>SEM-8</v>
      </c>
      <c r="P328" s="74"/>
      <c r="Q328" s="74"/>
      <c r="R328" s="74"/>
      <c r="S328" s="74"/>
      <c r="T328" s="74"/>
      <c r="U328" s="74"/>
      <c r="V328" s="74"/>
      <c r="W328" s="74"/>
      <c r="X328" s="74"/>
      <c r="Y328" s="74"/>
    </row>
    <row r="329" ht="26.25" customHeight="1">
      <c r="A329" s="78" t="str">
        <f>IFERROR(__xludf.DUMMYFUNCTION("""COMPUTED_VALUE"""),"mohammad riyazul haneef sharief")</f>
        <v>mohammad riyazul haneef sharief</v>
      </c>
      <c r="B329" s="78" t="str">
        <f>IFERROR(__xludf.DUMMYFUNCTION("""COMPUTED_VALUE"""),"18331A05H6")</f>
        <v>18331A05H6</v>
      </c>
      <c r="C329" s="93" t="str">
        <f>IFERROR(__xludf.DUMMYFUNCTION("""COMPUTED_VALUE"""),"WAC")</f>
        <v>WAC</v>
      </c>
      <c r="D329" s="78" t="str">
        <f>IFERROR(__xludf.DUMMYFUNCTION("""COMPUTED_VALUE"""),"kyrion")</f>
        <v>kyrion</v>
      </c>
      <c r="E329" s="78" t="str">
        <f>IFERROR(__xludf.DUMMYFUNCTION("""COMPUTED_VALUE"""),"2 days")</f>
        <v>2 days</v>
      </c>
      <c r="F329" s="94">
        <f>IFERROR(__xludf.DUMMYFUNCTION("""COMPUTED_VALUE"""),43633.0)</f>
        <v>43633</v>
      </c>
      <c r="G329" s="94">
        <f>IFERROR(__xludf.DUMMYFUNCTION("""COMPUTED_VALUE"""),43634.0)</f>
        <v>43634</v>
      </c>
      <c r="H329" s="84">
        <f>IFERROR(__xludf.DUMMYFUNCTION("""COMPUTED_VALUE"""),43634.0)</f>
        <v>43634</v>
      </c>
      <c r="I329" s="95">
        <f>IFERROR(__xludf.DUMMYFUNCTION("""COMPUTED_VALUE"""),90.0)</f>
        <v>90</v>
      </c>
      <c r="J329" s="78" t="str">
        <f>IFERROR(__xludf.DUMMYFUNCTION("""COMPUTED_VALUE"""),"hod")</f>
        <v>hod</v>
      </c>
      <c r="K329" s="85" t="str">
        <f>IFERROR(__xludf.DUMMYFUNCTION("""COMPUTED_VALUE"""),"https://drive.google.com/open?id=1yoWewoCcYE_mAq1cw9T2GlSjw8VorDod")</f>
        <v>https://drive.google.com/open?id=1yoWewoCcYE_mAq1cw9T2GlSjw8VorDod</v>
      </c>
      <c r="L329" s="78" t="str">
        <f>IFERROR(__xludf.DUMMYFUNCTION("""COMPUTED_VALUE"""),"2018-2022")</f>
        <v>2018-2022</v>
      </c>
      <c r="M329" s="78" t="str">
        <f>IFERROR(__xludf.DUMMYFUNCTION("""COMPUTED_VALUE"""),"S4: Student Certifications")</f>
        <v>S4: Student Certifications</v>
      </c>
      <c r="N329" s="78" t="str">
        <f>IFERROR(__xludf.DUMMYFUNCTION("""COMPUTED_VALUE"""),"haneefleo10@gmail.com")</f>
        <v>haneefleo10@gmail.com</v>
      </c>
      <c r="O329" s="78" t="str">
        <f>IFERROR(__xludf.DUMMYFUNCTION("""COMPUTED_VALUE"""),"SEM-8")</f>
        <v>SEM-8</v>
      </c>
      <c r="P329" s="78"/>
      <c r="Q329" s="78"/>
      <c r="R329" s="78"/>
      <c r="S329" s="78"/>
      <c r="T329" s="78"/>
      <c r="U329" s="78"/>
      <c r="V329" s="78"/>
      <c r="W329" s="78"/>
      <c r="X329" s="78"/>
      <c r="Y329" s="78"/>
    </row>
    <row r="330" ht="26.25" customHeight="1">
      <c r="A330" s="74" t="str">
        <f>IFERROR(__xludf.DUMMYFUNCTION("""COMPUTED_VALUE"""),"mohammad riyazul haneef sharief")</f>
        <v>mohammad riyazul haneef sharief</v>
      </c>
      <c r="B330" s="74" t="str">
        <f>IFERROR(__xludf.DUMMYFUNCTION("""COMPUTED_VALUE"""),"18331A05H6")</f>
        <v>18331A05H6</v>
      </c>
      <c r="C330" s="90" t="str">
        <f>IFERROR(__xludf.DUMMYFUNCTION("""COMPUTED_VALUE"""),"udemy")</f>
        <v>udemy</v>
      </c>
      <c r="D330" s="74" t="str">
        <f>IFERROR(__xludf.DUMMYFUNCTION("""COMPUTED_VALUE"""),"html and css")</f>
        <v>html and css</v>
      </c>
      <c r="E330" s="74" t="str">
        <f>IFERROR(__xludf.DUMMYFUNCTION("""COMPUTED_VALUE"""),"4")</f>
        <v>4</v>
      </c>
      <c r="F330" s="91">
        <f>IFERROR(__xludf.DUMMYFUNCTION("""COMPUTED_VALUE"""),44659.0)</f>
        <v>44659</v>
      </c>
      <c r="G330" s="91">
        <f>IFERROR(__xludf.DUMMYFUNCTION("""COMPUTED_VALUE"""),44659.0)</f>
        <v>44659</v>
      </c>
      <c r="H330" s="79">
        <f>IFERROR(__xludf.DUMMYFUNCTION("""COMPUTED_VALUE"""),44659.0)</f>
        <v>44659</v>
      </c>
      <c r="I330" s="92">
        <f>IFERROR(__xludf.DUMMYFUNCTION("""COMPUTED_VALUE"""),86.0)</f>
        <v>86</v>
      </c>
      <c r="J330" s="74" t="str">
        <f>IFERROR(__xludf.DUMMYFUNCTION("""COMPUTED_VALUE"""),"hod")</f>
        <v>hod</v>
      </c>
      <c r="K330" s="80" t="str">
        <f>IFERROR(__xludf.DUMMYFUNCTION("""COMPUTED_VALUE"""),"https://drive.google.com/open?id=1nco6whHmoSoug69oD_HlGJml4LsO4Mtu")</f>
        <v>https://drive.google.com/open?id=1nco6whHmoSoug69oD_HlGJml4LsO4Mtu</v>
      </c>
      <c r="L330" s="74" t="str">
        <f>IFERROR(__xludf.DUMMYFUNCTION("""COMPUTED_VALUE"""),"2018-2022")</f>
        <v>2018-2022</v>
      </c>
      <c r="M330" s="74" t="str">
        <f>IFERROR(__xludf.DUMMYFUNCTION("""COMPUTED_VALUE"""),"S4: Student Certifications")</f>
        <v>S4: Student Certifications</v>
      </c>
      <c r="N330" s="74" t="str">
        <f>IFERROR(__xludf.DUMMYFUNCTION("""COMPUTED_VALUE"""),"haneefleo10@gmail.com")</f>
        <v>haneefleo10@gmail.com</v>
      </c>
      <c r="O330" s="74" t="str">
        <f>IFERROR(__xludf.DUMMYFUNCTION("""COMPUTED_VALUE"""),"SEM-8")</f>
        <v>SEM-8</v>
      </c>
      <c r="P330" s="74"/>
      <c r="Q330" s="74"/>
      <c r="R330" s="74"/>
      <c r="S330" s="74"/>
      <c r="T330" s="74"/>
      <c r="U330" s="74"/>
      <c r="V330" s="74"/>
      <c r="W330" s="74"/>
      <c r="X330" s="74"/>
      <c r="Y330" s="74"/>
    </row>
    <row r="331" ht="26.25" customHeight="1">
      <c r="A331" s="74" t="str">
        <f>IFERROR(__xludf.DUMMYFUNCTION("""COMPUTED_VALUE"""),"SOWMYA SHREE KALIDINDI")</f>
        <v>SOWMYA SHREE KALIDINDI</v>
      </c>
      <c r="B331" s="74" t="str">
        <f>IFERROR(__xludf.DUMMYFUNCTION("""COMPUTED_VALUE"""),"18331A0562")</f>
        <v>18331A0562</v>
      </c>
      <c r="C331" s="90" t="str">
        <f>IFERROR(__xludf.DUMMYFUNCTION("""COMPUTED_VALUE"""),"Red Hat system Administration")</f>
        <v>Red Hat system Administration</v>
      </c>
      <c r="D331" s="74" t="str">
        <f>IFERROR(__xludf.DUMMYFUNCTION("""COMPUTED_VALUE"""),"Red Hat ACADEMY")</f>
        <v>Red Hat ACADEMY</v>
      </c>
      <c r="E331" s="74" t="str">
        <f>IFERROR(__xludf.DUMMYFUNCTION("""COMPUTED_VALUE"""),"1")</f>
        <v>1</v>
      </c>
      <c r="F331" s="91">
        <f>IFERROR(__xludf.DUMMYFUNCTION("""COMPUTED_VALUE"""),44644.0)</f>
        <v>44644</v>
      </c>
      <c r="G331" s="91">
        <f>IFERROR(__xludf.DUMMYFUNCTION("""COMPUTED_VALUE"""),44681.0)</f>
        <v>44681</v>
      </c>
      <c r="H331" s="79">
        <f>IFERROR(__xludf.DUMMYFUNCTION("""COMPUTED_VALUE"""),44658.0)</f>
        <v>44658</v>
      </c>
      <c r="I331" s="92">
        <f>IFERROR(__xludf.DUMMYFUNCTION("""COMPUTED_VALUE"""),100.0)</f>
        <v>100</v>
      </c>
      <c r="J331" s="74" t="str">
        <f>IFERROR(__xludf.DUMMYFUNCTION("""COMPUTED_VALUE"""),"k v Subba Raju ")</f>
        <v>k v Subba Raju </v>
      </c>
      <c r="K331" s="80" t="str">
        <f>IFERROR(__xludf.DUMMYFUNCTION("""COMPUTED_VALUE"""),"https://drive.google.com/open?id=1Fx3MGZMylb2KB4VQ8-8ri0r51KfCvmQ4")</f>
        <v>https://drive.google.com/open?id=1Fx3MGZMylb2KB4VQ8-8ri0r51KfCvmQ4</v>
      </c>
      <c r="L331" s="74" t="str">
        <f>IFERROR(__xludf.DUMMYFUNCTION("""COMPUTED_VALUE"""),"2018-2022")</f>
        <v>2018-2022</v>
      </c>
      <c r="M331" s="74" t="str">
        <f>IFERROR(__xludf.DUMMYFUNCTION("""COMPUTED_VALUE"""),"S4: Student Certifications")</f>
        <v>S4: Student Certifications</v>
      </c>
      <c r="N331" s="74" t="str">
        <f>IFERROR(__xludf.DUMMYFUNCTION("""COMPUTED_VALUE"""),"sowmyakalidindi.01@gmail.com")</f>
        <v>sowmyakalidindi.01@gmail.com</v>
      </c>
      <c r="O331" s="74" t="str">
        <f>IFERROR(__xludf.DUMMYFUNCTION("""COMPUTED_VALUE"""),"SEM-8")</f>
        <v>SEM-8</v>
      </c>
      <c r="P331" s="74"/>
      <c r="Q331" s="74"/>
      <c r="R331" s="74"/>
      <c r="S331" s="74"/>
      <c r="T331" s="74"/>
      <c r="U331" s="74"/>
      <c r="V331" s="74"/>
      <c r="W331" s="74"/>
      <c r="X331" s="74"/>
      <c r="Y331" s="74"/>
    </row>
    <row r="332" ht="26.25" customHeight="1">
      <c r="A332" s="74" t="str">
        <f>IFERROR(__xludf.DUMMYFUNCTION("""COMPUTED_VALUE""")," Mallavarapu Tejaswi")</f>
        <v> Mallavarapu Tejaswi</v>
      </c>
      <c r="B332" s="74" t="str">
        <f>IFERROR(__xludf.DUMMYFUNCTION("""COMPUTED_VALUE"""),"18331A0591")</f>
        <v>18331A0591</v>
      </c>
      <c r="C332" s="90" t="str">
        <f>IFERROR(__xludf.DUMMYFUNCTION("""COMPUTED_VALUE"""),"Red Hat System Administration")</f>
        <v>Red Hat System Administration</v>
      </c>
      <c r="D332" s="74" t="str">
        <f>IFERROR(__xludf.DUMMYFUNCTION("""COMPUTED_VALUE"""),"Red Hat Academy")</f>
        <v>Red Hat Academy</v>
      </c>
      <c r="E332" s="74" t="str">
        <f>IFERROR(__xludf.DUMMYFUNCTION("""COMPUTED_VALUE"""),"1month")</f>
        <v>1month</v>
      </c>
      <c r="F332" s="91">
        <f>IFERROR(__xludf.DUMMYFUNCTION("""COMPUTED_VALUE"""),44644.0)</f>
        <v>44644</v>
      </c>
      <c r="G332" s="91">
        <f>IFERROR(__xludf.DUMMYFUNCTION("""COMPUTED_VALUE"""),44681.0)</f>
        <v>44681</v>
      </c>
      <c r="H332" s="79">
        <f>IFERROR(__xludf.DUMMYFUNCTION("""COMPUTED_VALUE"""),44658.0)</f>
        <v>44658</v>
      </c>
      <c r="I332" s="92">
        <f>IFERROR(__xludf.DUMMYFUNCTION("""COMPUTED_VALUE"""),100.0)</f>
        <v>100</v>
      </c>
      <c r="J332" s="74" t="str">
        <f>IFERROR(__xludf.DUMMYFUNCTION("""COMPUTED_VALUE"""),"K.Subbaraju ")</f>
        <v>K.Subbaraju </v>
      </c>
      <c r="K332" s="80" t="str">
        <f>IFERROR(__xludf.DUMMYFUNCTION("""COMPUTED_VALUE"""),"https://drive.google.com/open?id=1Hus_hZaH_wddVaJby0dqKYREGOtrx7re")</f>
        <v>https://drive.google.com/open?id=1Hus_hZaH_wddVaJby0dqKYREGOtrx7re</v>
      </c>
      <c r="L332" s="74" t="str">
        <f>IFERROR(__xludf.DUMMYFUNCTION("""COMPUTED_VALUE"""),"2018-2022")</f>
        <v>2018-2022</v>
      </c>
      <c r="M332" s="74" t="str">
        <f>IFERROR(__xludf.DUMMYFUNCTION("""COMPUTED_VALUE"""),"S4: Student Certifications")</f>
        <v>S4: Student Certifications</v>
      </c>
      <c r="N332" s="74" t="str">
        <f>IFERROR(__xludf.DUMMYFUNCTION("""COMPUTED_VALUE"""),"Mallavarapu.tejaswi@gmail.com")</f>
        <v>Mallavarapu.tejaswi@gmail.com</v>
      </c>
      <c r="O332" s="74" t="str">
        <f>IFERROR(__xludf.DUMMYFUNCTION("""COMPUTED_VALUE"""),"SEM-8")</f>
        <v>SEM-8</v>
      </c>
      <c r="P332" s="74"/>
      <c r="Q332" s="74"/>
      <c r="R332" s="74"/>
      <c r="S332" s="74"/>
      <c r="T332" s="74"/>
      <c r="U332" s="74"/>
      <c r="V332" s="74"/>
      <c r="W332" s="74"/>
      <c r="X332" s="74"/>
      <c r="Y332" s="74"/>
    </row>
    <row r="333" ht="26.25" customHeight="1">
      <c r="A333" s="74" t="str">
        <f>IFERROR(__xludf.DUMMYFUNCTION("""COMPUTED_VALUE"""),"mohammad riyazul haneef sharief")</f>
        <v>mohammad riyazul haneef sharief</v>
      </c>
      <c r="B333" s="74" t="str">
        <f>IFERROR(__xludf.DUMMYFUNCTION("""COMPUTED_VALUE"""),"18331A05H6")</f>
        <v>18331A05H6</v>
      </c>
      <c r="C333" s="90" t="str">
        <f>IFERROR(__xludf.DUMMYFUNCTION("""COMPUTED_VALUE"""),"udemy")</f>
        <v>udemy</v>
      </c>
      <c r="D333" s="74" t="str">
        <f>IFERROR(__xludf.DUMMYFUNCTION("""COMPUTED_VALUE"""),"Introduction to Quantum Computing")</f>
        <v>Introduction to Quantum Computing</v>
      </c>
      <c r="E333" s="74" t="str">
        <f>IFERROR(__xludf.DUMMYFUNCTION("""COMPUTED_VALUE"""),"2")</f>
        <v>2</v>
      </c>
      <c r="F333" s="91">
        <f>IFERROR(__xludf.DUMMYFUNCTION("""COMPUTED_VALUE"""),44659.0)</f>
        <v>44659</v>
      </c>
      <c r="G333" s="91">
        <f>IFERROR(__xludf.DUMMYFUNCTION("""COMPUTED_VALUE"""),44659.0)</f>
        <v>44659</v>
      </c>
      <c r="H333" s="79">
        <f>IFERROR(__xludf.DUMMYFUNCTION("""COMPUTED_VALUE"""),44659.0)</f>
        <v>44659</v>
      </c>
      <c r="I333" s="92">
        <f>IFERROR(__xludf.DUMMYFUNCTION("""COMPUTED_VALUE"""),87.0)</f>
        <v>87</v>
      </c>
      <c r="J333" s="74" t="str">
        <f>IFERROR(__xludf.DUMMYFUNCTION("""COMPUTED_VALUE"""),"hod")</f>
        <v>hod</v>
      </c>
      <c r="K333" s="80" t="str">
        <f>IFERROR(__xludf.DUMMYFUNCTION("""COMPUTED_VALUE"""),"https://drive.google.com/open?id=1Om5mTkeCm46j56W_vD94EOFJ_nV1AU5X")</f>
        <v>https://drive.google.com/open?id=1Om5mTkeCm46j56W_vD94EOFJ_nV1AU5X</v>
      </c>
      <c r="L333" s="74" t="str">
        <f>IFERROR(__xludf.DUMMYFUNCTION("""COMPUTED_VALUE"""),"2018-2022")</f>
        <v>2018-2022</v>
      </c>
      <c r="M333" s="74" t="str">
        <f>IFERROR(__xludf.DUMMYFUNCTION("""COMPUTED_VALUE"""),"S4: Student Certifications")</f>
        <v>S4: Student Certifications</v>
      </c>
      <c r="N333" s="74" t="str">
        <f>IFERROR(__xludf.DUMMYFUNCTION("""COMPUTED_VALUE"""),"haneefleo10@gmail.com")</f>
        <v>haneefleo10@gmail.com</v>
      </c>
      <c r="O333" s="74" t="str">
        <f>IFERROR(__xludf.DUMMYFUNCTION("""COMPUTED_VALUE"""),"SEM-8")</f>
        <v>SEM-8</v>
      </c>
      <c r="P333" s="74"/>
      <c r="Q333" s="74"/>
      <c r="R333" s="74"/>
      <c r="S333" s="74"/>
      <c r="T333" s="74"/>
      <c r="U333" s="74"/>
      <c r="V333" s="74"/>
      <c r="W333" s="74"/>
      <c r="X333" s="74"/>
      <c r="Y333" s="74"/>
    </row>
    <row r="334" ht="26.25" customHeight="1">
      <c r="A334" s="74" t="str">
        <f>IFERROR(__xludf.DUMMYFUNCTION("""COMPUTED_VALUE"""),"mohammad riyazul haneef sharief")</f>
        <v>mohammad riyazul haneef sharief</v>
      </c>
      <c r="B334" s="74" t="str">
        <f>IFERROR(__xludf.DUMMYFUNCTION("""COMPUTED_VALUE"""),"18331A05H6")</f>
        <v>18331A05H6</v>
      </c>
      <c r="C334" s="90" t="str">
        <f>IFERROR(__xludf.DUMMYFUNCTION("""COMPUTED_VALUE"""),"l4g")</f>
        <v>l4g</v>
      </c>
      <c r="D334" s="74" t="str">
        <f>IFERROR(__xludf.DUMMYFUNCTION("""COMPUTED_VALUE"""),"coursera International Cyber Conflicts")</f>
        <v>coursera International Cyber Conflicts</v>
      </c>
      <c r="E334" s="74" t="str">
        <f>IFERROR(__xludf.DUMMYFUNCTION("""COMPUTED_VALUE"""),"5")</f>
        <v>5</v>
      </c>
      <c r="F334" s="91">
        <f>IFERROR(__xludf.DUMMYFUNCTION("""COMPUTED_VALUE"""),43865.0)</f>
        <v>43865</v>
      </c>
      <c r="G334" s="91">
        <f>IFERROR(__xludf.DUMMYFUNCTION("""COMPUTED_VALUE"""),43865.0)</f>
        <v>43865</v>
      </c>
      <c r="H334" s="79">
        <f>IFERROR(__xludf.DUMMYFUNCTION("""COMPUTED_VALUE"""),43895.0)</f>
        <v>43895</v>
      </c>
      <c r="I334" s="92">
        <f>IFERROR(__xludf.DUMMYFUNCTION("""COMPUTED_VALUE"""),90.0)</f>
        <v>90</v>
      </c>
      <c r="J334" s="74" t="str">
        <f>IFERROR(__xludf.DUMMYFUNCTION("""COMPUTED_VALUE"""),"hod")</f>
        <v>hod</v>
      </c>
      <c r="K334" s="80" t="str">
        <f>IFERROR(__xludf.DUMMYFUNCTION("""COMPUTED_VALUE"""),"https://drive.google.com/open?id=1oWasJFEXhwahVIPRB8q_8btbTW7ApZkQ")</f>
        <v>https://drive.google.com/open?id=1oWasJFEXhwahVIPRB8q_8btbTW7ApZkQ</v>
      </c>
      <c r="L334" s="74" t="str">
        <f>IFERROR(__xludf.DUMMYFUNCTION("""COMPUTED_VALUE"""),"2018-2022")</f>
        <v>2018-2022</v>
      </c>
      <c r="M334" s="74" t="str">
        <f>IFERROR(__xludf.DUMMYFUNCTION("""COMPUTED_VALUE"""),"S4: Student Certifications")</f>
        <v>S4: Student Certifications</v>
      </c>
      <c r="N334" s="74" t="str">
        <f>IFERROR(__xludf.DUMMYFUNCTION("""COMPUTED_VALUE"""),"haneefleo10@gmail.com")</f>
        <v>haneefleo10@gmail.com</v>
      </c>
      <c r="O334" s="74" t="str">
        <f>IFERROR(__xludf.DUMMYFUNCTION("""COMPUTED_VALUE"""),"SEM-8")</f>
        <v>SEM-8</v>
      </c>
      <c r="P334" s="74"/>
      <c r="Q334" s="74"/>
      <c r="R334" s="74"/>
      <c r="S334" s="74"/>
      <c r="T334" s="74"/>
      <c r="U334" s="74"/>
      <c r="V334" s="74"/>
      <c r="W334" s="74"/>
      <c r="X334" s="74"/>
      <c r="Y334" s="74"/>
    </row>
    <row r="335" ht="26.25" customHeight="1">
      <c r="A335" s="74" t="str">
        <f>IFERROR(__xludf.DUMMYFUNCTION("""COMPUTED_VALUE"""),"mohammad riyazul haneef sharief")</f>
        <v>mohammad riyazul haneef sharief</v>
      </c>
      <c r="B335" s="74" t="str">
        <f>IFERROR(__xludf.DUMMYFUNCTION("""COMPUTED_VALUE"""),"18331A05H6")</f>
        <v>18331A05H6</v>
      </c>
      <c r="C335" s="90" t="str">
        <f>IFERROR(__xludf.DUMMYFUNCTION("""COMPUTED_VALUE"""),"LG4")</f>
        <v>LG4</v>
      </c>
      <c r="D335" s="74" t="str">
        <f>IFERROR(__xludf.DUMMYFUNCTION("""COMPUTED_VALUE"""),"AI For Everyone")</f>
        <v>AI For Everyone</v>
      </c>
      <c r="E335" s="74" t="str">
        <f>IFERROR(__xludf.DUMMYFUNCTION("""COMPUTED_VALUE"""),"16")</f>
        <v>16</v>
      </c>
      <c r="F335" s="91">
        <f>IFERROR(__xludf.DUMMYFUNCTION("""COMPUTED_VALUE"""),43905.0)</f>
        <v>43905</v>
      </c>
      <c r="G335" s="91">
        <f>IFERROR(__xludf.DUMMYFUNCTION("""COMPUTED_VALUE"""),43920.0)</f>
        <v>43920</v>
      </c>
      <c r="H335" s="79">
        <f>IFERROR(__xludf.DUMMYFUNCTION("""COMPUTED_VALUE"""),43920.0)</f>
        <v>43920</v>
      </c>
      <c r="I335" s="92">
        <f>IFERROR(__xludf.DUMMYFUNCTION("""COMPUTED_VALUE"""),86.0)</f>
        <v>86</v>
      </c>
      <c r="J335" s="74" t="str">
        <f>IFERROR(__xludf.DUMMYFUNCTION("""COMPUTED_VALUE"""),"HOD")</f>
        <v>HOD</v>
      </c>
      <c r="K335" s="80" t="str">
        <f>IFERROR(__xludf.DUMMYFUNCTION("""COMPUTED_VALUE"""),"https://drive.google.com/open?id=1xt5LEu5bBb-4_0oISAlYRhZxRlhgQLfX")</f>
        <v>https://drive.google.com/open?id=1xt5LEu5bBb-4_0oISAlYRhZxRlhgQLfX</v>
      </c>
      <c r="L335" s="74" t="str">
        <f>IFERROR(__xludf.DUMMYFUNCTION("""COMPUTED_VALUE"""),"2018-2022")</f>
        <v>2018-2022</v>
      </c>
      <c r="M335" s="74" t="str">
        <f>IFERROR(__xludf.DUMMYFUNCTION("""COMPUTED_VALUE"""),"S4: Student Certifications")</f>
        <v>S4: Student Certifications</v>
      </c>
      <c r="N335" s="74" t="str">
        <f>IFERROR(__xludf.DUMMYFUNCTION("""COMPUTED_VALUE"""),"haneefleo10@gmail.com")</f>
        <v>haneefleo10@gmail.com</v>
      </c>
      <c r="O335" s="74" t="str">
        <f>IFERROR(__xludf.DUMMYFUNCTION("""COMPUTED_VALUE"""),"SEM-8")</f>
        <v>SEM-8</v>
      </c>
      <c r="P335" s="74"/>
      <c r="Q335" s="74"/>
      <c r="R335" s="74"/>
      <c r="S335" s="74"/>
      <c r="T335" s="74"/>
      <c r="U335" s="74"/>
      <c r="V335" s="74"/>
      <c r="W335" s="74"/>
      <c r="X335" s="74"/>
      <c r="Y335" s="74"/>
    </row>
    <row r="336" ht="26.25" customHeight="1">
      <c r="A336" s="74" t="str">
        <f>IFERROR(__xludf.DUMMYFUNCTION("""COMPUTED_VALUE"""),"mohammad riyazul haneef sharief")</f>
        <v>mohammad riyazul haneef sharief</v>
      </c>
      <c r="B336" s="74" t="str">
        <f>IFERROR(__xludf.DUMMYFUNCTION("""COMPUTED_VALUE"""),"18331A05H6")</f>
        <v>18331A05H6</v>
      </c>
      <c r="C336" s="90" t="str">
        <f>IFERROR(__xludf.DUMMYFUNCTION("""COMPUTED_VALUE"""),"L4G")</f>
        <v>L4G</v>
      </c>
      <c r="D336" s="74" t="str">
        <f>IFERROR(__xludf.DUMMYFUNCTION("""COMPUTED_VALUE"""),"Internet of Things: Communication Technologies")</f>
        <v>Internet of Things: Communication Technologies</v>
      </c>
      <c r="E336" s="74" t="str">
        <f>IFERROR(__xludf.DUMMYFUNCTION("""COMPUTED_VALUE"""),"15")</f>
        <v>15</v>
      </c>
      <c r="F336" s="91">
        <f>IFERROR(__xludf.DUMMYFUNCTION("""COMPUTED_VALUE"""),43925.0)</f>
        <v>43925</v>
      </c>
      <c r="G336" s="91">
        <f>IFERROR(__xludf.DUMMYFUNCTION("""COMPUTED_VALUE"""),43941.0)</f>
        <v>43941</v>
      </c>
      <c r="H336" s="79">
        <f>IFERROR(__xludf.DUMMYFUNCTION("""COMPUTED_VALUE"""),43942.0)</f>
        <v>43942</v>
      </c>
      <c r="I336" s="92">
        <f>IFERROR(__xludf.DUMMYFUNCTION("""COMPUTED_VALUE"""),86.0)</f>
        <v>86</v>
      </c>
      <c r="J336" s="74" t="str">
        <f>IFERROR(__xludf.DUMMYFUNCTION("""COMPUTED_VALUE"""),"HOD")</f>
        <v>HOD</v>
      </c>
      <c r="K336" s="80" t="str">
        <f>IFERROR(__xludf.DUMMYFUNCTION("""COMPUTED_VALUE"""),"https://drive.google.com/open?id=1RweKqsvzDX5niTTmixe4L1DXbfBCvLMk")</f>
        <v>https://drive.google.com/open?id=1RweKqsvzDX5niTTmixe4L1DXbfBCvLMk</v>
      </c>
      <c r="L336" s="74" t="str">
        <f>IFERROR(__xludf.DUMMYFUNCTION("""COMPUTED_VALUE"""),"2018-2022")</f>
        <v>2018-2022</v>
      </c>
      <c r="M336" s="74" t="str">
        <f>IFERROR(__xludf.DUMMYFUNCTION("""COMPUTED_VALUE"""),"S4: Student Certifications")</f>
        <v>S4: Student Certifications</v>
      </c>
      <c r="N336" s="74" t="str">
        <f>IFERROR(__xludf.DUMMYFUNCTION("""COMPUTED_VALUE"""),"haneefleo10@gmail.com")</f>
        <v>haneefleo10@gmail.com</v>
      </c>
      <c r="O336" s="74" t="str">
        <f>IFERROR(__xludf.DUMMYFUNCTION("""COMPUTED_VALUE"""),"SEM-8")</f>
        <v>SEM-8</v>
      </c>
      <c r="P336" s="74"/>
      <c r="Q336" s="74"/>
      <c r="R336" s="74"/>
      <c r="S336" s="74"/>
      <c r="T336" s="74"/>
      <c r="U336" s="74"/>
      <c r="V336" s="74"/>
      <c r="W336" s="74"/>
      <c r="X336" s="74"/>
      <c r="Y336" s="74"/>
    </row>
    <row r="337" ht="26.25" customHeight="1">
      <c r="A337" s="74" t="str">
        <f>IFERROR(__xludf.DUMMYFUNCTION("""COMPUTED_VALUE"""),"CHANDANA PITLA")</f>
        <v>CHANDANA PITLA</v>
      </c>
      <c r="B337" s="74" t="str">
        <f>IFERROR(__xludf.DUMMYFUNCTION("""COMPUTED_VALUE"""),"18331A05C1")</f>
        <v>18331A05C1</v>
      </c>
      <c r="C337" s="90" t="str">
        <f>IFERROR(__xludf.DUMMYFUNCTION("""COMPUTED_VALUE"""),"AI For Everyone")</f>
        <v>AI For Everyone</v>
      </c>
      <c r="D337" s="74" t="str">
        <f>IFERROR(__xludf.DUMMYFUNCTION("""COMPUTED_VALUE"""),"COURSERA")</f>
        <v>COURSERA</v>
      </c>
      <c r="E337" s="74" t="str">
        <f>IFERROR(__xludf.DUMMYFUNCTION("""COMPUTED_VALUE"""),"4 weeks")</f>
        <v>4 weeks</v>
      </c>
      <c r="F337" s="91">
        <f>IFERROR(__xludf.DUMMYFUNCTION("""COMPUTED_VALUE"""),43948.0)</f>
        <v>43948</v>
      </c>
      <c r="G337" s="91">
        <f>IFERROR(__xludf.DUMMYFUNCTION("""COMPUTED_VALUE"""),43950.0)</f>
        <v>43950</v>
      </c>
      <c r="H337" s="79">
        <f>IFERROR(__xludf.DUMMYFUNCTION("""COMPUTED_VALUE"""),43950.0)</f>
        <v>43950</v>
      </c>
      <c r="I337" s="92">
        <f>IFERROR(__xludf.DUMMYFUNCTION("""COMPUTED_VALUE"""),90.0)</f>
        <v>90</v>
      </c>
      <c r="J337" s="74" t="str">
        <f>IFERROR(__xludf.DUMMYFUNCTION("""COMPUTED_VALUE"""),"N/A")</f>
        <v>N/A</v>
      </c>
      <c r="K337" s="80" t="str">
        <f>IFERROR(__xludf.DUMMYFUNCTION("""COMPUTED_VALUE"""),"https://drive.google.com/open?id=1DS6ZBes_FtFimJEeFfznz8YwMYxneyMB")</f>
        <v>https://drive.google.com/open?id=1DS6ZBes_FtFimJEeFfznz8YwMYxneyMB</v>
      </c>
      <c r="L337" s="74" t="str">
        <f>IFERROR(__xludf.DUMMYFUNCTION("""COMPUTED_VALUE"""),"2018-2022")</f>
        <v>2018-2022</v>
      </c>
      <c r="M337" s="74" t="str">
        <f>IFERROR(__xludf.DUMMYFUNCTION("""COMPUTED_VALUE"""),"S4: Student Certifications")</f>
        <v>S4: Student Certifications</v>
      </c>
      <c r="N337" s="74" t="str">
        <f>IFERROR(__xludf.DUMMYFUNCTION("""COMPUTED_VALUE"""),"pitlachandana@gmail.com")</f>
        <v>pitlachandana@gmail.com</v>
      </c>
      <c r="O337" s="74" t="str">
        <f>IFERROR(__xludf.DUMMYFUNCTION("""COMPUTED_VALUE"""),"SEM-8")</f>
        <v>SEM-8</v>
      </c>
      <c r="P337" s="74"/>
      <c r="Q337" s="74"/>
      <c r="R337" s="74"/>
      <c r="S337" s="74"/>
      <c r="T337" s="74"/>
      <c r="U337" s="74"/>
      <c r="V337" s="74"/>
      <c r="W337" s="74"/>
      <c r="X337" s="74"/>
      <c r="Y337" s="74"/>
    </row>
    <row r="338" ht="26.25" customHeight="1">
      <c r="A338" s="74" t="str">
        <f>IFERROR(__xludf.DUMMYFUNCTION("""COMPUTED_VALUE"""),"mohammad riyazul haneef sharief")</f>
        <v>mohammad riyazul haneef sharief</v>
      </c>
      <c r="B338" s="74" t="str">
        <f>IFERROR(__xludf.DUMMYFUNCTION("""COMPUTED_VALUE"""),"18331A05H6")</f>
        <v>18331A05H6</v>
      </c>
      <c r="C338" s="90" t="str">
        <f>IFERROR(__xludf.DUMMYFUNCTION("""COMPUTED_VALUE"""),"L4G")</f>
        <v>L4G</v>
      </c>
      <c r="D338" s="74" t="str">
        <f>IFERROR(__xludf.DUMMYFUNCTION("""COMPUTED_VALUE"""),"Programming for Everybody (Getting Started with Python)")</f>
        <v>Programming for Everybody (Getting Started with Python)</v>
      </c>
      <c r="E338" s="74" t="str">
        <f>IFERROR(__xludf.DUMMYFUNCTION("""COMPUTED_VALUE"""),"15")</f>
        <v>15</v>
      </c>
      <c r="F338" s="91">
        <f>IFERROR(__xludf.DUMMYFUNCTION("""COMPUTED_VALUE"""),43955.0)</f>
        <v>43955</v>
      </c>
      <c r="G338" s="91">
        <f>IFERROR(__xludf.DUMMYFUNCTION("""COMPUTED_VALUE"""),43970.0)</f>
        <v>43970</v>
      </c>
      <c r="H338" s="79">
        <f>IFERROR(__xludf.DUMMYFUNCTION("""COMPUTED_VALUE"""),43971.0)</f>
        <v>43971</v>
      </c>
      <c r="I338" s="92">
        <f>IFERROR(__xludf.DUMMYFUNCTION("""COMPUTED_VALUE"""),94.0)</f>
        <v>94</v>
      </c>
      <c r="J338" s="74" t="str">
        <f>IFERROR(__xludf.DUMMYFUNCTION("""COMPUTED_VALUE"""),"HOD")</f>
        <v>HOD</v>
      </c>
      <c r="K338" s="80" t="str">
        <f>IFERROR(__xludf.DUMMYFUNCTION("""COMPUTED_VALUE"""),"https://drive.google.com/open?id=1rOpA9Qf3MkBT8yJhdUGsZiyuUl0f6ufw")</f>
        <v>https://drive.google.com/open?id=1rOpA9Qf3MkBT8yJhdUGsZiyuUl0f6ufw</v>
      </c>
      <c r="L338" s="74" t="str">
        <f>IFERROR(__xludf.DUMMYFUNCTION("""COMPUTED_VALUE"""),"2018-2022")</f>
        <v>2018-2022</v>
      </c>
      <c r="M338" s="74" t="str">
        <f>IFERROR(__xludf.DUMMYFUNCTION("""COMPUTED_VALUE"""),"S4: Student Certifications")</f>
        <v>S4: Student Certifications</v>
      </c>
      <c r="N338" s="74" t="str">
        <f>IFERROR(__xludf.DUMMYFUNCTION("""COMPUTED_VALUE"""),"haneefleo10@gmail.com")</f>
        <v>haneefleo10@gmail.com</v>
      </c>
      <c r="O338" s="74" t="str">
        <f>IFERROR(__xludf.DUMMYFUNCTION("""COMPUTED_VALUE"""),"SEM-8")</f>
        <v>SEM-8</v>
      </c>
      <c r="P338" s="74"/>
      <c r="Q338" s="74"/>
      <c r="R338" s="74"/>
      <c r="S338" s="74"/>
      <c r="T338" s="74"/>
      <c r="U338" s="74"/>
      <c r="V338" s="74"/>
      <c r="W338" s="74"/>
      <c r="X338" s="74"/>
      <c r="Y338" s="74"/>
    </row>
    <row r="339" ht="26.25" customHeight="1">
      <c r="A339" s="74" t="str">
        <f>IFERROR(__xludf.DUMMYFUNCTION("""COMPUTED_VALUE"""),"mohammad riyazul haneef sharief")</f>
        <v>mohammad riyazul haneef sharief</v>
      </c>
      <c r="B339" s="74" t="str">
        <f>IFERROR(__xludf.DUMMYFUNCTION("""COMPUTED_VALUE"""),"18331A05H6")</f>
        <v>18331A05H6</v>
      </c>
      <c r="C339" s="90" t="str">
        <f>IFERROR(__xludf.DUMMYFUNCTION("""COMPUTED_VALUE"""),"L4G")</f>
        <v>L4G</v>
      </c>
      <c r="D339" s="74" t="str">
        <f>IFERROR(__xludf.DUMMYFUNCTION("""COMPUTED_VALUE"""),"Introduction to Cyber Attacks")</f>
        <v>Introduction to Cyber Attacks</v>
      </c>
      <c r="E339" s="74" t="str">
        <f>IFERROR(__xludf.DUMMYFUNCTION("""COMPUTED_VALUE"""),"15")</f>
        <v>15</v>
      </c>
      <c r="F339" s="91">
        <f>IFERROR(__xludf.DUMMYFUNCTION("""COMPUTED_VALUE"""),43955.0)</f>
        <v>43955</v>
      </c>
      <c r="G339" s="91">
        <f>IFERROR(__xludf.DUMMYFUNCTION("""COMPUTED_VALUE"""),43966.0)</f>
        <v>43966</v>
      </c>
      <c r="H339" s="79">
        <f>IFERROR(__xludf.DUMMYFUNCTION("""COMPUTED_VALUE"""),43967.0)</f>
        <v>43967</v>
      </c>
      <c r="I339" s="92">
        <f>IFERROR(__xludf.DUMMYFUNCTION("""COMPUTED_VALUE"""),96.0)</f>
        <v>96</v>
      </c>
      <c r="J339" s="74" t="str">
        <f>IFERROR(__xludf.DUMMYFUNCTION("""COMPUTED_VALUE"""),"HOD")</f>
        <v>HOD</v>
      </c>
      <c r="K339" s="80" t="str">
        <f>IFERROR(__xludf.DUMMYFUNCTION("""COMPUTED_VALUE"""),"https://drive.google.com/open?id=1fzMlUctlFglMIqKFJADBsK49j0d5pd8G")</f>
        <v>https://drive.google.com/open?id=1fzMlUctlFglMIqKFJADBsK49j0d5pd8G</v>
      </c>
      <c r="L339" s="74" t="str">
        <f>IFERROR(__xludf.DUMMYFUNCTION("""COMPUTED_VALUE"""),"2018-2022")</f>
        <v>2018-2022</v>
      </c>
      <c r="M339" s="74" t="str">
        <f>IFERROR(__xludf.DUMMYFUNCTION("""COMPUTED_VALUE"""),"S4: Student Certifications")</f>
        <v>S4: Student Certifications</v>
      </c>
      <c r="N339" s="74" t="str">
        <f>IFERROR(__xludf.DUMMYFUNCTION("""COMPUTED_VALUE"""),"haneefleo10@gmail.com")</f>
        <v>haneefleo10@gmail.com</v>
      </c>
      <c r="O339" s="74" t="str">
        <f>IFERROR(__xludf.DUMMYFUNCTION("""COMPUTED_VALUE"""),"SEM-8")</f>
        <v>SEM-8</v>
      </c>
      <c r="P339" s="74"/>
      <c r="Q339" s="74"/>
      <c r="R339" s="74"/>
      <c r="S339" s="74"/>
      <c r="T339" s="74"/>
      <c r="U339" s="74"/>
      <c r="V339" s="74"/>
      <c r="W339" s="74"/>
      <c r="X339" s="74"/>
      <c r="Y339" s="74"/>
    </row>
    <row r="340" ht="26.25" customHeight="1">
      <c r="A340" s="74" t="str">
        <f>IFERROR(__xludf.DUMMYFUNCTION("""COMPUTED_VALUE"""),"CHANDANA PITLA")</f>
        <v>CHANDANA PITLA</v>
      </c>
      <c r="B340" s="74" t="str">
        <f>IFERROR(__xludf.DUMMYFUNCTION("""COMPUTED_VALUE"""),"1833A05C1")</f>
        <v>1833A05C1</v>
      </c>
      <c r="C340" s="90" t="str">
        <f>IFERROR(__xludf.DUMMYFUNCTION("""COMPUTED_VALUE"""),"Introduction to Cyber Attacks")</f>
        <v>Introduction to Cyber Attacks</v>
      </c>
      <c r="D340" s="74" t="str">
        <f>IFERROR(__xludf.DUMMYFUNCTION("""COMPUTED_VALUE"""),"COURSERA")</f>
        <v>COURSERA</v>
      </c>
      <c r="E340" s="74" t="str">
        <f>IFERROR(__xludf.DUMMYFUNCTION("""COMPUTED_VALUE"""),"4 WEEKS")</f>
        <v>4 WEEKS</v>
      </c>
      <c r="F340" s="91">
        <f>IFERROR(__xludf.DUMMYFUNCTION("""COMPUTED_VALUE"""),43976.0)</f>
        <v>43976</v>
      </c>
      <c r="G340" s="91">
        <f>IFERROR(__xludf.DUMMYFUNCTION("""COMPUTED_VALUE"""),43997.0)</f>
        <v>43997</v>
      </c>
      <c r="H340" s="79">
        <f>IFERROR(__xludf.DUMMYFUNCTION("""COMPUTED_VALUE"""),44004.0)</f>
        <v>44004</v>
      </c>
      <c r="I340" s="92">
        <f>IFERROR(__xludf.DUMMYFUNCTION("""COMPUTED_VALUE"""),90.0)</f>
        <v>90</v>
      </c>
      <c r="J340" s="74" t="str">
        <f>IFERROR(__xludf.DUMMYFUNCTION("""COMPUTED_VALUE"""),"N/A")</f>
        <v>N/A</v>
      </c>
      <c r="K340" s="80" t="str">
        <f>IFERROR(__xludf.DUMMYFUNCTION("""COMPUTED_VALUE"""),"https://drive.google.com/open?id=1eCpyWkLyc-6dr-tMZugc9DkqbKcpQtVl")</f>
        <v>https://drive.google.com/open?id=1eCpyWkLyc-6dr-tMZugc9DkqbKcpQtVl</v>
      </c>
      <c r="L340" s="74" t="str">
        <f>IFERROR(__xludf.DUMMYFUNCTION("""COMPUTED_VALUE"""),"2018-2022")</f>
        <v>2018-2022</v>
      </c>
      <c r="M340" s="74" t="str">
        <f>IFERROR(__xludf.DUMMYFUNCTION("""COMPUTED_VALUE"""),"S4: Student Certifications")</f>
        <v>S4: Student Certifications</v>
      </c>
      <c r="N340" s="74" t="str">
        <f>IFERROR(__xludf.DUMMYFUNCTION("""COMPUTED_VALUE"""),"pitlachandana@gmail.com")</f>
        <v>pitlachandana@gmail.com</v>
      </c>
      <c r="O340" s="74" t="str">
        <f>IFERROR(__xludf.DUMMYFUNCTION("""COMPUTED_VALUE"""),"SEM-8")</f>
        <v>SEM-8</v>
      </c>
      <c r="P340" s="74"/>
      <c r="Q340" s="74"/>
      <c r="R340" s="74"/>
      <c r="S340" s="74"/>
      <c r="T340" s="74"/>
      <c r="U340" s="74"/>
      <c r="V340" s="74"/>
      <c r="W340" s="74"/>
      <c r="X340" s="74"/>
      <c r="Y340" s="74"/>
    </row>
    <row r="341" ht="26.25" customHeight="1">
      <c r="A341" s="78" t="str">
        <f>IFERROR(__xludf.DUMMYFUNCTION("""COMPUTED_VALUE"""),"KALIDINDI SOWMYA SHREE ")</f>
        <v>KALIDINDI SOWMYA SHREE </v>
      </c>
      <c r="B341" s="78" t="str">
        <f>IFERROR(__xludf.DUMMYFUNCTION("""COMPUTED_VALUE"""),"18331A0562")</f>
        <v>18331A0562</v>
      </c>
      <c r="C341" s="93" t="str">
        <f>IFERROR(__xludf.DUMMYFUNCTION("""COMPUTED_VALUE"""),"ARTIFICIAL INTELLIGENE WORKSHOP")</f>
        <v>ARTIFICIAL INTELLIGENE WORKSHOP</v>
      </c>
      <c r="D341" s="78" t="str">
        <f>IFERROR(__xludf.DUMMYFUNCTION("""COMPUTED_VALUE"""),"Kyrion Technologies pvt ")</f>
        <v>Kyrion Technologies pvt </v>
      </c>
      <c r="E341" s="78" t="str">
        <f>IFERROR(__xludf.DUMMYFUNCTION("""COMPUTED_VALUE"""),"2 days")</f>
        <v>2 days</v>
      </c>
      <c r="F341" s="94">
        <f>IFERROR(__xludf.DUMMYFUNCTION("""COMPUTED_VALUE"""),43694.0)</f>
        <v>43694</v>
      </c>
      <c r="G341" s="94">
        <f>IFERROR(__xludf.DUMMYFUNCTION("""COMPUTED_VALUE"""),43695.0)</f>
        <v>43695</v>
      </c>
      <c r="H341" s="84">
        <f>IFERROR(__xludf.DUMMYFUNCTION("""COMPUTED_VALUE"""),43695.0)</f>
        <v>43695</v>
      </c>
      <c r="I341" s="95">
        <f>IFERROR(__xludf.DUMMYFUNCTION("""COMPUTED_VALUE"""),100.0)</f>
        <v>100</v>
      </c>
      <c r="J341" s="78" t="str">
        <f>IFERROR(__xludf.DUMMYFUNCTION("""COMPUTED_VALUE"""),"Rishabh Mehta")</f>
        <v>Rishabh Mehta</v>
      </c>
      <c r="K341" s="85" t="str">
        <f>IFERROR(__xludf.DUMMYFUNCTION("""COMPUTED_VALUE"""),"https://drive.google.com/open?id=135Q2r1gTVjaVA3KaRMDJ0K-zgdyfsFgO")</f>
        <v>https://drive.google.com/open?id=135Q2r1gTVjaVA3KaRMDJ0K-zgdyfsFgO</v>
      </c>
      <c r="L341" s="78" t="str">
        <f>IFERROR(__xludf.DUMMYFUNCTION("""COMPUTED_VALUE"""),"2018-2022")</f>
        <v>2018-2022</v>
      </c>
      <c r="M341" s="78" t="str">
        <f>IFERROR(__xludf.DUMMYFUNCTION("""COMPUTED_VALUE"""),"S4: Student Certifications")</f>
        <v>S4: Student Certifications</v>
      </c>
      <c r="N341" s="78" t="str">
        <f>IFERROR(__xludf.DUMMYFUNCTION("""COMPUTED_VALUE"""),"sowmyakalidindi.01@gmail.com")</f>
        <v>sowmyakalidindi.01@gmail.com</v>
      </c>
      <c r="O341" s="78" t="str">
        <f>IFERROR(__xludf.DUMMYFUNCTION("""COMPUTED_VALUE"""),"SEM-8")</f>
        <v>SEM-8</v>
      </c>
      <c r="P341" s="78"/>
      <c r="Q341" s="78"/>
      <c r="R341" s="78"/>
      <c r="S341" s="78"/>
      <c r="T341" s="78"/>
      <c r="U341" s="78"/>
      <c r="V341" s="78"/>
      <c r="W341" s="78"/>
      <c r="X341" s="78"/>
      <c r="Y341" s="78"/>
    </row>
    <row r="342" ht="26.25" customHeight="1">
      <c r="A342" s="74" t="str">
        <f>IFERROR(__xludf.DUMMYFUNCTION("""COMPUTED_VALUE"""),"CHANDANA PITLA")</f>
        <v>CHANDANA PITLA</v>
      </c>
      <c r="B342" s="74" t="str">
        <f>IFERROR(__xludf.DUMMYFUNCTION("""COMPUTED_VALUE"""),"18331A05C1")</f>
        <v>18331A05C1</v>
      </c>
      <c r="C342" s="90" t="str">
        <f>IFERROR(__xludf.DUMMYFUNCTION("""COMPUTED_VALUE"""),"Design Thinking for the Greater Good: Innovation in the Social Sector")</f>
        <v>Design Thinking for the Greater Good: Innovation in the Social Sector</v>
      </c>
      <c r="D342" s="74" t="str">
        <f>IFERROR(__xludf.DUMMYFUNCTION("""COMPUTED_VALUE"""),"COURSERA")</f>
        <v>COURSERA</v>
      </c>
      <c r="E342" s="74" t="str">
        <f>IFERROR(__xludf.DUMMYFUNCTION("""COMPUTED_VALUE"""),"4 WEEKS")</f>
        <v>4 WEEKS</v>
      </c>
      <c r="F342" s="91">
        <f>IFERROR(__xludf.DUMMYFUNCTION("""COMPUTED_VALUE"""),43997.0)</f>
        <v>43997</v>
      </c>
      <c r="G342" s="91">
        <f>IFERROR(__xludf.DUMMYFUNCTION("""COMPUTED_VALUE"""),44018.0)</f>
        <v>44018</v>
      </c>
      <c r="H342" s="79">
        <f>IFERROR(__xludf.DUMMYFUNCTION("""COMPUTED_VALUE"""),44018.0)</f>
        <v>44018</v>
      </c>
      <c r="I342" s="92">
        <f>IFERROR(__xludf.DUMMYFUNCTION("""COMPUTED_VALUE"""),90.0)</f>
        <v>90</v>
      </c>
      <c r="J342" s="74" t="str">
        <f>IFERROR(__xludf.DUMMYFUNCTION("""COMPUTED_VALUE"""),"N/A")</f>
        <v>N/A</v>
      </c>
      <c r="K342" s="80" t="str">
        <f>IFERROR(__xludf.DUMMYFUNCTION("""COMPUTED_VALUE"""),"https://drive.google.com/open?id=1lbtq1ot8rFAJUeIqnZAXSgTiy6gaVoOc")</f>
        <v>https://drive.google.com/open?id=1lbtq1ot8rFAJUeIqnZAXSgTiy6gaVoOc</v>
      </c>
      <c r="L342" s="74" t="str">
        <f>IFERROR(__xludf.DUMMYFUNCTION("""COMPUTED_VALUE"""),"2018-2022")</f>
        <v>2018-2022</v>
      </c>
      <c r="M342" s="74" t="str">
        <f>IFERROR(__xludf.DUMMYFUNCTION("""COMPUTED_VALUE"""),"S4: Student Certifications")</f>
        <v>S4: Student Certifications</v>
      </c>
      <c r="N342" s="74" t="str">
        <f>IFERROR(__xludf.DUMMYFUNCTION("""COMPUTED_VALUE"""),"pitlachandana@gmail.com")</f>
        <v>pitlachandana@gmail.com</v>
      </c>
      <c r="O342" s="74" t="str">
        <f>IFERROR(__xludf.DUMMYFUNCTION("""COMPUTED_VALUE"""),"SEM-8")</f>
        <v>SEM-8</v>
      </c>
      <c r="P342" s="74"/>
      <c r="Q342" s="74"/>
      <c r="R342" s="74"/>
      <c r="S342" s="74"/>
      <c r="T342" s="74"/>
      <c r="U342" s="74"/>
      <c r="V342" s="74"/>
      <c r="W342" s="74"/>
      <c r="X342" s="74"/>
      <c r="Y342" s="74"/>
    </row>
    <row r="343" ht="26.25" customHeight="1">
      <c r="A343" s="74" t="str">
        <f>IFERROR(__xludf.DUMMYFUNCTION("""COMPUTED_VALUE"""),"CHANDANA PITLA")</f>
        <v>CHANDANA PITLA</v>
      </c>
      <c r="B343" s="74" t="str">
        <f>IFERROR(__xludf.DUMMYFUNCTION("""COMPUTED_VALUE"""),"18331A05C1")</f>
        <v>18331A05C1</v>
      </c>
      <c r="C343" s="90" t="str">
        <f>IFERROR(__xludf.DUMMYFUNCTION("""COMPUTED_VALUE"""),"Web Design for Everybody Capstone")</f>
        <v>Web Design for Everybody Capstone</v>
      </c>
      <c r="D343" s="74" t="str">
        <f>IFERROR(__xludf.DUMMYFUNCTION("""COMPUTED_VALUE"""),"COURSERA")</f>
        <v>COURSERA</v>
      </c>
      <c r="E343" s="74" t="str">
        <f>IFERROR(__xludf.DUMMYFUNCTION("""COMPUTED_VALUE"""),"6 WEEKS")</f>
        <v>6 WEEKS</v>
      </c>
      <c r="F343" s="91">
        <f>IFERROR(__xludf.DUMMYFUNCTION("""COMPUTED_VALUE"""),44041.0)</f>
        <v>44041</v>
      </c>
      <c r="G343" s="91">
        <f>IFERROR(__xludf.DUMMYFUNCTION("""COMPUTED_VALUE"""),44052.0)</f>
        <v>44052</v>
      </c>
      <c r="H343" s="79">
        <f>IFERROR(__xludf.DUMMYFUNCTION("""COMPUTED_VALUE"""),44052.0)</f>
        <v>44052</v>
      </c>
      <c r="I343" s="92">
        <f>IFERROR(__xludf.DUMMYFUNCTION("""COMPUTED_VALUE"""),90.0)</f>
        <v>90</v>
      </c>
      <c r="J343" s="74" t="str">
        <f>IFERROR(__xludf.DUMMYFUNCTION("""COMPUTED_VALUE"""),"N/A")</f>
        <v>N/A</v>
      </c>
      <c r="K343" s="80" t="str">
        <f>IFERROR(__xludf.DUMMYFUNCTION("""COMPUTED_VALUE"""),"https://drive.google.com/open?id=1Ctfpt_XIN9hAYn3bHXijID1hrcsz-gMV")</f>
        <v>https://drive.google.com/open?id=1Ctfpt_XIN9hAYn3bHXijID1hrcsz-gMV</v>
      </c>
      <c r="L343" s="74" t="str">
        <f>IFERROR(__xludf.DUMMYFUNCTION("""COMPUTED_VALUE"""),"2018-2022")</f>
        <v>2018-2022</v>
      </c>
      <c r="M343" s="74" t="str">
        <f>IFERROR(__xludf.DUMMYFUNCTION("""COMPUTED_VALUE"""),"S4: Student Certifications")</f>
        <v>S4: Student Certifications</v>
      </c>
      <c r="N343" s="74" t="str">
        <f>IFERROR(__xludf.DUMMYFUNCTION("""COMPUTED_VALUE"""),"pitlachandana@gmail.com")</f>
        <v>pitlachandana@gmail.com</v>
      </c>
      <c r="O343" s="74" t="str">
        <f>IFERROR(__xludf.DUMMYFUNCTION("""COMPUTED_VALUE"""),"SEM-8")</f>
        <v>SEM-8</v>
      </c>
      <c r="P343" s="74"/>
      <c r="Q343" s="74"/>
      <c r="R343" s="74"/>
      <c r="S343" s="74"/>
      <c r="T343" s="74"/>
      <c r="U343" s="74"/>
      <c r="V343" s="74"/>
      <c r="W343" s="74"/>
      <c r="X343" s="74"/>
      <c r="Y343" s="74"/>
    </row>
    <row r="344" ht="26.25" customHeight="1">
      <c r="A344" s="74" t="str">
        <f>IFERROR(__xludf.DUMMYFUNCTION("""COMPUTED_VALUE"""),"SOWMYA SHREE KALIDINDI")</f>
        <v>SOWMYA SHREE KALIDINDI</v>
      </c>
      <c r="B344" s="74" t="str">
        <f>IFERROR(__xludf.DUMMYFUNCTION("""COMPUTED_VALUE"""),"18331A0562")</f>
        <v>18331A0562</v>
      </c>
      <c r="C344" s="90" t="str">
        <f>IFERROR(__xludf.DUMMYFUNCTION("""COMPUTED_VALUE"""),"Cybersecurity Essentials")</f>
        <v>Cybersecurity Essentials</v>
      </c>
      <c r="D344" s="74" t="str">
        <f>IFERROR(__xludf.DUMMYFUNCTION("""COMPUTED_VALUE"""),"CISCO")</f>
        <v>CISCO</v>
      </c>
      <c r="E344" s="74" t="str">
        <f>IFERROR(__xludf.DUMMYFUNCTION("""COMPUTED_VALUE"""),"1 MONTH")</f>
        <v>1 MONTH</v>
      </c>
      <c r="F344" s="91">
        <f>IFERROR(__xludf.DUMMYFUNCTION("""COMPUTED_VALUE"""),43637.0)</f>
        <v>43637</v>
      </c>
      <c r="G344" s="91">
        <f>IFERROR(__xludf.DUMMYFUNCTION("""COMPUTED_VALUE"""),43675.0)</f>
        <v>43675</v>
      </c>
      <c r="H344" s="79">
        <f>IFERROR(__xludf.DUMMYFUNCTION("""COMPUTED_VALUE"""),43675.0)</f>
        <v>43675</v>
      </c>
      <c r="I344" s="92">
        <f>IFERROR(__xludf.DUMMYFUNCTION("""COMPUTED_VALUE"""),100.0)</f>
        <v>100</v>
      </c>
      <c r="J344" s="74" t="str">
        <f>IFERROR(__xludf.DUMMYFUNCTION("""COMPUTED_VALUE"""),"DR RAVI KIRAN VARMA PENMATSA")</f>
        <v>DR RAVI KIRAN VARMA PENMATSA</v>
      </c>
      <c r="K344" s="80" t="str">
        <f>IFERROR(__xludf.DUMMYFUNCTION("""COMPUTED_VALUE"""),"https://drive.google.com/open?id=1ewXXWm2TWYbNSnabislMMRorrSBEDccP")</f>
        <v>https://drive.google.com/open?id=1ewXXWm2TWYbNSnabislMMRorrSBEDccP</v>
      </c>
      <c r="L344" s="74" t="str">
        <f>IFERROR(__xludf.DUMMYFUNCTION("""COMPUTED_VALUE"""),"2018-2022")</f>
        <v>2018-2022</v>
      </c>
      <c r="M344" s="74" t="str">
        <f>IFERROR(__xludf.DUMMYFUNCTION("""COMPUTED_VALUE"""),"S4: Student Certifications")</f>
        <v>S4: Student Certifications</v>
      </c>
      <c r="N344" s="74" t="str">
        <f>IFERROR(__xludf.DUMMYFUNCTION("""COMPUTED_VALUE"""),"sowmyakalidindi.01@gmail.com")</f>
        <v>sowmyakalidindi.01@gmail.com</v>
      </c>
      <c r="O344" s="74" t="str">
        <f>IFERROR(__xludf.DUMMYFUNCTION("""COMPUTED_VALUE"""),"SEM-8")</f>
        <v>SEM-8</v>
      </c>
      <c r="P344" s="74"/>
      <c r="Q344" s="74"/>
      <c r="R344" s="74"/>
      <c r="S344" s="74"/>
      <c r="T344" s="74"/>
      <c r="U344" s="74"/>
      <c r="V344" s="74"/>
      <c r="W344" s="74"/>
      <c r="X344" s="74"/>
      <c r="Y344" s="74"/>
    </row>
    <row r="345" ht="26.25" customHeight="1">
      <c r="A345" s="74" t="str">
        <f>IFERROR(__xludf.DUMMYFUNCTION("""COMPUTED_VALUE"""),"CHANDANA PITLA")</f>
        <v>CHANDANA PITLA</v>
      </c>
      <c r="B345" s="74" t="str">
        <f>IFERROR(__xludf.DUMMYFUNCTION("""COMPUTED_VALUE"""),"18331A05C1")</f>
        <v>18331A05C1</v>
      </c>
      <c r="C345" s="90" t="str">
        <f>IFERROR(__xludf.DUMMYFUNCTION("""COMPUTED_VALUE"""),"Speak English Professionally: In Person, Online &amp; On the Phone")</f>
        <v>Speak English Professionally: In Person, Online &amp; On the Phone</v>
      </c>
      <c r="D345" s="74" t="str">
        <f>IFERROR(__xludf.DUMMYFUNCTION("""COMPUTED_VALUE"""),"COURSERA")</f>
        <v>COURSERA</v>
      </c>
      <c r="E345" s="74" t="str">
        <f>IFERROR(__xludf.DUMMYFUNCTION("""COMPUTED_VALUE"""),"5 WEEKS")</f>
        <v>5 WEEKS</v>
      </c>
      <c r="F345" s="91">
        <f>IFERROR(__xludf.DUMMYFUNCTION("""COMPUTED_VALUE"""),44014.0)</f>
        <v>44014</v>
      </c>
      <c r="G345" s="91">
        <f>IFERROR(__xludf.DUMMYFUNCTION("""COMPUTED_VALUE"""),44042.0)</f>
        <v>44042</v>
      </c>
      <c r="H345" s="79">
        <f>IFERROR(__xludf.DUMMYFUNCTION("""COMPUTED_VALUE"""),44042.0)</f>
        <v>44042</v>
      </c>
      <c r="I345" s="92">
        <f>IFERROR(__xludf.DUMMYFUNCTION("""COMPUTED_VALUE"""),99.0)</f>
        <v>99</v>
      </c>
      <c r="J345" s="74" t="str">
        <f>IFERROR(__xludf.DUMMYFUNCTION("""COMPUTED_VALUE"""),"N/A")</f>
        <v>N/A</v>
      </c>
      <c r="K345" s="80" t="str">
        <f>IFERROR(__xludf.DUMMYFUNCTION("""COMPUTED_VALUE"""),"https://drive.google.com/open?id=18dAxoIXFcIgmNM697BE2ZyWofCJK-k-S")</f>
        <v>https://drive.google.com/open?id=18dAxoIXFcIgmNM697BE2ZyWofCJK-k-S</v>
      </c>
      <c r="L345" s="74" t="str">
        <f>IFERROR(__xludf.DUMMYFUNCTION("""COMPUTED_VALUE"""),"2018-2022")</f>
        <v>2018-2022</v>
      </c>
      <c r="M345" s="74" t="str">
        <f>IFERROR(__xludf.DUMMYFUNCTION("""COMPUTED_VALUE"""),"S4: Student Certifications")</f>
        <v>S4: Student Certifications</v>
      </c>
      <c r="N345" s="74" t="str">
        <f>IFERROR(__xludf.DUMMYFUNCTION("""COMPUTED_VALUE"""),"pitlachandana@gmail.com")</f>
        <v>pitlachandana@gmail.com</v>
      </c>
      <c r="O345" s="74" t="str">
        <f>IFERROR(__xludf.DUMMYFUNCTION("""COMPUTED_VALUE"""),"SEM-8")</f>
        <v>SEM-8</v>
      </c>
      <c r="P345" s="74"/>
      <c r="Q345" s="74"/>
      <c r="R345" s="74"/>
      <c r="S345" s="74"/>
      <c r="T345" s="74"/>
      <c r="U345" s="74"/>
      <c r="V345" s="74"/>
      <c r="W345" s="74"/>
      <c r="X345" s="74"/>
      <c r="Y345" s="74"/>
    </row>
    <row r="346" ht="26.25" customHeight="1">
      <c r="A346" s="74" t="str">
        <f>IFERROR(__xludf.DUMMYFUNCTION("""COMPUTED_VALUE"""),"SOWMYA SHREE KALIDINDI")</f>
        <v>SOWMYA SHREE KALIDINDI</v>
      </c>
      <c r="B346" s="74" t="str">
        <f>IFERROR(__xludf.DUMMYFUNCTION("""COMPUTED_VALUE"""),"18331A0562")</f>
        <v>18331A0562</v>
      </c>
      <c r="C346" s="90" t="str">
        <f>IFERROR(__xludf.DUMMYFUNCTION("""COMPUTED_VALUE"""),"INTRODUCTION TO CYBERSECURITY")</f>
        <v>INTRODUCTION TO CYBERSECURITY</v>
      </c>
      <c r="D346" s="74" t="str">
        <f>IFERROR(__xludf.DUMMYFUNCTION("""COMPUTED_VALUE"""),"CISCO")</f>
        <v>CISCO</v>
      </c>
      <c r="E346" s="74" t="str">
        <f>IFERROR(__xludf.DUMMYFUNCTION("""COMPUTED_VALUE"""),"1 MONTH")</f>
        <v>1 MONTH</v>
      </c>
      <c r="F346" s="91">
        <f>IFERROR(__xludf.DUMMYFUNCTION("""COMPUTED_VALUE"""),43583.0)</f>
        <v>43583</v>
      </c>
      <c r="G346" s="91">
        <f>IFERROR(__xludf.DUMMYFUNCTION("""COMPUTED_VALUE"""),43600.0)</f>
        <v>43600</v>
      </c>
      <c r="H346" s="79">
        <f>IFERROR(__xludf.DUMMYFUNCTION("""COMPUTED_VALUE"""),43600.0)</f>
        <v>43600</v>
      </c>
      <c r="I346" s="92">
        <f>IFERROR(__xludf.DUMMYFUNCTION("""COMPUTED_VALUE"""),100.0)</f>
        <v>100</v>
      </c>
      <c r="J346" s="74" t="str">
        <f>IFERROR(__xludf.DUMMYFUNCTION("""COMPUTED_VALUE"""),"DR RAVI KIRAN VARMA PENMATSA")</f>
        <v>DR RAVI KIRAN VARMA PENMATSA</v>
      </c>
      <c r="K346" s="80" t="str">
        <f>IFERROR(__xludf.DUMMYFUNCTION("""COMPUTED_VALUE"""),"https://drive.google.com/open?id=1KmZO2SOcVkXhna0Y1SSTfbCAazPqP9wm")</f>
        <v>https://drive.google.com/open?id=1KmZO2SOcVkXhna0Y1SSTfbCAazPqP9wm</v>
      </c>
      <c r="L346" s="74" t="str">
        <f>IFERROR(__xludf.DUMMYFUNCTION("""COMPUTED_VALUE"""),"2018-2022")</f>
        <v>2018-2022</v>
      </c>
      <c r="M346" s="74" t="str">
        <f>IFERROR(__xludf.DUMMYFUNCTION("""COMPUTED_VALUE"""),"S4: Student Certifications")</f>
        <v>S4: Student Certifications</v>
      </c>
      <c r="N346" s="74" t="str">
        <f>IFERROR(__xludf.DUMMYFUNCTION("""COMPUTED_VALUE"""),"sowmyakalidindi.01@gmail.com")</f>
        <v>sowmyakalidindi.01@gmail.com</v>
      </c>
      <c r="O346" s="74" t="str">
        <f>IFERROR(__xludf.DUMMYFUNCTION("""COMPUTED_VALUE"""),"SEM-8")</f>
        <v>SEM-8</v>
      </c>
      <c r="P346" s="74"/>
      <c r="Q346" s="74"/>
      <c r="R346" s="74"/>
      <c r="S346" s="74"/>
      <c r="T346" s="74"/>
      <c r="U346" s="74"/>
      <c r="V346" s="74"/>
      <c r="W346" s="74"/>
      <c r="X346" s="74"/>
      <c r="Y346" s="74"/>
    </row>
    <row r="347" ht="26.25" customHeight="1">
      <c r="A347" s="74" t="str">
        <f>IFERROR(__xludf.DUMMYFUNCTION("""COMPUTED_VALUE"""),"Mallavarapu Tejaswi")</f>
        <v>Mallavarapu Tejaswi</v>
      </c>
      <c r="B347" s="74" t="str">
        <f>IFERROR(__xludf.DUMMYFUNCTION("""COMPUTED_VALUE"""),"18331A0591")</f>
        <v>18331A0591</v>
      </c>
      <c r="C347" s="90" t="str">
        <f>IFERROR(__xludf.DUMMYFUNCTION("""COMPUTED_VALUE"""),"Cybersecurity Essentials")</f>
        <v>Cybersecurity Essentials</v>
      </c>
      <c r="D347" s="74" t="str">
        <f>IFERROR(__xludf.DUMMYFUNCTION("""COMPUTED_VALUE"""),"Cisco")</f>
        <v>Cisco</v>
      </c>
      <c r="E347" s="74" t="str">
        <f>IFERROR(__xludf.DUMMYFUNCTION("""COMPUTED_VALUE"""),"1")</f>
        <v>1</v>
      </c>
      <c r="F347" s="91">
        <f>IFERROR(__xludf.DUMMYFUNCTION("""COMPUTED_VALUE"""),43645.0)</f>
        <v>43645</v>
      </c>
      <c r="G347" s="91">
        <f>IFERROR(__xludf.DUMMYFUNCTION("""COMPUTED_VALUE"""),43675.0)</f>
        <v>43675</v>
      </c>
      <c r="H347" s="79">
        <f>IFERROR(__xludf.DUMMYFUNCTION("""COMPUTED_VALUE"""),43675.0)</f>
        <v>43675</v>
      </c>
      <c r="I347" s="92">
        <f>IFERROR(__xludf.DUMMYFUNCTION("""COMPUTED_VALUE"""),100.0)</f>
        <v>100</v>
      </c>
      <c r="J347" s="74" t="str">
        <f>IFERROR(__xludf.DUMMYFUNCTION("""COMPUTED_VALUE"""),"Dr.P Ravikiran Varma")</f>
        <v>Dr.P Ravikiran Varma</v>
      </c>
      <c r="K347" s="80" t="str">
        <f>IFERROR(__xludf.DUMMYFUNCTION("""COMPUTED_VALUE"""),"https://drive.google.com/open?id=1KsJQ4g2v1OiJ-Y3MxO_I9mqFmrJrAW7S")</f>
        <v>https://drive.google.com/open?id=1KsJQ4g2v1OiJ-Y3MxO_I9mqFmrJrAW7S</v>
      </c>
      <c r="L347" s="74" t="str">
        <f>IFERROR(__xludf.DUMMYFUNCTION("""COMPUTED_VALUE"""),"2018-2022")</f>
        <v>2018-2022</v>
      </c>
      <c r="M347" s="74" t="str">
        <f>IFERROR(__xludf.DUMMYFUNCTION("""COMPUTED_VALUE"""),"S4: Student Certifications")</f>
        <v>S4: Student Certifications</v>
      </c>
      <c r="N347" s="74" t="str">
        <f>IFERROR(__xludf.DUMMYFUNCTION("""COMPUTED_VALUE"""),"Mallavarapu.tejaswi@gmail.com")</f>
        <v>Mallavarapu.tejaswi@gmail.com</v>
      </c>
      <c r="O347" s="74" t="str">
        <f>IFERROR(__xludf.DUMMYFUNCTION("""COMPUTED_VALUE"""),"SEM-8")</f>
        <v>SEM-8</v>
      </c>
      <c r="P347" s="74"/>
      <c r="Q347" s="74"/>
      <c r="R347" s="74"/>
      <c r="S347" s="74"/>
      <c r="T347" s="74"/>
      <c r="U347" s="74"/>
      <c r="V347" s="74"/>
      <c r="W347" s="74"/>
      <c r="X347" s="74"/>
      <c r="Y347" s="74"/>
    </row>
    <row r="348" ht="26.25" customHeight="1">
      <c r="A348" s="74" t="str">
        <f>IFERROR(__xludf.DUMMYFUNCTION("""COMPUTED_VALUE"""),"CHANDANA PITLA")</f>
        <v>CHANDANA PITLA</v>
      </c>
      <c r="B348" s="74" t="str">
        <f>IFERROR(__xludf.DUMMYFUNCTION("""COMPUTED_VALUE"""),"18331A05C1")</f>
        <v>18331A05C1</v>
      </c>
      <c r="C348" s="90" t="str">
        <f>IFERROR(__xludf.DUMMYFUNCTION("""COMPUTED_VALUE"""),"Programming for Everybody ")</f>
        <v>Programming for Everybody </v>
      </c>
      <c r="D348" s="74" t="str">
        <f>IFERROR(__xludf.DUMMYFUNCTION("""COMPUTED_VALUE"""),"COURSERA")</f>
        <v>COURSERA</v>
      </c>
      <c r="E348" s="74" t="str">
        <f>IFERROR(__xludf.DUMMYFUNCTION("""COMPUTED_VALUE"""),"7 WEEKS")</f>
        <v>7 WEEKS</v>
      </c>
      <c r="F348" s="91">
        <f>IFERROR(__xludf.DUMMYFUNCTION("""COMPUTED_VALUE"""),44005.0)</f>
        <v>44005</v>
      </c>
      <c r="G348" s="91">
        <f>IFERROR(__xludf.DUMMYFUNCTION("""COMPUTED_VALUE"""),44039.0)</f>
        <v>44039</v>
      </c>
      <c r="H348" s="79">
        <f>IFERROR(__xludf.DUMMYFUNCTION("""COMPUTED_VALUE"""),44039.0)</f>
        <v>44039</v>
      </c>
      <c r="I348" s="92">
        <f>IFERROR(__xludf.DUMMYFUNCTION("""COMPUTED_VALUE"""),97.0)</f>
        <v>97</v>
      </c>
      <c r="J348" s="74" t="str">
        <f>IFERROR(__xludf.DUMMYFUNCTION("""COMPUTED_VALUE"""),"N/A")</f>
        <v>N/A</v>
      </c>
      <c r="K348" s="80" t="str">
        <f>IFERROR(__xludf.DUMMYFUNCTION("""COMPUTED_VALUE"""),"https://drive.google.com/open?id=1CAgQLguOwJiwiLffS2m5njKmzhOeqroo")</f>
        <v>https://drive.google.com/open?id=1CAgQLguOwJiwiLffS2m5njKmzhOeqroo</v>
      </c>
      <c r="L348" s="74" t="str">
        <f>IFERROR(__xludf.DUMMYFUNCTION("""COMPUTED_VALUE"""),"2018-2022")</f>
        <v>2018-2022</v>
      </c>
      <c r="M348" s="74" t="str">
        <f>IFERROR(__xludf.DUMMYFUNCTION("""COMPUTED_VALUE"""),"S4: Student Certifications")</f>
        <v>S4: Student Certifications</v>
      </c>
      <c r="N348" s="74" t="str">
        <f>IFERROR(__xludf.DUMMYFUNCTION("""COMPUTED_VALUE"""),"pitlachandana@gmail.com")</f>
        <v>pitlachandana@gmail.com</v>
      </c>
      <c r="O348" s="74" t="str">
        <f>IFERROR(__xludf.DUMMYFUNCTION("""COMPUTED_VALUE"""),"SEM-8")</f>
        <v>SEM-8</v>
      </c>
      <c r="P348" s="74"/>
      <c r="Q348" s="74"/>
      <c r="R348" s="74"/>
      <c r="S348" s="74"/>
      <c r="T348" s="74"/>
      <c r="U348" s="74"/>
      <c r="V348" s="74"/>
      <c r="W348" s="74"/>
      <c r="X348" s="74"/>
      <c r="Y348" s="74"/>
    </row>
    <row r="349" ht="26.25" customHeight="1">
      <c r="A349" s="74" t="str">
        <f>IFERROR(__xludf.DUMMYFUNCTION("""COMPUTED_VALUE"""),"Mallavarapu Tejaswi")</f>
        <v>Mallavarapu Tejaswi</v>
      </c>
      <c r="B349" s="74" t="str">
        <f>IFERROR(__xludf.DUMMYFUNCTION("""COMPUTED_VALUE"""),"18331A0591")</f>
        <v>18331A0591</v>
      </c>
      <c r="C349" s="90" t="str">
        <f>IFERROR(__xludf.DUMMYFUNCTION("""COMPUTED_VALUE"""),"Introduction to Cybersecurity")</f>
        <v>Introduction to Cybersecurity</v>
      </c>
      <c r="D349" s="74" t="str">
        <f>IFERROR(__xludf.DUMMYFUNCTION("""COMPUTED_VALUE"""),"Cisco")</f>
        <v>Cisco</v>
      </c>
      <c r="E349" s="74" t="str">
        <f>IFERROR(__xludf.DUMMYFUNCTION("""COMPUTED_VALUE"""),"1")</f>
        <v>1</v>
      </c>
      <c r="F349" s="91">
        <f>IFERROR(__xludf.DUMMYFUNCTION("""COMPUTED_VALUE"""),44660.0)</f>
        <v>44660</v>
      </c>
      <c r="G349" s="91">
        <f>IFERROR(__xludf.DUMMYFUNCTION("""COMPUTED_VALUE"""),44302.0)</f>
        <v>44302</v>
      </c>
      <c r="H349" s="79">
        <f>IFERROR(__xludf.DUMMYFUNCTION("""COMPUTED_VALUE"""),44302.0)</f>
        <v>44302</v>
      </c>
      <c r="I349" s="92">
        <f>IFERROR(__xludf.DUMMYFUNCTION("""COMPUTED_VALUE"""),100.0)</f>
        <v>100</v>
      </c>
      <c r="J349" s="74" t="str">
        <f>IFERROR(__xludf.DUMMYFUNCTION("""COMPUTED_VALUE"""),"Dr. P Ravi kiran Varma")</f>
        <v>Dr. P Ravi kiran Varma</v>
      </c>
      <c r="K349" s="80" t="str">
        <f>IFERROR(__xludf.DUMMYFUNCTION("""COMPUTED_VALUE"""),"https://drive.google.com/open?id=1EoNPL_1E82X1InuZl-Fo7mxvYqTLOY7X")</f>
        <v>https://drive.google.com/open?id=1EoNPL_1E82X1InuZl-Fo7mxvYqTLOY7X</v>
      </c>
      <c r="L349" s="74" t="str">
        <f>IFERROR(__xludf.DUMMYFUNCTION("""COMPUTED_VALUE"""),"2018-2022")</f>
        <v>2018-2022</v>
      </c>
      <c r="M349" s="74" t="str">
        <f>IFERROR(__xludf.DUMMYFUNCTION("""COMPUTED_VALUE"""),"S4: Student Certifications")</f>
        <v>S4: Student Certifications</v>
      </c>
      <c r="N349" s="74" t="str">
        <f>IFERROR(__xludf.DUMMYFUNCTION("""COMPUTED_VALUE"""),"Mallavarapu.tejaswi@gmail.com")</f>
        <v>Mallavarapu.tejaswi@gmail.com</v>
      </c>
      <c r="O349" s="74" t="str">
        <f>IFERROR(__xludf.DUMMYFUNCTION("""COMPUTED_VALUE"""),"SEM-8")</f>
        <v>SEM-8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</row>
    <row r="350" ht="26.25" customHeight="1">
      <c r="A350" s="74" t="str">
        <f>IFERROR(__xludf.DUMMYFUNCTION("""COMPUTED_VALUE"""),"Sruthi")</f>
        <v>Sruthi</v>
      </c>
      <c r="B350" s="74" t="str">
        <f>IFERROR(__xludf.DUMMYFUNCTION("""COMPUTED_VALUE"""),"18331A05C5")</f>
        <v>18331A05C5</v>
      </c>
      <c r="C350" s="90" t="str">
        <f>IFERROR(__xludf.DUMMYFUNCTION("""COMPUTED_VALUE"""),"AI FOR EVERYONE")</f>
        <v>AI FOR EVERYONE</v>
      </c>
      <c r="D350" s="74" t="str">
        <f>IFERROR(__xludf.DUMMYFUNCTION("""COMPUTED_VALUE"""),"COURSERA")</f>
        <v>COURSERA</v>
      </c>
      <c r="E350" s="74" t="str">
        <f>IFERROR(__xludf.DUMMYFUNCTION("""COMPUTED_VALUE"""),"20DAYS")</f>
        <v>20DAYS</v>
      </c>
      <c r="F350" s="91">
        <f>IFERROR(__xludf.DUMMYFUNCTION("""COMPUTED_VALUE"""),43925.0)</f>
        <v>43925</v>
      </c>
      <c r="G350" s="91">
        <f>IFERROR(__xludf.DUMMYFUNCTION("""COMPUTED_VALUE"""),43945.0)</f>
        <v>43945</v>
      </c>
      <c r="H350" s="79">
        <f>IFERROR(__xludf.DUMMYFUNCTION("""COMPUTED_VALUE"""),43945.0)</f>
        <v>43945</v>
      </c>
      <c r="I350" s="92">
        <f>IFERROR(__xludf.DUMMYFUNCTION("""COMPUTED_VALUE"""),100.0)</f>
        <v>100</v>
      </c>
      <c r="J350" s="74" t="str">
        <f>IFERROR(__xludf.DUMMYFUNCTION("""COMPUTED_VALUE"""),"NA")</f>
        <v>NA</v>
      </c>
      <c r="K350" s="80" t="str">
        <f>IFERROR(__xludf.DUMMYFUNCTION("""COMPUTED_VALUE"""),"https://drive.google.com/open?id=1I3FsKgZVcxoWW5NeYzNV2ZxGBoIbCnKe")</f>
        <v>https://drive.google.com/open?id=1I3FsKgZVcxoWW5NeYzNV2ZxGBoIbCnKe</v>
      </c>
      <c r="L350" s="74" t="str">
        <f>IFERROR(__xludf.DUMMYFUNCTION("""COMPUTED_VALUE"""),"2018-2022")</f>
        <v>2018-2022</v>
      </c>
      <c r="M350" s="74" t="str">
        <f>IFERROR(__xludf.DUMMYFUNCTION("""COMPUTED_VALUE"""),"S4: Student Certifications")</f>
        <v>S4: Student Certifications</v>
      </c>
      <c r="N350" s="74" t="str">
        <f>IFERROR(__xludf.DUMMYFUNCTION("""COMPUTED_VALUE"""),"sruthirokalla369@gmail.com")</f>
        <v>sruthirokalla369@gmail.com</v>
      </c>
      <c r="O350" s="74" t="str">
        <f>IFERROR(__xludf.DUMMYFUNCTION("""COMPUTED_VALUE"""),"SEM-8")</f>
        <v>SEM-8</v>
      </c>
      <c r="P350" s="74"/>
      <c r="Q350" s="74"/>
      <c r="R350" s="74"/>
      <c r="S350" s="74"/>
      <c r="T350" s="74"/>
      <c r="U350" s="74"/>
      <c r="V350" s="74"/>
      <c r="W350" s="74"/>
      <c r="X350" s="74"/>
      <c r="Y350" s="74"/>
    </row>
    <row r="351" ht="26.25" customHeight="1">
      <c r="A351" s="74" t="str">
        <f>IFERROR(__xludf.DUMMYFUNCTION("""COMPUTED_VALUE"""),"SOWMYA SHREE")</f>
        <v>SOWMYA SHREE</v>
      </c>
      <c r="B351" s="74" t="str">
        <f>IFERROR(__xludf.DUMMYFUNCTION("""COMPUTED_VALUE"""),"18331A0562")</f>
        <v>18331A0562</v>
      </c>
      <c r="C351" s="90" t="str">
        <f>IFERROR(__xludf.DUMMYFUNCTION("""COMPUTED_VALUE"""),"DEEP LEARNING.AI")</f>
        <v>DEEP LEARNING.AI</v>
      </c>
      <c r="D351" s="74" t="str">
        <f>IFERROR(__xludf.DUMMYFUNCTION("""COMPUTED_VALUE"""),"COURSERA")</f>
        <v>COURSERA</v>
      </c>
      <c r="E351" s="74" t="str">
        <f>IFERROR(__xludf.DUMMYFUNCTION("""COMPUTED_VALUE"""),"5 WEEKS")</f>
        <v>5 WEEKS</v>
      </c>
      <c r="F351" s="91">
        <f>IFERROR(__xludf.DUMMYFUNCTION("""COMPUTED_VALUE"""),43924.0)</f>
        <v>43924</v>
      </c>
      <c r="G351" s="91">
        <f>IFERROR(__xludf.DUMMYFUNCTION("""COMPUTED_VALUE"""),43961.0)</f>
        <v>43961</v>
      </c>
      <c r="H351" s="79">
        <f>IFERROR(__xludf.DUMMYFUNCTION("""COMPUTED_VALUE"""),43961.0)</f>
        <v>43961</v>
      </c>
      <c r="I351" s="92">
        <f>IFERROR(__xludf.DUMMYFUNCTION("""COMPUTED_VALUE"""),100.0)</f>
        <v>100</v>
      </c>
      <c r="J351" s="74" t="str">
        <f>IFERROR(__xludf.DUMMYFUNCTION("""COMPUTED_VALUE"""),"Andrew Ng")</f>
        <v>Andrew Ng</v>
      </c>
      <c r="K351" s="80" t="str">
        <f>IFERROR(__xludf.DUMMYFUNCTION("""COMPUTED_VALUE"""),"https://drive.google.com/open?id=1kFaXnM7AKbPqvJ7OkEBuEez0r0yNOk4J")</f>
        <v>https://drive.google.com/open?id=1kFaXnM7AKbPqvJ7OkEBuEez0r0yNOk4J</v>
      </c>
      <c r="L351" s="74" t="str">
        <f>IFERROR(__xludf.DUMMYFUNCTION("""COMPUTED_VALUE"""),"2018-2022")</f>
        <v>2018-2022</v>
      </c>
      <c r="M351" s="74" t="str">
        <f>IFERROR(__xludf.DUMMYFUNCTION("""COMPUTED_VALUE"""),"S4: Student Certifications")</f>
        <v>S4: Student Certifications</v>
      </c>
      <c r="N351" s="74" t="str">
        <f>IFERROR(__xludf.DUMMYFUNCTION("""COMPUTED_VALUE"""),"sowmyakalidindi.01@gmail.com")</f>
        <v>sowmyakalidindi.01@gmail.com</v>
      </c>
      <c r="O351" s="74" t="str">
        <f>IFERROR(__xludf.DUMMYFUNCTION("""COMPUTED_VALUE"""),"SEM-8")</f>
        <v>SEM-8</v>
      </c>
      <c r="P351" s="74"/>
      <c r="Q351" s="74"/>
      <c r="R351" s="74"/>
      <c r="S351" s="74"/>
      <c r="T351" s="74"/>
      <c r="U351" s="74"/>
      <c r="V351" s="74"/>
      <c r="W351" s="74"/>
      <c r="X351" s="74"/>
      <c r="Y351" s="74"/>
    </row>
    <row r="352" ht="26.25" customHeight="1">
      <c r="A352" s="74" t="str">
        <f>IFERROR(__xludf.DUMMYFUNCTION("""COMPUTED_VALUE"""),"Mallavarapu Tejaswi")</f>
        <v>Mallavarapu Tejaswi</v>
      </c>
      <c r="B352" s="74" t="str">
        <f>IFERROR(__xludf.DUMMYFUNCTION("""COMPUTED_VALUE"""),"18331A0591")</f>
        <v>18331A0591</v>
      </c>
      <c r="C352" s="90" t="str">
        <f>IFERROR(__xludf.DUMMYFUNCTION("""COMPUTED_VALUE""")," Programming Essentials in C")</f>
        <v> Programming Essentials in C</v>
      </c>
      <c r="D352" s="74" t="str">
        <f>IFERROR(__xludf.DUMMYFUNCTION("""COMPUTED_VALUE"""),"Cisco")</f>
        <v>Cisco</v>
      </c>
      <c r="E352" s="74" t="str">
        <f>IFERROR(__xludf.DUMMYFUNCTION("""COMPUTED_VALUE"""),"1")</f>
        <v>1</v>
      </c>
      <c r="F352" s="91">
        <f>IFERROR(__xludf.DUMMYFUNCTION("""COMPUTED_VALUE"""),43642.0)</f>
        <v>43642</v>
      </c>
      <c r="G352" s="91">
        <f>IFERROR(__xludf.DUMMYFUNCTION("""COMPUTED_VALUE"""),43672.0)</f>
        <v>43672</v>
      </c>
      <c r="H352" s="79">
        <f>IFERROR(__xludf.DUMMYFUNCTION("""COMPUTED_VALUE"""),43672.0)</f>
        <v>43672</v>
      </c>
      <c r="I352" s="92">
        <f>IFERROR(__xludf.DUMMYFUNCTION("""COMPUTED_VALUE"""),100.0)</f>
        <v>100</v>
      </c>
      <c r="J352" s="74" t="str">
        <f>IFERROR(__xludf.DUMMYFUNCTION("""COMPUTED_VALUE"""),"Subba Raju K V")</f>
        <v>Subba Raju K V</v>
      </c>
      <c r="K352" s="80" t="str">
        <f>IFERROR(__xludf.DUMMYFUNCTION("""COMPUTED_VALUE"""),"https://drive.google.com/open?id=18pgc0gm0hmGPJP9oH8JCJDHPND5ntMnR")</f>
        <v>https://drive.google.com/open?id=18pgc0gm0hmGPJP9oH8JCJDHPND5ntMnR</v>
      </c>
      <c r="L352" s="74" t="str">
        <f>IFERROR(__xludf.DUMMYFUNCTION("""COMPUTED_VALUE"""),"2018-2022")</f>
        <v>2018-2022</v>
      </c>
      <c r="M352" s="74" t="str">
        <f>IFERROR(__xludf.DUMMYFUNCTION("""COMPUTED_VALUE"""),"S4: Student Certifications")</f>
        <v>S4: Student Certifications</v>
      </c>
      <c r="N352" s="74" t="str">
        <f>IFERROR(__xludf.DUMMYFUNCTION("""COMPUTED_VALUE"""),"Mallavarapu.tejaswi@gmail.com")</f>
        <v>Mallavarapu.tejaswi@gmail.com</v>
      </c>
      <c r="O352" s="74" t="str">
        <f>IFERROR(__xludf.DUMMYFUNCTION("""COMPUTED_VALUE"""),"SEM-8")</f>
        <v>SEM-8</v>
      </c>
      <c r="P352" s="74"/>
      <c r="Q352" s="74"/>
      <c r="R352" s="74"/>
      <c r="S352" s="74"/>
      <c r="T352" s="74"/>
      <c r="U352" s="74"/>
      <c r="V352" s="74"/>
      <c r="W352" s="74"/>
      <c r="X352" s="74"/>
      <c r="Y352" s="74"/>
    </row>
    <row r="353" ht="26.25" customHeight="1">
      <c r="A353" s="74" t="str">
        <f>IFERROR(__xludf.DUMMYFUNCTION("""COMPUTED_VALUE"""),"CHANDANA PITLA")</f>
        <v>CHANDANA PITLA</v>
      </c>
      <c r="B353" s="74" t="str">
        <f>IFERROR(__xludf.DUMMYFUNCTION("""COMPUTED_VALUE"""),"18331A05C1")</f>
        <v>18331A05C1</v>
      </c>
      <c r="C353" s="90" t="str">
        <f>IFERROR(__xludf.DUMMYFUNCTION("""COMPUTED_VALUE"""),"CYBERSECURITY essentials")</f>
        <v>CYBERSECURITY essentials</v>
      </c>
      <c r="D353" s="74" t="str">
        <f>IFERROR(__xludf.DUMMYFUNCTION("""COMPUTED_VALUE"""),"CISCO")</f>
        <v>CISCO</v>
      </c>
      <c r="E353" s="74" t="str">
        <f>IFERROR(__xludf.DUMMYFUNCTION("""COMPUTED_VALUE"""),"2 months")</f>
        <v>2 months</v>
      </c>
      <c r="F353" s="91">
        <f>IFERROR(__xludf.DUMMYFUNCTION("""COMPUTED_VALUE"""),44348.0)</f>
        <v>44348</v>
      </c>
      <c r="G353" s="91">
        <f>IFERROR(__xludf.DUMMYFUNCTION("""COMPUTED_VALUE"""),44403.0)</f>
        <v>44403</v>
      </c>
      <c r="H353" s="79">
        <f>IFERROR(__xludf.DUMMYFUNCTION("""COMPUTED_VALUE"""),44404.0)</f>
        <v>44404</v>
      </c>
      <c r="I353" s="92">
        <f>IFERROR(__xludf.DUMMYFUNCTION("""COMPUTED_VALUE"""),89.0)</f>
        <v>89</v>
      </c>
      <c r="J353" s="74" t="str">
        <f>IFERROR(__xludf.DUMMYFUNCTION("""COMPUTED_VALUE"""),"RAVIKIRAN VARMA")</f>
        <v>RAVIKIRAN VARMA</v>
      </c>
      <c r="K353" s="80" t="str">
        <f>IFERROR(__xludf.DUMMYFUNCTION("""COMPUTED_VALUE"""),"https://drive.google.com/open?id=1mLca-pf2cnjAaPzLwB8dZU0P4r-iP5-v")</f>
        <v>https://drive.google.com/open?id=1mLca-pf2cnjAaPzLwB8dZU0P4r-iP5-v</v>
      </c>
      <c r="L353" s="74" t="str">
        <f>IFERROR(__xludf.DUMMYFUNCTION("""COMPUTED_VALUE"""),"2018-2022")</f>
        <v>2018-2022</v>
      </c>
      <c r="M353" s="74" t="str">
        <f>IFERROR(__xludf.DUMMYFUNCTION("""COMPUTED_VALUE"""),"S4: Student Certifications")</f>
        <v>S4: Student Certifications</v>
      </c>
      <c r="N353" s="74" t="str">
        <f>IFERROR(__xludf.DUMMYFUNCTION("""COMPUTED_VALUE"""),"pitlachandana@gmail.com")</f>
        <v>pitlachandana@gmail.com</v>
      </c>
      <c r="O353" s="74" t="str">
        <f>IFERROR(__xludf.DUMMYFUNCTION("""COMPUTED_VALUE"""),"SEM-8")</f>
        <v>SEM-8</v>
      </c>
      <c r="P353" s="74"/>
      <c r="Q353" s="74"/>
      <c r="R353" s="74"/>
      <c r="S353" s="74"/>
      <c r="T353" s="74"/>
      <c r="U353" s="74"/>
      <c r="V353" s="74"/>
      <c r="W353" s="74"/>
      <c r="X353" s="74"/>
      <c r="Y353" s="74"/>
    </row>
    <row r="354" ht="26.25" customHeight="1">
      <c r="A354" s="74" t="str">
        <f>IFERROR(__xludf.DUMMYFUNCTION("""COMPUTED_VALUE"""),"sruthi")</f>
        <v>sruthi</v>
      </c>
      <c r="B354" s="74" t="str">
        <f>IFERROR(__xludf.DUMMYFUNCTION("""COMPUTED_VALUE"""),"18331A05C5")</f>
        <v>18331A05C5</v>
      </c>
      <c r="C354" s="90" t="str">
        <f>IFERROR(__xludf.DUMMYFUNCTION("""COMPUTED_VALUE"""),"python programming")</f>
        <v>python programming</v>
      </c>
      <c r="D354" s="74" t="str">
        <f>IFERROR(__xludf.DUMMYFUNCTION("""COMPUTED_VALUE"""),"coursera")</f>
        <v>coursera</v>
      </c>
      <c r="E354" s="74" t="str">
        <f>IFERROR(__xludf.DUMMYFUNCTION("""COMPUTED_VALUE"""),"1 month")</f>
        <v>1 month</v>
      </c>
      <c r="F354" s="91">
        <f>IFERROR(__xludf.DUMMYFUNCTION("""COMPUTED_VALUE"""),43926.0)</f>
        <v>43926</v>
      </c>
      <c r="G354" s="91">
        <f>IFERROR(__xludf.DUMMYFUNCTION("""COMPUTED_VALUE"""),43956.0)</f>
        <v>43956</v>
      </c>
      <c r="H354" s="79">
        <f>IFERROR(__xludf.DUMMYFUNCTION("""COMPUTED_VALUE"""),43956.0)</f>
        <v>43956</v>
      </c>
      <c r="I354" s="92">
        <f>IFERROR(__xludf.DUMMYFUNCTION("""COMPUTED_VALUE"""),0.95)</f>
        <v>0.95</v>
      </c>
      <c r="J354" s="74" t="str">
        <f>IFERROR(__xludf.DUMMYFUNCTION("""COMPUTED_VALUE"""),"na")</f>
        <v>na</v>
      </c>
      <c r="K354" s="80" t="str">
        <f>IFERROR(__xludf.DUMMYFUNCTION("""COMPUTED_VALUE"""),"https://drive.google.com/open?id=1fD-93RwXXhC0K5ycSPrdDptYbiWhn34J")</f>
        <v>https://drive.google.com/open?id=1fD-93RwXXhC0K5ycSPrdDptYbiWhn34J</v>
      </c>
      <c r="L354" s="74" t="str">
        <f>IFERROR(__xludf.DUMMYFUNCTION("""COMPUTED_VALUE"""),"2018-2022")</f>
        <v>2018-2022</v>
      </c>
      <c r="M354" s="74" t="str">
        <f>IFERROR(__xludf.DUMMYFUNCTION("""COMPUTED_VALUE"""),"S4: Student Certifications")</f>
        <v>S4: Student Certifications</v>
      </c>
      <c r="N354" s="74" t="str">
        <f>IFERROR(__xludf.DUMMYFUNCTION("""COMPUTED_VALUE"""),"sruthirokalla369@gmail.com")</f>
        <v>sruthirokalla369@gmail.com</v>
      </c>
      <c r="O354" s="74" t="str">
        <f>IFERROR(__xludf.DUMMYFUNCTION("""COMPUTED_VALUE"""),"SEM-8")</f>
        <v>SEM-8</v>
      </c>
      <c r="P354" s="74"/>
      <c r="Q354" s="74"/>
      <c r="R354" s="74"/>
      <c r="S354" s="74"/>
      <c r="T354" s="74"/>
      <c r="U354" s="74"/>
      <c r="V354" s="74"/>
      <c r="W354" s="74"/>
      <c r="X354" s="74"/>
      <c r="Y354" s="74"/>
    </row>
    <row r="355" ht="26.25" customHeight="1">
      <c r="A355" s="74" t="str">
        <f>IFERROR(__xludf.DUMMYFUNCTION("""COMPUTED_VALUE"""),"SOWMYA SHREE ")</f>
        <v>SOWMYA SHREE </v>
      </c>
      <c r="B355" s="74" t="str">
        <f>IFERROR(__xludf.DUMMYFUNCTION("""COMPUTED_VALUE"""),"18331A0562")</f>
        <v>18331A0562</v>
      </c>
      <c r="C355" s="90" t="str">
        <f>IFERROR(__xludf.DUMMYFUNCTION("""COMPUTED_VALUE"""),"Programming for everybody")</f>
        <v>Programming for everybody</v>
      </c>
      <c r="D355" s="74" t="str">
        <f>IFERROR(__xludf.DUMMYFUNCTION("""COMPUTED_VALUE"""),"COURSERA")</f>
        <v>COURSERA</v>
      </c>
      <c r="E355" s="74" t="str">
        <f>IFERROR(__xludf.DUMMYFUNCTION("""COMPUTED_VALUE"""),"7 WEEKS")</f>
        <v>7 WEEKS</v>
      </c>
      <c r="F355" s="91">
        <f>IFERROR(__xludf.DUMMYFUNCTION("""COMPUTED_VALUE"""),43924.0)</f>
        <v>43924</v>
      </c>
      <c r="G355" s="91">
        <f>IFERROR(__xludf.DUMMYFUNCTION("""COMPUTED_VALUE"""),43968.0)</f>
        <v>43968</v>
      </c>
      <c r="H355" s="79">
        <f>IFERROR(__xludf.DUMMYFUNCTION("""COMPUTED_VALUE"""),43968.0)</f>
        <v>43968</v>
      </c>
      <c r="I355" s="92">
        <f>IFERROR(__xludf.DUMMYFUNCTION("""COMPUTED_VALUE"""),100.0)</f>
        <v>100</v>
      </c>
      <c r="J355" s="74" t="str">
        <f>IFERROR(__xludf.DUMMYFUNCTION("""COMPUTED_VALUE"""),"Charles Severance")</f>
        <v>Charles Severance</v>
      </c>
      <c r="K355" s="80" t="str">
        <f>IFERROR(__xludf.DUMMYFUNCTION("""COMPUTED_VALUE"""),"https://drive.google.com/open?id=1I29xo311bxhhi0UhASwQ_9tsxhTs0JSF")</f>
        <v>https://drive.google.com/open?id=1I29xo311bxhhi0UhASwQ_9tsxhTs0JSF</v>
      </c>
      <c r="L355" s="74" t="str">
        <f>IFERROR(__xludf.DUMMYFUNCTION("""COMPUTED_VALUE"""),"2018-2022")</f>
        <v>2018-2022</v>
      </c>
      <c r="M355" s="74" t="str">
        <f>IFERROR(__xludf.DUMMYFUNCTION("""COMPUTED_VALUE"""),"S4: Student Certifications")</f>
        <v>S4: Student Certifications</v>
      </c>
      <c r="N355" s="74" t="str">
        <f>IFERROR(__xludf.DUMMYFUNCTION("""COMPUTED_VALUE"""),"sowmyakalidindi.01@gmail.com")</f>
        <v>sowmyakalidindi.01@gmail.com</v>
      </c>
      <c r="O355" s="74" t="str">
        <f>IFERROR(__xludf.DUMMYFUNCTION("""COMPUTED_VALUE"""),"SEM-8")</f>
        <v>SEM-8</v>
      </c>
      <c r="P355" s="74"/>
      <c r="Q355" s="74"/>
      <c r="R355" s="74"/>
      <c r="S355" s="74"/>
      <c r="T355" s="74"/>
      <c r="U355" s="74"/>
      <c r="V355" s="74"/>
      <c r="W355" s="74"/>
      <c r="X355" s="74"/>
      <c r="Y355" s="74"/>
    </row>
    <row r="356" ht="26.25" customHeight="1">
      <c r="A356" s="74" t="str">
        <f>IFERROR(__xludf.DUMMYFUNCTION("""COMPUTED_VALUE"""),"CHANDANA PITLA")</f>
        <v>CHANDANA PITLA</v>
      </c>
      <c r="B356" s="74" t="str">
        <f>IFERROR(__xludf.DUMMYFUNCTION("""COMPUTED_VALUE"""),"18331A05C1")</f>
        <v>18331A05C1</v>
      </c>
      <c r="C356" s="90" t="str">
        <f>IFERROR(__xludf.DUMMYFUNCTION("""COMPUTED_VALUE"""),"CLA: Programming essentials with c")</f>
        <v>CLA: Programming essentials with c</v>
      </c>
      <c r="D356" s="74" t="str">
        <f>IFERROR(__xludf.DUMMYFUNCTION("""COMPUTED_VALUE"""),"Cisco")</f>
        <v>Cisco</v>
      </c>
      <c r="E356" s="74" t="str">
        <f>IFERROR(__xludf.DUMMYFUNCTION("""COMPUTED_VALUE"""),"4 months")</f>
        <v>4 months</v>
      </c>
      <c r="F356" s="91">
        <f>IFERROR(__xludf.DUMMYFUNCTION("""COMPUTED_VALUE"""),43647.0)</f>
        <v>43647</v>
      </c>
      <c r="G356" s="91">
        <f>IFERROR(__xludf.DUMMYFUNCTION("""COMPUTED_VALUE"""),43681.0)</f>
        <v>43681</v>
      </c>
      <c r="H356" s="79">
        <f>IFERROR(__xludf.DUMMYFUNCTION("""COMPUTED_VALUE"""),43803.0)</f>
        <v>43803</v>
      </c>
      <c r="I356" s="92">
        <f>IFERROR(__xludf.DUMMYFUNCTION("""COMPUTED_VALUE"""),90.0)</f>
        <v>90</v>
      </c>
      <c r="J356" s="74" t="str">
        <f>IFERROR(__xludf.DUMMYFUNCTION("""COMPUTED_VALUE"""),"Dr.P.Ravi Kiran varma")</f>
        <v>Dr.P.Ravi Kiran varma</v>
      </c>
      <c r="K356" s="80" t="str">
        <f>IFERROR(__xludf.DUMMYFUNCTION("""COMPUTED_VALUE"""),"https://drive.google.com/open?id=1rXxIP0-ycjvngDbWwuTy-ueH2NHTPTs_")</f>
        <v>https://drive.google.com/open?id=1rXxIP0-ycjvngDbWwuTy-ueH2NHTPTs_</v>
      </c>
      <c r="L356" s="74" t="str">
        <f>IFERROR(__xludf.DUMMYFUNCTION("""COMPUTED_VALUE"""),"2018-2022")</f>
        <v>2018-2022</v>
      </c>
      <c r="M356" s="74" t="str">
        <f>IFERROR(__xludf.DUMMYFUNCTION("""COMPUTED_VALUE"""),"S4: Student Certifications")</f>
        <v>S4: Student Certifications</v>
      </c>
      <c r="N356" s="74" t="str">
        <f>IFERROR(__xludf.DUMMYFUNCTION("""COMPUTED_VALUE"""),"pitlachandana@gmail.com")</f>
        <v>pitlachandana@gmail.com</v>
      </c>
      <c r="O356" s="74" t="str">
        <f>IFERROR(__xludf.DUMMYFUNCTION("""COMPUTED_VALUE"""),"SEM-8")</f>
        <v>SEM-8</v>
      </c>
      <c r="P356" s="74"/>
      <c r="Q356" s="74"/>
      <c r="R356" s="74"/>
      <c r="S356" s="74"/>
      <c r="T356" s="74"/>
      <c r="U356" s="74"/>
      <c r="V356" s="74"/>
      <c r="W356" s="74"/>
      <c r="X356" s="74"/>
      <c r="Y356" s="74"/>
    </row>
    <row r="357" ht="26.25" customHeight="1">
      <c r="A357" s="74" t="str">
        <f>IFERROR(__xludf.DUMMYFUNCTION("""COMPUTED_VALUE"""),"Mallavarapu Tejaswi")</f>
        <v>Mallavarapu Tejaswi</v>
      </c>
      <c r="B357" s="74" t="str">
        <f>IFERROR(__xludf.DUMMYFUNCTION("""COMPUTED_VALUE"""),"18331A0591")</f>
        <v>18331A0591</v>
      </c>
      <c r="C357" s="90" t="str">
        <f>IFERROR(__xludf.DUMMYFUNCTION("""COMPUTED_VALUE""")," AI For Everyone")</f>
        <v> AI For Everyone</v>
      </c>
      <c r="D357" s="74" t="str">
        <f>IFERROR(__xludf.DUMMYFUNCTION("""COMPUTED_VALUE"""),"Coursera")</f>
        <v>Coursera</v>
      </c>
      <c r="E357" s="74" t="str">
        <f>IFERROR(__xludf.DUMMYFUNCTION("""COMPUTED_VALUE"""),"1")</f>
        <v>1</v>
      </c>
      <c r="F357" s="91">
        <f>IFERROR(__xludf.DUMMYFUNCTION("""COMPUTED_VALUE"""),43953.0)</f>
        <v>43953</v>
      </c>
      <c r="G357" s="91">
        <f>IFERROR(__xludf.DUMMYFUNCTION("""COMPUTED_VALUE"""),43984.0)</f>
        <v>43984</v>
      </c>
      <c r="H357" s="79">
        <f>IFERROR(__xludf.DUMMYFUNCTION("""COMPUTED_VALUE"""),43984.0)</f>
        <v>43984</v>
      </c>
      <c r="I357" s="92">
        <f>IFERROR(__xludf.DUMMYFUNCTION("""COMPUTED_VALUE"""),100.0)</f>
        <v>100</v>
      </c>
      <c r="J357" s="74" t="str">
        <f>IFERROR(__xludf.DUMMYFUNCTION("""COMPUTED_VALUE"""),"Coursera")</f>
        <v>Coursera</v>
      </c>
      <c r="K357" s="80" t="str">
        <f>IFERROR(__xludf.DUMMYFUNCTION("""COMPUTED_VALUE"""),"https://drive.google.com/open?id=1napAuTrFY6jTxUg6igWVS81ratYpZGNx")</f>
        <v>https://drive.google.com/open?id=1napAuTrFY6jTxUg6igWVS81ratYpZGNx</v>
      </c>
      <c r="L357" s="74" t="str">
        <f>IFERROR(__xludf.DUMMYFUNCTION("""COMPUTED_VALUE"""),"2018-2022")</f>
        <v>2018-2022</v>
      </c>
      <c r="M357" s="74" t="str">
        <f>IFERROR(__xludf.DUMMYFUNCTION("""COMPUTED_VALUE"""),"S4: Student Certifications")</f>
        <v>S4: Student Certifications</v>
      </c>
      <c r="N357" s="74" t="str">
        <f>IFERROR(__xludf.DUMMYFUNCTION("""COMPUTED_VALUE"""),"Mallavarapu.tejaswi@gmail.com")</f>
        <v>Mallavarapu.tejaswi@gmail.com</v>
      </c>
      <c r="O357" s="74" t="str">
        <f>IFERROR(__xludf.DUMMYFUNCTION("""COMPUTED_VALUE"""),"SEM-8")</f>
        <v>SEM-8</v>
      </c>
      <c r="P357" s="74"/>
      <c r="Q357" s="74"/>
      <c r="R357" s="74"/>
      <c r="S357" s="74"/>
      <c r="T357" s="74"/>
      <c r="U357" s="74"/>
      <c r="V357" s="74"/>
      <c r="W357" s="74"/>
      <c r="X357" s="74"/>
      <c r="Y357" s="74"/>
    </row>
    <row r="358" ht="26.25" customHeight="1">
      <c r="A358" s="74" t="str">
        <f>IFERROR(__xludf.DUMMYFUNCTION("""COMPUTED_VALUE"""),"sruthi")</f>
        <v>sruthi</v>
      </c>
      <c r="B358" s="74" t="str">
        <f>IFERROR(__xludf.DUMMYFUNCTION("""COMPUTED_VALUE"""),"18331A05C5")</f>
        <v>18331A05C5</v>
      </c>
      <c r="C358" s="90" t="str">
        <f>IFERROR(__xludf.DUMMYFUNCTION("""COMPUTED_VALUE"""),"CLA : programming essentials with c")</f>
        <v>CLA : programming essentials with c</v>
      </c>
      <c r="D358" s="74" t="str">
        <f>IFERROR(__xludf.DUMMYFUNCTION("""COMPUTED_VALUE"""),"CISCO")</f>
        <v>CISCO</v>
      </c>
      <c r="E358" s="74" t="str">
        <f>IFERROR(__xludf.DUMMYFUNCTION("""COMPUTED_VALUE"""),"4 MONTHS")</f>
        <v>4 MONTHS</v>
      </c>
      <c r="F358" s="91">
        <f>IFERROR(__xludf.DUMMYFUNCTION("""COMPUTED_VALUE"""),43472.0)</f>
        <v>43472</v>
      </c>
      <c r="G358" s="91">
        <f>IFERROR(__xludf.DUMMYFUNCTION("""COMPUTED_VALUE"""),43563.0)</f>
        <v>43563</v>
      </c>
      <c r="H358" s="79">
        <f>IFERROR(__xludf.DUMMYFUNCTION("""COMPUTED_VALUE"""),43567.0)</f>
        <v>43567</v>
      </c>
      <c r="I358" s="92">
        <f>IFERROR(__xludf.DUMMYFUNCTION("""COMPUTED_VALUE"""),0.9)</f>
        <v>0.9</v>
      </c>
      <c r="J358" s="74" t="str">
        <f>IFERROR(__xludf.DUMMYFUNCTION("""COMPUTED_VALUE"""),"DR.P.RAVI KIRAN VARMA")</f>
        <v>DR.P.RAVI KIRAN VARMA</v>
      </c>
      <c r="K358" s="80" t="str">
        <f>IFERROR(__xludf.DUMMYFUNCTION("""COMPUTED_VALUE"""),"https://drive.google.com/open?id=10jN8ft_iXeXc4DHwstW5z-1I0QAWcWtR")</f>
        <v>https://drive.google.com/open?id=10jN8ft_iXeXc4DHwstW5z-1I0QAWcWtR</v>
      </c>
      <c r="L358" s="74" t="str">
        <f>IFERROR(__xludf.DUMMYFUNCTION("""COMPUTED_VALUE"""),"2018-2022")</f>
        <v>2018-2022</v>
      </c>
      <c r="M358" s="74" t="str">
        <f>IFERROR(__xludf.DUMMYFUNCTION("""COMPUTED_VALUE"""),"S4: Student Certifications")</f>
        <v>S4: Student Certifications</v>
      </c>
      <c r="N358" s="74" t="str">
        <f>IFERROR(__xludf.DUMMYFUNCTION("""COMPUTED_VALUE"""),"sruthirokalla369@gmail.com")</f>
        <v>sruthirokalla369@gmail.com</v>
      </c>
      <c r="O358" s="74" t="str">
        <f>IFERROR(__xludf.DUMMYFUNCTION("""COMPUTED_VALUE"""),"SEM-8")</f>
        <v>SEM-8</v>
      </c>
      <c r="P358" s="74"/>
      <c r="Q358" s="74"/>
      <c r="R358" s="74"/>
      <c r="S358" s="74"/>
      <c r="T358" s="74"/>
      <c r="U358" s="74"/>
      <c r="V358" s="74"/>
      <c r="W358" s="74"/>
      <c r="X358" s="74"/>
      <c r="Y358" s="74"/>
    </row>
    <row r="359" ht="26.25" customHeight="1">
      <c r="A359" s="74" t="str">
        <f>IFERROR(__xludf.DUMMYFUNCTION("""COMPUTED_VALUE"""),"SOWMYA SHREE ")</f>
        <v>SOWMYA SHREE </v>
      </c>
      <c r="B359" s="74" t="str">
        <f>IFERROR(__xludf.DUMMYFUNCTION("""COMPUTED_VALUE"""),"18331A0562")</f>
        <v>18331A0562</v>
      </c>
      <c r="C359" s="90" t="str">
        <f>IFERROR(__xludf.DUMMYFUNCTION("""COMPUTED_VALUE"""),"Design Thinking for Innovation")</f>
        <v>Design Thinking for Innovation</v>
      </c>
      <c r="D359" s="74" t="str">
        <f>IFERROR(__xludf.DUMMYFUNCTION("""COMPUTED_VALUE"""),"COURSERA")</f>
        <v>COURSERA</v>
      </c>
      <c r="E359" s="74" t="str">
        <f>IFERROR(__xludf.DUMMYFUNCTION("""COMPUTED_VALUE"""),"6 WEEKS")</f>
        <v>6 WEEKS</v>
      </c>
      <c r="F359" s="91">
        <f>IFERROR(__xludf.DUMMYFUNCTION("""COMPUTED_VALUE"""),43974.0)</f>
        <v>43974</v>
      </c>
      <c r="G359" s="91">
        <f>IFERROR(__xludf.DUMMYFUNCTION("""COMPUTED_VALUE"""),44016.0)</f>
        <v>44016</v>
      </c>
      <c r="H359" s="79">
        <f>IFERROR(__xludf.DUMMYFUNCTION("""COMPUTED_VALUE"""),44016.0)</f>
        <v>44016</v>
      </c>
      <c r="I359" s="92">
        <f>IFERROR(__xludf.DUMMYFUNCTION("""COMPUTED_VALUE"""),100.0)</f>
        <v>100</v>
      </c>
      <c r="J359" s="74" t="str">
        <f>IFERROR(__xludf.DUMMYFUNCTION("""COMPUTED_VALUE"""),"JEANNE M LIEDTKA")</f>
        <v>JEANNE M LIEDTKA</v>
      </c>
      <c r="K359" s="80" t="str">
        <f>IFERROR(__xludf.DUMMYFUNCTION("""COMPUTED_VALUE"""),"https://drive.google.com/open?id=1BEfNeiiEu9LMjljlAsteG1kp_wTycme-")</f>
        <v>https://drive.google.com/open?id=1BEfNeiiEu9LMjljlAsteG1kp_wTycme-</v>
      </c>
      <c r="L359" s="74" t="str">
        <f>IFERROR(__xludf.DUMMYFUNCTION("""COMPUTED_VALUE"""),"2018-2022")</f>
        <v>2018-2022</v>
      </c>
      <c r="M359" s="74" t="str">
        <f>IFERROR(__xludf.DUMMYFUNCTION("""COMPUTED_VALUE"""),"S4: Student Certifications")</f>
        <v>S4: Student Certifications</v>
      </c>
      <c r="N359" s="74" t="str">
        <f>IFERROR(__xludf.DUMMYFUNCTION("""COMPUTED_VALUE"""),"sowmyakalidindi.01@gmail.com")</f>
        <v>sowmyakalidindi.01@gmail.com</v>
      </c>
      <c r="O359" s="74" t="str">
        <f>IFERROR(__xludf.DUMMYFUNCTION("""COMPUTED_VALUE"""),"SEM-8")</f>
        <v>SEM-8</v>
      </c>
      <c r="P359" s="74"/>
      <c r="Q359" s="74"/>
      <c r="R359" s="74"/>
      <c r="S359" s="74"/>
      <c r="T359" s="74"/>
      <c r="U359" s="74"/>
      <c r="V359" s="74"/>
      <c r="W359" s="74"/>
      <c r="X359" s="74"/>
      <c r="Y359" s="74"/>
    </row>
    <row r="360" ht="26.25" customHeight="1">
      <c r="A360" s="74" t="str">
        <f>IFERROR(__xludf.DUMMYFUNCTION("""COMPUTED_VALUE"""),"KARUNA SRI PITHANI")</f>
        <v>KARUNA SRI PITHANI</v>
      </c>
      <c r="B360" s="74" t="str">
        <f>IFERROR(__xludf.DUMMYFUNCTION("""COMPUTED_VALUE"""),"18331A0572")</f>
        <v>18331A0572</v>
      </c>
      <c r="C360" s="90" t="str">
        <f>IFERROR(__xludf.DUMMYFUNCTION("""COMPUTED_VALUE"""),"Introduction to Cybersecurity")</f>
        <v>Introduction to Cybersecurity</v>
      </c>
      <c r="D360" s="74" t="str">
        <f>IFERROR(__xludf.DUMMYFUNCTION("""COMPUTED_VALUE"""),"Cisco Networking Academy")</f>
        <v>Cisco Networking Academy</v>
      </c>
      <c r="E360" s="74" t="str">
        <f>IFERROR(__xludf.DUMMYFUNCTION("""COMPUTED_VALUE"""),"2 Months")</f>
        <v>2 Months</v>
      </c>
      <c r="F360" s="91">
        <f>IFERROR(__xludf.DUMMYFUNCTION("""COMPUTED_VALUE"""),44251.0)</f>
        <v>44251</v>
      </c>
      <c r="G360" s="91">
        <f>IFERROR(__xludf.DUMMYFUNCTION("""COMPUTED_VALUE"""),44310.0)</f>
        <v>44310</v>
      </c>
      <c r="H360" s="79">
        <f>IFERROR(__xludf.DUMMYFUNCTION("""COMPUTED_VALUE"""),44308.0)</f>
        <v>44308</v>
      </c>
      <c r="I360" s="92">
        <f>IFERROR(__xludf.DUMMYFUNCTION("""COMPUTED_VALUE"""),99.0)</f>
        <v>99</v>
      </c>
      <c r="J360" s="74" t="str">
        <f>IFERROR(__xludf.DUMMYFUNCTION("""COMPUTED_VALUE"""),"K.V. Subba Raju ")</f>
        <v>K.V. Subba Raju </v>
      </c>
      <c r="K360" s="80" t="str">
        <f>IFERROR(__xludf.DUMMYFUNCTION("""COMPUTED_VALUE"""),"https://drive.google.com/open?id=1V3fybC-DGobMr_SsQLb8jGq39MBPwary")</f>
        <v>https://drive.google.com/open?id=1V3fybC-DGobMr_SsQLb8jGq39MBPwary</v>
      </c>
      <c r="L360" s="74" t="str">
        <f>IFERROR(__xludf.DUMMYFUNCTION("""COMPUTED_VALUE"""),"2018-2022")</f>
        <v>2018-2022</v>
      </c>
      <c r="M360" s="74" t="str">
        <f>IFERROR(__xludf.DUMMYFUNCTION("""COMPUTED_VALUE"""),"S4: Student Certifications")</f>
        <v>S4: Student Certifications</v>
      </c>
      <c r="N360" s="74" t="str">
        <f>IFERROR(__xludf.DUMMYFUNCTION("""COMPUTED_VALUE"""),"pithanikarunasri2001@gmail.com")</f>
        <v>pithanikarunasri2001@gmail.com</v>
      </c>
      <c r="O360" s="74" t="str">
        <f>IFERROR(__xludf.DUMMYFUNCTION("""COMPUTED_VALUE"""),"SEM-8")</f>
        <v>SEM-8</v>
      </c>
      <c r="P360" s="74"/>
      <c r="Q360" s="74"/>
      <c r="R360" s="74"/>
      <c r="S360" s="74"/>
      <c r="T360" s="74"/>
      <c r="U360" s="74"/>
      <c r="V360" s="74"/>
      <c r="W360" s="74"/>
      <c r="X360" s="74"/>
      <c r="Y360" s="74"/>
    </row>
    <row r="361" ht="26.25" customHeight="1">
      <c r="A361" s="74" t="str">
        <f>IFERROR(__xludf.DUMMYFUNCTION("""COMPUTED_VALUE"""),"mohammad riyazul haneef sharief")</f>
        <v>mohammad riyazul haneef sharief</v>
      </c>
      <c r="B361" s="74" t="str">
        <f>IFERROR(__xludf.DUMMYFUNCTION("""COMPUTED_VALUE"""),"18331A05H6")</f>
        <v>18331A05H6</v>
      </c>
      <c r="C361" s="90" t="str">
        <f>IFERROR(__xludf.DUMMYFUNCTION("""COMPUTED_VALUE"""),"CCNA")</f>
        <v>CCNA</v>
      </c>
      <c r="D361" s="74" t="str">
        <f>IFERROR(__xludf.DUMMYFUNCTION("""COMPUTED_VALUE"""),"Switching, Routing, and Wireless Essentials")</f>
        <v>Switching, Routing, and Wireless Essentials</v>
      </c>
      <c r="E361" s="74" t="str">
        <f>IFERROR(__xludf.DUMMYFUNCTION("""COMPUTED_VALUE"""),"15")</f>
        <v>15</v>
      </c>
      <c r="F361" s="91">
        <f>IFERROR(__xludf.DUMMYFUNCTION("""COMPUTED_VALUE"""),44422.0)</f>
        <v>44422</v>
      </c>
      <c r="G361" s="91">
        <f>IFERROR(__xludf.DUMMYFUNCTION("""COMPUTED_VALUE"""),44453.0)</f>
        <v>44453</v>
      </c>
      <c r="H361" s="79">
        <f>IFERROR(__xludf.DUMMYFUNCTION("""COMPUTED_VALUE"""),44454.0)</f>
        <v>44454</v>
      </c>
      <c r="I361" s="92">
        <f>IFERROR(__xludf.DUMMYFUNCTION("""COMPUTED_VALUE"""),94.0)</f>
        <v>94</v>
      </c>
      <c r="J361" s="74" t="str">
        <f>IFERROR(__xludf.DUMMYFUNCTION("""COMPUTED_VALUE"""),"HOD")</f>
        <v>HOD</v>
      </c>
      <c r="K361" s="80" t="str">
        <f>IFERROR(__xludf.DUMMYFUNCTION("""COMPUTED_VALUE"""),"https://drive.google.com/open?id=1CDB0KVbPqd39RcXbdpdW2pLBV-s3QZtu")</f>
        <v>https://drive.google.com/open?id=1CDB0KVbPqd39RcXbdpdW2pLBV-s3QZtu</v>
      </c>
      <c r="L361" s="74" t="str">
        <f>IFERROR(__xludf.DUMMYFUNCTION("""COMPUTED_VALUE"""),"2018-2022")</f>
        <v>2018-2022</v>
      </c>
      <c r="M361" s="74" t="str">
        <f>IFERROR(__xludf.DUMMYFUNCTION("""COMPUTED_VALUE"""),"S4: Student Certifications")</f>
        <v>S4: Student Certifications</v>
      </c>
      <c r="N361" s="74" t="str">
        <f>IFERROR(__xludf.DUMMYFUNCTION("""COMPUTED_VALUE"""),"haneefleo10@gmail.com")</f>
        <v>haneefleo10@gmail.com</v>
      </c>
      <c r="O361" s="74" t="str">
        <f>IFERROR(__xludf.DUMMYFUNCTION("""COMPUTED_VALUE"""),"SEM-8")</f>
        <v>SEM-8</v>
      </c>
      <c r="P361" s="74"/>
      <c r="Q361" s="74"/>
      <c r="R361" s="74"/>
      <c r="S361" s="74"/>
      <c r="T361" s="74"/>
      <c r="U361" s="74"/>
      <c r="V361" s="74"/>
      <c r="W361" s="74"/>
      <c r="X361" s="74"/>
      <c r="Y361" s="74"/>
    </row>
    <row r="362" ht="26.25" customHeight="1">
      <c r="A362" s="74" t="str">
        <f>IFERROR(__xludf.DUMMYFUNCTION("""COMPUTED_VALUE"""),"mohammad riyazul haneef sharief")</f>
        <v>mohammad riyazul haneef sharief</v>
      </c>
      <c r="B362" s="74" t="str">
        <f>IFERROR(__xludf.DUMMYFUNCTION("""COMPUTED_VALUE"""),"18331A05H6")</f>
        <v>18331A05H6</v>
      </c>
      <c r="C362" s="90" t="str">
        <f>IFERROR(__xludf.DUMMYFUNCTION("""COMPUTED_VALUE"""),"CCNA")</f>
        <v>CCNA</v>
      </c>
      <c r="D362" s="74" t="str">
        <f>IFERROR(__xludf.DUMMYFUNCTION("""COMPUTED_VALUE"""),"Introduction to Cybersecurity")</f>
        <v>Introduction to Cybersecurity</v>
      </c>
      <c r="E362" s="74" t="str">
        <f>IFERROR(__xludf.DUMMYFUNCTION("""COMPUTED_VALUE"""),"15")</f>
        <v>15</v>
      </c>
      <c r="F362" s="91">
        <f>IFERROR(__xludf.DUMMYFUNCTION("""COMPUTED_VALUE"""),44362.0)</f>
        <v>44362</v>
      </c>
      <c r="G362" s="91">
        <f>IFERROR(__xludf.DUMMYFUNCTION("""COMPUTED_VALUE"""),44400.0)</f>
        <v>44400</v>
      </c>
      <c r="H362" s="79">
        <f>IFERROR(__xludf.DUMMYFUNCTION("""COMPUTED_VALUE"""),44401.0)</f>
        <v>44401</v>
      </c>
      <c r="I362" s="92">
        <f>IFERROR(__xludf.DUMMYFUNCTION("""COMPUTED_VALUE"""),86.0)</f>
        <v>86</v>
      </c>
      <c r="J362" s="74" t="str">
        <f>IFERROR(__xludf.DUMMYFUNCTION("""COMPUTED_VALUE"""),"HOD")</f>
        <v>HOD</v>
      </c>
      <c r="K362" s="80" t="str">
        <f>IFERROR(__xludf.DUMMYFUNCTION("""COMPUTED_VALUE"""),"https://drive.google.com/open?id=1XzpEHnmsRo1Uja7H4Ago-dTSgB7E3juT")</f>
        <v>https://drive.google.com/open?id=1XzpEHnmsRo1Uja7H4Ago-dTSgB7E3juT</v>
      </c>
      <c r="L362" s="74" t="str">
        <f>IFERROR(__xludf.DUMMYFUNCTION("""COMPUTED_VALUE"""),"2018-2022")</f>
        <v>2018-2022</v>
      </c>
      <c r="M362" s="74" t="str">
        <f>IFERROR(__xludf.DUMMYFUNCTION("""COMPUTED_VALUE"""),"S4: Student Certifications")</f>
        <v>S4: Student Certifications</v>
      </c>
      <c r="N362" s="74" t="str">
        <f>IFERROR(__xludf.DUMMYFUNCTION("""COMPUTED_VALUE"""),"haneefleo10@gmail.com")</f>
        <v>haneefleo10@gmail.com</v>
      </c>
      <c r="O362" s="74" t="str">
        <f>IFERROR(__xludf.DUMMYFUNCTION("""COMPUTED_VALUE"""),"SEM-8")</f>
        <v>SEM-8</v>
      </c>
      <c r="P362" s="74"/>
      <c r="Q362" s="74"/>
      <c r="R362" s="74"/>
      <c r="S362" s="74"/>
      <c r="T362" s="74"/>
      <c r="U362" s="74"/>
      <c r="V362" s="74"/>
      <c r="W362" s="74"/>
      <c r="X362" s="74"/>
      <c r="Y362" s="74"/>
    </row>
    <row r="363" ht="26.25" customHeight="1">
      <c r="A363" s="74" t="str">
        <f>IFERROR(__xludf.DUMMYFUNCTION("""COMPUTED_VALUE"""),"mohammad riyazul haneef sharief")</f>
        <v>mohammad riyazul haneef sharief</v>
      </c>
      <c r="B363" s="74" t="str">
        <f>IFERROR(__xludf.DUMMYFUNCTION("""COMPUTED_VALUE"""),"18331A05H6")</f>
        <v>18331A05H6</v>
      </c>
      <c r="C363" s="90" t="str">
        <f>IFERROR(__xludf.DUMMYFUNCTION("""COMPUTED_VALUE"""),"CCNA")</f>
        <v>CCNA</v>
      </c>
      <c r="D363" s="74" t="str">
        <f>IFERROR(__xludf.DUMMYFUNCTION("""COMPUTED_VALUE"""),"Introduction to Packet Tracer")</f>
        <v>Introduction to Packet Tracer</v>
      </c>
      <c r="E363" s="74" t="str">
        <f>IFERROR(__xludf.DUMMYFUNCTION("""COMPUTED_VALUE"""),"15")</f>
        <v>15</v>
      </c>
      <c r="F363" s="91">
        <f>IFERROR(__xludf.DUMMYFUNCTION("""COMPUTED_VALUE"""),44384.0)</f>
        <v>44384</v>
      </c>
      <c r="G363" s="91">
        <f>IFERROR(__xludf.DUMMYFUNCTION("""COMPUTED_VALUE"""),44403.0)</f>
        <v>44403</v>
      </c>
      <c r="H363" s="79">
        <f>IFERROR(__xludf.DUMMYFUNCTION("""COMPUTED_VALUE"""),44404.0)</f>
        <v>44404</v>
      </c>
      <c r="I363" s="92">
        <f>IFERROR(__xludf.DUMMYFUNCTION("""COMPUTED_VALUE"""),97.0)</f>
        <v>97</v>
      </c>
      <c r="J363" s="74" t="str">
        <f>IFERROR(__xludf.DUMMYFUNCTION("""COMPUTED_VALUE"""),"HOD")</f>
        <v>HOD</v>
      </c>
      <c r="K363" s="80" t="str">
        <f>IFERROR(__xludf.DUMMYFUNCTION("""COMPUTED_VALUE"""),"https://drive.google.com/open?id=16gZmeUvS9zZULTRIPtzvstcoMURbbR7z")</f>
        <v>https://drive.google.com/open?id=16gZmeUvS9zZULTRIPtzvstcoMURbbR7z</v>
      </c>
      <c r="L363" s="74" t="str">
        <f>IFERROR(__xludf.DUMMYFUNCTION("""COMPUTED_VALUE"""),"2018-2022")</f>
        <v>2018-2022</v>
      </c>
      <c r="M363" s="74" t="str">
        <f>IFERROR(__xludf.DUMMYFUNCTION("""COMPUTED_VALUE"""),"S4: Student Certifications")</f>
        <v>S4: Student Certifications</v>
      </c>
      <c r="N363" s="74" t="str">
        <f>IFERROR(__xludf.DUMMYFUNCTION("""COMPUTED_VALUE"""),"haneefleo10@gmail.com")</f>
        <v>haneefleo10@gmail.com</v>
      </c>
      <c r="O363" s="74" t="str">
        <f>IFERROR(__xludf.DUMMYFUNCTION("""COMPUTED_VALUE"""),"SEM-8")</f>
        <v>SEM-8</v>
      </c>
      <c r="P363" s="74"/>
      <c r="Q363" s="74"/>
      <c r="R363" s="74"/>
      <c r="S363" s="74"/>
      <c r="T363" s="74"/>
      <c r="U363" s="74"/>
      <c r="V363" s="74"/>
      <c r="W363" s="74"/>
      <c r="X363" s="74"/>
      <c r="Y363" s="74"/>
    </row>
    <row r="364" ht="26.25" customHeight="1">
      <c r="A364" s="78" t="str">
        <f>IFERROR(__xludf.DUMMYFUNCTION("""COMPUTED_VALUE"""),"Buddharaju Pragna")</f>
        <v>Buddharaju Pragna</v>
      </c>
      <c r="B364" s="78" t="str">
        <f>IFERROR(__xludf.DUMMYFUNCTION("""COMPUTED_VALUE"""),"18331A05H2")</f>
        <v>18331A05H2</v>
      </c>
      <c r="C364" s="93" t="str">
        <f>IFERROR(__xludf.DUMMYFUNCTION("""COMPUTED_VALUE"""),"Math Quiz")</f>
        <v>Math Quiz</v>
      </c>
      <c r="D364" s="78" t="str">
        <f>IFERROR(__xludf.DUMMYFUNCTION("""COMPUTED_VALUE"""),"K.RAMAKRISHNAN college of technology")</f>
        <v>K.RAMAKRISHNAN college of technology</v>
      </c>
      <c r="E364" s="78" t="str">
        <f>IFERROR(__xludf.DUMMYFUNCTION("""COMPUTED_VALUE"""),"1 week")</f>
        <v>1 week</v>
      </c>
      <c r="F364" s="94">
        <f>IFERROR(__xludf.DUMMYFUNCTION("""COMPUTED_VALUE"""),43968.0)</f>
        <v>43968</v>
      </c>
      <c r="G364" s="94">
        <f>IFERROR(__xludf.DUMMYFUNCTION("""COMPUTED_VALUE"""),43975.0)</f>
        <v>43975</v>
      </c>
      <c r="H364" s="84">
        <f>IFERROR(__xludf.DUMMYFUNCTION("""COMPUTED_VALUE"""),43975.0)</f>
        <v>43975</v>
      </c>
      <c r="I364" s="95">
        <f>IFERROR(__xludf.DUMMYFUNCTION("""COMPUTED_VALUE"""),100.0)</f>
        <v>100</v>
      </c>
      <c r="J364" s="78" t="str">
        <f>IFERROR(__xludf.DUMMYFUNCTION("""COMPUTED_VALUE"""),"Online")</f>
        <v>Online</v>
      </c>
      <c r="K364" s="85" t="str">
        <f>IFERROR(__xludf.DUMMYFUNCTION("""COMPUTED_VALUE"""),"https://drive.google.com/open?id=1sGz2Ht7iO4CJXa-dYUGiz7pcwTQPBs37")</f>
        <v>https://drive.google.com/open?id=1sGz2Ht7iO4CJXa-dYUGiz7pcwTQPBs37</v>
      </c>
      <c r="L364" s="78" t="str">
        <f>IFERROR(__xludf.DUMMYFUNCTION("""COMPUTED_VALUE"""),"2018-2022")</f>
        <v>2018-2022</v>
      </c>
      <c r="M364" s="78" t="str">
        <f>IFERROR(__xludf.DUMMYFUNCTION("""COMPUTED_VALUE"""),"S4: Student Certifications")</f>
        <v>S4: Student Certifications</v>
      </c>
      <c r="N364" s="78" t="str">
        <f>IFERROR(__xludf.DUMMYFUNCTION("""COMPUTED_VALUE"""),"pragnabuddharaju@gmail.com")</f>
        <v>pragnabuddharaju@gmail.com</v>
      </c>
      <c r="O364" s="78" t="str">
        <f>IFERROR(__xludf.DUMMYFUNCTION("""COMPUTED_VALUE"""),"SEM-4")</f>
        <v>SEM-4</v>
      </c>
      <c r="P364" s="78"/>
      <c r="Q364" s="78"/>
      <c r="R364" s="78"/>
      <c r="S364" s="78"/>
      <c r="T364" s="78"/>
      <c r="U364" s="78"/>
      <c r="V364" s="78"/>
      <c r="W364" s="78"/>
      <c r="X364" s="78"/>
      <c r="Y364" s="78"/>
    </row>
    <row r="365" ht="26.25" customHeight="1">
      <c r="A365" s="74" t="str">
        <f>IFERROR(__xludf.DUMMYFUNCTION("""COMPUTED_VALUE"""),"Sagi Gayathri")</f>
        <v>Sagi Gayathri</v>
      </c>
      <c r="B365" s="74" t="str">
        <f>IFERROR(__xludf.DUMMYFUNCTION("""COMPUTED_VALUE"""),"18331A05C7")</f>
        <v>18331A05C7</v>
      </c>
      <c r="C365" s="90" t="str">
        <f>IFERROR(__xludf.DUMMYFUNCTION("""COMPUTED_VALUE"""),"CLA: Programming Essentials in C")</f>
        <v>CLA: Programming Essentials in C</v>
      </c>
      <c r="D365" s="74" t="str">
        <f>IFERROR(__xludf.DUMMYFUNCTION("""COMPUTED_VALUE"""),"cisco")</f>
        <v>cisco</v>
      </c>
      <c r="E365" s="74" t="str">
        <f>IFERROR(__xludf.DUMMYFUNCTION("""COMPUTED_VALUE"""),"4 months")</f>
        <v>4 months</v>
      </c>
      <c r="F365" s="91">
        <f>IFERROR(__xludf.DUMMYFUNCTION("""COMPUTED_VALUE"""),43472.0)</f>
        <v>43472</v>
      </c>
      <c r="G365" s="91">
        <f>IFERROR(__xludf.DUMMYFUNCTION("""COMPUTED_VALUE"""),43563.0)</f>
        <v>43563</v>
      </c>
      <c r="H365" s="79">
        <f>IFERROR(__xludf.DUMMYFUNCTION("""COMPUTED_VALUE"""),43567.0)</f>
        <v>43567</v>
      </c>
      <c r="I365" s="92">
        <f>IFERROR(__xludf.DUMMYFUNCTION("""COMPUTED_VALUE"""),90.0)</f>
        <v>90</v>
      </c>
      <c r="J365" s="74" t="str">
        <f>IFERROR(__xludf.DUMMYFUNCTION("""COMPUTED_VALUE"""),"DR. P. Ravi Kiran Varma")</f>
        <v>DR. P. Ravi Kiran Varma</v>
      </c>
      <c r="K365" s="80" t="str">
        <f>IFERROR(__xludf.DUMMYFUNCTION("""COMPUTED_VALUE"""),"https://drive.google.com/open?id=1RnC2GbH-CfcVWrmFfeFFuPPZWipJe-1V")</f>
        <v>https://drive.google.com/open?id=1RnC2GbH-CfcVWrmFfeFFuPPZWipJe-1V</v>
      </c>
      <c r="L365" s="74" t="str">
        <f>IFERROR(__xludf.DUMMYFUNCTION("""COMPUTED_VALUE"""),"2018-2022")</f>
        <v>2018-2022</v>
      </c>
      <c r="M365" s="74" t="str">
        <f>IFERROR(__xludf.DUMMYFUNCTION("""COMPUTED_VALUE"""),"S4: Student Certifications")</f>
        <v>S4: Student Certifications</v>
      </c>
      <c r="N365" s="74" t="str">
        <f>IFERROR(__xludf.DUMMYFUNCTION("""COMPUTED_VALUE"""),"sagigayathri02@gmail.com")</f>
        <v>sagigayathri02@gmail.com</v>
      </c>
      <c r="O365" s="74" t="str">
        <f>IFERROR(__xludf.DUMMYFUNCTION("""COMPUTED_VALUE"""),"SEM-2")</f>
        <v>SEM-2</v>
      </c>
      <c r="P365" s="74"/>
      <c r="Q365" s="74"/>
      <c r="R365" s="74"/>
      <c r="S365" s="74"/>
      <c r="T365" s="74"/>
      <c r="U365" s="74"/>
      <c r="V365" s="74"/>
      <c r="W365" s="74"/>
      <c r="X365" s="74"/>
      <c r="Y365" s="74"/>
    </row>
    <row r="366" ht="26.25" customHeight="1">
      <c r="A366" s="74" t="str">
        <f>IFERROR(__xludf.DUMMYFUNCTION("""COMPUTED_VALUE"""),"mohammad riyazul haneef sharief")</f>
        <v>mohammad riyazul haneef sharief</v>
      </c>
      <c r="B366" s="74" t="str">
        <f>IFERROR(__xludf.DUMMYFUNCTION("""COMPUTED_VALUE"""),"18331A05H6")</f>
        <v>18331A05H6</v>
      </c>
      <c r="C366" s="90" t="str">
        <f>IFERROR(__xludf.DUMMYFUNCTION("""COMPUTED_VALUE"""),"CCNA")</f>
        <v>CCNA</v>
      </c>
      <c r="D366" s="74" t="str">
        <f>IFERROR(__xludf.DUMMYFUNCTION("""COMPUTED_VALUE"""),"Partner: PCAP - Programming Essentials in Python")</f>
        <v>Partner: PCAP - Programming Essentials in Python</v>
      </c>
      <c r="E366" s="74" t="str">
        <f>IFERROR(__xludf.DUMMYFUNCTION("""COMPUTED_VALUE"""),"4")</f>
        <v>4</v>
      </c>
      <c r="F366" s="91">
        <f>IFERROR(__xludf.DUMMYFUNCTION("""COMPUTED_VALUE"""),44381.0)</f>
        <v>44381</v>
      </c>
      <c r="G366" s="91">
        <f>IFERROR(__xludf.DUMMYFUNCTION("""COMPUTED_VALUE"""),44320.0)</f>
        <v>44320</v>
      </c>
      <c r="H366" s="79">
        <f>IFERROR(__xludf.DUMMYFUNCTION("""COMPUTED_VALUE"""),44322.0)</f>
        <v>44322</v>
      </c>
      <c r="I366" s="92">
        <f>IFERROR(__xludf.DUMMYFUNCTION("""COMPUTED_VALUE"""),93.0)</f>
        <v>93</v>
      </c>
      <c r="J366" s="74" t="str">
        <f>IFERROR(__xludf.DUMMYFUNCTION("""COMPUTED_VALUE"""),"HOD")</f>
        <v>HOD</v>
      </c>
      <c r="K366" s="80" t="str">
        <f>IFERROR(__xludf.DUMMYFUNCTION("""COMPUTED_VALUE"""),"https://drive.google.com/open?id=1Sx1ZyD2BHcQN0GDSRkGEnVP0HUCSDu2X")</f>
        <v>https://drive.google.com/open?id=1Sx1ZyD2BHcQN0GDSRkGEnVP0HUCSDu2X</v>
      </c>
      <c r="L366" s="74" t="str">
        <f>IFERROR(__xludf.DUMMYFUNCTION("""COMPUTED_VALUE"""),"2018-2022")</f>
        <v>2018-2022</v>
      </c>
      <c r="M366" s="74" t="str">
        <f>IFERROR(__xludf.DUMMYFUNCTION("""COMPUTED_VALUE"""),"S4: Student Certifications")</f>
        <v>S4: Student Certifications</v>
      </c>
      <c r="N366" s="74" t="str">
        <f>IFERROR(__xludf.DUMMYFUNCTION("""COMPUTED_VALUE"""),"haneefleo10@gmail.com")</f>
        <v>haneefleo10@gmail.com</v>
      </c>
      <c r="O366" s="74" t="str">
        <f>IFERROR(__xludf.DUMMYFUNCTION("""COMPUTED_VALUE"""),"SEM-8")</f>
        <v>SEM-8</v>
      </c>
      <c r="P366" s="74"/>
      <c r="Q366" s="74"/>
      <c r="R366" s="74"/>
      <c r="S366" s="74"/>
      <c r="T366" s="74"/>
      <c r="U366" s="74"/>
      <c r="V366" s="74"/>
      <c r="W366" s="74"/>
      <c r="X366" s="74"/>
      <c r="Y366" s="74"/>
    </row>
    <row r="367" ht="26.25" customHeight="1">
      <c r="A367" s="74" t="str">
        <f>IFERROR(__xludf.DUMMYFUNCTION("""COMPUTED_VALUE"""),"mohammad riyazul haneef sharief")</f>
        <v>mohammad riyazul haneef sharief</v>
      </c>
      <c r="B367" s="74" t="str">
        <f>IFERROR(__xludf.DUMMYFUNCTION("""COMPUTED_VALUE"""),"18331A05H6")</f>
        <v>18331A05H6</v>
      </c>
      <c r="C367" s="90" t="str">
        <f>IFERROR(__xludf.DUMMYFUNCTION("""COMPUTED_VALUE"""),"CCNA")</f>
        <v>CCNA</v>
      </c>
      <c r="D367" s="74" t="str">
        <f>IFERROR(__xludf.DUMMYFUNCTION("""COMPUTED_VALUE"""),"CCNAv7: Introduction to Networks")</f>
        <v>CCNAv7: Introduction to Networks</v>
      </c>
      <c r="E367" s="74" t="str">
        <f>IFERROR(__xludf.DUMMYFUNCTION("""COMPUTED_VALUE"""),"12")</f>
        <v>12</v>
      </c>
      <c r="F367" s="91">
        <f>IFERROR(__xludf.DUMMYFUNCTION("""COMPUTED_VALUE"""),44394.0)</f>
        <v>44394</v>
      </c>
      <c r="G367" s="91">
        <f>IFERROR(__xludf.DUMMYFUNCTION("""COMPUTED_VALUE"""),44405.0)</f>
        <v>44405</v>
      </c>
      <c r="H367" s="79">
        <f>IFERROR(__xludf.DUMMYFUNCTION("""COMPUTED_VALUE"""),44406.0)</f>
        <v>44406</v>
      </c>
      <c r="I367" s="92">
        <f>IFERROR(__xludf.DUMMYFUNCTION("""COMPUTED_VALUE"""),89.0)</f>
        <v>89</v>
      </c>
      <c r="J367" s="74" t="str">
        <f>IFERROR(__xludf.DUMMYFUNCTION("""COMPUTED_VALUE"""),"HOD")</f>
        <v>HOD</v>
      </c>
      <c r="K367" s="80" t="str">
        <f>IFERROR(__xludf.DUMMYFUNCTION("""COMPUTED_VALUE"""),"https://drive.google.com/open?id=1FrmD4FrVsbwjfv3n3SsjPWzxbBvJl3aH")</f>
        <v>https://drive.google.com/open?id=1FrmD4FrVsbwjfv3n3SsjPWzxbBvJl3aH</v>
      </c>
      <c r="L367" s="74" t="str">
        <f>IFERROR(__xludf.DUMMYFUNCTION("""COMPUTED_VALUE"""),"2018-2022")</f>
        <v>2018-2022</v>
      </c>
      <c r="M367" s="74" t="str">
        <f>IFERROR(__xludf.DUMMYFUNCTION("""COMPUTED_VALUE"""),"S4: Student Certifications")</f>
        <v>S4: Student Certifications</v>
      </c>
      <c r="N367" s="74" t="str">
        <f>IFERROR(__xludf.DUMMYFUNCTION("""COMPUTED_VALUE"""),"haneefleo10@gmail.com")</f>
        <v>haneefleo10@gmail.com</v>
      </c>
      <c r="O367" s="74" t="str">
        <f>IFERROR(__xludf.DUMMYFUNCTION("""COMPUTED_VALUE"""),"SEM-8")</f>
        <v>SEM-8</v>
      </c>
      <c r="P367" s="74"/>
      <c r="Q367" s="74"/>
      <c r="R367" s="74"/>
      <c r="S367" s="74"/>
      <c r="T367" s="74"/>
      <c r="U367" s="74"/>
      <c r="V367" s="74"/>
      <c r="W367" s="74"/>
      <c r="X367" s="74"/>
      <c r="Y367" s="74"/>
    </row>
    <row r="368" ht="26.25" customHeight="1">
      <c r="A368" s="74" t="str">
        <f>IFERROR(__xludf.DUMMYFUNCTION("""COMPUTED_VALUE"""),"mohammad riyazul haneef sharief")</f>
        <v>mohammad riyazul haneef sharief</v>
      </c>
      <c r="B368" s="74" t="str">
        <f>IFERROR(__xludf.DUMMYFUNCTION("""COMPUTED_VALUE"""),"18331A05H6")</f>
        <v>18331A05H6</v>
      </c>
      <c r="C368" s="90" t="str">
        <f>IFERROR(__xludf.DUMMYFUNCTION("""COMPUTED_VALUE"""),"CCNA")</f>
        <v>CCNA</v>
      </c>
      <c r="D368" s="74" t="str">
        <f>IFERROR(__xludf.DUMMYFUNCTION("""COMPUTED_VALUE"""),"Cybersecurity Essentials")</f>
        <v>Cybersecurity Essentials</v>
      </c>
      <c r="E368" s="74" t="str">
        <f>IFERROR(__xludf.DUMMYFUNCTION("""COMPUTED_VALUE"""),"4")</f>
        <v>4</v>
      </c>
      <c r="F368" s="91">
        <f>IFERROR(__xludf.DUMMYFUNCTION("""COMPUTED_VALUE"""),44407.0)</f>
        <v>44407</v>
      </c>
      <c r="G368" s="91">
        <f>IFERROR(__xludf.DUMMYFUNCTION("""COMPUTED_VALUE"""),44384.0)</f>
        <v>44384</v>
      </c>
      <c r="H368" s="79">
        <f>IFERROR(__xludf.DUMMYFUNCTION("""COMPUTED_VALUE"""),44385.0)</f>
        <v>44385</v>
      </c>
      <c r="I368" s="92">
        <f>IFERROR(__xludf.DUMMYFUNCTION("""COMPUTED_VALUE"""),90.0)</f>
        <v>90</v>
      </c>
      <c r="J368" s="74" t="str">
        <f>IFERROR(__xludf.DUMMYFUNCTION("""COMPUTED_VALUE"""),"HOD")</f>
        <v>HOD</v>
      </c>
      <c r="K368" s="80" t="str">
        <f>IFERROR(__xludf.DUMMYFUNCTION("""COMPUTED_VALUE"""),"https://drive.google.com/open?id=1yvAZgwQQ0WAUyCgbaDFF-bYA-saESrT9")</f>
        <v>https://drive.google.com/open?id=1yvAZgwQQ0WAUyCgbaDFF-bYA-saESrT9</v>
      </c>
      <c r="L368" s="74" t="str">
        <f>IFERROR(__xludf.DUMMYFUNCTION("""COMPUTED_VALUE"""),"2018-2022")</f>
        <v>2018-2022</v>
      </c>
      <c r="M368" s="74" t="str">
        <f>IFERROR(__xludf.DUMMYFUNCTION("""COMPUTED_VALUE"""),"S4: Student Certifications")</f>
        <v>S4: Student Certifications</v>
      </c>
      <c r="N368" s="74" t="str">
        <f>IFERROR(__xludf.DUMMYFUNCTION("""COMPUTED_VALUE"""),"haneefleo10@gmail.com")</f>
        <v>haneefleo10@gmail.com</v>
      </c>
      <c r="O368" s="74" t="str">
        <f>IFERROR(__xludf.DUMMYFUNCTION("""COMPUTED_VALUE"""),"SEM-8")</f>
        <v>SEM-8</v>
      </c>
      <c r="P368" s="74"/>
      <c r="Q368" s="74"/>
      <c r="R368" s="74"/>
      <c r="S368" s="74"/>
      <c r="T368" s="74"/>
      <c r="U368" s="74"/>
      <c r="V368" s="74"/>
      <c r="W368" s="74"/>
      <c r="X368" s="74"/>
      <c r="Y368" s="74"/>
    </row>
    <row r="369" ht="26.25" customHeight="1">
      <c r="A369" s="74" t="str">
        <f>IFERROR(__xludf.DUMMYFUNCTION("""COMPUTED_VALUE"""),"mohammad riyazul haneef sharief")</f>
        <v>mohammad riyazul haneef sharief</v>
      </c>
      <c r="B369" s="74" t="str">
        <f>IFERROR(__xludf.DUMMYFUNCTION("""COMPUTED_VALUE"""),"18331A05H6")</f>
        <v>18331A05H6</v>
      </c>
      <c r="C369" s="90" t="str">
        <f>IFERROR(__xludf.DUMMYFUNCTION("""COMPUTED_VALUE"""),"CCNA")</f>
        <v>CCNA</v>
      </c>
      <c r="D369" s="74" t="str">
        <f>IFERROR(__xludf.DUMMYFUNCTION("""COMPUTED_VALUE"""),"Partner: CLA - Programming Essentials in C")</f>
        <v>Partner: CLA - Programming Essentials in C</v>
      </c>
      <c r="E369" s="74" t="str">
        <f>IFERROR(__xludf.DUMMYFUNCTION("""COMPUTED_VALUE"""),"6")</f>
        <v>6</v>
      </c>
      <c r="F369" s="91">
        <f>IFERROR(__xludf.DUMMYFUNCTION("""COMPUTED_VALUE"""),44410.0)</f>
        <v>44410</v>
      </c>
      <c r="G369" s="91">
        <f>IFERROR(__xludf.DUMMYFUNCTION("""COMPUTED_VALUE"""),44422.0)</f>
        <v>44422</v>
      </c>
      <c r="H369" s="79">
        <f>IFERROR(__xludf.DUMMYFUNCTION("""COMPUTED_VALUE"""),44423.0)</f>
        <v>44423</v>
      </c>
      <c r="I369" s="92">
        <f>IFERROR(__xludf.DUMMYFUNCTION("""COMPUTED_VALUE"""),89.0)</f>
        <v>89</v>
      </c>
      <c r="J369" s="74" t="str">
        <f>IFERROR(__xludf.DUMMYFUNCTION("""COMPUTED_VALUE"""),"HOD")</f>
        <v>HOD</v>
      </c>
      <c r="K369" s="80" t="str">
        <f>IFERROR(__xludf.DUMMYFUNCTION("""COMPUTED_VALUE"""),"https://drive.google.com/open?id=1vP7XB9PLCSVA5x3_RS9FgkgZg7Yg90Kh")</f>
        <v>https://drive.google.com/open?id=1vP7XB9PLCSVA5x3_RS9FgkgZg7Yg90Kh</v>
      </c>
      <c r="L369" s="74" t="str">
        <f>IFERROR(__xludf.DUMMYFUNCTION("""COMPUTED_VALUE"""),"2018-2022")</f>
        <v>2018-2022</v>
      </c>
      <c r="M369" s="74" t="str">
        <f>IFERROR(__xludf.DUMMYFUNCTION("""COMPUTED_VALUE"""),"S4: Student Certifications")</f>
        <v>S4: Student Certifications</v>
      </c>
      <c r="N369" s="74" t="str">
        <f>IFERROR(__xludf.DUMMYFUNCTION("""COMPUTED_VALUE"""),"haneefleo10@gmail.com")</f>
        <v>haneefleo10@gmail.com</v>
      </c>
      <c r="O369" s="74" t="str">
        <f>IFERROR(__xludf.DUMMYFUNCTION("""COMPUTED_VALUE"""),"SEM-8")</f>
        <v>SEM-8</v>
      </c>
      <c r="P369" s="74"/>
      <c r="Q369" s="74"/>
      <c r="R369" s="74"/>
      <c r="S369" s="74"/>
      <c r="T369" s="74"/>
      <c r="U369" s="74"/>
      <c r="V369" s="74"/>
      <c r="W369" s="74"/>
      <c r="X369" s="74"/>
      <c r="Y369" s="74"/>
    </row>
    <row r="370" ht="26.25" customHeight="1">
      <c r="A370" s="74" t="str">
        <f>IFERROR(__xludf.DUMMYFUNCTION("""COMPUTED_VALUE"""),"mohammad riyazul haneef sharief")</f>
        <v>mohammad riyazul haneef sharief</v>
      </c>
      <c r="B370" s="74" t="str">
        <f>IFERROR(__xludf.DUMMYFUNCTION("""COMPUTED_VALUE"""),"18331A05H6")</f>
        <v>18331A05H6</v>
      </c>
      <c r="C370" s="90" t="str">
        <f>IFERROR(__xludf.DUMMYFUNCTION("""COMPUTED_VALUE"""),"CCNA")</f>
        <v>CCNA</v>
      </c>
      <c r="D370" s="74" t="str">
        <f>IFERROR(__xludf.DUMMYFUNCTION("""COMPUTED_VALUE"""),"CCNAv7: Switching, Routing, and Wireless Essentials")</f>
        <v>CCNAv7: Switching, Routing, and Wireless Essentials</v>
      </c>
      <c r="E370" s="74" t="str">
        <f>IFERROR(__xludf.DUMMYFUNCTION("""COMPUTED_VALUE"""),"5")</f>
        <v>5</v>
      </c>
      <c r="F370" s="91">
        <f>IFERROR(__xludf.DUMMYFUNCTION("""COMPUTED_VALUE"""),44453.0)</f>
        <v>44453</v>
      </c>
      <c r="G370" s="91">
        <f>IFERROR(__xludf.DUMMYFUNCTION("""COMPUTED_VALUE"""),44455.0)</f>
        <v>44455</v>
      </c>
      <c r="H370" s="79">
        <f>IFERROR(__xludf.DUMMYFUNCTION("""COMPUTED_VALUE"""),44458.0)</f>
        <v>44458</v>
      </c>
      <c r="I370" s="92">
        <f>IFERROR(__xludf.DUMMYFUNCTION("""COMPUTED_VALUE"""),96.0)</f>
        <v>96</v>
      </c>
      <c r="J370" s="74" t="str">
        <f>IFERROR(__xludf.DUMMYFUNCTION("""COMPUTED_VALUE"""),"HOD")</f>
        <v>HOD</v>
      </c>
      <c r="K370" s="80" t="str">
        <f>IFERROR(__xludf.DUMMYFUNCTION("""COMPUTED_VALUE"""),"https://drive.google.com/open?id=1hxMUQFll5RKAmvU_5YVnns8Ot4gix8Ew")</f>
        <v>https://drive.google.com/open?id=1hxMUQFll5RKAmvU_5YVnns8Ot4gix8Ew</v>
      </c>
      <c r="L370" s="74" t="str">
        <f>IFERROR(__xludf.DUMMYFUNCTION("""COMPUTED_VALUE"""),"2018-2022")</f>
        <v>2018-2022</v>
      </c>
      <c r="M370" s="74" t="str">
        <f>IFERROR(__xludf.DUMMYFUNCTION("""COMPUTED_VALUE"""),"S4: Student Certifications")</f>
        <v>S4: Student Certifications</v>
      </c>
      <c r="N370" s="74" t="str">
        <f>IFERROR(__xludf.DUMMYFUNCTION("""COMPUTED_VALUE"""),"haneefleo10@gmail.com")</f>
        <v>haneefleo10@gmail.com</v>
      </c>
      <c r="O370" s="74" t="str">
        <f>IFERROR(__xludf.DUMMYFUNCTION("""COMPUTED_VALUE"""),"SEM-8")</f>
        <v>SEM-8</v>
      </c>
      <c r="P370" s="74"/>
      <c r="Q370" s="74"/>
      <c r="R370" s="74"/>
      <c r="S370" s="74"/>
      <c r="T370" s="74"/>
      <c r="U370" s="74"/>
      <c r="V370" s="74"/>
      <c r="W370" s="74"/>
      <c r="X370" s="74"/>
      <c r="Y370" s="74"/>
    </row>
    <row r="371" ht="26.25" customHeight="1">
      <c r="A371" s="74" t="str">
        <f>IFERROR(__xludf.DUMMYFUNCTION("""COMPUTED_VALUE"""),"KARUNA SRI PITHANI")</f>
        <v>KARUNA SRI PITHANI</v>
      </c>
      <c r="B371" s="74" t="str">
        <f>IFERROR(__xludf.DUMMYFUNCTION("""COMPUTED_VALUE"""),"18331A0572")</f>
        <v>18331A0572</v>
      </c>
      <c r="C371" s="90" t="str">
        <f>IFERROR(__xludf.DUMMYFUNCTION("""COMPUTED_VALUE"""),"Introduction to Packet Tracer")</f>
        <v>Introduction to Packet Tracer</v>
      </c>
      <c r="D371" s="74" t="str">
        <f>IFERROR(__xludf.DUMMYFUNCTION("""COMPUTED_VALUE"""),"Cisco Networking Academy")</f>
        <v>Cisco Networking Academy</v>
      </c>
      <c r="E371" s="74" t="str">
        <f>IFERROR(__xludf.DUMMYFUNCTION("""COMPUTED_VALUE"""),"2 months")</f>
        <v>2 months</v>
      </c>
      <c r="F371" s="91">
        <f>IFERROR(__xludf.DUMMYFUNCTION("""COMPUTED_VALUE"""),44236.0)</f>
        <v>44236</v>
      </c>
      <c r="G371" s="91">
        <f>IFERROR(__xludf.DUMMYFUNCTION("""COMPUTED_VALUE"""),44311.0)</f>
        <v>44311</v>
      </c>
      <c r="H371" s="79">
        <f>IFERROR(__xludf.DUMMYFUNCTION("""COMPUTED_VALUE"""),44309.0)</f>
        <v>44309</v>
      </c>
      <c r="I371" s="92">
        <f>IFERROR(__xludf.DUMMYFUNCTION("""COMPUTED_VALUE"""),98.0)</f>
        <v>98</v>
      </c>
      <c r="J371" s="74" t="str">
        <f>IFERROR(__xludf.DUMMYFUNCTION("""COMPUTED_VALUE"""),"K.V. Subba Raju")</f>
        <v>K.V. Subba Raju</v>
      </c>
      <c r="K371" s="80" t="str">
        <f>IFERROR(__xludf.DUMMYFUNCTION("""COMPUTED_VALUE"""),"https://drive.google.com/open?id=1tluUCTW5833qn2Y2I016fUFLNcvU9wQN")</f>
        <v>https://drive.google.com/open?id=1tluUCTW5833qn2Y2I016fUFLNcvU9wQN</v>
      </c>
      <c r="L371" s="74" t="str">
        <f>IFERROR(__xludf.DUMMYFUNCTION("""COMPUTED_VALUE"""),"2018-2022")</f>
        <v>2018-2022</v>
      </c>
      <c r="M371" s="74" t="str">
        <f>IFERROR(__xludf.DUMMYFUNCTION("""COMPUTED_VALUE"""),"S4: Student Certifications")</f>
        <v>S4: Student Certifications</v>
      </c>
      <c r="N371" s="74" t="str">
        <f>IFERROR(__xludf.DUMMYFUNCTION("""COMPUTED_VALUE"""),"pithanikarunasri2001@gmail.com")</f>
        <v>pithanikarunasri2001@gmail.com</v>
      </c>
      <c r="O371" s="74" t="str">
        <f>IFERROR(__xludf.DUMMYFUNCTION("""COMPUTED_VALUE"""),"SEM-8")</f>
        <v>SEM-8</v>
      </c>
      <c r="P371" s="74"/>
      <c r="Q371" s="74"/>
      <c r="R371" s="74"/>
      <c r="S371" s="74"/>
      <c r="T371" s="74"/>
      <c r="U371" s="74"/>
      <c r="V371" s="74"/>
      <c r="W371" s="74"/>
      <c r="X371" s="74"/>
      <c r="Y371" s="74"/>
    </row>
    <row r="372" ht="26.25" customHeight="1">
      <c r="A372" s="74" t="str">
        <f>IFERROR(__xludf.DUMMYFUNCTION("""COMPUTED_VALUE"""),"mohammad riyazul haneef sharief")</f>
        <v>mohammad riyazul haneef sharief</v>
      </c>
      <c r="B372" s="74" t="str">
        <f>IFERROR(__xludf.DUMMYFUNCTION("""COMPUTED_VALUE"""),"18331A05H6")</f>
        <v>18331A05H6</v>
      </c>
      <c r="C372" s="90" t="str">
        <f>IFERROR(__xludf.DUMMYFUNCTION("""COMPUTED_VALUE"""),"CCNA")</f>
        <v>CCNA</v>
      </c>
      <c r="D372" s="74" t="str">
        <f>IFERROR(__xludf.DUMMYFUNCTION("""COMPUTED_VALUE"""),"CCNAv7: Introduction to Networks")</f>
        <v>CCNAv7: Introduction to Networks</v>
      </c>
      <c r="E372" s="74" t="str">
        <f>IFERROR(__xludf.DUMMYFUNCTION("""COMPUTED_VALUE"""),"5")</f>
        <v>5</v>
      </c>
      <c r="F372" s="91">
        <f>IFERROR(__xludf.DUMMYFUNCTION("""COMPUTED_VALUE"""),44363.0)</f>
        <v>44363</v>
      </c>
      <c r="G372" s="91">
        <f>IFERROR(__xludf.DUMMYFUNCTION("""COMPUTED_VALUE"""),44366.0)</f>
        <v>44366</v>
      </c>
      <c r="H372" s="79">
        <f>IFERROR(__xludf.DUMMYFUNCTION("""COMPUTED_VALUE"""),44370.0)</f>
        <v>44370</v>
      </c>
      <c r="I372" s="92">
        <f>IFERROR(__xludf.DUMMYFUNCTION("""COMPUTED_VALUE"""),97.0)</f>
        <v>97</v>
      </c>
      <c r="J372" s="74" t="str">
        <f>IFERROR(__xludf.DUMMYFUNCTION("""COMPUTED_VALUE"""),"HOD")</f>
        <v>HOD</v>
      </c>
      <c r="K372" s="80" t="str">
        <f>IFERROR(__xludf.DUMMYFUNCTION("""COMPUTED_VALUE"""),"https://drive.google.com/open?id=1BSdn0sj7sm_8k8qnMWJVLWe2eDruQRFu")</f>
        <v>https://drive.google.com/open?id=1BSdn0sj7sm_8k8qnMWJVLWe2eDruQRFu</v>
      </c>
      <c r="L372" s="74" t="str">
        <f>IFERROR(__xludf.DUMMYFUNCTION("""COMPUTED_VALUE"""),"2018-2022")</f>
        <v>2018-2022</v>
      </c>
      <c r="M372" s="74" t="str">
        <f>IFERROR(__xludf.DUMMYFUNCTION("""COMPUTED_VALUE"""),"S4: Student Certifications")</f>
        <v>S4: Student Certifications</v>
      </c>
      <c r="N372" s="74" t="str">
        <f>IFERROR(__xludf.DUMMYFUNCTION("""COMPUTED_VALUE"""),"haneefleo10@gmail.com")</f>
        <v>haneefleo10@gmail.com</v>
      </c>
      <c r="O372" s="74" t="str">
        <f>IFERROR(__xludf.DUMMYFUNCTION("""COMPUTED_VALUE"""),"SEM-8")</f>
        <v>SEM-8</v>
      </c>
      <c r="P372" s="74"/>
      <c r="Q372" s="74"/>
      <c r="R372" s="74"/>
      <c r="S372" s="74"/>
      <c r="T372" s="74"/>
      <c r="U372" s="74"/>
      <c r="V372" s="74"/>
      <c r="W372" s="74"/>
      <c r="X372" s="74"/>
      <c r="Y372" s="74"/>
    </row>
    <row r="373" ht="26.25" customHeight="1">
      <c r="A373" s="74" t="str">
        <f>IFERROR(__xludf.DUMMYFUNCTION("""COMPUTED_VALUE"""),"Swathi Paluri")</f>
        <v>Swathi Paluri</v>
      </c>
      <c r="B373" s="74" t="str">
        <f>IFERROR(__xludf.DUMMYFUNCTION("""COMPUTED_VALUE"""),"19335A0516")</f>
        <v>19335A0516</v>
      </c>
      <c r="C373" s="90" t="str">
        <f>IFERROR(__xludf.DUMMYFUNCTION("""COMPUTED_VALUE"""),"Programming for Everybody")</f>
        <v>Programming for Everybody</v>
      </c>
      <c r="D373" s="74" t="str">
        <f>IFERROR(__xludf.DUMMYFUNCTION("""COMPUTED_VALUE"""),"Coursera")</f>
        <v>Coursera</v>
      </c>
      <c r="E373" s="74" t="str">
        <f>IFERROR(__xludf.DUMMYFUNCTION("""COMPUTED_VALUE"""),"2 months")</f>
        <v>2 months</v>
      </c>
      <c r="F373" s="91">
        <f>IFERROR(__xludf.DUMMYFUNCTION("""COMPUTED_VALUE"""),43924.0)</f>
        <v>43924</v>
      </c>
      <c r="G373" s="91">
        <f>IFERROR(__xludf.DUMMYFUNCTION("""COMPUTED_VALUE"""),44714.0)</f>
        <v>44714</v>
      </c>
      <c r="H373" s="79">
        <f>IFERROR(__xludf.DUMMYFUNCTION("""COMPUTED_VALUE"""),43986.0)</f>
        <v>43986</v>
      </c>
      <c r="I373" s="92">
        <f>IFERROR(__xludf.DUMMYFUNCTION("""COMPUTED_VALUE"""),96.0)</f>
        <v>96</v>
      </c>
      <c r="J373" s="74" t="str">
        <f>IFERROR(__xludf.DUMMYFUNCTION("""COMPUTED_VALUE"""),".")</f>
        <v>.</v>
      </c>
      <c r="K373" s="80" t="str">
        <f>IFERROR(__xludf.DUMMYFUNCTION("""COMPUTED_VALUE"""),"https://drive.google.com/open?id=1KVLd8bu3XroEMIX5eGBRLp0Ny1PYDFLa")</f>
        <v>https://drive.google.com/open?id=1KVLd8bu3XroEMIX5eGBRLp0Ny1PYDFLa</v>
      </c>
      <c r="L373" s="74" t="str">
        <f>IFERROR(__xludf.DUMMYFUNCTION("""COMPUTED_VALUE"""),"2018-2022")</f>
        <v>2018-2022</v>
      </c>
      <c r="M373" s="74" t="str">
        <f>IFERROR(__xludf.DUMMYFUNCTION("""COMPUTED_VALUE"""),"S4: Student Certifications")</f>
        <v>S4: Student Certifications</v>
      </c>
      <c r="N373" s="74" t="str">
        <f>IFERROR(__xludf.DUMMYFUNCTION("""COMPUTED_VALUE"""),"swathich164@gmail.com")</f>
        <v>swathich164@gmail.com</v>
      </c>
      <c r="O373" s="74" t="str">
        <f>IFERROR(__xludf.DUMMYFUNCTION("""COMPUTED_VALUE"""),"SEM-4")</f>
        <v>SEM-4</v>
      </c>
      <c r="P373" s="74"/>
      <c r="Q373" s="74"/>
      <c r="R373" s="74"/>
      <c r="S373" s="74"/>
      <c r="T373" s="74"/>
      <c r="U373" s="74"/>
      <c r="V373" s="74"/>
      <c r="W373" s="74"/>
      <c r="X373" s="74"/>
      <c r="Y373" s="74"/>
    </row>
    <row r="374" ht="26.25" customHeight="1">
      <c r="A374" s="74" t="str">
        <f>IFERROR(__xludf.DUMMYFUNCTION("""COMPUTED_VALUE"""),"Sagi Gayathri")</f>
        <v>Sagi Gayathri</v>
      </c>
      <c r="B374" s="74" t="str">
        <f>IFERROR(__xludf.DUMMYFUNCTION("""COMPUTED_VALUE"""),"18331A05C7")</f>
        <v>18331A05C7</v>
      </c>
      <c r="C374" s="90" t="str">
        <f>IFERROR(__xludf.DUMMYFUNCTION("""COMPUTED_VALUE"""),"Cybersecurity Essentials")</f>
        <v>Cybersecurity Essentials</v>
      </c>
      <c r="D374" s="74" t="str">
        <f>IFERROR(__xludf.DUMMYFUNCTION("""COMPUTED_VALUE"""),"cisco")</f>
        <v>cisco</v>
      </c>
      <c r="E374" s="74" t="str">
        <f>IFERROR(__xludf.DUMMYFUNCTION("""COMPUTED_VALUE"""),"2 months")</f>
        <v>2 months</v>
      </c>
      <c r="F374" s="91">
        <f>IFERROR(__xludf.DUMMYFUNCTION("""COMPUTED_VALUE"""),43587.0)</f>
        <v>43587</v>
      </c>
      <c r="G374" s="91">
        <f>IFERROR(__xludf.DUMMYFUNCTION("""COMPUTED_VALUE"""),43664.0)</f>
        <v>43664</v>
      </c>
      <c r="H374" s="79">
        <f>IFERROR(__xludf.DUMMYFUNCTION("""COMPUTED_VALUE"""),43676.0)</f>
        <v>43676</v>
      </c>
      <c r="I374" s="92">
        <f>IFERROR(__xludf.DUMMYFUNCTION("""COMPUTED_VALUE"""),89.0)</f>
        <v>89</v>
      </c>
      <c r="J374" s="74" t="str">
        <f>IFERROR(__xludf.DUMMYFUNCTION("""COMPUTED_VALUE"""),"Dr. P. Ravi Kiran Varma")</f>
        <v>Dr. P. Ravi Kiran Varma</v>
      </c>
      <c r="K374" s="80" t="str">
        <f>IFERROR(__xludf.DUMMYFUNCTION("""COMPUTED_VALUE"""),"https://drive.google.com/open?id=1dclhAY9hOiRHeG2Veptfo-i5Pl2ti7ub")</f>
        <v>https://drive.google.com/open?id=1dclhAY9hOiRHeG2Veptfo-i5Pl2ti7ub</v>
      </c>
      <c r="L374" s="74" t="str">
        <f>IFERROR(__xludf.DUMMYFUNCTION("""COMPUTED_VALUE"""),"2018-2022")</f>
        <v>2018-2022</v>
      </c>
      <c r="M374" s="74" t="str">
        <f>IFERROR(__xludf.DUMMYFUNCTION("""COMPUTED_VALUE"""),"S4: Student Certifications")</f>
        <v>S4: Student Certifications</v>
      </c>
      <c r="N374" s="74" t="str">
        <f>IFERROR(__xludf.DUMMYFUNCTION("""COMPUTED_VALUE"""),"sagigayathri02@gmail.com")</f>
        <v>sagigayathri02@gmail.com</v>
      </c>
      <c r="O374" s="74" t="str">
        <f>IFERROR(__xludf.DUMMYFUNCTION("""COMPUTED_VALUE"""),"SEM-2")</f>
        <v>SEM-2</v>
      </c>
      <c r="P374" s="74"/>
      <c r="Q374" s="74"/>
      <c r="R374" s="74"/>
      <c r="S374" s="74"/>
      <c r="T374" s="74"/>
      <c r="U374" s="74"/>
      <c r="V374" s="74"/>
      <c r="W374" s="74"/>
      <c r="X374" s="74"/>
      <c r="Y374" s="74"/>
    </row>
    <row r="375" ht="26.25" customHeight="1">
      <c r="A375" s="74" t="str">
        <f>IFERROR(__xludf.DUMMYFUNCTION("""COMPUTED_VALUE"""),"Swathi Paluri")</f>
        <v>Swathi Paluri</v>
      </c>
      <c r="B375" s="74" t="str">
        <f>IFERROR(__xludf.DUMMYFUNCTION("""COMPUTED_VALUE"""),"19335A0516")</f>
        <v>19335A0516</v>
      </c>
      <c r="C375" s="90" t="str">
        <f>IFERROR(__xludf.DUMMYFUNCTION("""COMPUTED_VALUE"""),"Introduction to Microsoft Azure Cloud Services")</f>
        <v>Introduction to Microsoft Azure Cloud Services</v>
      </c>
      <c r="D375" s="74" t="str">
        <f>IFERROR(__xludf.DUMMYFUNCTION("""COMPUTED_VALUE"""),"Coursera")</f>
        <v>Coursera</v>
      </c>
      <c r="E375" s="74" t="str">
        <f>IFERROR(__xludf.DUMMYFUNCTION("""COMPUTED_VALUE"""),"2 months")</f>
        <v>2 months</v>
      </c>
      <c r="F375" s="91">
        <f>IFERROR(__xludf.DUMMYFUNCTION("""COMPUTED_VALUE"""),44531.0)</f>
        <v>44531</v>
      </c>
      <c r="G375" s="91">
        <f>IFERROR(__xludf.DUMMYFUNCTION("""COMPUTED_VALUE"""),44582.0)</f>
        <v>44582</v>
      </c>
      <c r="H375" s="79">
        <f>IFERROR(__xludf.DUMMYFUNCTION("""COMPUTED_VALUE"""),44585.0)</f>
        <v>44585</v>
      </c>
      <c r="I375" s="92">
        <f>IFERROR(__xludf.DUMMYFUNCTION("""COMPUTED_VALUE"""),96.0)</f>
        <v>96</v>
      </c>
      <c r="J375" s="74" t="str">
        <f>IFERROR(__xludf.DUMMYFUNCTION("""COMPUTED_VALUE"""),".")</f>
        <v>.</v>
      </c>
      <c r="K375" s="80" t="str">
        <f>IFERROR(__xludf.DUMMYFUNCTION("""COMPUTED_VALUE"""),"https://drive.google.com/open?id=1Ag7a8-iLv_jbwDS4g5LMfd_Qm1mYghCP")</f>
        <v>https://drive.google.com/open?id=1Ag7a8-iLv_jbwDS4g5LMfd_Qm1mYghCP</v>
      </c>
      <c r="L375" s="74" t="str">
        <f>IFERROR(__xludf.DUMMYFUNCTION("""COMPUTED_VALUE"""),"2018-2022")</f>
        <v>2018-2022</v>
      </c>
      <c r="M375" s="74" t="str">
        <f>IFERROR(__xludf.DUMMYFUNCTION("""COMPUTED_VALUE"""),"S4: Student Certifications")</f>
        <v>S4: Student Certifications</v>
      </c>
      <c r="N375" s="74" t="str">
        <f>IFERROR(__xludf.DUMMYFUNCTION("""COMPUTED_VALUE"""),"swathich164@gmail.com")</f>
        <v>swathich164@gmail.com</v>
      </c>
      <c r="O375" s="74" t="str">
        <f>IFERROR(__xludf.DUMMYFUNCTION("""COMPUTED_VALUE"""),"SEM-4")</f>
        <v>SEM-4</v>
      </c>
      <c r="P375" s="74"/>
      <c r="Q375" s="74"/>
      <c r="R375" s="74"/>
      <c r="S375" s="74"/>
      <c r="T375" s="74"/>
      <c r="U375" s="74"/>
      <c r="V375" s="74"/>
      <c r="W375" s="74"/>
      <c r="X375" s="74"/>
      <c r="Y375" s="74"/>
    </row>
    <row r="376" ht="26.25" customHeight="1">
      <c r="A376" s="74" t="str">
        <f>IFERROR(__xludf.DUMMYFUNCTION("""COMPUTED_VALUE"""),"KARUNA SRI PITHANI")</f>
        <v>KARUNA SRI PITHANI</v>
      </c>
      <c r="B376" s="74" t="str">
        <f>IFERROR(__xludf.DUMMYFUNCTION("""COMPUTED_VALUE"""),"183331A0572")</f>
        <v>183331A0572</v>
      </c>
      <c r="C376" s="90" t="str">
        <f>IFERROR(__xludf.DUMMYFUNCTION("""COMPUTED_VALUE"""),"Matlab")</f>
        <v>Matlab</v>
      </c>
      <c r="D376" s="74" t="str">
        <f>IFERROR(__xludf.DUMMYFUNCTION("""COMPUTED_VALUE"""),"Mathworks")</f>
        <v>Mathworks</v>
      </c>
      <c r="E376" s="74" t="str">
        <f>IFERROR(__xludf.DUMMYFUNCTION("""COMPUTED_VALUE"""),"2 months")</f>
        <v>2 months</v>
      </c>
      <c r="F376" s="91">
        <f>IFERROR(__xludf.DUMMYFUNCTION("""COMPUTED_VALUE"""),44174.0)</f>
        <v>44174</v>
      </c>
      <c r="G376" s="91">
        <f>IFERROR(__xludf.DUMMYFUNCTION("""COMPUTED_VALUE"""),44234.0)</f>
        <v>44234</v>
      </c>
      <c r="H376" s="79">
        <f>IFERROR(__xludf.DUMMYFUNCTION("""COMPUTED_VALUE"""),44233.0)</f>
        <v>44233</v>
      </c>
      <c r="I376" s="92">
        <f>IFERROR(__xludf.DUMMYFUNCTION("""COMPUTED_VALUE"""),100.0)</f>
        <v>100</v>
      </c>
      <c r="J376" s="74" t="str">
        <f>IFERROR(__xludf.DUMMYFUNCTION("""COMPUTED_VALUE"""),"K. Prasad Rao")</f>
        <v>K. Prasad Rao</v>
      </c>
      <c r="K376" s="80" t="str">
        <f>IFERROR(__xludf.DUMMYFUNCTION("""COMPUTED_VALUE"""),"https://drive.google.com/open?id=1DGq3Z9Hv6wdsfDLdxFHWrkfim1dk2reA")</f>
        <v>https://drive.google.com/open?id=1DGq3Z9Hv6wdsfDLdxFHWrkfim1dk2reA</v>
      </c>
      <c r="L376" s="74" t="str">
        <f>IFERROR(__xludf.DUMMYFUNCTION("""COMPUTED_VALUE"""),"2018-2022")</f>
        <v>2018-2022</v>
      </c>
      <c r="M376" s="74" t="str">
        <f>IFERROR(__xludf.DUMMYFUNCTION("""COMPUTED_VALUE"""),"S4: Student Certifications")</f>
        <v>S4: Student Certifications</v>
      </c>
      <c r="N376" s="74" t="str">
        <f>IFERROR(__xludf.DUMMYFUNCTION("""COMPUTED_VALUE"""),"pithanikarunasri2001@gmail.com")</f>
        <v>pithanikarunasri2001@gmail.com</v>
      </c>
      <c r="O376" s="74" t="str">
        <f>IFERROR(__xludf.DUMMYFUNCTION("""COMPUTED_VALUE"""),"SEM-8")</f>
        <v>SEM-8</v>
      </c>
      <c r="P376" s="74"/>
      <c r="Q376" s="74"/>
      <c r="R376" s="74"/>
      <c r="S376" s="74"/>
      <c r="T376" s="74"/>
      <c r="U376" s="74"/>
      <c r="V376" s="74"/>
      <c r="W376" s="74"/>
      <c r="X376" s="74"/>
      <c r="Y376" s="74"/>
    </row>
    <row r="377" ht="26.25" customHeight="1">
      <c r="A377" s="74" t="str">
        <f>IFERROR(__xludf.DUMMYFUNCTION("""COMPUTED_VALUE"""),"KARUNA SRI PITHANI")</f>
        <v>KARUNA SRI PITHANI</v>
      </c>
      <c r="B377" s="74" t="str">
        <f>IFERROR(__xludf.DUMMYFUNCTION("""COMPUTED_VALUE"""),"18331A0572")</f>
        <v>18331A0572</v>
      </c>
      <c r="C377" s="90" t="str">
        <f>IFERROR(__xludf.DUMMYFUNCTION("""COMPUTED_VALUE"""),"The Science of Well-Being")</f>
        <v>The Science of Well-Being</v>
      </c>
      <c r="D377" s="74" t="str">
        <f>IFERROR(__xludf.DUMMYFUNCTION("""COMPUTED_VALUE"""),"coursera")</f>
        <v>coursera</v>
      </c>
      <c r="E377" s="74" t="str">
        <f>IFERROR(__xludf.DUMMYFUNCTION("""COMPUTED_VALUE"""),"1 month")</f>
        <v>1 month</v>
      </c>
      <c r="F377" s="91">
        <f>IFERROR(__xludf.DUMMYFUNCTION("""COMPUTED_VALUE"""),43960.0)</f>
        <v>43960</v>
      </c>
      <c r="G377" s="91">
        <f>IFERROR(__xludf.DUMMYFUNCTION("""COMPUTED_VALUE"""),43995.0)</f>
        <v>43995</v>
      </c>
      <c r="H377" s="79">
        <f>IFERROR(__xludf.DUMMYFUNCTION("""COMPUTED_VALUE"""),43987.0)</f>
        <v>43987</v>
      </c>
      <c r="I377" s="92">
        <f>IFERROR(__xludf.DUMMYFUNCTION("""COMPUTED_VALUE"""),100.0)</f>
        <v>100</v>
      </c>
      <c r="J377" s="74" t="str">
        <f>IFERROR(__xludf.DUMMYFUNCTION("""COMPUTED_VALUE"""),"Laurie Santos")</f>
        <v>Laurie Santos</v>
      </c>
      <c r="K377" s="80" t="str">
        <f>IFERROR(__xludf.DUMMYFUNCTION("""COMPUTED_VALUE"""),"https://drive.google.com/open?id=1jRQLjFUB42L-7lWbY9cFdYdWHXICyjt1")</f>
        <v>https://drive.google.com/open?id=1jRQLjFUB42L-7lWbY9cFdYdWHXICyjt1</v>
      </c>
      <c r="L377" s="74" t="str">
        <f>IFERROR(__xludf.DUMMYFUNCTION("""COMPUTED_VALUE"""),"2018-2022")</f>
        <v>2018-2022</v>
      </c>
      <c r="M377" s="74" t="str">
        <f>IFERROR(__xludf.DUMMYFUNCTION("""COMPUTED_VALUE"""),"S4: Student Certifications")</f>
        <v>S4: Student Certifications</v>
      </c>
      <c r="N377" s="74" t="str">
        <f>IFERROR(__xludf.DUMMYFUNCTION("""COMPUTED_VALUE"""),"pithanikarunasri2001@gmail.com")</f>
        <v>pithanikarunasri2001@gmail.com</v>
      </c>
      <c r="O377" s="74" t="str">
        <f>IFERROR(__xludf.DUMMYFUNCTION("""COMPUTED_VALUE"""),"SEM-8")</f>
        <v>SEM-8</v>
      </c>
      <c r="P377" s="74"/>
      <c r="Q377" s="74"/>
      <c r="R377" s="74"/>
      <c r="S377" s="74"/>
      <c r="T377" s="74"/>
      <c r="U377" s="74"/>
      <c r="V377" s="74"/>
      <c r="W377" s="74"/>
      <c r="X377" s="74"/>
      <c r="Y377" s="74"/>
    </row>
    <row r="378" ht="26.25" customHeight="1">
      <c r="A378" s="74" t="str">
        <f>IFERROR(__xludf.DUMMYFUNCTION("""COMPUTED_VALUE"""),"KARUNA SRI PITHANI")</f>
        <v>KARUNA SRI PITHANI</v>
      </c>
      <c r="B378" s="74" t="str">
        <f>IFERROR(__xludf.DUMMYFUNCTION("""COMPUTED_VALUE"""),"18331A0572")</f>
        <v>18331A0572</v>
      </c>
      <c r="C378" s="90" t="str">
        <f>IFERROR(__xludf.DUMMYFUNCTION("""COMPUTED_VALUE"""),"Science of Exercise")</f>
        <v>Science of Exercise</v>
      </c>
      <c r="D378" s="74" t="str">
        <f>IFERROR(__xludf.DUMMYFUNCTION("""COMPUTED_VALUE"""),"coursera")</f>
        <v>coursera</v>
      </c>
      <c r="E378" s="74" t="str">
        <f>IFERROR(__xludf.DUMMYFUNCTION("""COMPUTED_VALUE"""),"1 month")</f>
        <v>1 month</v>
      </c>
      <c r="F378" s="91">
        <f>IFERROR(__xludf.DUMMYFUNCTION("""COMPUTED_VALUE"""),43956.0)</f>
        <v>43956</v>
      </c>
      <c r="G378" s="91">
        <f>IFERROR(__xludf.DUMMYFUNCTION("""COMPUTED_VALUE"""),43997.0)</f>
        <v>43997</v>
      </c>
      <c r="H378" s="79">
        <f>IFERROR(__xludf.DUMMYFUNCTION("""COMPUTED_VALUE"""),43991.0)</f>
        <v>43991</v>
      </c>
      <c r="I378" s="92">
        <f>IFERROR(__xludf.DUMMYFUNCTION("""COMPUTED_VALUE"""),100.0)</f>
        <v>100</v>
      </c>
      <c r="J378" s="74" t="str">
        <f>IFERROR(__xludf.DUMMYFUNCTION("""COMPUTED_VALUE"""),"Robert Mazzeo")</f>
        <v>Robert Mazzeo</v>
      </c>
      <c r="K378" s="80" t="str">
        <f>IFERROR(__xludf.DUMMYFUNCTION("""COMPUTED_VALUE"""),"https://drive.google.com/open?id=1xuoVqr0QMgCsvz5rFTo9SVoMb5UeU67O")</f>
        <v>https://drive.google.com/open?id=1xuoVqr0QMgCsvz5rFTo9SVoMb5UeU67O</v>
      </c>
      <c r="L378" s="74" t="str">
        <f>IFERROR(__xludf.DUMMYFUNCTION("""COMPUTED_VALUE"""),"2018-2022")</f>
        <v>2018-2022</v>
      </c>
      <c r="M378" s="74" t="str">
        <f>IFERROR(__xludf.DUMMYFUNCTION("""COMPUTED_VALUE"""),"S4: Student Certifications")</f>
        <v>S4: Student Certifications</v>
      </c>
      <c r="N378" s="74" t="str">
        <f>IFERROR(__xludf.DUMMYFUNCTION("""COMPUTED_VALUE"""),"pithanikarunasri2001@gmail.com")</f>
        <v>pithanikarunasri2001@gmail.com</v>
      </c>
      <c r="O378" s="74" t="str">
        <f>IFERROR(__xludf.DUMMYFUNCTION("""COMPUTED_VALUE"""),"SEM-8")</f>
        <v>SEM-8</v>
      </c>
      <c r="P378" s="74"/>
      <c r="Q378" s="74"/>
      <c r="R378" s="74"/>
      <c r="S378" s="74"/>
      <c r="T378" s="74"/>
      <c r="U378" s="74"/>
      <c r="V378" s="74"/>
      <c r="W378" s="74"/>
      <c r="X378" s="74"/>
      <c r="Y378" s="74"/>
    </row>
    <row r="379" ht="26.25" customHeight="1">
      <c r="A379" s="96" t="str">
        <f>IFERROR(__xludf.DUMMYFUNCTION("""COMPUTED_VALUE"""),"Buddharaju Pragna")</f>
        <v>Buddharaju Pragna</v>
      </c>
      <c r="B379" s="96" t="str">
        <f>IFERROR(__xludf.DUMMYFUNCTION("""COMPUTED_VALUE"""),"18331A05H2")</f>
        <v>18331A05H2</v>
      </c>
      <c r="C379" s="97" t="str">
        <f>IFERROR(__xludf.DUMMYFUNCTION("""COMPUTED_VALUE"""),"Cybersecurity Essentials")</f>
        <v>Cybersecurity Essentials</v>
      </c>
      <c r="D379" s="96" t="str">
        <f>IFERROR(__xludf.DUMMYFUNCTION("""COMPUTED_VALUE"""),"CISCO")</f>
        <v>CISCO</v>
      </c>
      <c r="E379" s="96" t="str">
        <f>IFERROR(__xludf.DUMMYFUNCTION("""COMPUTED_VALUE"""),"4 months")</f>
        <v>4 months</v>
      </c>
      <c r="F379" s="98">
        <f>IFERROR(__xludf.DUMMYFUNCTION("""COMPUTED_VALUE"""),43556.0)</f>
        <v>43556</v>
      </c>
      <c r="G379" s="98">
        <f>IFERROR(__xludf.DUMMYFUNCTION("""COMPUTED_VALUE"""),43676.0)</f>
        <v>43676</v>
      </c>
      <c r="H379" s="99">
        <f>IFERROR(__xludf.DUMMYFUNCTION("""COMPUTED_VALUE"""),43676.0)</f>
        <v>43676</v>
      </c>
      <c r="I379" s="100">
        <f>IFERROR(__xludf.DUMMYFUNCTION("""COMPUTED_VALUE"""),90.0)</f>
        <v>90</v>
      </c>
      <c r="J379" s="96" t="str">
        <f>IFERROR(__xludf.DUMMYFUNCTION("""COMPUTED_VALUE"""),"DR.P.Ravi Kiran Varma")</f>
        <v>DR.P.Ravi Kiran Varma</v>
      </c>
      <c r="K379" s="101" t="str">
        <f>IFERROR(__xludf.DUMMYFUNCTION("""COMPUTED_VALUE"""),"https://drive.google.com/open?id=1VksBdV3ybINuVdznQDBP-Cr4O1vi219V")</f>
        <v>https://drive.google.com/open?id=1VksBdV3ybINuVdznQDBP-Cr4O1vi219V</v>
      </c>
      <c r="L379" s="96" t="str">
        <f>IFERROR(__xludf.DUMMYFUNCTION("""COMPUTED_VALUE"""),"2018-2022")</f>
        <v>2018-2022</v>
      </c>
      <c r="M379" s="96" t="str">
        <f>IFERROR(__xludf.DUMMYFUNCTION("""COMPUTED_VALUE"""),"S4: Student Certifications")</f>
        <v>S4: Student Certifications</v>
      </c>
      <c r="N379" s="96" t="str">
        <f>IFERROR(__xludf.DUMMYFUNCTION("""COMPUTED_VALUE"""),"pragnabuddharaju@gmail.com")</f>
        <v>pragnabuddharaju@gmail.com</v>
      </c>
      <c r="O379" s="96" t="str">
        <f>IFERROR(__xludf.DUMMYFUNCTION("""COMPUTED_VALUE"""),"SEM-2")</f>
        <v>SEM-2</v>
      </c>
      <c r="P379" s="96"/>
      <c r="Q379" s="96"/>
      <c r="R379" s="96"/>
      <c r="S379" s="96"/>
      <c r="T379" s="96"/>
      <c r="U379" s="96"/>
      <c r="V379" s="96"/>
      <c r="W379" s="96"/>
      <c r="X379" s="96"/>
      <c r="Y379" s="96"/>
    </row>
    <row r="380" ht="26.25" customHeight="1">
      <c r="A380" s="74" t="str">
        <f>IFERROR(__xludf.DUMMYFUNCTION("""COMPUTED_VALUE"""),"KARUNA SRI PITHANI")</f>
        <v>KARUNA SRI PITHANI</v>
      </c>
      <c r="B380" s="74" t="str">
        <f>IFERROR(__xludf.DUMMYFUNCTION("""COMPUTED_VALUE"""),"18331A0572")</f>
        <v>18331A0572</v>
      </c>
      <c r="C380" s="90" t="str">
        <f>IFERROR(__xludf.DUMMYFUNCTION("""COMPUTED_VALUE"""),"Python Data Structure")</f>
        <v>Python Data Structure</v>
      </c>
      <c r="D380" s="74" t="str">
        <f>IFERROR(__xludf.DUMMYFUNCTION("""COMPUTED_VALUE"""),"coursera")</f>
        <v>coursera</v>
      </c>
      <c r="E380" s="74" t="str">
        <f>IFERROR(__xludf.DUMMYFUNCTION("""COMPUTED_VALUE"""),"1 month")</f>
        <v>1 month</v>
      </c>
      <c r="F380" s="91">
        <f>IFERROR(__xludf.DUMMYFUNCTION("""COMPUTED_VALUE"""),43956.0)</f>
        <v>43956</v>
      </c>
      <c r="G380" s="91">
        <f>IFERROR(__xludf.DUMMYFUNCTION("""COMPUTED_VALUE"""),44012.0)</f>
        <v>44012</v>
      </c>
      <c r="H380" s="79">
        <f>IFERROR(__xludf.DUMMYFUNCTION("""COMPUTED_VALUE"""),44005.0)</f>
        <v>44005</v>
      </c>
      <c r="I380" s="92">
        <f>IFERROR(__xludf.DUMMYFUNCTION("""COMPUTED_VALUE"""),100.0)</f>
        <v>100</v>
      </c>
      <c r="J380" s="74" t="str">
        <f>IFERROR(__xludf.DUMMYFUNCTION("""COMPUTED_VALUE"""),"Charles Severance")</f>
        <v>Charles Severance</v>
      </c>
      <c r="K380" s="80" t="str">
        <f>IFERROR(__xludf.DUMMYFUNCTION("""COMPUTED_VALUE"""),"https://drive.google.com/open?id=1ST4b8Hp_jhQRMiO7hFlz-QG0wtYMcjcr")</f>
        <v>https://drive.google.com/open?id=1ST4b8Hp_jhQRMiO7hFlz-QG0wtYMcjcr</v>
      </c>
      <c r="L380" s="74" t="str">
        <f>IFERROR(__xludf.DUMMYFUNCTION("""COMPUTED_VALUE"""),"2018-2022")</f>
        <v>2018-2022</v>
      </c>
      <c r="M380" s="74" t="str">
        <f>IFERROR(__xludf.DUMMYFUNCTION("""COMPUTED_VALUE"""),"S4: Student Certifications")</f>
        <v>S4: Student Certifications</v>
      </c>
      <c r="N380" s="74" t="str">
        <f>IFERROR(__xludf.DUMMYFUNCTION("""COMPUTED_VALUE"""),"pithanikarunasri2001@gmail.com")</f>
        <v>pithanikarunasri2001@gmail.com</v>
      </c>
      <c r="O380" s="74" t="str">
        <f>IFERROR(__xludf.DUMMYFUNCTION("""COMPUTED_VALUE"""),"SEM-8")</f>
        <v>SEM-8</v>
      </c>
      <c r="P380" s="74"/>
      <c r="Q380" s="74"/>
      <c r="R380" s="74"/>
      <c r="S380" s="74"/>
      <c r="T380" s="74"/>
      <c r="U380" s="74"/>
      <c r="V380" s="74"/>
      <c r="W380" s="74"/>
      <c r="X380" s="74"/>
      <c r="Y380" s="74"/>
    </row>
    <row r="381" ht="26.25" customHeight="1">
      <c r="A381" s="74" t="str">
        <f>IFERROR(__xludf.DUMMYFUNCTION("""COMPUTED_VALUE"""),"KARUNA SRI PITHANI")</f>
        <v>KARUNA SRI PITHANI</v>
      </c>
      <c r="B381" s="74" t="str">
        <f>IFERROR(__xludf.DUMMYFUNCTION("""COMPUTED_VALUE"""),"18331A0572")</f>
        <v>18331A0572</v>
      </c>
      <c r="C381" s="90" t="str">
        <f>IFERROR(__xludf.DUMMYFUNCTION("""COMPUTED_VALUE"""),"Programming for Everybody (Getting Started with Python)")</f>
        <v>Programming for Everybody (Getting Started with Python)</v>
      </c>
      <c r="D381" s="74" t="str">
        <f>IFERROR(__xludf.DUMMYFUNCTION("""COMPUTED_VALUE"""),"coursera")</f>
        <v>coursera</v>
      </c>
      <c r="E381" s="74" t="str">
        <f>IFERROR(__xludf.DUMMYFUNCTION("""COMPUTED_VALUE"""),"1 month")</f>
        <v>1 month</v>
      </c>
      <c r="F381" s="91">
        <f>IFERROR(__xludf.DUMMYFUNCTION("""COMPUTED_VALUE"""),43960.0)</f>
        <v>43960</v>
      </c>
      <c r="G381" s="91">
        <f>IFERROR(__xludf.DUMMYFUNCTION("""COMPUTED_VALUE"""),43997.0)</f>
        <v>43997</v>
      </c>
      <c r="H381" s="79">
        <f>IFERROR(__xludf.DUMMYFUNCTION("""COMPUTED_VALUE"""),43991.0)</f>
        <v>43991</v>
      </c>
      <c r="I381" s="92">
        <f>IFERROR(__xludf.DUMMYFUNCTION("""COMPUTED_VALUE"""),100.0)</f>
        <v>100</v>
      </c>
      <c r="J381" s="74" t="str">
        <f>IFERROR(__xludf.DUMMYFUNCTION("""COMPUTED_VALUE"""),"Charles Severance")</f>
        <v>Charles Severance</v>
      </c>
      <c r="K381" s="80" t="str">
        <f>IFERROR(__xludf.DUMMYFUNCTION("""COMPUTED_VALUE"""),"https://drive.google.com/open?id=149E4ROiJYHPw5OBN0KsGUY5hFPqL8gfC")</f>
        <v>https://drive.google.com/open?id=149E4ROiJYHPw5OBN0KsGUY5hFPqL8gfC</v>
      </c>
      <c r="L381" s="74" t="str">
        <f>IFERROR(__xludf.DUMMYFUNCTION("""COMPUTED_VALUE"""),"2018-2022")</f>
        <v>2018-2022</v>
      </c>
      <c r="M381" s="74" t="str">
        <f>IFERROR(__xludf.DUMMYFUNCTION("""COMPUTED_VALUE"""),"S4: Student Certifications")</f>
        <v>S4: Student Certifications</v>
      </c>
      <c r="N381" s="74" t="str">
        <f>IFERROR(__xludf.DUMMYFUNCTION("""COMPUTED_VALUE"""),"pithanikarunasri2001@gmail.com")</f>
        <v>pithanikarunasri2001@gmail.com</v>
      </c>
      <c r="O381" s="74" t="str">
        <f>IFERROR(__xludf.DUMMYFUNCTION("""COMPUTED_VALUE"""),"SEM-8")</f>
        <v>SEM-8</v>
      </c>
      <c r="P381" s="74"/>
      <c r="Q381" s="74"/>
      <c r="R381" s="74"/>
      <c r="S381" s="74"/>
      <c r="T381" s="74"/>
      <c r="U381" s="74"/>
      <c r="V381" s="74"/>
      <c r="W381" s="74"/>
      <c r="X381" s="74"/>
      <c r="Y381" s="74"/>
    </row>
    <row r="382" ht="26.25" customHeight="1">
      <c r="A382" s="74" t="str">
        <f>IFERROR(__xludf.DUMMYFUNCTION("""COMPUTED_VALUE"""),"Buddharaju Pragna")</f>
        <v>Buddharaju Pragna</v>
      </c>
      <c r="B382" s="74" t="str">
        <f>IFERROR(__xludf.DUMMYFUNCTION("""COMPUTED_VALUE"""),"18331A05H2")</f>
        <v>18331A05H2</v>
      </c>
      <c r="C382" s="90" t="str">
        <f>IFERROR(__xludf.DUMMYFUNCTION("""COMPUTED_VALUE"""),"Programming Essentials in C")</f>
        <v>Programming Essentials in C</v>
      </c>
      <c r="D382" s="74" t="str">
        <f>IFERROR(__xludf.DUMMYFUNCTION("""COMPUTED_VALUE"""),"CISCO")</f>
        <v>CISCO</v>
      </c>
      <c r="E382" s="74" t="str">
        <f>IFERROR(__xludf.DUMMYFUNCTION("""COMPUTED_VALUE"""),"3 months")</f>
        <v>3 months</v>
      </c>
      <c r="F382" s="91">
        <f>IFERROR(__xludf.DUMMYFUNCTION("""COMPUTED_VALUE"""),43587.0)</f>
        <v>43587</v>
      </c>
      <c r="G382" s="91">
        <f>IFERROR(__xludf.DUMMYFUNCTION("""COMPUTED_VALUE"""),43699.0)</f>
        <v>43699</v>
      </c>
      <c r="H382" s="79">
        <f>IFERROR(__xludf.DUMMYFUNCTION("""COMPUTED_VALUE"""),43699.0)</f>
        <v>43699</v>
      </c>
      <c r="I382" s="92">
        <f>IFERROR(__xludf.DUMMYFUNCTION("""COMPUTED_VALUE"""),90.0)</f>
        <v>90</v>
      </c>
      <c r="J382" s="74" t="str">
        <f>IFERROR(__xludf.DUMMYFUNCTION("""COMPUTED_VALUE"""),"DR.P.Ravi Kiran Varma")</f>
        <v>DR.P.Ravi Kiran Varma</v>
      </c>
      <c r="K382" s="80" t="str">
        <f>IFERROR(__xludf.DUMMYFUNCTION("""COMPUTED_VALUE"""),"https://drive.google.com/open?id=1KZYZ-Lb9-WgsfgcK-Baipk7HTxVfU9w-")</f>
        <v>https://drive.google.com/open?id=1KZYZ-Lb9-WgsfgcK-Baipk7HTxVfU9w-</v>
      </c>
      <c r="L382" s="74" t="str">
        <f>IFERROR(__xludf.DUMMYFUNCTION("""COMPUTED_VALUE"""),"2018-2022")</f>
        <v>2018-2022</v>
      </c>
      <c r="M382" s="74" t="str">
        <f>IFERROR(__xludf.DUMMYFUNCTION("""COMPUTED_VALUE"""),"S4: Student Certifications")</f>
        <v>S4: Student Certifications</v>
      </c>
      <c r="N382" s="74" t="str">
        <f>IFERROR(__xludf.DUMMYFUNCTION("""COMPUTED_VALUE"""),"pragnabuddharaju@gmail.com")</f>
        <v>pragnabuddharaju@gmail.com</v>
      </c>
      <c r="O382" s="74" t="str">
        <f>IFERROR(__xludf.DUMMYFUNCTION("""COMPUTED_VALUE"""),"SEM-2")</f>
        <v>SEM-2</v>
      </c>
      <c r="P382" s="74"/>
      <c r="Q382" s="74"/>
      <c r="R382" s="74"/>
      <c r="S382" s="74"/>
      <c r="T382" s="74"/>
      <c r="U382" s="74"/>
      <c r="V382" s="74"/>
      <c r="W382" s="74"/>
      <c r="X382" s="74"/>
      <c r="Y382" s="74"/>
    </row>
    <row r="383" ht="26.25" customHeight="1">
      <c r="A383" s="78" t="str">
        <f>IFERROR(__xludf.DUMMYFUNCTION("""COMPUTED_VALUE"""),"Sagi Gayathri")</f>
        <v>Sagi Gayathri</v>
      </c>
      <c r="B383" s="78" t="str">
        <f>IFERROR(__xludf.DUMMYFUNCTION("""COMPUTED_VALUE"""),"18331A05C7")</f>
        <v>18331A05C7</v>
      </c>
      <c r="C383" s="93" t="str">
        <f>IFERROR(__xludf.DUMMYFUNCTION("""COMPUTED_VALUE"""),"Math Quiz")</f>
        <v>Math Quiz</v>
      </c>
      <c r="D383" s="78" t="str">
        <f>IFERROR(__xludf.DUMMYFUNCTION("""COMPUTED_VALUE"""),"K.RAMAKRISHNAN college of technology")</f>
        <v>K.RAMAKRISHNAN college of technology</v>
      </c>
      <c r="E383" s="78" t="str">
        <f>IFERROR(__xludf.DUMMYFUNCTION("""COMPUTED_VALUE"""),"1 week")</f>
        <v>1 week</v>
      </c>
      <c r="F383" s="94">
        <f>IFERROR(__xludf.DUMMYFUNCTION("""COMPUTED_VALUE"""),43968.0)</f>
        <v>43968</v>
      </c>
      <c r="G383" s="94">
        <f>IFERROR(__xludf.DUMMYFUNCTION("""COMPUTED_VALUE"""),43975.0)</f>
        <v>43975</v>
      </c>
      <c r="H383" s="84">
        <f>IFERROR(__xludf.DUMMYFUNCTION("""COMPUTED_VALUE"""),43975.0)</f>
        <v>43975</v>
      </c>
      <c r="I383" s="95">
        <f>IFERROR(__xludf.DUMMYFUNCTION("""COMPUTED_VALUE"""),100.0)</f>
        <v>100</v>
      </c>
      <c r="J383" s="78" t="str">
        <f>IFERROR(__xludf.DUMMYFUNCTION("""COMPUTED_VALUE"""),"Online")</f>
        <v>Online</v>
      </c>
      <c r="K383" s="85" t="str">
        <f>IFERROR(__xludf.DUMMYFUNCTION("""COMPUTED_VALUE"""),"https://drive.google.com/open?id=1NQc3uCU_vybJQ93r1wFSyFbEWe15DgTn")</f>
        <v>https://drive.google.com/open?id=1NQc3uCU_vybJQ93r1wFSyFbEWe15DgTn</v>
      </c>
      <c r="L383" s="78" t="str">
        <f>IFERROR(__xludf.DUMMYFUNCTION("""COMPUTED_VALUE"""),"2018-2022")</f>
        <v>2018-2022</v>
      </c>
      <c r="M383" s="78" t="str">
        <f>IFERROR(__xludf.DUMMYFUNCTION("""COMPUTED_VALUE"""),"S4: Student Certifications")</f>
        <v>S4: Student Certifications</v>
      </c>
      <c r="N383" s="78" t="str">
        <f>IFERROR(__xludf.DUMMYFUNCTION("""COMPUTED_VALUE"""),"sagigayathri02@gmail.com")</f>
        <v>sagigayathri02@gmail.com</v>
      </c>
      <c r="O383" s="78" t="str">
        <f>IFERROR(__xludf.DUMMYFUNCTION("""COMPUTED_VALUE"""),"SEM-4")</f>
        <v>SEM-4</v>
      </c>
      <c r="P383" s="78"/>
      <c r="Q383" s="78"/>
      <c r="R383" s="78"/>
      <c r="S383" s="78"/>
      <c r="T383" s="78"/>
      <c r="U383" s="78"/>
      <c r="V383" s="78"/>
      <c r="W383" s="78"/>
      <c r="X383" s="78"/>
      <c r="Y383" s="78"/>
    </row>
    <row r="384" ht="26.25" customHeight="1">
      <c r="A384" s="74" t="str">
        <f>IFERROR(__xludf.DUMMYFUNCTION("""COMPUTED_VALUE"""),"KARUNA SRI PITHANI")</f>
        <v>KARUNA SRI PITHANI</v>
      </c>
      <c r="B384" s="74" t="str">
        <f>IFERROR(__xludf.DUMMYFUNCTION("""COMPUTED_VALUE"""),"18331A0572")</f>
        <v>18331A0572</v>
      </c>
      <c r="C384" s="90" t="str">
        <f>IFERROR(__xludf.DUMMYFUNCTION("""COMPUTED_VALUE"""),"Modern Art &amp; Ideas")</f>
        <v>Modern Art &amp; Ideas</v>
      </c>
      <c r="D384" s="74" t="str">
        <f>IFERROR(__xludf.DUMMYFUNCTION("""COMPUTED_VALUE"""),"coursera")</f>
        <v>coursera</v>
      </c>
      <c r="E384" s="74" t="str">
        <f>IFERROR(__xludf.DUMMYFUNCTION("""COMPUTED_VALUE"""),"1 month")</f>
        <v>1 month</v>
      </c>
      <c r="F384" s="91">
        <f>IFERROR(__xludf.DUMMYFUNCTION("""COMPUTED_VALUE"""),43899.0)</f>
        <v>43899</v>
      </c>
      <c r="G384" s="91">
        <f>IFERROR(__xludf.DUMMYFUNCTION("""COMPUTED_VALUE"""),43928.0)</f>
        <v>43928</v>
      </c>
      <c r="H384" s="79">
        <f>IFERROR(__xludf.DUMMYFUNCTION("""COMPUTED_VALUE"""),43927.0)</f>
        <v>43927</v>
      </c>
      <c r="I384" s="92">
        <f>IFERROR(__xludf.DUMMYFUNCTION("""COMPUTED_VALUE"""),100.0)</f>
        <v>100</v>
      </c>
      <c r="J384" s="74" t="str">
        <f>IFERROR(__xludf.DUMMYFUNCTION("""COMPUTED_VALUE"""),"Lisa Mazzola")</f>
        <v>Lisa Mazzola</v>
      </c>
      <c r="K384" s="80" t="str">
        <f>IFERROR(__xludf.DUMMYFUNCTION("""COMPUTED_VALUE"""),"https://drive.google.com/open?id=1GZ6HmXd0Z96Lgo4uEZ3qL3WT5kxQ6Pde")</f>
        <v>https://drive.google.com/open?id=1GZ6HmXd0Z96Lgo4uEZ3qL3WT5kxQ6Pde</v>
      </c>
      <c r="L384" s="74" t="str">
        <f>IFERROR(__xludf.DUMMYFUNCTION("""COMPUTED_VALUE"""),"2018-2022")</f>
        <v>2018-2022</v>
      </c>
      <c r="M384" s="74" t="str">
        <f>IFERROR(__xludf.DUMMYFUNCTION("""COMPUTED_VALUE"""),"S4: Student Certifications")</f>
        <v>S4: Student Certifications</v>
      </c>
      <c r="N384" s="74" t="str">
        <f>IFERROR(__xludf.DUMMYFUNCTION("""COMPUTED_VALUE"""),"pithanikarunasri2001@gmail.com")</f>
        <v>pithanikarunasri2001@gmail.com</v>
      </c>
      <c r="O384" s="74" t="str">
        <f>IFERROR(__xludf.DUMMYFUNCTION("""COMPUTED_VALUE"""),"SEM-8")</f>
        <v>SEM-8</v>
      </c>
      <c r="P384" s="74"/>
      <c r="Q384" s="74"/>
      <c r="R384" s="74"/>
      <c r="S384" s="74"/>
      <c r="T384" s="74"/>
      <c r="U384" s="74"/>
      <c r="V384" s="74"/>
      <c r="W384" s="74"/>
      <c r="X384" s="74"/>
      <c r="Y384" s="74"/>
    </row>
    <row r="385" ht="26.25" customHeight="1">
      <c r="A385" s="74" t="str">
        <f>IFERROR(__xludf.DUMMYFUNCTION("""COMPUTED_VALUE"""),"KARUNA SRI PITHANI")</f>
        <v>KARUNA SRI PITHANI</v>
      </c>
      <c r="B385" s="74" t="str">
        <f>IFERROR(__xludf.DUMMYFUNCTION("""COMPUTED_VALUE"""),"18331A0572")</f>
        <v>18331A0572</v>
      </c>
      <c r="C385" s="90" t="str">
        <f>IFERROR(__xludf.DUMMYFUNCTION("""COMPUTED_VALUE"""),"Introduction to Philosophy")</f>
        <v>Introduction to Philosophy</v>
      </c>
      <c r="D385" s="74" t="str">
        <f>IFERROR(__xludf.DUMMYFUNCTION("""COMPUTED_VALUE"""),"coursera")</f>
        <v>coursera</v>
      </c>
      <c r="E385" s="74" t="str">
        <f>IFERROR(__xludf.DUMMYFUNCTION("""COMPUTED_VALUE"""),"1 month")</f>
        <v>1 month</v>
      </c>
      <c r="F385" s="91">
        <f>IFERROR(__xludf.DUMMYFUNCTION("""COMPUTED_VALUE"""),43989.0)</f>
        <v>43989</v>
      </c>
      <c r="G385" s="91">
        <f>IFERROR(__xludf.DUMMYFUNCTION("""COMPUTED_VALUE"""),44025.0)</f>
        <v>44025</v>
      </c>
      <c r="H385" s="79">
        <f>IFERROR(__xludf.DUMMYFUNCTION("""COMPUTED_VALUE"""),44021.0)</f>
        <v>44021</v>
      </c>
      <c r="I385" s="92">
        <f>IFERROR(__xludf.DUMMYFUNCTION("""COMPUTED_VALUE"""),100.0)</f>
        <v>100</v>
      </c>
      <c r="J385" s="74" t="str">
        <f>IFERROR(__xludf.DUMMYFUNCTION("""COMPUTED_VALUE"""),"Dave Ward")</f>
        <v>Dave Ward</v>
      </c>
      <c r="K385" s="80" t="str">
        <f>IFERROR(__xludf.DUMMYFUNCTION("""COMPUTED_VALUE"""),"https://drive.google.com/open?id=15zLmiPTwGlB263x4Rbuxp5ft-FbLEaKg")</f>
        <v>https://drive.google.com/open?id=15zLmiPTwGlB263x4Rbuxp5ft-FbLEaKg</v>
      </c>
      <c r="L385" s="74" t="str">
        <f>IFERROR(__xludf.DUMMYFUNCTION("""COMPUTED_VALUE"""),"2018-2022")</f>
        <v>2018-2022</v>
      </c>
      <c r="M385" s="74" t="str">
        <f>IFERROR(__xludf.DUMMYFUNCTION("""COMPUTED_VALUE"""),"S4: Student Certifications")</f>
        <v>S4: Student Certifications</v>
      </c>
      <c r="N385" s="74" t="str">
        <f>IFERROR(__xludf.DUMMYFUNCTION("""COMPUTED_VALUE"""),"pithanikarunasri2001@gmail.com")</f>
        <v>pithanikarunasri2001@gmail.com</v>
      </c>
      <c r="O385" s="74" t="str">
        <f>IFERROR(__xludf.DUMMYFUNCTION("""COMPUTED_VALUE"""),"SEM-8")</f>
        <v>SEM-8</v>
      </c>
      <c r="P385" s="74"/>
      <c r="Q385" s="74"/>
      <c r="R385" s="74"/>
      <c r="S385" s="74"/>
      <c r="T385" s="74"/>
      <c r="U385" s="74"/>
      <c r="V385" s="74"/>
      <c r="W385" s="74"/>
      <c r="X385" s="74"/>
      <c r="Y385" s="74"/>
    </row>
    <row r="386" ht="26.25" customHeight="1">
      <c r="A386" s="74" t="str">
        <f>IFERROR(__xludf.DUMMYFUNCTION("""COMPUTED_VALUE"""),"KARUNA SRI PITHANI")</f>
        <v>KARUNA SRI PITHANI</v>
      </c>
      <c r="B386" s="74" t="str">
        <f>IFERROR(__xludf.DUMMYFUNCTION("""COMPUTED_VALUE"""),"18331A0572")</f>
        <v>18331A0572</v>
      </c>
      <c r="C386" s="90" t="str">
        <f>IFERROR(__xludf.DUMMYFUNCTION("""COMPUTED_VALUE"""),"Influencing People")</f>
        <v>Influencing People</v>
      </c>
      <c r="D386" s="74" t="str">
        <f>IFERROR(__xludf.DUMMYFUNCTION("""COMPUTED_VALUE"""),"coursera")</f>
        <v>coursera</v>
      </c>
      <c r="E386" s="74" t="str">
        <f>IFERROR(__xludf.DUMMYFUNCTION("""COMPUTED_VALUE"""),"1 month")</f>
        <v>1 month</v>
      </c>
      <c r="F386" s="91">
        <f>IFERROR(__xludf.DUMMYFUNCTION("""COMPUTED_VALUE"""),43988.0)</f>
        <v>43988</v>
      </c>
      <c r="G386" s="91">
        <f>IFERROR(__xludf.DUMMYFUNCTION("""COMPUTED_VALUE"""),44018.0)</f>
        <v>44018</v>
      </c>
      <c r="H386" s="79">
        <f>IFERROR(__xludf.DUMMYFUNCTION("""COMPUTED_VALUE"""),44016.0)</f>
        <v>44016</v>
      </c>
      <c r="I386" s="92">
        <f>IFERROR(__xludf.DUMMYFUNCTION("""COMPUTED_VALUE"""),100.0)</f>
        <v>100</v>
      </c>
      <c r="J386" s="74" t="str">
        <f>IFERROR(__xludf.DUMMYFUNCTION("""COMPUTED_VALUE"""),"Scott DeRue")</f>
        <v>Scott DeRue</v>
      </c>
      <c r="K386" s="80" t="str">
        <f>IFERROR(__xludf.DUMMYFUNCTION("""COMPUTED_VALUE"""),"https://drive.google.com/open?id=1lDoQoKhSD4BIbKrcvBDXhksloXGEnkvG")</f>
        <v>https://drive.google.com/open?id=1lDoQoKhSD4BIbKrcvBDXhksloXGEnkvG</v>
      </c>
      <c r="L386" s="74" t="str">
        <f>IFERROR(__xludf.DUMMYFUNCTION("""COMPUTED_VALUE"""),"2018-2022")</f>
        <v>2018-2022</v>
      </c>
      <c r="M386" s="74" t="str">
        <f>IFERROR(__xludf.DUMMYFUNCTION("""COMPUTED_VALUE"""),"S4: Student Certifications")</f>
        <v>S4: Student Certifications</v>
      </c>
      <c r="N386" s="74" t="str">
        <f>IFERROR(__xludf.DUMMYFUNCTION("""COMPUTED_VALUE"""),"pithanikarunasri2001@gmail.com")</f>
        <v>pithanikarunasri2001@gmail.com</v>
      </c>
      <c r="O386" s="74" t="str">
        <f>IFERROR(__xludf.DUMMYFUNCTION("""COMPUTED_VALUE"""),"SEM-8")</f>
        <v>SEM-8</v>
      </c>
      <c r="P386" s="74"/>
      <c r="Q386" s="74"/>
      <c r="R386" s="74"/>
      <c r="S386" s="74"/>
      <c r="T386" s="74"/>
      <c r="U386" s="74"/>
      <c r="V386" s="74"/>
      <c r="W386" s="74"/>
      <c r="X386" s="74"/>
      <c r="Y386" s="74"/>
    </row>
    <row r="387" ht="26.25" customHeight="1">
      <c r="A387" s="74" t="str">
        <f>IFERROR(__xludf.DUMMYFUNCTION("""COMPUTED_VALUE"""),"KARUNA SRI PITHANI")</f>
        <v>KARUNA SRI PITHANI</v>
      </c>
      <c r="B387" s="74" t="str">
        <f>IFERROR(__xludf.DUMMYFUNCTION("""COMPUTED_VALUE"""),"18331A0572")</f>
        <v>18331A0572</v>
      </c>
      <c r="C387" s="90" t="str">
        <f>IFERROR(__xludf.DUMMYFUNCTION("""COMPUTED_VALUE"""),"Anatomy: Musculoskeletal and Integumentary Systems")</f>
        <v>Anatomy: Musculoskeletal and Integumentary Systems</v>
      </c>
      <c r="D387" s="74" t="str">
        <f>IFERROR(__xludf.DUMMYFUNCTION("""COMPUTED_VALUE"""),"coursera")</f>
        <v>coursera</v>
      </c>
      <c r="E387" s="74" t="str">
        <f>IFERROR(__xludf.DUMMYFUNCTION("""COMPUTED_VALUE"""),"1 month")</f>
        <v>1 month</v>
      </c>
      <c r="F387" s="91">
        <f>IFERROR(__xludf.DUMMYFUNCTION("""COMPUTED_VALUE"""),43960.0)</f>
        <v>43960</v>
      </c>
      <c r="G387" s="91">
        <f>IFERROR(__xludf.DUMMYFUNCTION("""COMPUTED_VALUE"""),44011.0)</f>
        <v>44011</v>
      </c>
      <c r="H387" s="79">
        <f>IFERROR(__xludf.DUMMYFUNCTION("""COMPUTED_VALUE"""),44006.0)</f>
        <v>44006</v>
      </c>
      <c r="I387" s="92">
        <f>IFERROR(__xludf.DUMMYFUNCTION("""COMPUTED_VALUE"""),100.0)</f>
        <v>100</v>
      </c>
      <c r="J387" s="74" t="str">
        <f>IFERROR(__xludf.DUMMYFUNCTION("""COMPUTED_VALUE"""),"Kathleen Alsup")</f>
        <v>Kathleen Alsup</v>
      </c>
      <c r="K387" s="80" t="str">
        <f>IFERROR(__xludf.DUMMYFUNCTION("""COMPUTED_VALUE"""),"https://drive.google.com/open?id=1idI9O8jYBlqxO8yVanfpu18hvzSMfcj_")</f>
        <v>https://drive.google.com/open?id=1idI9O8jYBlqxO8yVanfpu18hvzSMfcj_</v>
      </c>
      <c r="L387" s="74" t="str">
        <f>IFERROR(__xludf.DUMMYFUNCTION("""COMPUTED_VALUE"""),"2018-2022")</f>
        <v>2018-2022</v>
      </c>
      <c r="M387" s="74" t="str">
        <f>IFERROR(__xludf.DUMMYFUNCTION("""COMPUTED_VALUE"""),"S4: Student Certifications")</f>
        <v>S4: Student Certifications</v>
      </c>
      <c r="N387" s="74" t="str">
        <f>IFERROR(__xludf.DUMMYFUNCTION("""COMPUTED_VALUE"""),"pithanikarunasri2001@gmail.com")</f>
        <v>pithanikarunasri2001@gmail.com</v>
      </c>
      <c r="O387" s="74" t="str">
        <f>IFERROR(__xludf.DUMMYFUNCTION("""COMPUTED_VALUE"""),"SEM-8")</f>
        <v>SEM-8</v>
      </c>
      <c r="P387" s="74"/>
      <c r="Q387" s="74"/>
      <c r="R387" s="74"/>
      <c r="S387" s="74"/>
      <c r="T387" s="74"/>
      <c r="U387" s="74"/>
      <c r="V387" s="74"/>
      <c r="W387" s="74"/>
      <c r="X387" s="74"/>
      <c r="Y387" s="74"/>
    </row>
    <row r="388" ht="26.25" customHeight="1">
      <c r="A388" s="74" t="str">
        <f>IFERROR(__xludf.DUMMYFUNCTION("""COMPUTED_VALUE"""),"KARUNA SRI PITHANI")</f>
        <v>KARUNA SRI PITHANI</v>
      </c>
      <c r="B388" s="74" t="str">
        <f>IFERROR(__xludf.DUMMYFUNCTION("""COMPUTED_VALUE"""),"18331A0572")</f>
        <v>18331A0572</v>
      </c>
      <c r="C388" s="90" t="str">
        <f>IFERROR(__xludf.DUMMYFUNCTION("""COMPUTED_VALUE"""),"AI For Everyone")</f>
        <v>AI For Everyone</v>
      </c>
      <c r="D388" s="74" t="str">
        <f>IFERROR(__xludf.DUMMYFUNCTION("""COMPUTED_VALUE"""),"coursera")</f>
        <v>coursera</v>
      </c>
      <c r="E388" s="74" t="str">
        <f>IFERROR(__xludf.DUMMYFUNCTION("""COMPUTED_VALUE"""),"1 month")</f>
        <v>1 month</v>
      </c>
      <c r="F388" s="91">
        <f>IFERROR(__xludf.DUMMYFUNCTION("""COMPUTED_VALUE"""),43925.0)</f>
        <v>43925</v>
      </c>
      <c r="G388" s="91">
        <f>IFERROR(__xludf.DUMMYFUNCTION("""COMPUTED_VALUE"""),43968.0)</f>
        <v>43968</v>
      </c>
      <c r="H388" s="79">
        <f>IFERROR(__xludf.DUMMYFUNCTION("""COMPUTED_VALUE"""),43960.0)</f>
        <v>43960</v>
      </c>
      <c r="I388" s="92">
        <f>IFERROR(__xludf.DUMMYFUNCTION("""COMPUTED_VALUE"""),100.0)</f>
        <v>100</v>
      </c>
      <c r="J388" s="74" t="str">
        <f>IFERROR(__xludf.DUMMYFUNCTION("""COMPUTED_VALUE"""),"Adjunct Professor Andrew Ng")</f>
        <v>Adjunct Professor Andrew Ng</v>
      </c>
      <c r="K388" s="80" t="str">
        <f>IFERROR(__xludf.DUMMYFUNCTION("""COMPUTED_VALUE"""),"https://drive.google.com/open?id=1YXipXLsc-4Z-v_4cuaF6acWtj_t6PegX")</f>
        <v>https://drive.google.com/open?id=1YXipXLsc-4Z-v_4cuaF6acWtj_t6PegX</v>
      </c>
      <c r="L388" s="74" t="str">
        <f>IFERROR(__xludf.DUMMYFUNCTION("""COMPUTED_VALUE"""),"2018-2022")</f>
        <v>2018-2022</v>
      </c>
      <c r="M388" s="74" t="str">
        <f>IFERROR(__xludf.DUMMYFUNCTION("""COMPUTED_VALUE"""),"S4: Student Certifications")</f>
        <v>S4: Student Certifications</v>
      </c>
      <c r="N388" s="74" t="str">
        <f>IFERROR(__xludf.DUMMYFUNCTION("""COMPUTED_VALUE"""),"pithanikarunasri2001@gmail.com")</f>
        <v>pithanikarunasri2001@gmail.com</v>
      </c>
      <c r="O388" s="74" t="str">
        <f>IFERROR(__xludf.DUMMYFUNCTION("""COMPUTED_VALUE"""),"SEM-8")</f>
        <v>SEM-8</v>
      </c>
      <c r="P388" s="74"/>
      <c r="Q388" s="74"/>
      <c r="R388" s="74"/>
      <c r="S388" s="74"/>
      <c r="T388" s="74"/>
      <c r="U388" s="74"/>
      <c r="V388" s="74"/>
      <c r="W388" s="74"/>
      <c r="X388" s="74"/>
      <c r="Y388" s="74"/>
    </row>
    <row r="389" ht="26.25" customHeight="1">
      <c r="A389" s="74" t="str">
        <f>IFERROR(__xludf.DUMMYFUNCTION("""COMPUTED_VALUE"""),"KARUNA SRI PITHANI")</f>
        <v>KARUNA SRI PITHANI</v>
      </c>
      <c r="B389" s="74" t="str">
        <f>IFERROR(__xludf.DUMMYFUNCTION("""COMPUTED_VALUE"""),"18331A0572")</f>
        <v>18331A0572</v>
      </c>
      <c r="C389" s="90" t="str">
        <f>IFERROR(__xludf.DUMMYFUNCTION("""COMPUTED_VALUE"""),"The Women Rock-IT Program")</f>
        <v>The Women Rock-IT Program</v>
      </c>
      <c r="D389" s="74" t="str">
        <f>IFERROR(__xludf.DUMMYFUNCTION("""COMPUTED_VALUE"""),"Cisco Networking Academy")</f>
        <v>Cisco Networking Academy</v>
      </c>
      <c r="E389" s="74" t="str">
        <f>IFERROR(__xludf.DUMMYFUNCTION("""COMPUTED_VALUE"""),"1 hr")</f>
        <v>1 hr</v>
      </c>
      <c r="F389" s="91">
        <f>IFERROR(__xludf.DUMMYFUNCTION("""COMPUTED_VALUE"""),44469.0)</f>
        <v>44469</v>
      </c>
      <c r="G389" s="91">
        <f>IFERROR(__xludf.DUMMYFUNCTION("""COMPUTED_VALUE"""),44469.0)</f>
        <v>44469</v>
      </c>
      <c r="H389" s="79">
        <f>IFERROR(__xludf.DUMMYFUNCTION("""COMPUTED_VALUE"""),44469.0)</f>
        <v>44469</v>
      </c>
      <c r="I389" s="92">
        <f>IFERROR(__xludf.DUMMYFUNCTION("""COMPUTED_VALUE"""),100.0)</f>
        <v>100</v>
      </c>
      <c r="J389" s="74" t="str">
        <f>IFERROR(__xludf.DUMMYFUNCTION("""COMPUTED_VALUE"""),"Emma Reid")</f>
        <v>Emma Reid</v>
      </c>
      <c r="K389" s="80" t="str">
        <f>IFERROR(__xludf.DUMMYFUNCTION("""COMPUTED_VALUE"""),"https://drive.google.com/open?id=12vI9Z20YOFsMeRIFDcYp1nDbnAFwzEYW")</f>
        <v>https://drive.google.com/open?id=12vI9Z20YOFsMeRIFDcYp1nDbnAFwzEYW</v>
      </c>
      <c r="L389" s="74" t="str">
        <f>IFERROR(__xludf.DUMMYFUNCTION("""COMPUTED_VALUE"""),"2018-2022")</f>
        <v>2018-2022</v>
      </c>
      <c r="M389" s="74" t="str">
        <f>IFERROR(__xludf.DUMMYFUNCTION("""COMPUTED_VALUE"""),"S4: Student Certifications")</f>
        <v>S4: Student Certifications</v>
      </c>
      <c r="N389" s="74" t="str">
        <f>IFERROR(__xludf.DUMMYFUNCTION("""COMPUTED_VALUE"""),"pithanikarunasri2001@gmail.com")</f>
        <v>pithanikarunasri2001@gmail.com</v>
      </c>
      <c r="O389" s="74" t="str">
        <f>IFERROR(__xludf.DUMMYFUNCTION("""COMPUTED_VALUE"""),"SEM-8")</f>
        <v>SEM-8</v>
      </c>
      <c r="P389" s="74"/>
      <c r="Q389" s="74"/>
      <c r="R389" s="74"/>
      <c r="S389" s="74"/>
      <c r="T389" s="74"/>
      <c r="U389" s="74"/>
      <c r="V389" s="74"/>
      <c r="W389" s="74"/>
      <c r="X389" s="74"/>
      <c r="Y389" s="74"/>
    </row>
    <row r="390" ht="26.25" customHeight="1">
      <c r="A390" s="74" t="str">
        <f>IFERROR(__xludf.DUMMYFUNCTION("""COMPUTED_VALUE"""),"KARUNA SRI PITHANI")</f>
        <v>KARUNA SRI PITHANI</v>
      </c>
      <c r="B390" s="74" t="str">
        <f>IFERROR(__xludf.DUMMYFUNCTION("""COMPUTED_VALUE"""),"18331A0572")</f>
        <v>18331A0572</v>
      </c>
      <c r="C390" s="90" t="str">
        <f>IFERROR(__xludf.DUMMYFUNCTION("""COMPUTED_VALUE"""),"Red Hat System Administration I (RH124)")</f>
        <v>Red Hat System Administration I (RH124)</v>
      </c>
      <c r="D390" s="74" t="str">
        <f>IFERROR(__xludf.DUMMYFUNCTION("""COMPUTED_VALUE"""),"Red Hat Academy")</f>
        <v>Red Hat Academy</v>
      </c>
      <c r="E390" s="74" t="str">
        <f>IFERROR(__xludf.DUMMYFUNCTION("""COMPUTED_VALUE"""),"1 month")</f>
        <v>1 month</v>
      </c>
      <c r="F390" s="91">
        <f>IFERROR(__xludf.DUMMYFUNCTION("""COMPUTED_VALUE"""),44629.0)</f>
        <v>44629</v>
      </c>
      <c r="G390" s="91">
        <f>IFERROR(__xludf.DUMMYFUNCTION("""COMPUTED_VALUE"""),44658.0)</f>
        <v>44658</v>
      </c>
      <c r="H390" s="79">
        <f>IFERROR(__xludf.DUMMYFUNCTION("""COMPUTED_VALUE"""),44657.0)</f>
        <v>44657</v>
      </c>
      <c r="I390" s="92">
        <f>IFERROR(__xludf.DUMMYFUNCTION("""COMPUTED_VALUE"""),100.0)</f>
        <v>100</v>
      </c>
      <c r="J390" s="74" t="str">
        <f>IFERROR(__xludf.DUMMYFUNCTION("""COMPUTED_VALUE"""),"K.V. Subba Raju")</f>
        <v>K.V. Subba Raju</v>
      </c>
      <c r="K390" s="80" t="str">
        <f>IFERROR(__xludf.DUMMYFUNCTION("""COMPUTED_VALUE"""),"https://drive.google.com/open?id=1uYuYXkdEWryncIHec1p4qelhklqO9KIq")</f>
        <v>https://drive.google.com/open?id=1uYuYXkdEWryncIHec1p4qelhklqO9KIq</v>
      </c>
      <c r="L390" s="74" t="str">
        <f>IFERROR(__xludf.DUMMYFUNCTION("""COMPUTED_VALUE"""),"2018-2022")</f>
        <v>2018-2022</v>
      </c>
      <c r="M390" s="74" t="str">
        <f>IFERROR(__xludf.DUMMYFUNCTION("""COMPUTED_VALUE"""),"S4: Student Certifications")</f>
        <v>S4: Student Certifications</v>
      </c>
      <c r="N390" s="74" t="str">
        <f>IFERROR(__xludf.DUMMYFUNCTION("""COMPUTED_VALUE"""),"pithanikarunasri2001@gmail.com")</f>
        <v>pithanikarunasri2001@gmail.com</v>
      </c>
      <c r="O390" s="74" t="str">
        <f>IFERROR(__xludf.DUMMYFUNCTION("""COMPUTED_VALUE"""),"SEM-8")</f>
        <v>SEM-8</v>
      </c>
      <c r="P390" s="74"/>
      <c r="Q390" s="74"/>
      <c r="R390" s="74"/>
      <c r="S390" s="74"/>
      <c r="T390" s="74"/>
      <c r="U390" s="74"/>
      <c r="V390" s="74"/>
      <c r="W390" s="74"/>
      <c r="X390" s="74"/>
      <c r="Y390" s="74"/>
    </row>
    <row r="391" ht="26.25" customHeight="1">
      <c r="A391" s="78" t="str">
        <f>IFERROR(__xludf.DUMMYFUNCTION("""COMPUTED_VALUE"""),"KARUNA SRI PITHANI")</f>
        <v>KARUNA SRI PITHANI</v>
      </c>
      <c r="B391" s="78" t="str">
        <f>IFERROR(__xludf.DUMMYFUNCTION("""COMPUTED_VALUE"""),"18331A0572")</f>
        <v>18331A0572</v>
      </c>
      <c r="C391" s="93" t="str">
        <f>IFERROR(__xludf.DUMMYFUNCTION("""COMPUTED_VALUE"""),"IP Awareness/Training program")</f>
        <v>IP Awareness/Training program</v>
      </c>
      <c r="D391" s="78" t="str">
        <f>IFERROR(__xludf.DUMMYFUNCTION("""COMPUTED_VALUE"""),"National Intellectual Property Awareness Mission")</f>
        <v>National Intellectual Property Awareness Mission</v>
      </c>
      <c r="E391" s="78" t="str">
        <f>IFERROR(__xludf.DUMMYFUNCTION("""COMPUTED_VALUE"""),"1hr")</f>
        <v>1hr</v>
      </c>
      <c r="F391" s="94">
        <f>IFERROR(__xludf.DUMMYFUNCTION("""COMPUTED_VALUE"""),44572.0)</f>
        <v>44572</v>
      </c>
      <c r="G391" s="94">
        <f>IFERROR(__xludf.DUMMYFUNCTION("""COMPUTED_VALUE"""),44572.0)</f>
        <v>44572</v>
      </c>
      <c r="H391" s="84">
        <f>IFERROR(__xludf.DUMMYFUNCTION("""COMPUTED_VALUE"""),44572.0)</f>
        <v>44572</v>
      </c>
      <c r="I391" s="95">
        <f>IFERROR(__xludf.DUMMYFUNCTION("""COMPUTED_VALUE"""),100.0)</f>
        <v>100</v>
      </c>
      <c r="J391" s="78" t="str">
        <f>IFERROR(__xludf.DUMMYFUNCTION("""COMPUTED_VALUE"""),"Kalyan Chakravarthi")</f>
        <v>Kalyan Chakravarthi</v>
      </c>
      <c r="K391" s="85" t="str">
        <f>IFERROR(__xludf.DUMMYFUNCTION("""COMPUTED_VALUE"""),"https://drive.google.com/open?id=1WKQ6Zat4I6cv91_KTvrVBOEV6xr2MpY5")</f>
        <v>https://drive.google.com/open?id=1WKQ6Zat4I6cv91_KTvrVBOEV6xr2MpY5</v>
      </c>
      <c r="L391" s="78" t="str">
        <f>IFERROR(__xludf.DUMMYFUNCTION("""COMPUTED_VALUE"""),"2018-2022")</f>
        <v>2018-2022</v>
      </c>
      <c r="M391" s="78" t="str">
        <f>IFERROR(__xludf.DUMMYFUNCTION("""COMPUTED_VALUE"""),"S4: Student Certifications")</f>
        <v>S4: Student Certifications</v>
      </c>
      <c r="N391" s="78" t="str">
        <f>IFERROR(__xludf.DUMMYFUNCTION("""COMPUTED_VALUE"""),"pithanikarunasri2001@gmail.com")</f>
        <v>pithanikarunasri2001@gmail.com</v>
      </c>
      <c r="O391" s="78" t="str">
        <f>IFERROR(__xludf.DUMMYFUNCTION("""COMPUTED_VALUE"""),"SEM-8")</f>
        <v>SEM-8</v>
      </c>
      <c r="P391" s="78"/>
      <c r="Q391" s="78"/>
      <c r="R391" s="78"/>
      <c r="S391" s="78"/>
      <c r="T391" s="78"/>
      <c r="U391" s="78"/>
      <c r="V391" s="78"/>
      <c r="W391" s="78"/>
      <c r="X391" s="78"/>
      <c r="Y391" s="78"/>
    </row>
    <row r="392" ht="26.25" customHeight="1">
      <c r="A392" s="74" t="str">
        <f>IFERROR(__xludf.DUMMYFUNCTION("""COMPUTED_VALUE"""),"Kasi Suresh")</f>
        <v>Kasi Suresh</v>
      </c>
      <c r="B392" s="74" t="str">
        <f>IFERROR(__xludf.DUMMYFUNCTION("""COMPUTED_VALUE"""),"18331A0573")</f>
        <v>18331A0573</v>
      </c>
      <c r="C392" s="90" t="str">
        <f>IFERROR(__xludf.DUMMYFUNCTION("""COMPUTED_VALUE"""),"Crash course on python")</f>
        <v>Crash course on python</v>
      </c>
      <c r="D392" s="74" t="str">
        <f>IFERROR(__xludf.DUMMYFUNCTION("""COMPUTED_VALUE"""),"Coursera")</f>
        <v>Coursera</v>
      </c>
      <c r="E392" s="74" t="str">
        <f>IFERROR(__xludf.DUMMYFUNCTION("""COMPUTED_VALUE"""),"2 months")</f>
        <v>2 months</v>
      </c>
      <c r="F392" s="91">
        <f>IFERROR(__xludf.DUMMYFUNCTION("""COMPUTED_VALUE"""),44228.0)</f>
        <v>44228</v>
      </c>
      <c r="G392" s="91">
        <f>IFERROR(__xludf.DUMMYFUNCTION("""COMPUTED_VALUE"""),44286.0)</f>
        <v>44286</v>
      </c>
      <c r="H392" s="79">
        <f>IFERROR(__xludf.DUMMYFUNCTION("""COMPUTED_VALUE"""),44651.0)</f>
        <v>44651</v>
      </c>
      <c r="I392" s="92">
        <f>IFERROR(__xludf.DUMMYFUNCTION("""COMPUTED_VALUE"""),90.0)</f>
        <v>90</v>
      </c>
      <c r="J392" s="74" t="str">
        <f>IFERROR(__xludf.DUMMYFUNCTION("""COMPUTED_VALUE"""),"None")</f>
        <v>None</v>
      </c>
      <c r="K392" s="80" t="str">
        <f>IFERROR(__xludf.DUMMYFUNCTION("""COMPUTED_VALUE"""),"https://drive.google.com/open?id=1LlmpZ_qnGbwpVaiBXux7TglB4Rh5Ters")</f>
        <v>https://drive.google.com/open?id=1LlmpZ_qnGbwpVaiBXux7TglB4Rh5Ters</v>
      </c>
      <c r="L392" s="74" t="str">
        <f>IFERROR(__xludf.DUMMYFUNCTION("""COMPUTED_VALUE"""),"2018-2022")</f>
        <v>2018-2022</v>
      </c>
      <c r="M392" s="74" t="str">
        <f>IFERROR(__xludf.DUMMYFUNCTION("""COMPUTED_VALUE"""),"S4: Student Certifications")</f>
        <v>S4: Student Certifications</v>
      </c>
      <c r="N392" s="74" t="str">
        <f>IFERROR(__xludf.DUMMYFUNCTION("""COMPUTED_VALUE"""),"sureshkasi06@gmail.com")</f>
        <v>sureshkasi06@gmail.com</v>
      </c>
      <c r="O392" s="74" t="str">
        <f>IFERROR(__xludf.DUMMYFUNCTION("""COMPUTED_VALUE"""),"SEM-8")</f>
        <v>SEM-8</v>
      </c>
      <c r="P392" s="74"/>
      <c r="Q392" s="74"/>
      <c r="R392" s="74"/>
      <c r="S392" s="74"/>
      <c r="T392" s="74"/>
      <c r="U392" s="74"/>
      <c r="V392" s="74"/>
      <c r="W392" s="74"/>
      <c r="X392" s="74"/>
      <c r="Y392" s="74"/>
    </row>
    <row r="393" ht="26.25" customHeight="1">
      <c r="A393" s="74" t="str">
        <f>IFERROR(__xludf.DUMMYFUNCTION("""COMPUTED_VALUE"""),"Kasi Suresh")</f>
        <v>Kasi Suresh</v>
      </c>
      <c r="B393" s="74" t="str">
        <f>IFERROR(__xludf.DUMMYFUNCTION("""COMPUTED_VALUE"""),"18331A0573")</f>
        <v>18331A0573</v>
      </c>
      <c r="C393" s="90" t="str">
        <f>IFERROR(__xludf.DUMMYFUNCTION("""COMPUTED_VALUE"""),"Cisco Cybersecurity essentials")</f>
        <v>Cisco Cybersecurity essentials</v>
      </c>
      <c r="D393" s="74" t="str">
        <f>IFERROR(__xludf.DUMMYFUNCTION("""COMPUTED_VALUE"""),"Cisco")</f>
        <v>Cisco</v>
      </c>
      <c r="E393" s="74" t="str">
        <f>IFERROR(__xludf.DUMMYFUNCTION("""COMPUTED_VALUE"""),"2months")</f>
        <v>2months</v>
      </c>
      <c r="F393" s="91">
        <f>IFERROR(__xludf.DUMMYFUNCTION("""COMPUTED_VALUE"""),43565.0)</f>
        <v>43565</v>
      </c>
      <c r="G393" s="91">
        <f>IFERROR(__xludf.DUMMYFUNCTION("""COMPUTED_VALUE"""),43630.0)</f>
        <v>43630</v>
      </c>
      <c r="H393" s="79">
        <f>IFERROR(__xludf.DUMMYFUNCTION("""COMPUTED_VALUE"""),43665.0)</f>
        <v>43665</v>
      </c>
      <c r="I393" s="92">
        <f>IFERROR(__xludf.DUMMYFUNCTION("""COMPUTED_VALUE"""),90.0)</f>
        <v>90</v>
      </c>
      <c r="J393" s="74" t="str">
        <f>IFERROR(__xludf.DUMMYFUNCTION("""COMPUTED_VALUE"""),"KV SUBBARAJU")</f>
        <v>KV SUBBARAJU</v>
      </c>
      <c r="K393" s="80" t="str">
        <f>IFERROR(__xludf.DUMMYFUNCTION("""COMPUTED_VALUE"""),"https://drive.google.com/open?id=1snsrBX1UnEHDW1ZYLbuttCJHV_PROQ0g")</f>
        <v>https://drive.google.com/open?id=1snsrBX1UnEHDW1ZYLbuttCJHV_PROQ0g</v>
      </c>
      <c r="L393" s="74" t="str">
        <f>IFERROR(__xludf.DUMMYFUNCTION("""COMPUTED_VALUE"""),"2018-2022")</f>
        <v>2018-2022</v>
      </c>
      <c r="M393" s="74" t="str">
        <f>IFERROR(__xludf.DUMMYFUNCTION("""COMPUTED_VALUE"""),"S4: Student Certifications")</f>
        <v>S4: Student Certifications</v>
      </c>
      <c r="N393" s="74" t="str">
        <f>IFERROR(__xludf.DUMMYFUNCTION("""COMPUTED_VALUE"""),"sureshkasi06@gmail.com")</f>
        <v>sureshkasi06@gmail.com</v>
      </c>
      <c r="O393" s="74" t="str">
        <f>IFERROR(__xludf.DUMMYFUNCTION("""COMPUTED_VALUE"""),"SEM-8")</f>
        <v>SEM-8</v>
      </c>
      <c r="P393" s="74"/>
      <c r="Q393" s="74"/>
      <c r="R393" s="74"/>
      <c r="S393" s="74"/>
      <c r="T393" s="74"/>
      <c r="U393" s="74"/>
      <c r="V393" s="74"/>
      <c r="W393" s="74"/>
      <c r="X393" s="74"/>
      <c r="Y393" s="74"/>
    </row>
    <row r="394" ht="26.25" customHeight="1">
      <c r="A394" s="78" t="str">
        <f>IFERROR(__xludf.DUMMYFUNCTION("""COMPUTED_VALUE"""),"Naveen Kumar Penta")</f>
        <v>Naveen Kumar Penta</v>
      </c>
      <c r="B394" s="78" t="str">
        <f>IFERROR(__xludf.DUMMYFUNCTION("""COMPUTED_VALUE"""),"18331A05B7")</f>
        <v>18331A05B7</v>
      </c>
      <c r="C394" s="93" t="str">
        <f>IFERROR(__xludf.DUMMYFUNCTION("""COMPUTED_VALUE"""),"Introduction to programming in C")</f>
        <v>Introduction to programming in C</v>
      </c>
      <c r="D394" s="78" t="str">
        <f>IFERROR(__xludf.DUMMYFUNCTION("""COMPUTED_VALUE"""),"Nptel online certification")</f>
        <v>Nptel online certification</v>
      </c>
      <c r="E394" s="78" t="str">
        <f>IFERROR(__xludf.DUMMYFUNCTION("""COMPUTED_VALUE"""),"8 weeks")</f>
        <v>8 weeks</v>
      </c>
      <c r="F394" s="94">
        <f>IFERROR(__xludf.DUMMYFUNCTION("""COMPUTED_VALUE"""),43292.0)</f>
        <v>43292</v>
      </c>
      <c r="G394" s="94">
        <f>IFERROR(__xludf.DUMMYFUNCTION("""COMPUTED_VALUE"""),43350.0)</f>
        <v>43350</v>
      </c>
      <c r="H394" s="84">
        <f>IFERROR(__xludf.DUMMYFUNCTION("""COMPUTED_VALUE"""),43391.0)</f>
        <v>43391</v>
      </c>
      <c r="I394" s="95">
        <f>IFERROR(__xludf.DUMMYFUNCTION("""COMPUTED_VALUE"""),0.7)</f>
        <v>0.7</v>
      </c>
      <c r="J394" s="78" t="str">
        <f>IFERROR(__xludf.DUMMYFUNCTION("""COMPUTED_VALUE"""),"Subbaraju")</f>
        <v>Subbaraju</v>
      </c>
      <c r="K394" s="85" t="str">
        <f>IFERROR(__xludf.DUMMYFUNCTION("""COMPUTED_VALUE"""),"https://drive.google.com/open?id=1UtdWvpvtlF3ujQ68A99h3BMwzhOk8LTf")</f>
        <v>https://drive.google.com/open?id=1UtdWvpvtlF3ujQ68A99h3BMwzhOk8LTf</v>
      </c>
      <c r="L394" s="78" t="str">
        <f>IFERROR(__xludf.DUMMYFUNCTION("""COMPUTED_VALUE"""),"2018-2022")</f>
        <v>2018-2022</v>
      </c>
      <c r="M394" s="78" t="str">
        <f>IFERROR(__xludf.DUMMYFUNCTION("""COMPUTED_VALUE"""),"S4: Student Certifications")</f>
        <v>S4: Student Certifications</v>
      </c>
      <c r="N394" s="78" t="str">
        <f>IFERROR(__xludf.DUMMYFUNCTION("""COMPUTED_VALUE"""),"naveenkumarpenta15@gmail.com")</f>
        <v>naveenkumarpenta15@gmail.com</v>
      </c>
      <c r="O394" s="78" t="str">
        <f>IFERROR(__xludf.DUMMYFUNCTION("""COMPUTED_VALUE"""),"SEM-1")</f>
        <v>SEM-1</v>
      </c>
      <c r="P394" s="78"/>
      <c r="Q394" s="78"/>
      <c r="R394" s="78"/>
      <c r="S394" s="78"/>
      <c r="T394" s="78"/>
      <c r="U394" s="78"/>
      <c r="V394" s="78"/>
      <c r="W394" s="78"/>
      <c r="X394" s="78"/>
      <c r="Y394" s="78"/>
    </row>
    <row r="395" ht="26.25" customHeight="1">
      <c r="A395" s="74" t="str">
        <f>IFERROR(__xludf.DUMMYFUNCTION("""COMPUTED_VALUE"""),"Naveen Kumar Penta")</f>
        <v>Naveen Kumar Penta</v>
      </c>
      <c r="B395" s="74" t="str">
        <f>IFERROR(__xludf.DUMMYFUNCTION("""COMPUTED_VALUE"""),"18331A05B7")</f>
        <v>18331A05B7</v>
      </c>
      <c r="C395" s="90" t="str">
        <f>IFERROR(__xludf.DUMMYFUNCTION("""COMPUTED_VALUE"""),"Programming essentials in C")</f>
        <v>Programming essentials in C</v>
      </c>
      <c r="D395" s="74" t="str">
        <f>IFERROR(__xludf.DUMMYFUNCTION("""COMPUTED_VALUE"""),"Cisco, CLA")</f>
        <v>Cisco, CLA</v>
      </c>
      <c r="E395" s="74" t="str">
        <f>IFERROR(__xludf.DUMMYFUNCTION("""COMPUTED_VALUE"""),"12weeks")</f>
        <v>12weeks</v>
      </c>
      <c r="F395" s="91">
        <f>IFERROR(__xludf.DUMMYFUNCTION("""COMPUTED_VALUE"""),43526.0)</f>
        <v>43526</v>
      </c>
      <c r="G395" s="91">
        <f>IFERROR(__xludf.DUMMYFUNCTION("""COMPUTED_VALUE"""),43634.0)</f>
        <v>43634</v>
      </c>
      <c r="H395" s="79">
        <f>IFERROR(__xludf.DUMMYFUNCTION("""COMPUTED_VALUE"""),43655.0)</f>
        <v>43655</v>
      </c>
      <c r="I395" s="92"/>
      <c r="J395" s="74" t="str">
        <f>IFERROR(__xludf.DUMMYFUNCTION("""COMPUTED_VALUE"""),"Subbaraju k v")</f>
        <v>Subbaraju k v</v>
      </c>
      <c r="K395" s="80" t="str">
        <f>IFERROR(__xludf.DUMMYFUNCTION("""COMPUTED_VALUE"""),"https://drive.google.com/open?id=1Gwih3gqGq6Q54ZAYZdM5T7GpIxCh4skf")</f>
        <v>https://drive.google.com/open?id=1Gwih3gqGq6Q54ZAYZdM5T7GpIxCh4skf</v>
      </c>
      <c r="L395" s="74" t="str">
        <f>IFERROR(__xludf.DUMMYFUNCTION("""COMPUTED_VALUE"""),"2018-2022")</f>
        <v>2018-2022</v>
      </c>
      <c r="M395" s="74" t="str">
        <f>IFERROR(__xludf.DUMMYFUNCTION("""COMPUTED_VALUE"""),"S4: Student Certifications")</f>
        <v>S4: Student Certifications</v>
      </c>
      <c r="N395" s="74" t="str">
        <f>IFERROR(__xludf.DUMMYFUNCTION("""COMPUTED_VALUE"""),"naveenkumarpenta15@gmail.com")</f>
        <v>naveenkumarpenta15@gmail.com</v>
      </c>
      <c r="O395" s="74" t="str">
        <f>IFERROR(__xludf.DUMMYFUNCTION("""COMPUTED_VALUE"""),"SEM-3")</f>
        <v>SEM-3</v>
      </c>
      <c r="P395" s="74"/>
      <c r="Q395" s="74"/>
      <c r="R395" s="74"/>
      <c r="S395" s="74"/>
      <c r="T395" s="74"/>
      <c r="U395" s="74"/>
      <c r="V395" s="74"/>
      <c r="W395" s="74"/>
      <c r="X395" s="74"/>
      <c r="Y395" s="74"/>
    </row>
    <row r="396" ht="26.25" customHeight="1">
      <c r="A396" s="74" t="str">
        <f>IFERROR(__xludf.DUMMYFUNCTION("""COMPUTED_VALUE"""),"Naveen Kumar Penta")</f>
        <v>Naveen Kumar Penta</v>
      </c>
      <c r="B396" s="74" t="str">
        <f>IFERROR(__xludf.DUMMYFUNCTION("""COMPUTED_VALUE"""),"18331A05B7")</f>
        <v>18331A05B7</v>
      </c>
      <c r="C396" s="90" t="str">
        <f>IFERROR(__xludf.DUMMYFUNCTION("""COMPUTED_VALUE"""),"Cyber security essentials")</f>
        <v>Cyber security essentials</v>
      </c>
      <c r="D396" s="74" t="str">
        <f>IFERROR(__xludf.DUMMYFUNCTION("""COMPUTED_VALUE"""),"Cisco netacad")</f>
        <v>Cisco netacad</v>
      </c>
      <c r="E396" s="74" t="str">
        <f>IFERROR(__xludf.DUMMYFUNCTION("""COMPUTED_VALUE"""),"12weeks")</f>
        <v>12weeks</v>
      </c>
      <c r="F396" s="91">
        <f>IFERROR(__xludf.DUMMYFUNCTION("""COMPUTED_VALUE"""),43529.0)</f>
        <v>43529</v>
      </c>
      <c r="G396" s="91">
        <f>IFERROR(__xludf.DUMMYFUNCTION("""COMPUTED_VALUE"""),43627.0)</f>
        <v>43627</v>
      </c>
      <c r="H396" s="79">
        <f>IFERROR(__xludf.DUMMYFUNCTION("""COMPUTED_VALUE"""),43672.0)</f>
        <v>43672</v>
      </c>
      <c r="I396" s="92"/>
      <c r="J396" s="74" t="str">
        <f>IFERROR(__xludf.DUMMYFUNCTION("""COMPUTED_VALUE"""),"Subbaraju K V")</f>
        <v>Subbaraju K V</v>
      </c>
      <c r="K396" s="80" t="str">
        <f>IFERROR(__xludf.DUMMYFUNCTION("""COMPUTED_VALUE"""),"https://drive.google.com/open?id=18LI4k02AlcJkQR7kYxO2sU6TvLjZRnR2")</f>
        <v>https://drive.google.com/open?id=18LI4k02AlcJkQR7kYxO2sU6TvLjZRnR2</v>
      </c>
      <c r="L396" s="74" t="str">
        <f>IFERROR(__xludf.DUMMYFUNCTION("""COMPUTED_VALUE"""),"2018-2022")</f>
        <v>2018-2022</v>
      </c>
      <c r="M396" s="74" t="str">
        <f>IFERROR(__xludf.DUMMYFUNCTION("""COMPUTED_VALUE"""),"S4: Student Certifications")</f>
        <v>S4: Student Certifications</v>
      </c>
      <c r="N396" s="74" t="str">
        <f>IFERROR(__xludf.DUMMYFUNCTION("""COMPUTED_VALUE"""),"naveenkumarpenta15@gmail.com")</f>
        <v>naveenkumarpenta15@gmail.com</v>
      </c>
      <c r="O396" s="74" t="str">
        <f>IFERROR(__xludf.DUMMYFUNCTION("""COMPUTED_VALUE"""),"SEM-3")</f>
        <v>SEM-3</v>
      </c>
      <c r="P396" s="74"/>
      <c r="Q396" s="74"/>
      <c r="R396" s="74"/>
      <c r="S396" s="74"/>
      <c r="T396" s="74"/>
      <c r="U396" s="74"/>
      <c r="V396" s="74"/>
      <c r="W396" s="74"/>
      <c r="X396" s="74"/>
      <c r="Y396" s="74"/>
    </row>
    <row r="397" ht="26.25" customHeight="1">
      <c r="A397" s="74" t="str">
        <f>IFERROR(__xludf.DUMMYFUNCTION("""COMPUTED_VALUE"""),"Naveen Kumar Penta")</f>
        <v>Naveen Kumar Penta</v>
      </c>
      <c r="B397" s="74" t="str">
        <f>IFERROR(__xludf.DUMMYFUNCTION("""COMPUTED_VALUE"""),"18331A05B7")</f>
        <v>18331A05B7</v>
      </c>
      <c r="C397" s="90" t="str">
        <f>IFERROR(__xludf.DUMMYFUNCTION("""COMPUTED_VALUE"""),"Programming essentials in python")</f>
        <v>Programming essentials in python</v>
      </c>
      <c r="D397" s="74" t="str">
        <f>IFERROR(__xludf.DUMMYFUNCTION("""COMPUTED_VALUE"""),"Cisco Netacad")</f>
        <v>Cisco Netacad</v>
      </c>
      <c r="E397" s="74" t="str">
        <f>IFERROR(__xludf.DUMMYFUNCTION("""COMPUTED_VALUE"""),"10 weeks")</f>
        <v>10 weeks</v>
      </c>
      <c r="F397" s="91">
        <f>IFERROR(__xludf.DUMMYFUNCTION("""COMPUTED_VALUE"""),44259.0)</f>
        <v>44259</v>
      </c>
      <c r="G397" s="91">
        <f>IFERROR(__xludf.DUMMYFUNCTION("""COMPUTED_VALUE"""),44332.0)</f>
        <v>44332</v>
      </c>
      <c r="H397" s="79">
        <f>IFERROR(__xludf.DUMMYFUNCTION("""COMPUTED_VALUE"""),43655.0)</f>
        <v>43655</v>
      </c>
      <c r="I397" s="92"/>
      <c r="J397" s="74" t="str">
        <f>IFERROR(__xludf.DUMMYFUNCTION("""COMPUTED_VALUE"""),"Subbaraju K V")</f>
        <v>Subbaraju K V</v>
      </c>
      <c r="K397" s="80" t="str">
        <f>IFERROR(__xludf.DUMMYFUNCTION("""COMPUTED_VALUE"""),"https://drive.google.com/open?id=1TIANKWZqybsJ4s54dnDKxsWmd6fSGmzv")</f>
        <v>https://drive.google.com/open?id=1TIANKWZqybsJ4s54dnDKxsWmd6fSGmzv</v>
      </c>
      <c r="L397" s="74" t="str">
        <f>IFERROR(__xludf.DUMMYFUNCTION("""COMPUTED_VALUE"""),"2018-2022")</f>
        <v>2018-2022</v>
      </c>
      <c r="M397" s="74" t="str">
        <f>IFERROR(__xludf.DUMMYFUNCTION("""COMPUTED_VALUE"""),"S4: Student Certifications")</f>
        <v>S4: Student Certifications</v>
      </c>
      <c r="N397" s="74" t="str">
        <f>IFERROR(__xludf.DUMMYFUNCTION("""COMPUTED_VALUE"""),"naveenkumarpenta15@gmail.com")</f>
        <v>naveenkumarpenta15@gmail.com</v>
      </c>
      <c r="O397" s="74" t="str">
        <f>IFERROR(__xludf.DUMMYFUNCTION("""COMPUTED_VALUE"""),"SEM-6")</f>
        <v>SEM-6</v>
      </c>
      <c r="P397" s="74"/>
      <c r="Q397" s="74"/>
      <c r="R397" s="74"/>
      <c r="S397" s="74"/>
      <c r="T397" s="74"/>
      <c r="U397" s="74"/>
      <c r="V397" s="74"/>
      <c r="W397" s="74"/>
      <c r="X397" s="74"/>
      <c r="Y397" s="74"/>
    </row>
    <row r="398" ht="26.25" customHeight="1">
      <c r="A398" s="74" t="str">
        <f>IFERROR(__xludf.DUMMYFUNCTION("""COMPUTED_VALUE"""),"chandra sekhar naidu")</f>
        <v>chandra sekhar naidu</v>
      </c>
      <c r="B398" s="74" t="str">
        <f>IFERROR(__xludf.DUMMYFUNCTION("""COMPUTED_VALUE"""),"20331A05A8")</f>
        <v>20331A05A8</v>
      </c>
      <c r="C398" s="90" t="str">
        <f>IFERROR(__xludf.DUMMYFUNCTION("""COMPUTED_VALUE"""),"C programming")</f>
        <v>C programming</v>
      </c>
      <c r="D398" s="74" t="str">
        <f>IFERROR(__xludf.DUMMYFUNCTION("""COMPUTED_VALUE"""),"coursera")</f>
        <v>coursera</v>
      </c>
      <c r="E398" s="74" t="str">
        <f>IFERROR(__xludf.DUMMYFUNCTION("""COMPUTED_VALUE"""),"3 months")</f>
        <v>3 months</v>
      </c>
      <c r="F398" s="91">
        <f>IFERROR(__xludf.DUMMYFUNCTION("""COMPUTED_VALUE"""),44532.0)</f>
        <v>44532</v>
      </c>
      <c r="G398" s="91">
        <f>IFERROR(__xludf.DUMMYFUNCTION("""COMPUTED_VALUE"""),44229.0)</f>
        <v>44229</v>
      </c>
      <c r="H398" s="79">
        <f>IFERROR(__xludf.DUMMYFUNCTION("""COMPUTED_VALUE"""),44228.0)</f>
        <v>44228</v>
      </c>
      <c r="I398" s="92"/>
      <c r="J398" s="74" t="str">
        <f>IFERROR(__xludf.DUMMYFUNCTION("""COMPUTED_VALUE"""),"Professor Ira Pohl, PhD,")</f>
        <v>Professor Ira Pohl, PhD,</v>
      </c>
      <c r="K398" s="80" t="str">
        <f>IFERROR(__xludf.DUMMYFUNCTION("""COMPUTED_VALUE"""),"https://drive.google.com/open?id=19J4nmDFGt6M9WCEJQNAyedpsrJrnPnSO")</f>
        <v>https://drive.google.com/open?id=19J4nmDFGt6M9WCEJQNAyedpsrJrnPnSO</v>
      </c>
      <c r="L398" s="74" t="str">
        <f>IFERROR(__xludf.DUMMYFUNCTION("""COMPUTED_VALUE"""),"2020-2024")</f>
        <v>2020-2024</v>
      </c>
      <c r="M398" s="74" t="str">
        <f>IFERROR(__xludf.DUMMYFUNCTION("""COMPUTED_VALUE"""),"S4: Student Certifications")</f>
        <v>S4: Student Certifications</v>
      </c>
      <c r="N398" s="74" t="str">
        <f>IFERROR(__xludf.DUMMYFUNCTION("""COMPUTED_VALUE"""),"naiduchandrasekhar23@gmail.com")</f>
        <v>naiduchandrasekhar23@gmail.com</v>
      </c>
      <c r="O398" s="74" t="str">
        <f>IFERROR(__xludf.DUMMYFUNCTION("""COMPUTED_VALUE"""),"SEM-4")</f>
        <v>SEM-4</v>
      </c>
      <c r="P398" s="74"/>
      <c r="Q398" s="74"/>
      <c r="R398" s="74"/>
      <c r="S398" s="74"/>
      <c r="T398" s="74"/>
      <c r="U398" s="74"/>
      <c r="V398" s="74"/>
      <c r="W398" s="74"/>
      <c r="X398" s="74"/>
      <c r="Y398" s="74"/>
    </row>
    <row r="399" ht="26.25" customHeight="1">
      <c r="A399" s="74" t="str">
        <f>IFERROR(__xludf.DUMMYFUNCTION("""COMPUTED_VALUE"""),"Savant Venkata Sai Mullapudi")</f>
        <v>Savant Venkata Sai Mullapudi</v>
      </c>
      <c r="B399" s="74" t="str">
        <f>IFERROR(__xludf.DUMMYFUNCTION("""COMPUTED_VALUE"""),"18331A05G7")</f>
        <v>18331A05G7</v>
      </c>
      <c r="C399" s="90" t="str">
        <f>IFERROR(__xludf.DUMMYFUNCTION("""COMPUTED_VALUE"""),"AWS CLOUD FOUNDATIONS")</f>
        <v>AWS CLOUD FOUNDATIONS</v>
      </c>
      <c r="D399" s="74" t="str">
        <f>IFERROR(__xludf.DUMMYFUNCTION("""COMPUTED_VALUE"""),"AICTE")</f>
        <v>AICTE</v>
      </c>
      <c r="E399" s="74" t="str">
        <f>IFERROR(__xludf.DUMMYFUNCTION("""COMPUTED_VALUE"""),"2 months")</f>
        <v>2 months</v>
      </c>
      <c r="F399" s="91">
        <f>IFERROR(__xludf.DUMMYFUNCTION("""COMPUTED_VALUE"""),44510.0)</f>
        <v>44510</v>
      </c>
      <c r="G399" s="91">
        <f>IFERROR(__xludf.DUMMYFUNCTION("""COMPUTED_VALUE"""),44571.0)</f>
        <v>44571</v>
      </c>
      <c r="H399" s="79">
        <f>IFERROR(__xludf.DUMMYFUNCTION("""COMPUTED_VALUE"""),44571.0)</f>
        <v>44571</v>
      </c>
      <c r="I399" s="92"/>
      <c r="J399" s="74" t="str">
        <f>IFERROR(__xludf.DUMMYFUNCTION("""COMPUTED_VALUE"""),"Mr. Ravi Kiran Varma")</f>
        <v>Mr. Ravi Kiran Varma</v>
      </c>
      <c r="K399" s="80" t="str">
        <f>IFERROR(__xludf.DUMMYFUNCTION("""COMPUTED_VALUE"""),"https://drive.google.com/open?id=1ag8xXp9J_hg2avLex4CCudLV_lqvxbz9")</f>
        <v>https://drive.google.com/open?id=1ag8xXp9J_hg2avLex4CCudLV_lqvxbz9</v>
      </c>
      <c r="L399" s="74" t="str">
        <f>IFERROR(__xludf.DUMMYFUNCTION("""COMPUTED_VALUE"""),"2018-2022")</f>
        <v>2018-2022</v>
      </c>
      <c r="M399" s="74" t="str">
        <f>IFERROR(__xludf.DUMMYFUNCTION("""COMPUTED_VALUE"""),"S4: Student Certifications")</f>
        <v>S4: Student Certifications</v>
      </c>
      <c r="N399" s="74" t="str">
        <f>IFERROR(__xludf.DUMMYFUNCTION("""COMPUTED_VALUE"""),"savant.mullapudi@gmail.com")</f>
        <v>savant.mullapudi@gmail.com</v>
      </c>
      <c r="O399" s="74" t="str">
        <f>IFERROR(__xludf.DUMMYFUNCTION("""COMPUTED_VALUE"""),"SEM-8")</f>
        <v>SEM-8</v>
      </c>
      <c r="P399" s="74"/>
      <c r="Q399" s="74"/>
      <c r="R399" s="74"/>
      <c r="S399" s="74"/>
      <c r="T399" s="74"/>
      <c r="U399" s="74"/>
      <c r="V399" s="74"/>
      <c r="W399" s="74"/>
      <c r="X399" s="74"/>
      <c r="Y399" s="74"/>
    </row>
    <row r="400" ht="26.25" customHeight="1">
      <c r="A400" s="78" t="str">
        <f>IFERROR(__xludf.DUMMYFUNCTION("""COMPUTED_VALUE"""),"Savant Venkata Sai Mullapudi")</f>
        <v>Savant Venkata Sai Mullapudi</v>
      </c>
      <c r="B400" s="78" t="str">
        <f>IFERROR(__xludf.DUMMYFUNCTION("""COMPUTED_VALUE"""),"18331A05G7")</f>
        <v>18331A05G7</v>
      </c>
      <c r="C400" s="93" t="str">
        <f>IFERROR(__xludf.DUMMYFUNCTION("""COMPUTED_VALUE"""),"Cisco Certifications")</f>
        <v>Cisco Certifications</v>
      </c>
      <c r="D400" s="78" t="str">
        <f>IFERROR(__xludf.DUMMYFUNCTION("""COMPUTED_VALUE"""),"Cisco Networking Academy")</f>
        <v>Cisco Networking Academy</v>
      </c>
      <c r="E400" s="78" t="str">
        <f>IFERROR(__xludf.DUMMYFUNCTION("""COMPUTED_VALUE"""),"1 month")</f>
        <v>1 month</v>
      </c>
      <c r="F400" s="94">
        <f>IFERROR(__xludf.DUMMYFUNCTION("""COMPUTED_VALUE"""),44075.0)</f>
        <v>44075</v>
      </c>
      <c r="G400" s="94">
        <f>IFERROR(__xludf.DUMMYFUNCTION("""COMPUTED_VALUE"""),44105.0)</f>
        <v>44105</v>
      </c>
      <c r="H400" s="84">
        <f>IFERROR(__xludf.DUMMYFUNCTION("""COMPUTED_VALUE"""),44107.0)</f>
        <v>44107</v>
      </c>
      <c r="I400" s="95">
        <f>IFERROR(__xludf.DUMMYFUNCTION("""COMPUTED_VALUE"""),0.85)</f>
        <v>0.85</v>
      </c>
      <c r="J400" s="78" t="str">
        <f>IFERROR(__xludf.DUMMYFUNCTION("""COMPUTED_VALUE"""),"Mr. Ravi Kiran Varma")</f>
        <v>Mr. Ravi Kiran Varma</v>
      </c>
      <c r="K400" s="85" t="str">
        <f>IFERROR(__xludf.DUMMYFUNCTION("""COMPUTED_VALUE"""),"https://drive.google.com/open?id=1Ajs9l4X8WbxrWo2002eOfyCA9CGdMv9p")</f>
        <v>https://drive.google.com/open?id=1Ajs9l4X8WbxrWo2002eOfyCA9CGdMv9p</v>
      </c>
      <c r="L400" s="78" t="str">
        <f>IFERROR(__xludf.DUMMYFUNCTION("""COMPUTED_VALUE"""),"2018-2022")</f>
        <v>2018-2022</v>
      </c>
      <c r="M400" s="78" t="str">
        <f>IFERROR(__xludf.DUMMYFUNCTION("""COMPUTED_VALUE"""),"S4: Student Certifications")</f>
        <v>S4: Student Certifications</v>
      </c>
      <c r="N400" s="78" t="str">
        <f>IFERROR(__xludf.DUMMYFUNCTION("""COMPUTED_VALUE"""),"savant.mullapudi@gmail.com")</f>
        <v>savant.mullapudi@gmail.com</v>
      </c>
      <c r="O400" s="78" t="str">
        <f>IFERROR(__xludf.DUMMYFUNCTION("""COMPUTED_VALUE"""),"SEM-8")</f>
        <v>SEM-8</v>
      </c>
      <c r="P400" s="78"/>
      <c r="Q400" s="78"/>
      <c r="R400" s="78"/>
      <c r="S400" s="78"/>
      <c r="T400" s="78"/>
      <c r="U400" s="78"/>
      <c r="V400" s="78"/>
      <c r="W400" s="78"/>
      <c r="X400" s="78"/>
      <c r="Y400" s="78"/>
    </row>
    <row r="401" ht="26.25" customHeight="1">
      <c r="A401" s="74" t="str">
        <f>IFERROR(__xludf.DUMMYFUNCTION("""COMPUTED_VALUE"""),"Savant Venkata Sai Mullapudi")</f>
        <v>Savant Venkata Sai Mullapudi</v>
      </c>
      <c r="B401" s="74" t="str">
        <f>IFERROR(__xludf.DUMMYFUNCTION("""COMPUTED_VALUE"""),"18331A05G7")</f>
        <v>18331A05G7</v>
      </c>
      <c r="C401" s="90" t="str">
        <f>IFERROR(__xludf.DUMMYFUNCTION("""COMPUTED_VALUE"""),"Cybersecurity course")</f>
        <v>Cybersecurity course</v>
      </c>
      <c r="D401" s="74" t="str">
        <f>IFERROR(__xludf.DUMMYFUNCTION("""COMPUTED_VALUE"""),"Palo Alto Acdemy")</f>
        <v>Palo Alto Acdemy</v>
      </c>
      <c r="E401" s="74" t="str">
        <f>IFERROR(__xludf.DUMMYFUNCTION("""COMPUTED_VALUE"""),"2 months")</f>
        <v>2 months</v>
      </c>
      <c r="F401" s="91">
        <f>IFERROR(__xludf.DUMMYFUNCTION("""COMPUTED_VALUE"""),44418.0)</f>
        <v>44418</v>
      </c>
      <c r="G401" s="91">
        <f>IFERROR(__xludf.DUMMYFUNCTION("""COMPUTED_VALUE"""),44479.0)</f>
        <v>44479</v>
      </c>
      <c r="H401" s="79">
        <f>IFERROR(__xludf.DUMMYFUNCTION("""COMPUTED_VALUE"""),44479.0)</f>
        <v>44479</v>
      </c>
      <c r="I401" s="92">
        <f>IFERROR(__xludf.DUMMYFUNCTION("""COMPUTED_VALUE"""),0.9)</f>
        <v>0.9</v>
      </c>
      <c r="J401" s="74" t="str">
        <f>IFERROR(__xludf.DUMMYFUNCTION("""COMPUTED_VALUE"""),"Mr. Ravi Kiran Varma")</f>
        <v>Mr. Ravi Kiran Varma</v>
      </c>
      <c r="K401" s="80" t="str">
        <f>IFERROR(__xludf.DUMMYFUNCTION("""COMPUTED_VALUE"""),"https://drive.google.com/open?id=1I6lz0VHdmJ63xafnDKePv1Nz0ganYjql")</f>
        <v>https://drive.google.com/open?id=1I6lz0VHdmJ63xafnDKePv1Nz0ganYjql</v>
      </c>
      <c r="L401" s="74" t="str">
        <f>IFERROR(__xludf.DUMMYFUNCTION("""COMPUTED_VALUE"""),"2018-2022")</f>
        <v>2018-2022</v>
      </c>
      <c r="M401" s="74" t="str">
        <f>IFERROR(__xludf.DUMMYFUNCTION("""COMPUTED_VALUE"""),"S4: Student Certifications")</f>
        <v>S4: Student Certifications</v>
      </c>
      <c r="N401" s="74" t="str">
        <f>IFERROR(__xludf.DUMMYFUNCTION("""COMPUTED_VALUE"""),"savant.mullapudi@gmail.com")</f>
        <v>savant.mullapudi@gmail.com</v>
      </c>
      <c r="O401" s="74" t="str">
        <f>IFERROR(__xludf.DUMMYFUNCTION("""COMPUTED_VALUE"""),"SEM-8")</f>
        <v>SEM-8</v>
      </c>
      <c r="P401" s="74"/>
      <c r="Q401" s="74"/>
      <c r="R401" s="74"/>
      <c r="S401" s="74"/>
      <c r="T401" s="74"/>
      <c r="U401" s="74"/>
      <c r="V401" s="74"/>
      <c r="W401" s="74"/>
      <c r="X401" s="74"/>
      <c r="Y401" s="74"/>
    </row>
    <row r="402" ht="26.25" customHeight="1">
      <c r="A402" s="74" t="str">
        <f>IFERROR(__xludf.DUMMYFUNCTION("""COMPUTED_VALUE"""),"Kasi Suresh")</f>
        <v>Kasi Suresh</v>
      </c>
      <c r="B402" s="74" t="str">
        <f>IFERROR(__xludf.DUMMYFUNCTION("""COMPUTED_VALUE"""),"18331A0573")</f>
        <v>18331A0573</v>
      </c>
      <c r="C402" s="90" t="str">
        <f>IFERROR(__xludf.DUMMYFUNCTION("""COMPUTED_VALUE"""),"Programming essentials on Python")</f>
        <v>Programming essentials on Python</v>
      </c>
      <c r="D402" s="74" t="str">
        <f>IFERROR(__xludf.DUMMYFUNCTION("""COMPUTED_VALUE"""),"Cisco")</f>
        <v>Cisco</v>
      </c>
      <c r="E402" s="74" t="str">
        <f>IFERROR(__xludf.DUMMYFUNCTION("""COMPUTED_VALUE"""),"3 months")</f>
        <v>3 months</v>
      </c>
      <c r="F402" s="91">
        <f>IFERROR(__xludf.DUMMYFUNCTION("""COMPUTED_VALUE"""),44245.0)</f>
        <v>44245</v>
      </c>
      <c r="G402" s="91">
        <f>IFERROR(__xludf.DUMMYFUNCTION("""COMPUTED_VALUE"""),44334.0)</f>
        <v>44334</v>
      </c>
      <c r="H402" s="79">
        <f>IFERROR(__xludf.DUMMYFUNCTION("""COMPUTED_VALUE"""),44356.0)</f>
        <v>44356</v>
      </c>
      <c r="I402" s="92">
        <f>IFERROR(__xludf.DUMMYFUNCTION("""COMPUTED_VALUE"""),92.0)</f>
        <v>92</v>
      </c>
      <c r="J402" s="74" t="str">
        <f>IFERROR(__xludf.DUMMYFUNCTION("""COMPUTED_VALUE"""),"None")</f>
        <v>None</v>
      </c>
      <c r="K402" s="80" t="str">
        <f>IFERROR(__xludf.DUMMYFUNCTION("""COMPUTED_VALUE"""),"https://drive.google.com/open?id=16oKlg_rKMdoqmLF-Q6oHHqpa3u5Ey7al")</f>
        <v>https://drive.google.com/open?id=16oKlg_rKMdoqmLF-Q6oHHqpa3u5Ey7al</v>
      </c>
      <c r="L402" s="74" t="str">
        <f>IFERROR(__xludf.DUMMYFUNCTION("""COMPUTED_VALUE"""),"2018-2022")</f>
        <v>2018-2022</v>
      </c>
      <c r="M402" s="74" t="str">
        <f>IFERROR(__xludf.DUMMYFUNCTION("""COMPUTED_VALUE"""),"S4: Student Certifications")</f>
        <v>S4: Student Certifications</v>
      </c>
      <c r="N402" s="74" t="str">
        <f>IFERROR(__xludf.DUMMYFUNCTION("""COMPUTED_VALUE"""),"sureshkasi06@gmail.com")</f>
        <v>sureshkasi06@gmail.com</v>
      </c>
      <c r="O402" s="74" t="str">
        <f>IFERROR(__xludf.DUMMYFUNCTION("""COMPUTED_VALUE"""),"SEM-8")</f>
        <v>SEM-8</v>
      </c>
      <c r="P402" s="74"/>
      <c r="Q402" s="74"/>
      <c r="R402" s="74"/>
      <c r="S402" s="74"/>
      <c r="T402" s="74"/>
      <c r="U402" s="74"/>
      <c r="V402" s="74"/>
      <c r="W402" s="74"/>
      <c r="X402" s="74"/>
      <c r="Y402" s="74"/>
    </row>
    <row r="403" ht="26.25" customHeight="1">
      <c r="A403" s="74" t="str">
        <f>IFERROR(__xludf.DUMMYFUNCTION("""COMPUTED_VALUE"""),"VADAPALLI  HASITHA   ")</f>
        <v>VADAPALLI  HASITHA   </v>
      </c>
      <c r="B403" s="74" t="str">
        <f>IFERROR(__xludf.DUMMYFUNCTION("""COMPUTED_VALUE"""),"18331A05G2")</f>
        <v>18331A05G2</v>
      </c>
      <c r="C403" s="90" t="str">
        <f>IFERROR(__xludf.DUMMYFUNCTION("""COMPUTED_VALUE"""),"AWS Academy Cloud Foundations")</f>
        <v>AWS Academy Cloud Foundations</v>
      </c>
      <c r="D403" s="74" t="str">
        <f>IFERROR(__xludf.DUMMYFUNCTION("""COMPUTED_VALUE"""),"AWS Academy")</f>
        <v>AWS Academy</v>
      </c>
      <c r="E403" s="74" t="str">
        <f>IFERROR(__xludf.DUMMYFUNCTION("""COMPUTED_VALUE"""),"1 month")</f>
        <v>1 month</v>
      </c>
      <c r="F403" s="91">
        <f>IFERROR(__xludf.DUMMYFUNCTION("""COMPUTED_VALUE"""),44512.0)</f>
        <v>44512</v>
      </c>
      <c r="G403" s="91">
        <f>IFERROR(__xludf.DUMMYFUNCTION("""COMPUTED_VALUE"""),44542.0)</f>
        <v>44542</v>
      </c>
      <c r="H403" s="79">
        <f>IFERROR(__xludf.DUMMYFUNCTION("""COMPUTED_VALUE"""),44542.0)</f>
        <v>44542</v>
      </c>
      <c r="I403" s="92">
        <f>IFERROR(__xludf.DUMMYFUNCTION("""COMPUTED_VALUE"""),100.0)</f>
        <v>100</v>
      </c>
      <c r="J403" s="74" t="str">
        <f>IFERROR(__xludf.DUMMYFUNCTION("""COMPUTED_VALUE"""),"Ravi Kiran Varma Penmatsa")</f>
        <v>Ravi Kiran Varma Penmatsa</v>
      </c>
      <c r="K403" s="80" t="str">
        <f>IFERROR(__xludf.DUMMYFUNCTION("""COMPUTED_VALUE"""),"https://drive.google.com/open?id=1iddx6GiyzoGylhxCDI-E-V5ifL8jy-ki")</f>
        <v>https://drive.google.com/open?id=1iddx6GiyzoGylhxCDI-E-V5ifL8jy-ki</v>
      </c>
      <c r="L403" s="74" t="str">
        <f>IFERROR(__xludf.DUMMYFUNCTION("""COMPUTED_VALUE"""),"2018-2022")</f>
        <v>2018-2022</v>
      </c>
      <c r="M403" s="74" t="str">
        <f>IFERROR(__xludf.DUMMYFUNCTION("""COMPUTED_VALUE"""),"S4: Student Certifications")</f>
        <v>S4: Student Certifications</v>
      </c>
      <c r="N403" s="74" t="str">
        <f>IFERROR(__xludf.DUMMYFUNCTION("""COMPUTED_VALUE"""),"hasithavarma1234@gmail.com")</f>
        <v>hasithavarma1234@gmail.com</v>
      </c>
      <c r="O403" s="74" t="str">
        <f>IFERROR(__xludf.DUMMYFUNCTION("""COMPUTED_VALUE"""),"SEM-4")</f>
        <v>SEM-4</v>
      </c>
      <c r="P403" s="74"/>
      <c r="Q403" s="74"/>
      <c r="R403" s="74"/>
      <c r="S403" s="74"/>
      <c r="T403" s="74"/>
      <c r="U403" s="74"/>
      <c r="V403" s="74"/>
      <c r="W403" s="74"/>
      <c r="X403" s="74"/>
      <c r="Y403" s="74"/>
    </row>
    <row r="404" ht="26.25" customHeight="1">
      <c r="A404" s="74" t="str">
        <f>IFERROR(__xludf.DUMMYFUNCTION("""COMPUTED_VALUE"""),"Vadapalli Hasitha")</f>
        <v>Vadapalli Hasitha</v>
      </c>
      <c r="B404" s="74" t="str">
        <f>IFERROR(__xludf.DUMMYFUNCTION("""COMPUTED_VALUE"""),"18331A05G2")</f>
        <v>18331A05G2</v>
      </c>
      <c r="C404" s="90" t="str">
        <f>IFERROR(__xludf.DUMMYFUNCTION("""COMPUTED_VALUE""")," AWS Academy Cloud Foundations")</f>
        <v> AWS Academy Cloud Foundations</v>
      </c>
      <c r="D404" s="74" t="str">
        <f>IFERROR(__xludf.DUMMYFUNCTION("""COMPUTED_VALUE""")," AWS Academy ")</f>
        <v> AWS Academy </v>
      </c>
      <c r="E404" s="74" t="str">
        <f>IFERROR(__xludf.DUMMYFUNCTION("""COMPUTED_VALUE"""),"1 month")</f>
        <v>1 month</v>
      </c>
      <c r="F404" s="91">
        <f>IFERROR(__xludf.DUMMYFUNCTION("""COMPUTED_VALUE"""),44512.0)</f>
        <v>44512</v>
      </c>
      <c r="G404" s="91">
        <f>IFERROR(__xludf.DUMMYFUNCTION("""COMPUTED_VALUE"""),44542.0)</f>
        <v>44542</v>
      </c>
      <c r="H404" s="79">
        <f>IFERROR(__xludf.DUMMYFUNCTION("""COMPUTED_VALUE"""),44542.0)</f>
        <v>44542</v>
      </c>
      <c r="I404" s="92">
        <f>IFERROR(__xludf.DUMMYFUNCTION("""COMPUTED_VALUE"""),100.0)</f>
        <v>100</v>
      </c>
      <c r="J404" s="74" t="str">
        <f>IFERROR(__xludf.DUMMYFUNCTION("""COMPUTED_VALUE"""),"Ravi Kiran Varma Penmatsa")</f>
        <v>Ravi Kiran Varma Penmatsa</v>
      </c>
      <c r="K404" s="80" t="str">
        <f>IFERROR(__xludf.DUMMYFUNCTION("""COMPUTED_VALUE"""),"https://drive.google.com/open?id=1fjnwkCATs7XldWAR7MZNuQUb05pDdhNb")</f>
        <v>https://drive.google.com/open?id=1fjnwkCATs7XldWAR7MZNuQUb05pDdhNb</v>
      </c>
      <c r="L404" s="74" t="str">
        <f>IFERROR(__xludf.DUMMYFUNCTION("""COMPUTED_VALUE"""),"2018-2022")</f>
        <v>2018-2022</v>
      </c>
      <c r="M404" s="74" t="str">
        <f>IFERROR(__xludf.DUMMYFUNCTION("""COMPUTED_VALUE"""),"S4: Student Certifications")</f>
        <v>S4: Student Certifications</v>
      </c>
      <c r="N404" s="74" t="str">
        <f>IFERROR(__xludf.DUMMYFUNCTION("""COMPUTED_VALUE"""),"hasithavarma1234@gmail.com")</f>
        <v>hasithavarma1234@gmail.com</v>
      </c>
      <c r="O404" s="74" t="str">
        <f>IFERROR(__xludf.DUMMYFUNCTION("""COMPUTED_VALUE"""),"SEM-7")</f>
        <v>SEM-7</v>
      </c>
      <c r="P404" s="74"/>
      <c r="Q404" s="74"/>
      <c r="R404" s="74"/>
      <c r="S404" s="74"/>
      <c r="T404" s="74"/>
      <c r="U404" s="74"/>
      <c r="V404" s="74"/>
      <c r="W404" s="74"/>
      <c r="X404" s="74"/>
      <c r="Y404" s="74"/>
    </row>
    <row r="405" ht="26.25" customHeight="1">
      <c r="A405" s="74" t="str">
        <f>IFERROR(__xludf.DUMMYFUNCTION("""COMPUTED_VALUE"""),"Vadapalli Hasitha")</f>
        <v>Vadapalli Hasitha</v>
      </c>
      <c r="B405" s="74" t="str">
        <f>IFERROR(__xludf.DUMMYFUNCTION("""COMPUTED_VALUE"""),"18331A05G2")</f>
        <v>18331A05G2</v>
      </c>
      <c r="C405" s="90" t="str">
        <f>IFERROR(__xludf.DUMMYFUNCTION("""COMPUTED_VALUE"""),"AI For Everyone")</f>
        <v>AI For Everyone</v>
      </c>
      <c r="D405" s="74" t="str">
        <f>IFERROR(__xludf.DUMMYFUNCTION("""COMPUTED_VALUE"""),"coursera")</f>
        <v>coursera</v>
      </c>
      <c r="E405" s="74" t="str">
        <f>IFERROR(__xludf.DUMMYFUNCTION("""COMPUTED_VALUE"""),"30 Days")</f>
        <v>30 Days</v>
      </c>
      <c r="F405" s="91">
        <f>IFERROR(__xludf.DUMMYFUNCTION("""COMPUTED_VALUE"""),43921.0)</f>
        <v>43921</v>
      </c>
      <c r="G405" s="91">
        <f>IFERROR(__xludf.DUMMYFUNCTION("""COMPUTED_VALUE"""),43951.0)</f>
        <v>43951</v>
      </c>
      <c r="H405" s="79">
        <f>IFERROR(__xludf.DUMMYFUNCTION("""COMPUTED_VALUE"""),43951.0)</f>
        <v>43951</v>
      </c>
      <c r="I405" s="92">
        <f>IFERROR(__xludf.DUMMYFUNCTION("""COMPUTED_VALUE"""),920.0)</f>
        <v>920</v>
      </c>
      <c r="J405" s="74" t="str">
        <f>IFERROR(__xludf.DUMMYFUNCTION("""COMPUTED_VALUE"""),"online")</f>
        <v>online</v>
      </c>
      <c r="K405" s="80" t="str">
        <f>IFERROR(__xludf.DUMMYFUNCTION("""COMPUTED_VALUE"""),"https://drive.google.com/open?id=1mn0SSjIJN5TMndifLbcIyvt7Gn7ZzLDt")</f>
        <v>https://drive.google.com/open?id=1mn0SSjIJN5TMndifLbcIyvt7Gn7ZzLDt</v>
      </c>
      <c r="L405" s="74" t="str">
        <f>IFERROR(__xludf.DUMMYFUNCTION("""COMPUTED_VALUE"""),"2018-2022")</f>
        <v>2018-2022</v>
      </c>
      <c r="M405" s="74" t="str">
        <f>IFERROR(__xludf.DUMMYFUNCTION("""COMPUTED_VALUE"""),"S4: Student Certifications")</f>
        <v>S4: Student Certifications</v>
      </c>
      <c r="N405" s="74" t="str">
        <f>IFERROR(__xludf.DUMMYFUNCTION("""COMPUTED_VALUE"""),"hasithavarma1234@gmail.com")</f>
        <v>hasithavarma1234@gmail.com</v>
      </c>
      <c r="O405" s="74" t="str">
        <f>IFERROR(__xludf.DUMMYFUNCTION("""COMPUTED_VALUE"""),"SEM-4")</f>
        <v>SEM-4</v>
      </c>
      <c r="P405" s="74"/>
      <c r="Q405" s="74"/>
      <c r="R405" s="74"/>
      <c r="S405" s="74"/>
      <c r="T405" s="74"/>
      <c r="U405" s="74"/>
      <c r="V405" s="74"/>
      <c r="W405" s="74"/>
      <c r="X405" s="74"/>
      <c r="Y405" s="74"/>
    </row>
    <row r="406" ht="26.25" customHeight="1">
      <c r="A406" s="78" t="str">
        <f>IFERROR(__xludf.DUMMYFUNCTION("""COMPUTED_VALUE"""),"Vadapalli Hasitha")</f>
        <v>Vadapalli Hasitha</v>
      </c>
      <c r="B406" s="78" t="str">
        <f>IFERROR(__xludf.DUMMYFUNCTION("""COMPUTED_VALUE"""),"18331A05G2")</f>
        <v>18331A05G2</v>
      </c>
      <c r="C406" s="93" t="str">
        <f>IFERROR(__xludf.DUMMYFUNCTION("""COMPUTED_VALUE"""),"AI WORKSHOP")</f>
        <v>AI WORKSHOP</v>
      </c>
      <c r="D406" s="78" t="str">
        <f>IFERROR(__xludf.DUMMYFUNCTION("""COMPUTED_VALUE"""),"Kyrion Technologies at IIT Hyderabad")</f>
        <v>Kyrion Technologies at IIT Hyderabad</v>
      </c>
      <c r="E406" s="78" t="str">
        <f>IFERROR(__xludf.DUMMYFUNCTION("""COMPUTED_VALUE"""),"2 Days")</f>
        <v>2 Days</v>
      </c>
      <c r="F406" s="94">
        <f>IFERROR(__xludf.DUMMYFUNCTION("""COMPUTED_VALUE"""),43694.0)</f>
        <v>43694</v>
      </c>
      <c r="G406" s="94">
        <f>IFERROR(__xludf.DUMMYFUNCTION("""COMPUTED_VALUE"""),43695.0)</f>
        <v>43695</v>
      </c>
      <c r="H406" s="84">
        <f>IFERROR(__xludf.DUMMYFUNCTION("""COMPUTED_VALUE"""),43695.0)</f>
        <v>43695</v>
      </c>
      <c r="I406" s="95"/>
      <c r="J406" s="78" t="str">
        <f>IFERROR(__xludf.DUMMYFUNCTION("""COMPUTED_VALUE"""),"NIL")</f>
        <v>NIL</v>
      </c>
      <c r="K406" s="85" t="str">
        <f>IFERROR(__xludf.DUMMYFUNCTION("""COMPUTED_VALUE"""),"https://drive.google.com/open?id=1oGd0TgPMSs2_aUaC7MhhXkTdYXkrrSp8")</f>
        <v>https://drive.google.com/open?id=1oGd0TgPMSs2_aUaC7MhhXkTdYXkrrSp8</v>
      </c>
      <c r="L406" s="78" t="str">
        <f>IFERROR(__xludf.DUMMYFUNCTION("""COMPUTED_VALUE"""),"2018-2022")</f>
        <v>2018-2022</v>
      </c>
      <c r="M406" s="78" t="str">
        <f>IFERROR(__xludf.DUMMYFUNCTION("""COMPUTED_VALUE"""),"S4: Student Certifications")</f>
        <v>S4: Student Certifications</v>
      </c>
      <c r="N406" s="78" t="str">
        <f>IFERROR(__xludf.DUMMYFUNCTION("""COMPUTED_VALUE"""),"hasithavarma1234@gmail.com")</f>
        <v>hasithavarma1234@gmail.com</v>
      </c>
      <c r="O406" s="78" t="str">
        <f>IFERROR(__xludf.DUMMYFUNCTION("""COMPUTED_VALUE"""),"SEM-3")</f>
        <v>SEM-3</v>
      </c>
      <c r="P406" s="78"/>
      <c r="Q406" s="78"/>
      <c r="R406" s="78"/>
      <c r="S406" s="78"/>
      <c r="T406" s="78"/>
      <c r="U406" s="78"/>
      <c r="V406" s="78"/>
      <c r="W406" s="78"/>
      <c r="X406" s="78"/>
      <c r="Y406" s="78"/>
    </row>
    <row r="407" ht="26.25" customHeight="1">
      <c r="A407" s="78" t="str">
        <f>IFERROR(__xludf.DUMMYFUNCTION("""COMPUTED_VALUE"""),"Vadapalli Hasitha")</f>
        <v>Vadapalli Hasitha</v>
      </c>
      <c r="B407" s="78" t="str">
        <f>IFERROR(__xludf.DUMMYFUNCTION("""COMPUTED_VALUE"""),"18331A05G2")</f>
        <v>18331A05G2</v>
      </c>
      <c r="C407" s="93" t="str">
        <f>IFERROR(__xludf.DUMMYFUNCTION("""COMPUTED_VALUE"""),"Math Quiz")</f>
        <v>Math Quiz</v>
      </c>
      <c r="D407" s="78" t="str">
        <f>IFERROR(__xludf.DUMMYFUNCTION("""COMPUTED_VALUE"""),"K.RAMAKRISHNAN college of technology")</f>
        <v>K.RAMAKRISHNAN college of technology</v>
      </c>
      <c r="E407" s="78" t="str">
        <f>IFERROR(__xludf.DUMMYFUNCTION("""COMPUTED_VALUE"""),"1 day")</f>
        <v>1 day</v>
      </c>
      <c r="F407" s="94">
        <f>IFERROR(__xludf.DUMMYFUNCTION("""COMPUTED_VALUE"""),43976.0)</f>
        <v>43976</v>
      </c>
      <c r="G407" s="94">
        <f>IFERROR(__xludf.DUMMYFUNCTION("""COMPUTED_VALUE"""),43976.0)</f>
        <v>43976</v>
      </c>
      <c r="H407" s="84">
        <f>IFERROR(__xludf.DUMMYFUNCTION("""COMPUTED_VALUE"""),43976.0)</f>
        <v>43976</v>
      </c>
      <c r="I407" s="95">
        <f>IFERROR(__xludf.DUMMYFUNCTION("""COMPUTED_VALUE"""),1.0)</f>
        <v>1</v>
      </c>
      <c r="J407" s="78" t="str">
        <f>IFERROR(__xludf.DUMMYFUNCTION("""COMPUTED_VALUE"""),"NIL")</f>
        <v>NIL</v>
      </c>
      <c r="K407" s="85" t="str">
        <f>IFERROR(__xludf.DUMMYFUNCTION("""COMPUTED_VALUE"""),"https://drive.google.com/open?id=107KWl7vHy4JvgbFp97Q2TqLetMA7I7ZT")</f>
        <v>https://drive.google.com/open?id=107KWl7vHy4JvgbFp97Q2TqLetMA7I7ZT</v>
      </c>
      <c r="L407" s="78" t="str">
        <f>IFERROR(__xludf.DUMMYFUNCTION("""COMPUTED_VALUE"""),"2018-2022")</f>
        <v>2018-2022</v>
      </c>
      <c r="M407" s="78" t="str">
        <f>IFERROR(__xludf.DUMMYFUNCTION("""COMPUTED_VALUE"""),"S4: Student Certifications")</f>
        <v>S4: Student Certifications</v>
      </c>
      <c r="N407" s="78" t="str">
        <f>IFERROR(__xludf.DUMMYFUNCTION("""COMPUTED_VALUE"""),"hasithavarma1234@gmail.com")</f>
        <v>hasithavarma1234@gmail.com</v>
      </c>
      <c r="O407" s="78" t="str">
        <f>IFERROR(__xludf.DUMMYFUNCTION("""COMPUTED_VALUE"""),"SEM-4")</f>
        <v>SEM-4</v>
      </c>
      <c r="P407" s="78"/>
      <c r="Q407" s="78"/>
      <c r="R407" s="78"/>
      <c r="S407" s="78"/>
      <c r="T407" s="78"/>
      <c r="U407" s="78"/>
      <c r="V407" s="78"/>
      <c r="W407" s="78"/>
      <c r="X407" s="78"/>
      <c r="Y407" s="78"/>
    </row>
    <row r="408" ht="26.25" customHeight="1">
      <c r="A408" s="78" t="str">
        <f>IFERROR(__xludf.DUMMYFUNCTION("""COMPUTED_VALUE"""),"Vadapalli Hasitha")</f>
        <v>Vadapalli Hasitha</v>
      </c>
      <c r="B408" s="78" t="str">
        <f>IFERROR(__xludf.DUMMYFUNCTION("""COMPUTED_VALUE"""),"18331A05G2")</f>
        <v>18331A05G2</v>
      </c>
      <c r="C408" s="93" t="str">
        <f>IFERROR(__xludf.DUMMYFUNCTION("""COMPUTED_VALUE"""),"Python progmming Quiz")</f>
        <v>Python progmming Quiz</v>
      </c>
      <c r="D408" s="78" t="str">
        <f>IFERROR(__xludf.DUMMYFUNCTION("""COMPUTED_VALUE"""),"Siddhartha Institute of Engineering &amp; Technology")</f>
        <v>Siddhartha Institute of Engineering &amp; Technology</v>
      </c>
      <c r="E408" s="78" t="str">
        <f>IFERROR(__xludf.DUMMYFUNCTION("""COMPUTED_VALUE"""),"1Day")</f>
        <v>1Day</v>
      </c>
      <c r="F408" s="94">
        <f>IFERROR(__xludf.DUMMYFUNCTION("""COMPUTED_VALUE"""),43896.0)</f>
        <v>43896</v>
      </c>
      <c r="G408" s="94">
        <f>IFERROR(__xludf.DUMMYFUNCTION("""COMPUTED_VALUE"""),43896.0)</f>
        <v>43896</v>
      </c>
      <c r="H408" s="84">
        <f>IFERROR(__xludf.DUMMYFUNCTION("""COMPUTED_VALUE"""),43896.0)</f>
        <v>43896</v>
      </c>
      <c r="I408" s="95">
        <f>IFERROR(__xludf.DUMMYFUNCTION("""COMPUTED_VALUE"""),0.95)</f>
        <v>0.95</v>
      </c>
      <c r="J408" s="78" t="str">
        <f>IFERROR(__xludf.DUMMYFUNCTION("""COMPUTED_VALUE"""),"NIL")</f>
        <v>NIL</v>
      </c>
      <c r="K408" s="85" t="str">
        <f>IFERROR(__xludf.DUMMYFUNCTION("""COMPUTED_VALUE"""),"https://drive.google.com/open?id=1erC_GJzEFzMEUrIt7RCB1gE5rOo1vD_9")</f>
        <v>https://drive.google.com/open?id=1erC_GJzEFzMEUrIt7RCB1gE5rOo1vD_9</v>
      </c>
      <c r="L408" s="78" t="str">
        <f>IFERROR(__xludf.DUMMYFUNCTION("""COMPUTED_VALUE"""),"2018-2022")</f>
        <v>2018-2022</v>
      </c>
      <c r="M408" s="78" t="str">
        <f>IFERROR(__xludf.DUMMYFUNCTION("""COMPUTED_VALUE"""),"S4: Student Certifications")</f>
        <v>S4: Student Certifications</v>
      </c>
      <c r="N408" s="78" t="str">
        <f>IFERROR(__xludf.DUMMYFUNCTION("""COMPUTED_VALUE"""),"hasithavarma1234@gmail.com")</f>
        <v>hasithavarma1234@gmail.com</v>
      </c>
      <c r="O408" s="78" t="str">
        <f>IFERROR(__xludf.DUMMYFUNCTION("""COMPUTED_VALUE"""),"SEM-4")</f>
        <v>SEM-4</v>
      </c>
      <c r="P408" s="78"/>
      <c r="Q408" s="78"/>
      <c r="R408" s="78"/>
      <c r="S408" s="78"/>
      <c r="T408" s="78"/>
      <c r="U408" s="78"/>
      <c r="V408" s="78"/>
      <c r="W408" s="78"/>
      <c r="X408" s="78"/>
      <c r="Y408" s="78"/>
    </row>
    <row r="409" ht="26.25" customHeight="1">
      <c r="A409" s="78" t="str">
        <f>IFERROR(__xludf.DUMMYFUNCTION("""COMPUTED_VALUE"""),"Vadapalli Hasitha")</f>
        <v>Vadapalli Hasitha</v>
      </c>
      <c r="B409" s="78" t="str">
        <f>IFERROR(__xludf.DUMMYFUNCTION("""COMPUTED_VALUE"""),"18331A05G2")</f>
        <v>18331A05G2</v>
      </c>
      <c r="C409" s="93" t="str">
        <f>IFERROR(__xludf.DUMMYFUNCTION("""COMPUTED_VALUE"""),"SQL QUIZ")</f>
        <v>SQL QUIZ</v>
      </c>
      <c r="D409" s="78" t="str">
        <f>IFERROR(__xludf.DUMMYFUNCTION("""COMPUTED_VALUE"""),"Vignan's Institute of Engineering for Women")</f>
        <v>Vignan's Institute of Engineering for Women</v>
      </c>
      <c r="E409" s="78" t="str">
        <f>IFERROR(__xludf.DUMMYFUNCTION("""COMPUTED_VALUE"""),"1 Day")</f>
        <v>1 Day</v>
      </c>
      <c r="F409" s="94">
        <f>IFERROR(__xludf.DUMMYFUNCTION("""COMPUTED_VALUE"""),43979.0)</f>
        <v>43979</v>
      </c>
      <c r="G409" s="94">
        <f>IFERROR(__xludf.DUMMYFUNCTION("""COMPUTED_VALUE"""),44709.0)</f>
        <v>44709</v>
      </c>
      <c r="H409" s="84">
        <f>IFERROR(__xludf.DUMMYFUNCTION("""COMPUTED_VALUE"""),43979.0)</f>
        <v>43979</v>
      </c>
      <c r="I409" s="95">
        <f>IFERROR(__xludf.DUMMYFUNCTION("""COMPUTED_VALUE"""),0.92)</f>
        <v>0.92</v>
      </c>
      <c r="J409" s="78" t="str">
        <f>IFERROR(__xludf.DUMMYFUNCTION("""COMPUTED_VALUE"""),"NIL")</f>
        <v>NIL</v>
      </c>
      <c r="K409" s="85" t="str">
        <f>IFERROR(__xludf.DUMMYFUNCTION("""COMPUTED_VALUE"""),"https://drive.google.com/open?id=1hK2pBkdTZDKlPOmiNsZBHAE_l9PK0ReV")</f>
        <v>https://drive.google.com/open?id=1hK2pBkdTZDKlPOmiNsZBHAE_l9PK0ReV</v>
      </c>
      <c r="L409" s="78" t="str">
        <f>IFERROR(__xludf.DUMMYFUNCTION("""COMPUTED_VALUE"""),"2018-2022")</f>
        <v>2018-2022</v>
      </c>
      <c r="M409" s="78" t="str">
        <f>IFERROR(__xludf.DUMMYFUNCTION("""COMPUTED_VALUE"""),"S4: Student Certifications")</f>
        <v>S4: Student Certifications</v>
      </c>
      <c r="N409" s="78" t="str">
        <f>IFERROR(__xludf.DUMMYFUNCTION("""COMPUTED_VALUE"""),"hasithavarma1234@gmail.com")</f>
        <v>hasithavarma1234@gmail.com</v>
      </c>
      <c r="O409" s="78" t="str">
        <f>IFERROR(__xludf.DUMMYFUNCTION("""COMPUTED_VALUE"""),"SEM-4")</f>
        <v>SEM-4</v>
      </c>
      <c r="P409" s="78"/>
      <c r="Q409" s="78"/>
      <c r="R409" s="78"/>
      <c r="S409" s="78"/>
      <c r="T409" s="78"/>
      <c r="U409" s="78"/>
      <c r="V409" s="78"/>
      <c r="W409" s="78"/>
      <c r="X409" s="78"/>
      <c r="Y409" s="78"/>
    </row>
    <row r="410" ht="26.25" customHeight="1">
      <c r="A410" s="74" t="str">
        <f>IFERROR(__xludf.DUMMYFUNCTION("""COMPUTED_VALUE"""),"Vadapalli Hasitha")</f>
        <v>Vadapalli Hasitha</v>
      </c>
      <c r="B410" s="74" t="str">
        <f>IFERROR(__xludf.DUMMYFUNCTION("""COMPUTED_VALUE"""),"18331A05G2")</f>
        <v>18331A05G2</v>
      </c>
      <c r="C410" s="90" t="str">
        <f>IFERROR(__xludf.DUMMYFUNCTION("""COMPUTED_VALUE"""),"Cybersecurity Essentials")</f>
        <v>Cybersecurity Essentials</v>
      </c>
      <c r="D410" s="74" t="str">
        <f>IFERROR(__xludf.DUMMYFUNCTION("""COMPUTED_VALUE"""),"cisco")</f>
        <v>cisco</v>
      </c>
      <c r="E410" s="74" t="str">
        <f>IFERROR(__xludf.DUMMYFUNCTION("""COMPUTED_VALUE"""),"2 months")</f>
        <v>2 months</v>
      </c>
      <c r="F410" s="91">
        <f>IFERROR(__xludf.DUMMYFUNCTION("""COMPUTED_VALUE"""),43587.0)</f>
        <v>43587</v>
      </c>
      <c r="G410" s="91">
        <f>IFERROR(__xludf.DUMMYFUNCTION("""COMPUTED_VALUE"""),43664.0)</f>
        <v>43664</v>
      </c>
      <c r="H410" s="79">
        <f>IFERROR(__xludf.DUMMYFUNCTION("""COMPUTED_VALUE"""),43676.0)</f>
        <v>43676</v>
      </c>
      <c r="I410" s="92">
        <f>IFERROR(__xludf.DUMMYFUNCTION("""COMPUTED_VALUE"""),0.89)</f>
        <v>0.89</v>
      </c>
      <c r="J410" s="74" t="str">
        <f>IFERROR(__xludf.DUMMYFUNCTION("""COMPUTED_VALUE"""),"5/2/2019")</f>
        <v>5/2/2019</v>
      </c>
      <c r="K410" s="80" t="str">
        <f>IFERROR(__xludf.DUMMYFUNCTION("""COMPUTED_VALUE"""),"https://drive.google.com/open?id=1UH29DWZ7mNJAc3hFq7J6-52l9vH-o75V")</f>
        <v>https://drive.google.com/open?id=1UH29DWZ7mNJAc3hFq7J6-52l9vH-o75V</v>
      </c>
      <c r="L410" s="74" t="str">
        <f>IFERROR(__xludf.DUMMYFUNCTION("""COMPUTED_VALUE"""),"2018-2022")</f>
        <v>2018-2022</v>
      </c>
      <c r="M410" s="74" t="str">
        <f>IFERROR(__xludf.DUMMYFUNCTION("""COMPUTED_VALUE"""),"S4: Student Certifications")</f>
        <v>S4: Student Certifications</v>
      </c>
      <c r="N410" s="74" t="str">
        <f>IFERROR(__xludf.DUMMYFUNCTION("""COMPUTED_VALUE"""),"hasithavarma1234@gmail.com")</f>
        <v>hasithavarma1234@gmail.com</v>
      </c>
      <c r="O410" s="74" t="str">
        <f>IFERROR(__xludf.DUMMYFUNCTION("""COMPUTED_VALUE"""),"SEM-2")</f>
        <v>SEM-2</v>
      </c>
      <c r="P410" s="74"/>
      <c r="Q410" s="74"/>
      <c r="R410" s="74"/>
      <c r="S410" s="74"/>
      <c r="T410" s="74"/>
      <c r="U410" s="74"/>
      <c r="V410" s="74"/>
      <c r="W410" s="74"/>
      <c r="X410" s="74"/>
      <c r="Y410" s="74"/>
    </row>
    <row r="411" ht="26.25" customHeight="1">
      <c r="A411" s="74" t="str">
        <f>IFERROR(__xludf.DUMMYFUNCTION("""COMPUTED_VALUE"""),"Vadapalli  Hasitha")</f>
        <v>Vadapalli  Hasitha</v>
      </c>
      <c r="B411" s="74" t="str">
        <f>IFERROR(__xludf.DUMMYFUNCTION("""COMPUTED_VALUE"""),"18331A05G2")</f>
        <v>18331A05G2</v>
      </c>
      <c r="C411" s="90" t="str">
        <f>IFERROR(__xludf.DUMMYFUNCTION("""COMPUTED_VALUE"""),"Programming Essentials in C")</f>
        <v>Programming Essentials in C</v>
      </c>
      <c r="D411" s="74" t="str">
        <f>IFERROR(__xludf.DUMMYFUNCTION("""COMPUTED_VALUE"""),"CISCO")</f>
        <v>CISCO</v>
      </c>
      <c r="E411" s="74" t="str">
        <f>IFERROR(__xludf.DUMMYFUNCTION("""COMPUTED_VALUE"""),"4 months")</f>
        <v>4 months</v>
      </c>
      <c r="F411" s="91">
        <f>IFERROR(__xludf.DUMMYFUNCTION("""COMPUTED_VALUE"""),43472.0)</f>
        <v>43472</v>
      </c>
      <c r="G411" s="91">
        <f>IFERROR(__xludf.DUMMYFUNCTION("""COMPUTED_VALUE"""),43563.0)</f>
        <v>43563</v>
      </c>
      <c r="H411" s="79">
        <f>IFERROR(__xludf.DUMMYFUNCTION("""COMPUTED_VALUE"""),43567.0)</f>
        <v>43567</v>
      </c>
      <c r="I411" s="92">
        <f>IFERROR(__xludf.DUMMYFUNCTION("""COMPUTED_VALUE"""),90.0)</f>
        <v>90</v>
      </c>
      <c r="J411" s="74" t="str">
        <f>IFERROR(__xludf.DUMMYFUNCTION("""COMPUTED_VALUE"""),"DR. P. Ravi Kiran Varma")</f>
        <v>DR. P. Ravi Kiran Varma</v>
      </c>
      <c r="K411" s="80" t="str">
        <f>IFERROR(__xludf.DUMMYFUNCTION("""COMPUTED_VALUE"""),"https://drive.google.com/open?id=1gwt9YnCs_Mw_5hdc2VLXTf3wKncfuc6Q")</f>
        <v>https://drive.google.com/open?id=1gwt9YnCs_Mw_5hdc2VLXTf3wKncfuc6Q</v>
      </c>
      <c r="L411" s="74" t="str">
        <f>IFERROR(__xludf.DUMMYFUNCTION("""COMPUTED_VALUE"""),"2018-2022")</f>
        <v>2018-2022</v>
      </c>
      <c r="M411" s="74" t="str">
        <f>IFERROR(__xludf.DUMMYFUNCTION("""COMPUTED_VALUE"""),"S4: Student Certifications")</f>
        <v>S4: Student Certifications</v>
      </c>
      <c r="N411" s="74" t="str">
        <f>IFERROR(__xludf.DUMMYFUNCTION("""COMPUTED_VALUE"""),"hasithavarma1234@gmail.com")</f>
        <v>hasithavarma1234@gmail.com</v>
      </c>
      <c r="O411" s="74" t="str">
        <f>IFERROR(__xludf.DUMMYFUNCTION("""COMPUTED_VALUE"""),"SEM-2")</f>
        <v>SEM-2</v>
      </c>
      <c r="P411" s="74"/>
      <c r="Q411" s="74"/>
      <c r="R411" s="74"/>
      <c r="S411" s="74"/>
      <c r="T411" s="74"/>
      <c r="U411" s="74"/>
      <c r="V411" s="74"/>
      <c r="W411" s="74"/>
      <c r="X411" s="74"/>
      <c r="Y411" s="74"/>
    </row>
    <row r="412" ht="26.25" customHeight="1">
      <c r="A412" s="74" t="str">
        <f>IFERROR(__xludf.DUMMYFUNCTION("""COMPUTED_VALUE"""),"Hari Ramakrishna Turpati")</f>
        <v>Hari Ramakrishna Turpati</v>
      </c>
      <c r="B412" s="74" t="str">
        <f>IFERROR(__xludf.DUMMYFUNCTION("""COMPUTED_VALUE"""),"18331A05F9")</f>
        <v>18331A05F9</v>
      </c>
      <c r="C412" s="90" t="str">
        <f>IFERROR(__xludf.DUMMYFUNCTION("""COMPUTED_VALUE"""),"C")</f>
        <v>C</v>
      </c>
      <c r="D412" s="74" t="str">
        <f>IFERROR(__xludf.DUMMYFUNCTION("""COMPUTED_VALUE"""),"Netacad")</f>
        <v>Netacad</v>
      </c>
      <c r="E412" s="74" t="str">
        <f>IFERROR(__xludf.DUMMYFUNCTION("""COMPUTED_VALUE"""),"1 month")</f>
        <v>1 month</v>
      </c>
      <c r="F412" s="91">
        <f>IFERROR(__xludf.DUMMYFUNCTION("""COMPUTED_VALUE"""),43554.0)</f>
        <v>43554</v>
      </c>
      <c r="G412" s="91">
        <f>IFERROR(__xludf.DUMMYFUNCTION("""COMPUTED_VALUE"""),43585.0)</f>
        <v>43585</v>
      </c>
      <c r="H412" s="79">
        <f>IFERROR(__xludf.DUMMYFUNCTION("""COMPUTED_VALUE"""),43584.0)</f>
        <v>43584</v>
      </c>
      <c r="I412" s="92">
        <f>IFERROR(__xludf.DUMMYFUNCTION("""COMPUTED_VALUE"""),96.0)</f>
        <v>96</v>
      </c>
      <c r="J412" s="74" t="str">
        <f>IFERROR(__xludf.DUMMYFUNCTION("""COMPUTED_VALUE"""),"Dr. Ravi Kiran Varma")</f>
        <v>Dr. Ravi Kiran Varma</v>
      </c>
      <c r="K412" s="80" t="str">
        <f>IFERROR(__xludf.DUMMYFUNCTION("""COMPUTED_VALUE"""),"https://drive.google.com/open?id=1MaIstHqnDkNHBOsPBnH7PCPqV-V-vA3u")</f>
        <v>https://drive.google.com/open?id=1MaIstHqnDkNHBOsPBnH7PCPqV-V-vA3u</v>
      </c>
      <c r="L412" s="74" t="str">
        <f>IFERROR(__xludf.DUMMYFUNCTION("""COMPUTED_VALUE"""),"2018-2022")</f>
        <v>2018-2022</v>
      </c>
      <c r="M412" s="74" t="str">
        <f>IFERROR(__xludf.DUMMYFUNCTION("""COMPUTED_VALUE"""),"S4: Student Certifications")</f>
        <v>S4: Student Certifications</v>
      </c>
      <c r="N412" s="74" t="str">
        <f>IFERROR(__xludf.DUMMYFUNCTION("""COMPUTED_VALUE"""),"thriramakrishna95@gmail.com")</f>
        <v>thriramakrishna95@gmail.com</v>
      </c>
      <c r="O412" s="74" t="str">
        <f>IFERROR(__xludf.DUMMYFUNCTION("""COMPUTED_VALUE"""),"SEM-8")</f>
        <v>SEM-8</v>
      </c>
      <c r="P412" s="74"/>
      <c r="Q412" s="74"/>
      <c r="R412" s="74"/>
      <c r="S412" s="74"/>
      <c r="T412" s="74"/>
      <c r="U412" s="74"/>
      <c r="V412" s="74"/>
      <c r="W412" s="74"/>
      <c r="X412" s="74"/>
      <c r="Y412" s="74"/>
    </row>
    <row r="413" ht="26.25" customHeight="1">
      <c r="A413" s="74" t="str">
        <f>IFERROR(__xludf.DUMMYFUNCTION("""COMPUTED_VALUE"""),"Hari Ramakrishna Turpati")</f>
        <v>Hari Ramakrishna Turpati</v>
      </c>
      <c r="B413" s="74" t="str">
        <f>IFERROR(__xludf.DUMMYFUNCTION("""COMPUTED_VALUE"""),"18331A05F9")</f>
        <v>18331A05F9</v>
      </c>
      <c r="C413" s="90" t="str">
        <f>IFERROR(__xludf.DUMMYFUNCTION("""COMPUTED_VALUE"""),"Introduction to packet tracer")</f>
        <v>Introduction to packet tracer</v>
      </c>
      <c r="D413" s="74" t="str">
        <f>IFERROR(__xludf.DUMMYFUNCTION("""COMPUTED_VALUE"""),"Netacad")</f>
        <v>Netacad</v>
      </c>
      <c r="E413" s="74" t="str">
        <f>IFERROR(__xludf.DUMMYFUNCTION("""COMPUTED_VALUE"""),"1 month")</f>
        <v>1 month</v>
      </c>
      <c r="F413" s="91">
        <f>IFERROR(__xludf.DUMMYFUNCTION("""COMPUTED_VALUE"""),44312.0)</f>
        <v>44312</v>
      </c>
      <c r="G413" s="91">
        <f>IFERROR(__xludf.DUMMYFUNCTION("""COMPUTED_VALUE"""),44312.0)</f>
        <v>44312</v>
      </c>
      <c r="H413" s="79">
        <f>IFERROR(__xludf.DUMMYFUNCTION("""COMPUTED_VALUE"""),44311.0)</f>
        <v>44311</v>
      </c>
      <c r="I413" s="92">
        <f>IFERROR(__xludf.DUMMYFUNCTION("""COMPUTED_VALUE"""),91.0)</f>
        <v>91</v>
      </c>
      <c r="J413" s="74" t="str">
        <f>IFERROR(__xludf.DUMMYFUNCTION("""COMPUTED_VALUE"""),"Dr.Ravi kiran varma")</f>
        <v>Dr.Ravi kiran varma</v>
      </c>
      <c r="K413" s="80" t="str">
        <f>IFERROR(__xludf.DUMMYFUNCTION("""COMPUTED_VALUE"""),"https://drive.google.com/open?id=1kCej-tFd2U_21HOqTq7dkkunOSUkz9PY")</f>
        <v>https://drive.google.com/open?id=1kCej-tFd2U_21HOqTq7dkkunOSUkz9PY</v>
      </c>
      <c r="L413" s="74" t="str">
        <f>IFERROR(__xludf.DUMMYFUNCTION("""COMPUTED_VALUE"""),"2018-2022")</f>
        <v>2018-2022</v>
      </c>
      <c r="M413" s="74" t="str">
        <f>IFERROR(__xludf.DUMMYFUNCTION("""COMPUTED_VALUE"""),"S4: Student Certifications")</f>
        <v>S4: Student Certifications</v>
      </c>
      <c r="N413" s="74" t="str">
        <f>IFERROR(__xludf.DUMMYFUNCTION("""COMPUTED_VALUE"""),"thriramakrishna95@gmail.com")</f>
        <v>thriramakrishna95@gmail.com</v>
      </c>
      <c r="O413" s="74" t="str">
        <f>IFERROR(__xludf.DUMMYFUNCTION("""COMPUTED_VALUE"""),"SEM-8")</f>
        <v>SEM-8</v>
      </c>
      <c r="P413" s="74"/>
      <c r="Q413" s="74"/>
      <c r="R413" s="74"/>
      <c r="S413" s="74"/>
      <c r="T413" s="74"/>
      <c r="U413" s="74"/>
      <c r="V413" s="74"/>
      <c r="W413" s="74"/>
      <c r="X413" s="74"/>
      <c r="Y413" s="74"/>
    </row>
    <row r="414" ht="26.25" customHeight="1">
      <c r="A414" s="74" t="str">
        <f>IFERROR(__xludf.DUMMYFUNCTION("""COMPUTED_VALUE"""),"Hari Ramakrishna Turpati")</f>
        <v>Hari Ramakrishna Turpati</v>
      </c>
      <c r="B414" s="74" t="str">
        <f>IFERROR(__xludf.DUMMYFUNCTION("""COMPUTED_VALUE"""),"18331A05F9")</f>
        <v>18331A05F9</v>
      </c>
      <c r="C414" s="90" t="str">
        <f>IFERROR(__xludf.DUMMYFUNCTION("""COMPUTED_VALUE"""),"Introduction to networks")</f>
        <v>Introduction to networks</v>
      </c>
      <c r="D414" s="74" t="str">
        <f>IFERROR(__xludf.DUMMYFUNCTION("""COMPUTED_VALUE"""),"Netacad")</f>
        <v>Netacad</v>
      </c>
      <c r="E414" s="74" t="str">
        <f>IFERROR(__xludf.DUMMYFUNCTION("""COMPUTED_VALUE"""),"1 month")</f>
        <v>1 month</v>
      </c>
      <c r="F414" s="91">
        <f>IFERROR(__xludf.DUMMYFUNCTION("""COMPUTED_VALUE"""),44348.0)</f>
        <v>44348</v>
      </c>
      <c r="G414" s="91">
        <f>IFERROR(__xludf.DUMMYFUNCTION("""COMPUTED_VALUE"""),44378.0)</f>
        <v>44378</v>
      </c>
      <c r="H414" s="79">
        <f>IFERROR(__xludf.DUMMYFUNCTION("""COMPUTED_VALUE"""),44377.0)</f>
        <v>44377</v>
      </c>
      <c r="I414" s="92">
        <f>IFERROR(__xludf.DUMMYFUNCTION("""COMPUTED_VALUE"""),93.0)</f>
        <v>93</v>
      </c>
      <c r="J414" s="74" t="str">
        <f>IFERROR(__xludf.DUMMYFUNCTION("""COMPUTED_VALUE"""),"Dr.Ravi kiran varma")</f>
        <v>Dr.Ravi kiran varma</v>
      </c>
      <c r="K414" s="80" t="str">
        <f>IFERROR(__xludf.DUMMYFUNCTION("""COMPUTED_VALUE"""),"https://drive.google.com/open?id=12D6tVmvoLlsK_hHZi7DYhiLtuyKu3-k3")</f>
        <v>https://drive.google.com/open?id=12D6tVmvoLlsK_hHZi7DYhiLtuyKu3-k3</v>
      </c>
      <c r="L414" s="74" t="str">
        <f>IFERROR(__xludf.DUMMYFUNCTION("""COMPUTED_VALUE"""),"2018-2022")</f>
        <v>2018-2022</v>
      </c>
      <c r="M414" s="74" t="str">
        <f>IFERROR(__xludf.DUMMYFUNCTION("""COMPUTED_VALUE"""),"S4: Student Certifications")</f>
        <v>S4: Student Certifications</v>
      </c>
      <c r="N414" s="74" t="str">
        <f>IFERROR(__xludf.DUMMYFUNCTION("""COMPUTED_VALUE"""),"thriramakrishna95@gmail.com")</f>
        <v>thriramakrishna95@gmail.com</v>
      </c>
      <c r="O414" s="74" t="str">
        <f>IFERROR(__xludf.DUMMYFUNCTION("""COMPUTED_VALUE"""),"SEM-8")</f>
        <v>SEM-8</v>
      </c>
      <c r="P414" s="74"/>
      <c r="Q414" s="74"/>
      <c r="R414" s="74"/>
      <c r="S414" s="74"/>
      <c r="T414" s="74"/>
      <c r="U414" s="74"/>
      <c r="V414" s="74"/>
      <c r="W414" s="74"/>
      <c r="X414" s="74"/>
      <c r="Y414" s="74"/>
    </row>
    <row r="415" ht="26.25" customHeight="1">
      <c r="A415" s="74" t="str">
        <f>IFERROR(__xludf.DUMMYFUNCTION("""COMPUTED_VALUE"""),"Hari Ramakrishna Turpati")</f>
        <v>Hari Ramakrishna Turpati</v>
      </c>
      <c r="B415" s="74" t="str">
        <f>IFERROR(__xludf.DUMMYFUNCTION("""COMPUTED_VALUE"""),"18331A05F9")</f>
        <v>18331A05F9</v>
      </c>
      <c r="C415" s="90" t="str">
        <f>IFERROR(__xludf.DUMMYFUNCTION("""COMPUTED_VALUE"""),"Switching Routing and wireless essentials")</f>
        <v>Switching Routing and wireless essentials</v>
      </c>
      <c r="D415" s="74" t="str">
        <f>IFERROR(__xludf.DUMMYFUNCTION("""COMPUTED_VALUE"""),"Netacad")</f>
        <v>Netacad</v>
      </c>
      <c r="E415" s="74" t="str">
        <f>IFERROR(__xludf.DUMMYFUNCTION("""COMPUTED_VALUE"""),"1 month")</f>
        <v>1 month</v>
      </c>
      <c r="F415" s="91">
        <f>IFERROR(__xludf.DUMMYFUNCTION("""COMPUTED_VALUE"""),44422.0)</f>
        <v>44422</v>
      </c>
      <c r="G415" s="91">
        <f>IFERROR(__xludf.DUMMYFUNCTION("""COMPUTED_VALUE"""),44453.0)</f>
        <v>44453</v>
      </c>
      <c r="H415" s="79">
        <f>IFERROR(__xludf.DUMMYFUNCTION("""COMPUTED_VALUE"""),44452.0)</f>
        <v>44452</v>
      </c>
      <c r="I415" s="92">
        <f>IFERROR(__xludf.DUMMYFUNCTION("""COMPUTED_VALUE"""),94.0)</f>
        <v>94</v>
      </c>
      <c r="J415" s="74" t="str">
        <f>IFERROR(__xludf.DUMMYFUNCTION("""COMPUTED_VALUE"""),"Dr.Ravi kiran varma")</f>
        <v>Dr.Ravi kiran varma</v>
      </c>
      <c r="K415" s="80" t="str">
        <f>IFERROR(__xludf.DUMMYFUNCTION("""COMPUTED_VALUE"""),"https://drive.google.com/open?id=1f4IbL3inliT5llRVq8Zb-tsbD5AxG-bz")</f>
        <v>https://drive.google.com/open?id=1f4IbL3inliT5llRVq8Zb-tsbD5AxG-bz</v>
      </c>
      <c r="L415" s="74" t="str">
        <f>IFERROR(__xludf.DUMMYFUNCTION("""COMPUTED_VALUE"""),"2018-2022")</f>
        <v>2018-2022</v>
      </c>
      <c r="M415" s="74" t="str">
        <f>IFERROR(__xludf.DUMMYFUNCTION("""COMPUTED_VALUE"""),"S4: Student Certifications")</f>
        <v>S4: Student Certifications</v>
      </c>
      <c r="N415" s="74" t="str">
        <f>IFERROR(__xludf.DUMMYFUNCTION("""COMPUTED_VALUE"""),"thriramakrishna95@gmail.com")</f>
        <v>thriramakrishna95@gmail.com</v>
      </c>
      <c r="O415" s="74" t="str">
        <f>IFERROR(__xludf.DUMMYFUNCTION("""COMPUTED_VALUE"""),"SEM-8")</f>
        <v>SEM-8</v>
      </c>
      <c r="P415" s="74"/>
      <c r="Q415" s="74"/>
      <c r="R415" s="74"/>
      <c r="S415" s="74"/>
      <c r="T415" s="74"/>
      <c r="U415" s="74"/>
      <c r="V415" s="74"/>
      <c r="W415" s="74"/>
      <c r="X415" s="74"/>
      <c r="Y415" s="74"/>
    </row>
    <row r="416" ht="26.25" customHeight="1">
      <c r="A416" s="74" t="str">
        <f>IFERROR(__xludf.DUMMYFUNCTION("""COMPUTED_VALUE"""),"Hari Ramakrishna Turpati")</f>
        <v>Hari Ramakrishna Turpati</v>
      </c>
      <c r="B416" s="74" t="str">
        <f>IFERROR(__xludf.DUMMYFUNCTION("""COMPUTED_VALUE"""),"18331A05F9")</f>
        <v>18331A05F9</v>
      </c>
      <c r="C416" s="90" t="str">
        <f>IFERROR(__xludf.DUMMYFUNCTION("""COMPUTED_VALUE"""),"Programming essentials in python")</f>
        <v>Programming essentials in python</v>
      </c>
      <c r="D416" s="74" t="str">
        <f>IFERROR(__xludf.DUMMYFUNCTION("""COMPUTED_VALUE"""),"Netacad")</f>
        <v>Netacad</v>
      </c>
      <c r="E416" s="74" t="str">
        <f>IFERROR(__xludf.DUMMYFUNCTION("""COMPUTED_VALUE"""),"1 month")</f>
        <v>1 month</v>
      </c>
      <c r="F416" s="91">
        <f>IFERROR(__xludf.DUMMYFUNCTION("""COMPUTED_VALUE"""),44355.0)</f>
        <v>44355</v>
      </c>
      <c r="G416" s="91">
        <f>IFERROR(__xludf.DUMMYFUNCTION("""COMPUTED_VALUE"""),44385.0)</f>
        <v>44385</v>
      </c>
      <c r="H416" s="79">
        <f>IFERROR(__xludf.DUMMYFUNCTION("""COMPUTED_VALUE"""),44384.0)</f>
        <v>44384</v>
      </c>
      <c r="I416" s="92">
        <f>IFERROR(__xludf.DUMMYFUNCTION("""COMPUTED_VALUE"""),95.0)</f>
        <v>95</v>
      </c>
      <c r="J416" s="74" t="str">
        <f>IFERROR(__xludf.DUMMYFUNCTION("""COMPUTED_VALUE"""),"Dr.Ravi kiran varma")</f>
        <v>Dr.Ravi kiran varma</v>
      </c>
      <c r="K416" s="80" t="str">
        <f>IFERROR(__xludf.DUMMYFUNCTION("""COMPUTED_VALUE"""),"https://drive.google.com/open?id=1sGwuj9VRKy0EKAY8yVgQ1Dcof6o5oKcu")</f>
        <v>https://drive.google.com/open?id=1sGwuj9VRKy0EKAY8yVgQ1Dcof6o5oKcu</v>
      </c>
      <c r="L416" s="74" t="str">
        <f>IFERROR(__xludf.DUMMYFUNCTION("""COMPUTED_VALUE"""),"2018-2022")</f>
        <v>2018-2022</v>
      </c>
      <c r="M416" s="74" t="str">
        <f>IFERROR(__xludf.DUMMYFUNCTION("""COMPUTED_VALUE"""),"S4: Student Certifications")</f>
        <v>S4: Student Certifications</v>
      </c>
      <c r="N416" s="74" t="str">
        <f>IFERROR(__xludf.DUMMYFUNCTION("""COMPUTED_VALUE"""),"thriramakrishna95@gmail.com")</f>
        <v>thriramakrishna95@gmail.com</v>
      </c>
      <c r="O416" s="74" t="str">
        <f>IFERROR(__xludf.DUMMYFUNCTION("""COMPUTED_VALUE"""),"SEM-8")</f>
        <v>SEM-8</v>
      </c>
      <c r="P416" s="74"/>
      <c r="Q416" s="74"/>
      <c r="R416" s="74"/>
      <c r="S416" s="74"/>
      <c r="T416" s="74"/>
      <c r="U416" s="74"/>
      <c r="V416" s="74"/>
      <c r="W416" s="74"/>
      <c r="X416" s="74"/>
      <c r="Y416" s="74"/>
    </row>
    <row r="417" ht="26.25" customHeight="1">
      <c r="A417" s="74" t="str">
        <f>IFERROR(__xludf.DUMMYFUNCTION("""COMPUTED_VALUE"""),"Hari Ramakrishna Turpati")</f>
        <v>Hari Ramakrishna Turpati</v>
      </c>
      <c r="B417" s="74" t="str">
        <f>IFERROR(__xludf.DUMMYFUNCTION("""COMPUTED_VALUE"""),"18331A05F9")</f>
        <v>18331A05F9</v>
      </c>
      <c r="C417" s="90" t="str">
        <f>IFERROR(__xludf.DUMMYFUNCTION("""COMPUTED_VALUE"""),"Cybersecurity essentials")</f>
        <v>Cybersecurity essentials</v>
      </c>
      <c r="D417" s="74" t="str">
        <f>IFERROR(__xludf.DUMMYFUNCTION("""COMPUTED_VALUE"""),"Netacad")</f>
        <v>Netacad</v>
      </c>
      <c r="E417" s="74" t="str">
        <f>IFERROR(__xludf.DUMMYFUNCTION("""COMPUTED_VALUE"""),"1 month")</f>
        <v>1 month</v>
      </c>
      <c r="F417" s="91">
        <f>IFERROR(__xludf.DUMMYFUNCTION("""COMPUTED_VALUE"""),43646.0)</f>
        <v>43646</v>
      </c>
      <c r="G417" s="91">
        <f>IFERROR(__xludf.DUMMYFUNCTION("""COMPUTED_VALUE"""),44407.0)</f>
        <v>44407</v>
      </c>
      <c r="H417" s="79">
        <f>IFERROR(__xludf.DUMMYFUNCTION("""COMPUTED_VALUE"""),44406.0)</f>
        <v>44406</v>
      </c>
      <c r="I417" s="92">
        <f>IFERROR(__xludf.DUMMYFUNCTION("""COMPUTED_VALUE"""),95.0)</f>
        <v>95</v>
      </c>
      <c r="J417" s="74" t="str">
        <f>IFERROR(__xludf.DUMMYFUNCTION("""COMPUTED_VALUE"""),"Dr. Ravi kiran varma")</f>
        <v>Dr. Ravi kiran varma</v>
      </c>
      <c r="K417" s="80" t="str">
        <f>IFERROR(__xludf.DUMMYFUNCTION("""COMPUTED_VALUE"""),"https://drive.google.com/open?id=1j1-oZeZS2g_ZOxn2CBPUDerYewVdGTrB")</f>
        <v>https://drive.google.com/open?id=1j1-oZeZS2g_ZOxn2CBPUDerYewVdGTrB</v>
      </c>
      <c r="L417" s="74" t="str">
        <f>IFERROR(__xludf.DUMMYFUNCTION("""COMPUTED_VALUE"""),"2018-2022")</f>
        <v>2018-2022</v>
      </c>
      <c r="M417" s="74" t="str">
        <f>IFERROR(__xludf.DUMMYFUNCTION("""COMPUTED_VALUE"""),"S4: Student Certifications")</f>
        <v>S4: Student Certifications</v>
      </c>
      <c r="N417" s="74" t="str">
        <f>IFERROR(__xludf.DUMMYFUNCTION("""COMPUTED_VALUE"""),"thriramakrishna95@gmail.com")</f>
        <v>thriramakrishna95@gmail.com</v>
      </c>
      <c r="O417" s="74" t="str">
        <f>IFERROR(__xludf.DUMMYFUNCTION("""COMPUTED_VALUE"""),"SEM-8")</f>
        <v>SEM-8</v>
      </c>
      <c r="P417" s="74"/>
      <c r="Q417" s="74"/>
      <c r="R417" s="74"/>
      <c r="S417" s="74"/>
      <c r="T417" s="74"/>
      <c r="U417" s="74"/>
      <c r="V417" s="74"/>
      <c r="W417" s="74"/>
      <c r="X417" s="74"/>
      <c r="Y417" s="74"/>
    </row>
    <row r="418" ht="26.25" customHeight="1">
      <c r="A418" s="74" t="str">
        <f>IFERROR(__xludf.DUMMYFUNCTION("""COMPUTED_VALUE"""),"Hari Ramakrishna Turpati")</f>
        <v>Hari Ramakrishna Turpati</v>
      </c>
      <c r="B418" s="74" t="str">
        <f>IFERROR(__xludf.DUMMYFUNCTION("""COMPUTED_VALUE"""),"18331A05F9")</f>
        <v>18331A05F9</v>
      </c>
      <c r="C418" s="90" t="str">
        <f>IFERROR(__xludf.DUMMYFUNCTION("""COMPUTED_VALUE"""),"Introduction to cyber security")</f>
        <v>Introduction to cyber security</v>
      </c>
      <c r="D418" s="74" t="str">
        <f>IFERROR(__xludf.DUMMYFUNCTION("""COMPUTED_VALUE"""),"Netacad")</f>
        <v>Netacad</v>
      </c>
      <c r="E418" s="74" t="str">
        <f>IFERROR(__xludf.DUMMYFUNCTION("""COMPUTED_VALUE"""),"1 month")</f>
        <v>1 month</v>
      </c>
      <c r="F418" s="91">
        <f>IFERROR(__xludf.DUMMYFUNCTION("""COMPUTED_VALUE"""),44316.0)</f>
        <v>44316</v>
      </c>
      <c r="G418" s="91">
        <f>IFERROR(__xludf.DUMMYFUNCTION("""COMPUTED_VALUE"""),44346.0)</f>
        <v>44346</v>
      </c>
      <c r="H418" s="79">
        <f>IFERROR(__xludf.DUMMYFUNCTION("""COMPUTED_VALUE"""),44345.0)</f>
        <v>44345</v>
      </c>
      <c r="I418" s="92">
        <f>IFERROR(__xludf.DUMMYFUNCTION("""COMPUTED_VALUE"""),93.0)</f>
        <v>93</v>
      </c>
      <c r="J418" s="74" t="str">
        <f>IFERROR(__xludf.DUMMYFUNCTION("""COMPUTED_VALUE"""),"Dr. Ravi kiran varma")</f>
        <v>Dr. Ravi kiran varma</v>
      </c>
      <c r="K418" s="80" t="str">
        <f>IFERROR(__xludf.DUMMYFUNCTION("""COMPUTED_VALUE"""),"https://drive.google.com/open?id=17YaiJ7jsRQYYiWUOAI1WTjDUII1YWA80")</f>
        <v>https://drive.google.com/open?id=17YaiJ7jsRQYYiWUOAI1WTjDUII1YWA80</v>
      </c>
      <c r="L418" s="74" t="str">
        <f>IFERROR(__xludf.DUMMYFUNCTION("""COMPUTED_VALUE"""),"2018-2022")</f>
        <v>2018-2022</v>
      </c>
      <c r="M418" s="74" t="str">
        <f>IFERROR(__xludf.DUMMYFUNCTION("""COMPUTED_VALUE"""),"S4: Student Certifications")</f>
        <v>S4: Student Certifications</v>
      </c>
      <c r="N418" s="74" t="str">
        <f>IFERROR(__xludf.DUMMYFUNCTION("""COMPUTED_VALUE"""),"thriramakrishna95@gmail.com")</f>
        <v>thriramakrishna95@gmail.com</v>
      </c>
      <c r="O418" s="74" t="str">
        <f>IFERROR(__xludf.DUMMYFUNCTION("""COMPUTED_VALUE"""),"SEM-8")</f>
        <v>SEM-8</v>
      </c>
      <c r="P418" s="74"/>
      <c r="Q418" s="74"/>
      <c r="R418" s="74"/>
      <c r="S418" s="74"/>
      <c r="T418" s="74"/>
      <c r="U418" s="74"/>
      <c r="V418" s="74"/>
      <c r="W418" s="74"/>
      <c r="X418" s="74"/>
      <c r="Y418" s="74"/>
    </row>
    <row r="419" ht="26.25" customHeight="1">
      <c r="A419" s="74" t="str">
        <f>IFERROR(__xludf.DUMMYFUNCTION("""COMPUTED_VALUE"""),"Hari Ramakrishna Turpati")</f>
        <v>Hari Ramakrishna Turpati</v>
      </c>
      <c r="B419" s="74" t="str">
        <f>IFERROR(__xludf.DUMMYFUNCTION("""COMPUTED_VALUE"""),"18331A05F9")</f>
        <v>18331A05F9</v>
      </c>
      <c r="C419" s="90" t="str">
        <f>IFERROR(__xludf.DUMMYFUNCTION("""COMPUTED_VALUE"""),"Cybersecurity foundation")</f>
        <v>Cybersecurity foundation</v>
      </c>
      <c r="D419" s="74" t="str">
        <f>IFERROR(__xludf.DUMMYFUNCTION("""COMPUTED_VALUE"""),"Palo alto networks")</f>
        <v>Palo alto networks</v>
      </c>
      <c r="E419" s="74" t="str">
        <f>IFERROR(__xludf.DUMMYFUNCTION("""COMPUTED_VALUE"""),"1 month")</f>
        <v>1 month</v>
      </c>
      <c r="F419" s="91">
        <f>IFERROR(__xludf.DUMMYFUNCTION("""COMPUTED_VALUE"""),44371.0)</f>
        <v>44371</v>
      </c>
      <c r="G419" s="91">
        <f>IFERROR(__xludf.DUMMYFUNCTION("""COMPUTED_VALUE"""),44401.0)</f>
        <v>44401</v>
      </c>
      <c r="H419" s="79">
        <f>IFERROR(__xludf.DUMMYFUNCTION("""COMPUTED_VALUE"""),44400.0)</f>
        <v>44400</v>
      </c>
      <c r="I419" s="92">
        <f>IFERROR(__xludf.DUMMYFUNCTION("""COMPUTED_VALUE"""),92.0)</f>
        <v>92</v>
      </c>
      <c r="J419" s="74" t="str">
        <f>IFERROR(__xludf.DUMMYFUNCTION("""COMPUTED_VALUE"""),"Dr. Ravi kiran varma")</f>
        <v>Dr. Ravi kiran varma</v>
      </c>
      <c r="K419" s="80" t="str">
        <f>IFERROR(__xludf.DUMMYFUNCTION("""COMPUTED_VALUE"""),"https://drive.google.com/open?id=1TUx6HI9v0Krubux7DA1wOgRCNkWizT7H")</f>
        <v>https://drive.google.com/open?id=1TUx6HI9v0Krubux7DA1wOgRCNkWizT7H</v>
      </c>
      <c r="L419" s="74" t="str">
        <f>IFERROR(__xludf.DUMMYFUNCTION("""COMPUTED_VALUE"""),"2018-2022")</f>
        <v>2018-2022</v>
      </c>
      <c r="M419" s="74" t="str">
        <f>IFERROR(__xludf.DUMMYFUNCTION("""COMPUTED_VALUE"""),"S4: Student Certifications")</f>
        <v>S4: Student Certifications</v>
      </c>
      <c r="N419" s="74" t="str">
        <f>IFERROR(__xludf.DUMMYFUNCTION("""COMPUTED_VALUE"""),"thriramakrishna95@gmail.com")</f>
        <v>thriramakrishna95@gmail.com</v>
      </c>
      <c r="O419" s="74" t="str">
        <f>IFERROR(__xludf.DUMMYFUNCTION("""COMPUTED_VALUE"""),"SEM-8")</f>
        <v>SEM-8</v>
      </c>
      <c r="P419" s="74"/>
      <c r="Q419" s="74"/>
      <c r="R419" s="74"/>
      <c r="S419" s="74"/>
      <c r="T419" s="74"/>
      <c r="U419" s="74"/>
      <c r="V419" s="74"/>
      <c r="W419" s="74"/>
      <c r="X419" s="74"/>
      <c r="Y419" s="74"/>
    </row>
    <row r="420" ht="26.25" customHeight="1">
      <c r="A420" s="74" t="str">
        <f>IFERROR(__xludf.DUMMYFUNCTION("""COMPUTED_VALUE"""),"Hari Ramakrishna Turpati")</f>
        <v>Hari Ramakrishna Turpati</v>
      </c>
      <c r="B420" s="74" t="str">
        <f>IFERROR(__xludf.DUMMYFUNCTION("""COMPUTED_VALUE"""),"18331A05F9")</f>
        <v>18331A05F9</v>
      </c>
      <c r="C420" s="90" t="str">
        <f>IFERROR(__xludf.DUMMYFUNCTION("""COMPUTED_VALUE"""),"AWS certified Solutions architect- associate")</f>
        <v>AWS certified Solutions architect- associate</v>
      </c>
      <c r="D420" s="74" t="str">
        <f>IFERROR(__xludf.DUMMYFUNCTION("""COMPUTED_VALUE"""),"Amazon Web Services")</f>
        <v>Amazon Web Services</v>
      </c>
      <c r="E420" s="74" t="str">
        <f>IFERROR(__xludf.DUMMYFUNCTION("""COMPUTED_VALUE"""),"1 month")</f>
        <v>1 month</v>
      </c>
      <c r="F420" s="91">
        <f>IFERROR(__xludf.DUMMYFUNCTION("""COMPUTED_VALUE"""),44095.0)</f>
        <v>44095</v>
      </c>
      <c r="G420" s="91">
        <f>IFERROR(__xludf.DUMMYFUNCTION("""COMPUTED_VALUE"""),44125.0)</f>
        <v>44125</v>
      </c>
      <c r="H420" s="79">
        <f>IFERROR(__xludf.DUMMYFUNCTION("""COMPUTED_VALUE"""),44123.0)</f>
        <v>44123</v>
      </c>
      <c r="I420" s="92">
        <f>IFERROR(__xludf.DUMMYFUNCTION("""COMPUTED_VALUE"""),85.0)</f>
        <v>85</v>
      </c>
      <c r="J420" s="74" t="str">
        <f>IFERROR(__xludf.DUMMYFUNCTION("""COMPUTED_VALUE"""),"Amazon Organisation exam")</f>
        <v>Amazon Organisation exam</v>
      </c>
      <c r="K420" s="80" t="str">
        <f>IFERROR(__xludf.DUMMYFUNCTION("""COMPUTED_VALUE"""),"https://drive.google.com/open?id=1Oon8p6ylgk_W4ZWn769axktQh7m85hqJ")</f>
        <v>https://drive.google.com/open?id=1Oon8p6ylgk_W4ZWn769axktQh7m85hqJ</v>
      </c>
      <c r="L420" s="74" t="str">
        <f>IFERROR(__xludf.DUMMYFUNCTION("""COMPUTED_VALUE"""),"2018-2022")</f>
        <v>2018-2022</v>
      </c>
      <c r="M420" s="74" t="str">
        <f>IFERROR(__xludf.DUMMYFUNCTION("""COMPUTED_VALUE"""),"S4: Student Certifications")</f>
        <v>S4: Student Certifications</v>
      </c>
      <c r="N420" s="74" t="str">
        <f>IFERROR(__xludf.DUMMYFUNCTION("""COMPUTED_VALUE"""),"thriramakrishna95@gmail.com")</f>
        <v>thriramakrishna95@gmail.com</v>
      </c>
      <c r="O420" s="74" t="str">
        <f>IFERROR(__xludf.DUMMYFUNCTION("""COMPUTED_VALUE"""),"SEM-8")</f>
        <v>SEM-8</v>
      </c>
      <c r="P420" s="74"/>
      <c r="Q420" s="74"/>
      <c r="R420" s="74"/>
      <c r="S420" s="74"/>
      <c r="T420" s="74"/>
      <c r="U420" s="74"/>
      <c r="V420" s="74"/>
      <c r="W420" s="74"/>
      <c r="X420" s="74"/>
      <c r="Y420" s="74"/>
    </row>
    <row r="421" ht="26.25" customHeight="1">
      <c r="A421" s="74" t="str">
        <f>IFERROR(__xludf.DUMMYFUNCTION("""COMPUTED_VALUE"""),"Sravani Sreepada")</f>
        <v>Sravani Sreepada</v>
      </c>
      <c r="B421" s="74" t="str">
        <f>IFERROR(__xludf.DUMMYFUNCTION("""COMPUTED_VALUE"""),"19331A05G1")</f>
        <v>19331A05G1</v>
      </c>
      <c r="C421" s="90" t="str">
        <f>IFERROR(__xludf.DUMMYFUNCTION("""COMPUTED_VALUE"""),"Programming for Everybody (Getting Started with Python)")</f>
        <v>Programming for Everybody (Getting Started with Python)</v>
      </c>
      <c r="D421" s="74" t="str">
        <f>IFERROR(__xludf.DUMMYFUNCTION("""COMPUTED_VALUE"""),"University of Michigan")</f>
        <v>University of Michigan</v>
      </c>
      <c r="E421" s="74" t="str">
        <f>IFERROR(__xludf.DUMMYFUNCTION("""COMPUTED_VALUE"""),"7 weeks")</f>
        <v>7 weeks</v>
      </c>
      <c r="F421" s="91">
        <f>IFERROR(__xludf.DUMMYFUNCTION("""COMPUTED_VALUE"""),43895.0)</f>
        <v>43895</v>
      </c>
      <c r="G421" s="91">
        <f>IFERROR(__xludf.DUMMYFUNCTION("""COMPUTED_VALUE"""),44676.0)</f>
        <v>44676</v>
      </c>
      <c r="H421" s="79">
        <f>IFERROR(__xludf.DUMMYFUNCTION("""COMPUTED_VALUE"""),44676.0)</f>
        <v>44676</v>
      </c>
      <c r="I421" s="92">
        <f>IFERROR(__xludf.DUMMYFUNCTION("""COMPUTED_VALUE"""),0.9908)</f>
        <v>0.9908</v>
      </c>
      <c r="J421" s="74" t="str">
        <f>IFERROR(__xludf.DUMMYFUNCTION("""COMPUTED_VALUE""")," Charles Russell Severance")</f>
        <v> Charles Russell Severance</v>
      </c>
      <c r="K421" s="80" t="str">
        <f>IFERROR(__xludf.DUMMYFUNCTION("""COMPUTED_VALUE"""),"https://drive.google.com/open?id=1a5C1fy7ElXVeE8z6o5zy1tZ2Ook-dC0p")</f>
        <v>https://drive.google.com/open?id=1a5C1fy7ElXVeE8z6o5zy1tZ2Ook-dC0p</v>
      </c>
      <c r="L421" s="74" t="str">
        <f>IFERROR(__xludf.DUMMYFUNCTION("""COMPUTED_VALUE"""),"2019-2023")</f>
        <v>2019-2023</v>
      </c>
      <c r="M421" s="74" t="str">
        <f>IFERROR(__xludf.DUMMYFUNCTION("""COMPUTED_VALUE"""),"S4: Student Certifications")</f>
        <v>S4: Student Certifications</v>
      </c>
      <c r="N421" s="74" t="str">
        <f>IFERROR(__xludf.DUMMYFUNCTION("""COMPUTED_VALUE"""),"sreepadasravani@gmail.com")</f>
        <v>sreepadasravani@gmail.com</v>
      </c>
      <c r="O421" s="74" t="str">
        <f>IFERROR(__xludf.DUMMYFUNCTION("""COMPUTED_VALUE"""),"SEM-6")</f>
        <v>SEM-6</v>
      </c>
      <c r="P421" s="74"/>
      <c r="Q421" s="74"/>
      <c r="R421" s="74"/>
      <c r="S421" s="74"/>
      <c r="T421" s="74"/>
      <c r="U421" s="74"/>
      <c r="V421" s="74"/>
      <c r="W421" s="74"/>
      <c r="X421" s="74"/>
      <c r="Y421" s="74"/>
    </row>
    <row r="422" ht="26.25" customHeight="1">
      <c r="A422" s="74" t="str">
        <f>IFERROR(__xludf.DUMMYFUNCTION("""COMPUTED_VALUE"""),"yarusha lavanya")</f>
        <v>yarusha lavanya</v>
      </c>
      <c r="B422" s="74" t="str">
        <f>IFERROR(__xludf.DUMMYFUNCTION("""COMPUTED_VALUE"""),"18331A05E4")</f>
        <v>18331A05E4</v>
      </c>
      <c r="C422" s="90" t="str">
        <f>IFERROR(__xludf.DUMMYFUNCTION("""COMPUTED_VALUE"""),"deep learning")</f>
        <v>deep learning</v>
      </c>
      <c r="D422" s="74" t="str">
        <f>IFERROR(__xludf.DUMMYFUNCTION("""COMPUTED_VALUE"""),"coursera")</f>
        <v>coursera</v>
      </c>
      <c r="E422" s="74" t="str">
        <f>IFERROR(__xludf.DUMMYFUNCTION("""COMPUTED_VALUE"""),"2 months")</f>
        <v>2 months</v>
      </c>
      <c r="F422" s="91">
        <f>IFERROR(__xludf.DUMMYFUNCTION("""COMPUTED_VALUE"""),43553.0)</f>
        <v>43553</v>
      </c>
      <c r="G422" s="91">
        <f>IFERROR(__xludf.DUMMYFUNCTION("""COMPUTED_VALUE"""),43610.0)</f>
        <v>43610</v>
      </c>
      <c r="H422" s="79">
        <f>IFERROR(__xludf.DUMMYFUNCTION("""COMPUTED_VALUE"""),43614.0)</f>
        <v>43614</v>
      </c>
      <c r="I422" s="92">
        <f>IFERROR(__xludf.DUMMYFUNCTION("""COMPUTED_VALUE"""),100.0)</f>
        <v>100</v>
      </c>
      <c r="J422" s="74" t="str">
        <f>IFERROR(__xludf.DUMMYFUNCTION("""COMPUTED_VALUE"""),"online")</f>
        <v>online</v>
      </c>
      <c r="K422" s="80" t="str">
        <f>IFERROR(__xludf.DUMMYFUNCTION("""COMPUTED_VALUE"""),"https://drive.google.com/open?id=1ZZA504_CZJJomGE-VQrhHmlKo50Jlrb8")</f>
        <v>https://drive.google.com/open?id=1ZZA504_CZJJomGE-VQrhHmlKo50Jlrb8</v>
      </c>
      <c r="L422" s="74" t="str">
        <f>IFERROR(__xludf.DUMMYFUNCTION("""COMPUTED_VALUE"""),"2018-2022")</f>
        <v>2018-2022</v>
      </c>
      <c r="M422" s="74" t="str">
        <f>IFERROR(__xludf.DUMMYFUNCTION("""COMPUTED_VALUE"""),"S4: Student Certifications")</f>
        <v>S4: Student Certifications</v>
      </c>
      <c r="N422" s="74" t="str">
        <f>IFERROR(__xludf.DUMMYFUNCTION("""COMPUTED_VALUE"""),"lavanyayarusha25@gmail.com")</f>
        <v>lavanyayarusha25@gmail.com</v>
      </c>
      <c r="O422" s="74" t="str">
        <f>IFERROR(__xludf.DUMMYFUNCTION("""COMPUTED_VALUE"""),"SEM-8")</f>
        <v>SEM-8</v>
      </c>
      <c r="P422" s="74"/>
      <c r="Q422" s="74"/>
      <c r="R422" s="74"/>
      <c r="S422" s="74"/>
      <c r="T422" s="74"/>
      <c r="U422" s="74"/>
      <c r="V422" s="74"/>
      <c r="W422" s="74"/>
      <c r="X422" s="74"/>
      <c r="Y422" s="74"/>
    </row>
    <row r="423" ht="26.25" customHeight="1">
      <c r="A423" s="74" t="str">
        <f>IFERROR(__xludf.DUMMYFUNCTION("""COMPUTED_VALUE"""),"Sai Yogesh Bhasuru")</f>
        <v>Sai Yogesh Bhasuru</v>
      </c>
      <c r="B423" s="74" t="str">
        <f>IFERROR(__xludf.DUMMYFUNCTION("""COMPUTED_VALUE"""),"18331A05D4")</f>
        <v>18331A05D4</v>
      </c>
      <c r="C423" s="90" t="str">
        <f>IFERROR(__xludf.DUMMYFUNCTION("""COMPUTED_VALUE"""),"CYBER SECURITY")</f>
        <v>CYBER SECURITY</v>
      </c>
      <c r="D423" s="74" t="str">
        <f>IFERROR(__xludf.DUMMYFUNCTION("""COMPUTED_VALUE"""),"PALO ALTO NETWORKS CYBERSECURITY ACADEMY")</f>
        <v>PALO ALTO NETWORKS CYBERSECURITY ACADEMY</v>
      </c>
      <c r="E423" s="74" t="str">
        <f>IFERROR(__xludf.DUMMYFUNCTION("""COMPUTED_VALUE"""),"30 days")</f>
        <v>30 days</v>
      </c>
      <c r="F423" s="91">
        <f>IFERROR(__xludf.DUMMYFUNCTION("""COMPUTED_VALUE"""),44373.0)</f>
        <v>44373</v>
      </c>
      <c r="G423" s="91">
        <f>IFERROR(__xludf.DUMMYFUNCTION("""COMPUTED_VALUE"""),44403.0)</f>
        <v>44403</v>
      </c>
      <c r="H423" s="79">
        <f>IFERROR(__xludf.DUMMYFUNCTION("""COMPUTED_VALUE"""),44403.0)</f>
        <v>44403</v>
      </c>
      <c r="I423" s="92">
        <f>IFERROR(__xludf.DUMMYFUNCTION("""COMPUTED_VALUE"""),0.95)</f>
        <v>0.95</v>
      </c>
      <c r="J423" s="74" t="str">
        <f>IFERROR(__xludf.DUMMYFUNCTION("""COMPUTED_VALUE"""),"Dr. P. Ravi Kiran Varma")</f>
        <v>Dr. P. Ravi Kiran Varma</v>
      </c>
      <c r="K423" s="80" t="str">
        <f>IFERROR(__xludf.DUMMYFUNCTION("""COMPUTED_VALUE"""),"https://drive.google.com/open?id=1ySydhHPSGF509jC_hYDhMEh1dGCh1YnY")</f>
        <v>https://drive.google.com/open?id=1ySydhHPSGF509jC_hYDhMEh1dGCh1YnY</v>
      </c>
      <c r="L423" s="74" t="str">
        <f>IFERROR(__xludf.DUMMYFUNCTION("""COMPUTED_VALUE"""),"2018-2022")</f>
        <v>2018-2022</v>
      </c>
      <c r="M423" s="74" t="str">
        <f>IFERROR(__xludf.DUMMYFUNCTION("""COMPUTED_VALUE"""),"S4: Student Certifications")</f>
        <v>S4: Student Certifications</v>
      </c>
      <c r="N423" s="74" t="str">
        <f>IFERROR(__xludf.DUMMYFUNCTION("""COMPUTED_VALUE"""),"saiyogeshbhasuru16@gmail.com")</f>
        <v>saiyogeshbhasuru16@gmail.com</v>
      </c>
      <c r="O423" s="74" t="str">
        <f>IFERROR(__xludf.DUMMYFUNCTION("""COMPUTED_VALUE"""),"SEM-8")</f>
        <v>SEM-8</v>
      </c>
      <c r="P423" s="74"/>
      <c r="Q423" s="74"/>
      <c r="R423" s="74"/>
      <c r="S423" s="74"/>
      <c r="T423" s="74"/>
      <c r="U423" s="74"/>
      <c r="V423" s="74"/>
      <c r="W423" s="74"/>
      <c r="X423" s="74"/>
      <c r="Y423" s="74"/>
    </row>
    <row r="424" ht="26.25" customHeight="1">
      <c r="A424" s="74" t="str">
        <f>IFERROR(__xludf.DUMMYFUNCTION("""COMPUTED_VALUE"""),"yarusha lavanya")</f>
        <v>yarusha lavanya</v>
      </c>
      <c r="B424" s="74" t="str">
        <f>IFERROR(__xludf.DUMMYFUNCTION("""COMPUTED_VALUE"""),"18331A05E4")</f>
        <v>18331A05E4</v>
      </c>
      <c r="C424" s="90" t="str">
        <f>IFERROR(__xludf.DUMMYFUNCTION("""COMPUTED_VALUE"""),"cyberattacks")</f>
        <v>cyberattacks</v>
      </c>
      <c r="D424" s="74" t="str">
        <f>IFERROR(__xludf.DUMMYFUNCTION("""COMPUTED_VALUE"""),"coursera")</f>
        <v>coursera</v>
      </c>
      <c r="E424" s="74" t="str">
        <f>IFERROR(__xludf.DUMMYFUNCTION("""COMPUTED_VALUE"""),"2 months")</f>
        <v>2 months</v>
      </c>
      <c r="F424" s="91">
        <f>IFERROR(__xludf.DUMMYFUNCTION("""COMPUTED_VALUE"""),43915.0)</f>
        <v>43915</v>
      </c>
      <c r="G424" s="91">
        <f>IFERROR(__xludf.DUMMYFUNCTION("""COMPUTED_VALUE"""),43976.0)</f>
        <v>43976</v>
      </c>
      <c r="H424" s="79">
        <f>IFERROR(__xludf.DUMMYFUNCTION("""COMPUTED_VALUE"""),43980.0)</f>
        <v>43980</v>
      </c>
      <c r="I424" s="92">
        <f>IFERROR(__xludf.DUMMYFUNCTION("""COMPUTED_VALUE"""),100.0)</f>
        <v>100</v>
      </c>
      <c r="J424" s="74" t="str">
        <f>IFERROR(__xludf.DUMMYFUNCTION("""COMPUTED_VALUE"""),"online")</f>
        <v>online</v>
      </c>
      <c r="K424" s="80" t="str">
        <f>IFERROR(__xludf.DUMMYFUNCTION("""COMPUTED_VALUE"""),"https://drive.google.com/open?id=1m4BTv5Etd4b2TIO038QhUJcszrtjqWra")</f>
        <v>https://drive.google.com/open?id=1m4BTv5Etd4b2TIO038QhUJcszrtjqWra</v>
      </c>
      <c r="L424" s="74" t="str">
        <f>IFERROR(__xludf.DUMMYFUNCTION("""COMPUTED_VALUE"""),"2018-2022")</f>
        <v>2018-2022</v>
      </c>
      <c r="M424" s="74" t="str">
        <f>IFERROR(__xludf.DUMMYFUNCTION("""COMPUTED_VALUE"""),"S4: Student Certifications")</f>
        <v>S4: Student Certifications</v>
      </c>
      <c r="N424" s="74" t="str">
        <f>IFERROR(__xludf.DUMMYFUNCTION("""COMPUTED_VALUE"""),"lavanyayarusha25@gmail.com")</f>
        <v>lavanyayarusha25@gmail.com</v>
      </c>
      <c r="O424" s="74" t="str">
        <f>IFERROR(__xludf.DUMMYFUNCTION("""COMPUTED_VALUE"""),"SEM-4")</f>
        <v>SEM-4</v>
      </c>
      <c r="P424" s="74"/>
      <c r="Q424" s="74"/>
      <c r="R424" s="74"/>
      <c r="S424" s="74"/>
      <c r="T424" s="74"/>
      <c r="U424" s="74"/>
      <c r="V424" s="74"/>
      <c r="W424" s="74"/>
      <c r="X424" s="74"/>
      <c r="Y424" s="74"/>
    </row>
    <row r="425" ht="26.25" customHeight="1">
      <c r="A425" s="74" t="str">
        <f>IFERROR(__xludf.DUMMYFUNCTION("""COMPUTED_VALUE"""),"Mandadi Bharathi naga sri sai prathyusha ")</f>
        <v>Mandadi Bharathi naga sri sai prathyusha </v>
      </c>
      <c r="B425" s="74" t="str">
        <f>IFERROR(__xludf.DUMMYFUNCTION("""COMPUTED_VALUE"""),"18331A0593")</f>
        <v>18331A0593</v>
      </c>
      <c r="C425" s="90" t="str">
        <f>IFERROR(__xludf.DUMMYFUNCTION("""COMPUTED_VALUE"""),"Html course")</f>
        <v>Html course</v>
      </c>
      <c r="D425" s="74" t="str">
        <f>IFERROR(__xludf.DUMMYFUNCTION("""COMPUTED_VALUE"""),"Sololearn")</f>
        <v>Sololearn</v>
      </c>
      <c r="E425" s="74" t="str">
        <f>IFERROR(__xludf.DUMMYFUNCTION("""COMPUTED_VALUE"""),"1")</f>
        <v>1</v>
      </c>
      <c r="F425" s="91">
        <f>IFERROR(__xludf.DUMMYFUNCTION("""COMPUTED_VALUE"""),43345.0)</f>
        <v>43345</v>
      </c>
      <c r="G425" s="91">
        <f>IFERROR(__xludf.DUMMYFUNCTION("""COMPUTED_VALUE"""),43372.0)</f>
        <v>43372</v>
      </c>
      <c r="H425" s="79">
        <f>IFERROR(__xludf.DUMMYFUNCTION("""COMPUTED_VALUE"""),43373.0)</f>
        <v>43373</v>
      </c>
      <c r="I425" s="92">
        <f>IFERROR(__xludf.DUMMYFUNCTION("""COMPUTED_VALUE"""),0.0)</f>
        <v>0</v>
      </c>
      <c r="J425" s="74" t="str">
        <f>IFERROR(__xludf.DUMMYFUNCTION("""COMPUTED_VALUE"""),".")</f>
        <v>.</v>
      </c>
      <c r="K425" s="80" t="str">
        <f>IFERROR(__xludf.DUMMYFUNCTION("""COMPUTED_VALUE"""),"https://drive.google.com/open?id=19GI5qFSQHScSiFk4Ywd1RnR0wG0_hQVG")</f>
        <v>https://drive.google.com/open?id=19GI5qFSQHScSiFk4Ywd1RnR0wG0_hQVG</v>
      </c>
      <c r="L425" s="74" t="str">
        <f>IFERROR(__xludf.DUMMYFUNCTION("""COMPUTED_VALUE"""),"2018-2022")</f>
        <v>2018-2022</v>
      </c>
      <c r="M425" s="74" t="str">
        <f>IFERROR(__xludf.DUMMYFUNCTION("""COMPUTED_VALUE"""),"S4: Student Certifications")</f>
        <v>S4: Student Certifications</v>
      </c>
      <c r="N425" s="74" t="str">
        <f>IFERROR(__xludf.DUMMYFUNCTION("""COMPUTED_VALUE"""),"mandadi.prathyusha@gmail.com")</f>
        <v>mandadi.prathyusha@gmail.com</v>
      </c>
      <c r="O425" s="74" t="str">
        <f>IFERROR(__xludf.DUMMYFUNCTION("""COMPUTED_VALUE"""),"SEM-8")</f>
        <v>SEM-8</v>
      </c>
      <c r="P425" s="74"/>
      <c r="Q425" s="74"/>
      <c r="R425" s="74"/>
      <c r="S425" s="74"/>
      <c r="T425" s="74"/>
      <c r="U425" s="74"/>
      <c r="V425" s="74"/>
      <c r="W425" s="74"/>
      <c r="X425" s="74"/>
      <c r="Y425" s="74"/>
    </row>
    <row r="426" ht="26.25" customHeight="1">
      <c r="A426" s="74" t="str">
        <f>IFERROR(__xludf.DUMMYFUNCTION("""COMPUTED_VALUE"""),"yarusha lavanya")</f>
        <v>yarusha lavanya</v>
      </c>
      <c r="B426" s="74" t="str">
        <f>IFERROR(__xludf.DUMMYFUNCTION("""COMPUTED_VALUE"""),"18331A05E4")</f>
        <v>18331A05E4</v>
      </c>
      <c r="C426" s="90" t="str">
        <f>IFERROR(__xludf.DUMMYFUNCTION("""COMPUTED_VALUE"""),"c")</f>
        <v>c</v>
      </c>
      <c r="D426" s="74" t="str">
        <f>IFERROR(__xludf.DUMMYFUNCTION("""COMPUTED_VALUE"""),"cisco")</f>
        <v>cisco</v>
      </c>
      <c r="E426" s="74" t="str">
        <f>IFERROR(__xludf.DUMMYFUNCTION("""COMPUTED_VALUE"""),"4 months")</f>
        <v>4 months</v>
      </c>
      <c r="F426" s="91">
        <f>IFERROR(__xludf.DUMMYFUNCTION("""COMPUTED_VALUE"""),43647.0)</f>
        <v>43647</v>
      </c>
      <c r="G426" s="91">
        <f>IFERROR(__xludf.DUMMYFUNCTION("""COMPUTED_VALUE"""),43681.0)</f>
        <v>43681</v>
      </c>
      <c r="H426" s="79">
        <f>IFERROR(__xludf.DUMMYFUNCTION("""COMPUTED_VALUE"""),43803.0)</f>
        <v>43803</v>
      </c>
      <c r="I426" s="92">
        <f>IFERROR(__xludf.DUMMYFUNCTION("""COMPUTED_VALUE"""),90.0)</f>
        <v>90</v>
      </c>
      <c r="J426" s="74" t="str">
        <f>IFERROR(__xludf.DUMMYFUNCTION("""COMPUTED_VALUE"""),"DR.P.RAVI KIRAN VARMA")</f>
        <v>DR.P.RAVI KIRAN VARMA</v>
      </c>
      <c r="K426" s="80" t="str">
        <f>IFERROR(__xludf.DUMMYFUNCTION("""COMPUTED_VALUE"""),"https://drive.google.com/open?id=1a3rZb27uIXa2apvbeh2nvyIEJUoZY8CP")</f>
        <v>https://drive.google.com/open?id=1a3rZb27uIXa2apvbeh2nvyIEJUoZY8CP</v>
      </c>
      <c r="L426" s="74" t="str">
        <f>IFERROR(__xludf.DUMMYFUNCTION("""COMPUTED_VALUE"""),"2018-2022")</f>
        <v>2018-2022</v>
      </c>
      <c r="M426" s="74" t="str">
        <f>IFERROR(__xludf.DUMMYFUNCTION("""COMPUTED_VALUE"""),"S4: Student Certifications")</f>
        <v>S4: Student Certifications</v>
      </c>
      <c r="N426" s="74" t="str">
        <f>IFERROR(__xludf.DUMMYFUNCTION("""COMPUTED_VALUE"""),"lavanyayarusha25@gmail.com")</f>
        <v>lavanyayarusha25@gmail.com</v>
      </c>
      <c r="O426" s="74" t="str">
        <f>IFERROR(__xludf.DUMMYFUNCTION("""COMPUTED_VALUE"""),"SEM-2")</f>
        <v>SEM-2</v>
      </c>
      <c r="P426" s="74"/>
      <c r="Q426" s="74"/>
      <c r="R426" s="74"/>
      <c r="S426" s="74"/>
      <c r="T426" s="74"/>
      <c r="U426" s="74"/>
      <c r="V426" s="74"/>
      <c r="W426" s="74"/>
      <c r="X426" s="74"/>
      <c r="Y426" s="74"/>
    </row>
    <row r="427" ht="26.25" customHeight="1">
      <c r="A427" s="74" t="str">
        <f>IFERROR(__xludf.DUMMYFUNCTION("""COMPUTED_VALUE"""),"yarusha lavanya")</f>
        <v>yarusha lavanya</v>
      </c>
      <c r="B427" s="74" t="str">
        <f>IFERROR(__xludf.DUMMYFUNCTION("""COMPUTED_VALUE"""),"18331A05E4")</f>
        <v>18331A05E4</v>
      </c>
      <c r="C427" s="90" t="str">
        <f>IFERROR(__xludf.DUMMYFUNCTION("""COMPUTED_VALUE"""),"cyber security")</f>
        <v>cyber security</v>
      </c>
      <c r="D427" s="74" t="str">
        <f>IFERROR(__xludf.DUMMYFUNCTION("""COMPUTED_VALUE"""),"cisco")</f>
        <v>cisco</v>
      </c>
      <c r="E427" s="74" t="str">
        <f>IFERROR(__xludf.DUMMYFUNCTION("""COMPUTED_VALUE"""),"4 months")</f>
        <v>4 months</v>
      </c>
      <c r="F427" s="91">
        <f>IFERROR(__xludf.DUMMYFUNCTION("""COMPUTED_VALUE"""),43501.0)</f>
        <v>43501</v>
      </c>
      <c r="G427" s="91">
        <f>IFERROR(__xludf.DUMMYFUNCTION("""COMPUTED_VALUE"""),43603.0)</f>
        <v>43603</v>
      </c>
      <c r="H427" s="79">
        <f>IFERROR(__xludf.DUMMYFUNCTION("""COMPUTED_VALUE"""),43623.0)</f>
        <v>43623</v>
      </c>
      <c r="I427" s="92">
        <f>IFERROR(__xludf.DUMMYFUNCTION("""COMPUTED_VALUE"""),89.0)</f>
        <v>89</v>
      </c>
      <c r="J427" s="74" t="str">
        <f>IFERROR(__xludf.DUMMYFUNCTION("""COMPUTED_VALUE"""),"DR.P.RAVI KIRAN VARMA")</f>
        <v>DR.P.RAVI KIRAN VARMA</v>
      </c>
      <c r="K427" s="80" t="str">
        <f>IFERROR(__xludf.DUMMYFUNCTION("""COMPUTED_VALUE"""),"https://drive.google.com/open?id=1RbHsvYG8Vr-xXkN-ACZybU3Su2tqODs8")</f>
        <v>https://drive.google.com/open?id=1RbHsvYG8Vr-xXkN-ACZybU3Su2tqODs8</v>
      </c>
      <c r="L427" s="74" t="str">
        <f>IFERROR(__xludf.DUMMYFUNCTION("""COMPUTED_VALUE"""),"2018-2022")</f>
        <v>2018-2022</v>
      </c>
      <c r="M427" s="74" t="str">
        <f>IFERROR(__xludf.DUMMYFUNCTION("""COMPUTED_VALUE"""),"S4: Student Certifications")</f>
        <v>S4: Student Certifications</v>
      </c>
      <c r="N427" s="74" t="str">
        <f>IFERROR(__xludf.DUMMYFUNCTION("""COMPUTED_VALUE"""),"lavanyayarusha25@gmail.com")</f>
        <v>lavanyayarusha25@gmail.com</v>
      </c>
      <c r="O427" s="74" t="str">
        <f>IFERROR(__xludf.DUMMYFUNCTION("""COMPUTED_VALUE"""),"SEM-2")</f>
        <v>SEM-2</v>
      </c>
      <c r="P427" s="74"/>
      <c r="Q427" s="74"/>
      <c r="R427" s="74"/>
      <c r="S427" s="74"/>
      <c r="T427" s="74"/>
      <c r="U427" s="74"/>
      <c r="V427" s="74"/>
      <c r="W427" s="74"/>
      <c r="X427" s="74"/>
      <c r="Y427" s="74"/>
    </row>
    <row r="428" ht="26.25" customHeight="1">
      <c r="A428" s="74" t="str">
        <f>IFERROR(__xludf.DUMMYFUNCTION("""COMPUTED_VALUE"""),"Sai Yogesh Bhasuru")</f>
        <v>Sai Yogesh Bhasuru</v>
      </c>
      <c r="B428" s="74" t="str">
        <f>IFERROR(__xludf.DUMMYFUNCTION("""COMPUTED_VALUE"""),"18331A05D4")</f>
        <v>18331A05D4</v>
      </c>
      <c r="C428" s="90" t="str">
        <f>IFERROR(__xludf.DUMMYFUNCTION("""COMPUTED_VALUE"""),"Introduction to networks")</f>
        <v>Introduction to networks</v>
      </c>
      <c r="D428" s="74" t="str">
        <f>IFERROR(__xludf.DUMMYFUNCTION("""COMPUTED_VALUE"""),"Cisco")</f>
        <v>Cisco</v>
      </c>
      <c r="E428" s="74" t="str">
        <f>IFERROR(__xludf.DUMMYFUNCTION("""COMPUTED_VALUE"""),"1 month")</f>
        <v>1 month</v>
      </c>
      <c r="F428" s="91">
        <f>IFERROR(__xludf.DUMMYFUNCTION("""COMPUTED_VALUE"""),43933.0)</f>
        <v>43933</v>
      </c>
      <c r="G428" s="91">
        <f>IFERROR(__xludf.DUMMYFUNCTION("""COMPUTED_VALUE"""),43963.0)</f>
        <v>43963</v>
      </c>
      <c r="H428" s="79">
        <f>IFERROR(__xludf.DUMMYFUNCTION("""COMPUTED_VALUE"""),43965.0)</f>
        <v>43965</v>
      </c>
      <c r="I428" s="92">
        <f>IFERROR(__xludf.DUMMYFUNCTION("""COMPUTED_VALUE"""),92.0)</f>
        <v>92</v>
      </c>
      <c r="J428" s="74" t="str">
        <f>IFERROR(__xludf.DUMMYFUNCTION("""COMPUTED_VALUE"""),"Dr P.Ravi Kiran varma ")</f>
        <v>Dr P.Ravi Kiran varma </v>
      </c>
      <c r="K428" s="80" t="str">
        <f>IFERROR(__xludf.DUMMYFUNCTION("""COMPUTED_VALUE"""),"https://drive.google.com/open?id=133E3GUGhxSo-el8Nj3fbCzJgfrKNEtyF")</f>
        <v>https://drive.google.com/open?id=133E3GUGhxSo-el8Nj3fbCzJgfrKNEtyF</v>
      </c>
      <c r="L428" s="74" t="str">
        <f>IFERROR(__xludf.DUMMYFUNCTION("""COMPUTED_VALUE"""),"2018-2022")</f>
        <v>2018-2022</v>
      </c>
      <c r="M428" s="74" t="str">
        <f>IFERROR(__xludf.DUMMYFUNCTION("""COMPUTED_VALUE"""),"S4: Student Certifications")</f>
        <v>S4: Student Certifications</v>
      </c>
      <c r="N428" s="74" t="str">
        <f>IFERROR(__xludf.DUMMYFUNCTION("""COMPUTED_VALUE"""),"saiyogeshbhasuru16@gmail.com")</f>
        <v>saiyogeshbhasuru16@gmail.com</v>
      </c>
      <c r="O428" s="74" t="str">
        <f>IFERROR(__xludf.DUMMYFUNCTION("""COMPUTED_VALUE"""),"SEM-5")</f>
        <v>SEM-5</v>
      </c>
      <c r="P428" s="74"/>
      <c r="Q428" s="74"/>
      <c r="R428" s="74"/>
      <c r="S428" s="74"/>
      <c r="T428" s="74"/>
      <c r="U428" s="74"/>
      <c r="V428" s="74"/>
      <c r="W428" s="74"/>
      <c r="X428" s="74"/>
      <c r="Y428" s="74"/>
    </row>
    <row r="429" ht="26.25" customHeight="1">
      <c r="A429" s="74" t="str">
        <f>IFERROR(__xludf.DUMMYFUNCTION("""COMPUTED_VALUE"""),"Sai Yogesh Bhasuru ")</f>
        <v>Sai Yogesh Bhasuru </v>
      </c>
      <c r="B429" s="74" t="str">
        <f>IFERROR(__xludf.DUMMYFUNCTION("""COMPUTED_VALUE"""),"18331A05D4")</f>
        <v>18331A05D4</v>
      </c>
      <c r="C429" s="90" t="str">
        <f>IFERROR(__xludf.DUMMYFUNCTION("""COMPUTED_VALUE"""),"Programming essentials in c++")</f>
        <v>Programming essentials in c++</v>
      </c>
      <c r="D429" s="74" t="str">
        <f>IFERROR(__xludf.DUMMYFUNCTION("""COMPUTED_VALUE"""),"Cisco")</f>
        <v>Cisco</v>
      </c>
      <c r="E429" s="74" t="str">
        <f>IFERROR(__xludf.DUMMYFUNCTION("""COMPUTED_VALUE"""),"1 month")</f>
        <v>1 month</v>
      </c>
      <c r="F429" s="91">
        <f>IFERROR(__xludf.DUMMYFUNCTION("""COMPUTED_VALUE"""),43847.0)</f>
        <v>43847</v>
      </c>
      <c r="G429" s="91">
        <f>IFERROR(__xludf.DUMMYFUNCTION("""COMPUTED_VALUE"""),43907.0)</f>
        <v>43907</v>
      </c>
      <c r="H429" s="79">
        <f>IFERROR(__xludf.DUMMYFUNCTION("""COMPUTED_VALUE"""),43879.0)</f>
        <v>43879</v>
      </c>
      <c r="I429" s="92">
        <f>IFERROR(__xludf.DUMMYFUNCTION("""COMPUTED_VALUE"""),94.0)</f>
        <v>94</v>
      </c>
      <c r="J429" s="74" t="str">
        <f>IFERROR(__xludf.DUMMYFUNCTION("""COMPUTED_VALUE"""),"Dr P.Ravi Kiran varma ")</f>
        <v>Dr P.Ravi Kiran varma </v>
      </c>
      <c r="K429" s="80" t="str">
        <f>IFERROR(__xludf.DUMMYFUNCTION("""COMPUTED_VALUE"""),"https://drive.google.com/open?id=18tx_x8oqHtl_mYiqbPjDtWxVUocIfhOG")</f>
        <v>https://drive.google.com/open?id=18tx_x8oqHtl_mYiqbPjDtWxVUocIfhOG</v>
      </c>
      <c r="L429" s="74" t="str">
        <f>IFERROR(__xludf.DUMMYFUNCTION("""COMPUTED_VALUE"""),"2018-2022")</f>
        <v>2018-2022</v>
      </c>
      <c r="M429" s="74" t="str">
        <f>IFERROR(__xludf.DUMMYFUNCTION("""COMPUTED_VALUE"""),"S4: Student Certifications")</f>
        <v>S4: Student Certifications</v>
      </c>
      <c r="N429" s="74" t="str">
        <f>IFERROR(__xludf.DUMMYFUNCTION("""COMPUTED_VALUE"""),"saiyogeshbhasuru16@gmail.com")</f>
        <v>saiyogeshbhasuru16@gmail.com</v>
      </c>
      <c r="O429" s="74" t="str">
        <f>IFERROR(__xludf.DUMMYFUNCTION("""COMPUTED_VALUE"""),"SEM-4")</f>
        <v>SEM-4</v>
      </c>
      <c r="P429" s="74"/>
      <c r="Q429" s="74"/>
      <c r="R429" s="74"/>
      <c r="S429" s="74"/>
      <c r="T429" s="74"/>
      <c r="U429" s="74"/>
      <c r="V429" s="74"/>
      <c r="W429" s="74"/>
      <c r="X429" s="74"/>
      <c r="Y429" s="74"/>
    </row>
    <row r="430" ht="26.25" customHeight="1">
      <c r="A430" s="74" t="str">
        <f>IFERROR(__xludf.DUMMYFUNCTION("""COMPUTED_VALUE"""),"Sai Yogesh Bhasuru ")</f>
        <v>Sai Yogesh Bhasuru </v>
      </c>
      <c r="B430" s="74" t="str">
        <f>IFERROR(__xludf.DUMMYFUNCTION("""COMPUTED_VALUE"""),"18331A05D4")</f>
        <v>18331A05D4</v>
      </c>
      <c r="C430" s="90" t="str">
        <f>IFERROR(__xludf.DUMMYFUNCTION("""COMPUTED_VALUE"""),"Cybersecurity essentials")</f>
        <v>Cybersecurity essentials</v>
      </c>
      <c r="D430" s="74" t="str">
        <f>IFERROR(__xludf.DUMMYFUNCTION("""COMPUTED_VALUE"""),"Cisco")</f>
        <v>Cisco</v>
      </c>
      <c r="E430" s="74" t="str">
        <f>IFERROR(__xludf.DUMMYFUNCTION("""COMPUTED_VALUE"""),"1 month")</f>
        <v>1 month</v>
      </c>
      <c r="F430" s="91">
        <f>IFERROR(__xludf.DUMMYFUNCTION("""COMPUTED_VALUE"""),43645.0)</f>
        <v>43645</v>
      </c>
      <c r="G430" s="91">
        <f>IFERROR(__xludf.DUMMYFUNCTION("""COMPUTED_VALUE"""),43675.0)</f>
        <v>43675</v>
      </c>
      <c r="H430" s="79">
        <f>IFERROR(__xludf.DUMMYFUNCTION("""COMPUTED_VALUE"""),43676.0)</f>
        <v>43676</v>
      </c>
      <c r="I430" s="92">
        <f>IFERROR(__xludf.DUMMYFUNCTION("""COMPUTED_VALUE"""),93.0)</f>
        <v>93</v>
      </c>
      <c r="J430" s="74" t="str">
        <f>IFERROR(__xludf.DUMMYFUNCTION("""COMPUTED_VALUE"""),"Dr.P.Ravi Kiran varma")</f>
        <v>Dr.P.Ravi Kiran varma</v>
      </c>
      <c r="K430" s="80" t="str">
        <f>IFERROR(__xludf.DUMMYFUNCTION("""COMPUTED_VALUE"""),"https://drive.google.com/open?id=17IHN36wQEF50A9mml5qyjIR9WamldUwy")</f>
        <v>https://drive.google.com/open?id=17IHN36wQEF50A9mml5qyjIR9WamldUwy</v>
      </c>
      <c r="L430" s="74" t="str">
        <f>IFERROR(__xludf.DUMMYFUNCTION("""COMPUTED_VALUE"""),"2018-2022")</f>
        <v>2018-2022</v>
      </c>
      <c r="M430" s="74" t="str">
        <f>IFERROR(__xludf.DUMMYFUNCTION("""COMPUTED_VALUE"""),"S4: Student Certifications")</f>
        <v>S4: Student Certifications</v>
      </c>
      <c r="N430" s="74" t="str">
        <f>IFERROR(__xludf.DUMMYFUNCTION("""COMPUTED_VALUE"""),"saiyogeshbhasuru16@gmail.com")</f>
        <v>saiyogeshbhasuru16@gmail.com</v>
      </c>
      <c r="O430" s="74" t="str">
        <f>IFERROR(__xludf.DUMMYFUNCTION("""COMPUTED_VALUE"""),"SEM-3")</f>
        <v>SEM-3</v>
      </c>
      <c r="P430" s="74"/>
      <c r="Q430" s="74"/>
      <c r="R430" s="74"/>
      <c r="S430" s="74"/>
      <c r="T430" s="74"/>
      <c r="U430" s="74"/>
      <c r="V430" s="74"/>
      <c r="W430" s="74"/>
      <c r="X430" s="74"/>
      <c r="Y430" s="74"/>
    </row>
    <row r="431" ht="26.25" customHeight="1">
      <c r="A431" s="74" t="str">
        <f>IFERROR(__xludf.DUMMYFUNCTION("""COMPUTED_VALUE"""),"Sai Yogesh Bhasuru")</f>
        <v>Sai Yogesh Bhasuru</v>
      </c>
      <c r="B431" s="74" t="str">
        <f>IFERROR(__xludf.DUMMYFUNCTION("""COMPUTED_VALUE"""),"18331A05D4")</f>
        <v>18331A05D4</v>
      </c>
      <c r="C431" s="90" t="str">
        <f>IFERROR(__xludf.DUMMYFUNCTION("""COMPUTED_VALUE"""),"AWS CLOUD ARCHITECT")</f>
        <v>AWS CLOUD ARCHITECT</v>
      </c>
      <c r="D431" s="74" t="str">
        <f>IFERROR(__xludf.DUMMYFUNCTION("""COMPUTED_VALUE"""),"AWS ACADEMY")</f>
        <v>AWS ACADEMY</v>
      </c>
      <c r="E431" s="74" t="str">
        <f>IFERROR(__xludf.DUMMYFUNCTION("""COMPUTED_VALUE"""),"40 HOURS")</f>
        <v>40 HOURS</v>
      </c>
      <c r="F431" s="91">
        <f>IFERROR(__xludf.DUMMYFUNCTION("""COMPUTED_VALUE"""),44540.0)</f>
        <v>44540</v>
      </c>
      <c r="G431" s="91">
        <f>IFERROR(__xludf.DUMMYFUNCTION("""COMPUTED_VALUE"""),44566.0)</f>
        <v>44566</v>
      </c>
      <c r="H431" s="79">
        <f>IFERROR(__xludf.DUMMYFUNCTION("""COMPUTED_VALUE"""),44658.0)</f>
        <v>44658</v>
      </c>
      <c r="I431" s="92">
        <f>IFERROR(__xludf.DUMMYFUNCTION("""COMPUTED_VALUE"""),95.0)</f>
        <v>95</v>
      </c>
      <c r="J431" s="74" t="str">
        <f>IFERROR(__xludf.DUMMYFUNCTION("""COMPUTED_VALUE"""),"Dr. P. Ravi Kiran Varma")</f>
        <v>Dr. P. Ravi Kiran Varma</v>
      </c>
      <c r="K431" s="80" t="str">
        <f>IFERROR(__xludf.DUMMYFUNCTION("""COMPUTED_VALUE"""),"https://drive.google.com/open?id=1_gG2F-FhMtSVQC3MCZ-ZTi5aDHgRVFQw")</f>
        <v>https://drive.google.com/open?id=1_gG2F-FhMtSVQC3MCZ-ZTi5aDHgRVFQw</v>
      </c>
      <c r="L431" s="74" t="str">
        <f>IFERROR(__xludf.DUMMYFUNCTION("""COMPUTED_VALUE"""),"2018-2022")</f>
        <v>2018-2022</v>
      </c>
      <c r="M431" s="74" t="str">
        <f>IFERROR(__xludf.DUMMYFUNCTION("""COMPUTED_VALUE"""),"S4: Student Certifications")</f>
        <v>S4: Student Certifications</v>
      </c>
      <c r="N431" s="74" t="str">
        <f>IFERROR(__xludf.DUMMYFUNCTION("""COMPUTED_VALUE"""),"saiyogeshbhasuru16@gmail.com")</f>
        <v>saiyogeshbhasuru16@gmail.com</v>
      </c>
      <c r="O431" s="74" t="str">
        <f>IFERROR(__xludf.DUMMYFUNCTION("""COMPUTED_VALUE"""),"SEM-8")</f>
        <v>SEM-8</v>
      </c>
      <c r="P431" s="74"/>
      <c r="Q431" s="74"/>
      <c r="R431" s="74"/>
      <c r="S431" s="74"/>
      <c r="T431" s="74"/>
      <c r="U431" s="74"/>
      <c r="V431" s="74"/>
      <c r="W431" s="74"/>
      <c r="X431" s="74"/>
      <c r="Y431" s="74"/>
    </row>
    <row r="432" ht="26.25" customHeight="1">
      <c r="A432" s="74" t="str">
        <f>IFERROR(__xludf.DUMMYFUNCTION("""COMPUTED_VALUE"""),"Sai Yogesh Bhasuru ")</f>
        <v>Sai Yogesh Bhasuru </v>
      </c>
      <c r="B432" s="74" t="str">
        <f>IFERROR(__xludf.DUMMYFUNCTION("""COMPUTED_VALUE"""),"18331A05D4")</f>
        <v>18331A05D4</v>
      </c>
      <c r="C432" s="90" t="str">
        <f>IFERROR(__xludf.DUMMYFUNCTION("""COMPUTED_VALUE"""),"Programming essentials in c ")</f>
        <v>Programming essentials in c </v>
      </c>
      <c r="D432" s="74" t="str">
        <f>IFERROR(__xludf.DUMMYFUNCTION("""COMPUTED_VALUE"""),"Cisco ")</f>
        <v>Cisco </v>
      </c>
      <c r="E432" s="74" t="str">
        <f>IFERROR(__xludf.DUMMYFUNCTION("""COMPUTED_VALUE"""),"1 month")</f>
        <v>1 month</v>
      </c>
      <c r="F432" s="91">
        <f>IFERROR(__xludf.DUMMYFUNCTION("""COMPUTED_VALUE"""),43586.0)</f>
        <v>43586</v>
      </c>
      <c r="G432" s="91">
        <f>IFERROR(__xludf.DUMMYFUNCTION("""COMPUTED_VALUE"""),43617.0)</f>
        <v>43617</v>
      </c>
      <c r="H432" s="79">
        <f>IFERROR(__xludf.DUMMYFUNCTION("""COMPUTED_VALUE"""),43618.0)</f>
        <v>43618</v>
      </c>
      <c r="I432" s="92">
        <f>IFERROR(__xludf.DUMMYFUNCTION("""COMPUTED_VALUE"""),95.0)</f>
        <v>95</v>
      </c>
      <c r="J432" s="74" t="str">
        <f>IFERROR(__xludf.DUMMYFUNCTION("""COMPUTED_VALUE"""),"Dr.P.Ravi Kiran varma ")</f>
        <v>Dr.P.Ravi Kiran varma </v>
      </c>
      <c r="K432" s="80" t="str">
        <f>IFERROR(__xludf.DUMMYFUNCTION("""COMPUTED_VALUE"""),"https://drive.google.com/open?id=1QMfaNPYetS7O2Ru9r_pgzrbBQQ9dHwz0")</f>
        <v>https://drive.google.com/open?id=1QMfaNPYetS7O2Ru9r_pgzrbBQQ9dHwz0</v>
      </c>
      <c r="L432" s="74" t="str">
        <f>IFERROR(__xludf.DUMMYFUNCTION("""COMPUTED_VALUE"""),"2018-2022")</f>
        <v>2018-2022</v>
      </c>
      <c r="M432" s="74" t="str">
        <f>IFERROR(__xludf.DUMMYFUNCTION("""COMPUTED_VALUE"""),"S4: Student Certifications")</f>
        <v>S4: Student Certifications</v>
      </c>
      <c r="N432" s="74" t="str">
        <f>IFERROR(__xludf.DUMMYFUNCTION("""COMPUTED_VALUE"""),"saiyogeshbhasuru16@gmail.com")</f>
        <v>saiyogeshbhasuru16@gmail.com</v>
      </c>
      <c r="O432" s="74" t="str">
        <f>IFERROR(__xludf.DUMMYFUNCTION("""COMPUTED_VALUE"""),"SEM-3")</f>
        <v>SEM-3</v>
      </c>
      <c r="P432" s="74"/>
      <c r="Q432" s="74"/>
      <c r="R432" s="74"/>
      <c r="S432" s="74"/>
      <c r="T432" s="74"/>
      <c r="U432" s="74"/>
      <c r="V432" s="74"/>
      <c r="W432" s="74"/>
      <c r="X432" s="74"/>
      <c r="Y432" s="74"/>
    </row>
    <row r="433" ht="26.25" customHeight="1">
      <c r="A433" s="74" t="str">
        <f>IFERROR(__xludf.DUMMYFUNCTION("""COMPUTED_VALUE"""),"Sai Yogesh Bhasuru")</f>
        <v>Sai Yogesh Bhasuru</v>
      </c>
      <c r="B433" s="74" t="str">
        <f>IFERROR(__xludf.DUMMYFUNCTION("""COMPUTED_VALUE"""),"18331A05D4")</f>
        <v>18331A05D4</v>
      </c>
      <c r="C433" s="90" t="str">
        <f>IFERROR(__xludf.DUMMYFUNCTION("""COMPUTED_VALUE"""),"AWS CLOUD FOUNDATIONS")</f>
        <v>AWS CLOUD FOUNDATIONS</v>
      </c>
      <c r="D433" s="74" t="str">
        <f>IFERROR(__xludf.DUMMYFUNCTION("""COMPUTED_VALUE"""),"AWS ACADEMY")</f>
        <v>AWS ACADEMY</v>
      </c>
      <c r="E433" s="74" t="str">
        <f>IFERROR(__xludf.DUMMYFUNCTION("""COMPUTED_VALUE"""),"20 HOURS")</f>
        <v>20 HOURS</v>
      </c>
      <c r="F433" s="91">
        <f>IFERROR(__xludf.DUMMYFUNCTION("""COMPUTED_VALUE"""),44511.0)</f>
        <v>44511</v>
      </c>
      <c r="G433" s="91">
        <f>IFERROR(__xludf.DUMMYFUNCTION("""COMPUTED_VALUE"""),44538.0)</f>
        <v>44538</v>
      </c>
      <c r="H433" s="79">
        <f>IFERROR(__xludf.DUMMYFUNCTION("""COMPUTED_VALUE"""),44542.0)</f>
        <v>44542</v>
      </c>
      <c r="I433" s="92">
        <f>IFERROR(__xludf.DUMMYFUNCTION("""COMPUTED_VALUE"""),96.0)</f>
        <v>96</v>
      </c>
      <c r="J433" s="74" t="str">
        <f>IFERROR(__xludf.DUMMYFUNCTION("""COMPUTED_VALUE"""),"Dr. P. Ravi Kiran Varma")</f>
        <v>Dr. P. Ravi Kiran Varma</v>
      </c>
      <c r="K433" s="80" t="str">
        <f>IFERROR(__xludf.DUMMYFUNCTION("""COMPUTED_VALUE"""),"https://drive.google.com/open?id=1_y6iGGdoyvfMVY7JXc1BYWAP6GB_1jpL")</f>
        <v>https://drive.google.com/open?id=1_y6iGGdoyvfMVY7JXc1BYWAP6GB_1jpL</v>
      </c>
      <c r="L433" s="74" t="str">
        <f>IFERROR(__xludf.DUMMYFUNCTION("""COMPUTED_VALUE"""),"2018-2022")</f>
        <v>2018-2022</v>
      </c>
      <c r="M433" s="74" t="str">
        <f>IFERROR(__xludf.DUMMYFUNCTION("""COMPUTED_VALUE"""),"S4: Student Certifications")</f>
        <v>S4: Student Certifications</v>
      </c>
      <c r="N433" s="74" t="str">
        <f>IFERROR(__xludf.DUMMYFUNCTION("""COMPUTED_VALUE"""),"saiyogeshbhasuru16@gmail.com")</f>
        <v>saiyogeshbhasuru16@gmail.com</v>
      </c>
      <c r="O433" s="74" t="str">
        <f>IFERROR(__xludf.DUMMYFUNCTION("""COMPUTED_VALUE"""),"SEM-8")</f>
        <v>SEM-8</v>
      </c>
      <c r="P433" s="74"/>
      <c r="Q433" s="74"/>
      <c r="R433" s="74"/>
      <c r="S433" s="74"/>
      <c r="T433" s="74"/>
      <c r="U433" s="74"/>
      <c r="V433" s="74"/>
      <c r="W433" s="74"/>
      <c r="X433" s="74"/>
      <c r="Y433" s="74"/>
    </row>
    <row r="434" ht="26.25" customHeight="1">
      <c r="A434" s="74" t="str">
        <f>IFERROR(__xludf.DUMMYFUNCTION("""COMPUTED_VALUE"""),"Sai Yogesh Bhasuru ")</f>
        <v>Sai Yogesh Bhasuru </v>
      </c>
      <c r="B434" s="74" t="str">
        <f>IFERROR(__xludf.DUMMYFUNCTION("""COMPUTED_VALUE"""),"18331A05D4")</f>
        <v>18331A05D4</v>
      </c>
      <c r="C434" s="90" t="str">
        <f>IFERROR(__xludf.DUMMYFUNCTION("""COMPUTED_VALUE"""),"Introduction to cyber security ")</f>
        <v>Introduction to cyber security </v>
      </c>
      <c r="D434" s="74" t="str">
        <f>IFERROR(__xludf.DUMMYFUNCTION("""COMPUTED_VALUE"""),"Cisco")</f>
        <v>Cisco</v>
      </c>
      <c r="E434" s="74" t="str">
        <f>IFERROR(__xludf.DUMMYFUNCTION("""COMPUTED_VALUE"""),"1 month")</f>
        <v>1 month</v>
      </c>
      <c r="F434" s="91">
        <f>IFERROR(__xludf.DUMMYFUNCTION("""COMPUTED_VALUE"""),44337.0)</f>
        <v>44337</v>
      </c>
      <c r="G434" s="91">
        <f>IFERROR(__xludf.DUMMYFUNCTION("""COMPUTED_VALUE"""),44368.0)</f>
        <v>44368</v>
      </c>
      <c r="H434" s="79">
        <f>IFERROR(__xludf.DUMMYFUNCTION("""COMPUTED_VALUE"""),44369.0)</f>
        <v>44369</v>
      </c>
      <c r="I434" s="92">
        <f>IFERROR(__xludf.DUMMYFUNCTION("""COMPUTED_VALUE"""),95.0)</f>
        <v>95</v>
      </c>
      <c r="J434" s="74" t="str">
        <f>IFERROR(__xludf.DUMMYFUNCTION("""COMPUTED_VALUE"""),"Dr.P.Ravi Kiran varma ")</f>
        <v>Dr.P.Ravi Kiran varma </v>
      </c>
      <c r="K434" s="80" t="str">
        <f>IFERROR(__xludf.DUMMYFUNCTION("""COMPUTED_VALUE"""),"https://drive.google.com/open?id=1akSfmutBOQ2wbe7JeqQbyvifchGO0q9a")</f>
        <v>https://drive.google.com/open?id=1akSfmutBOQ2wbe7JeqQbyvifchGO0q9a</v>
      </c>
      <c r="L434" s="74" t="str">
        <f>IFERROR(__xludf.DUMMYFUNCTION("""COMPUTED_VALUE"""),"2018-2022")</f>
        <v>2018-2022</v>
      </c>
      <c r="M434" s="74" t="str">
        <f>IFERROR(__xludf.DUMMYFUNCTION("""COMPUTED_VALUE"""),"S4: Student Certifications")</f>
        <v>S4: Student Certifications</v>
      </c>
      <c r="N434" s="74" t="str">
        <f>IFERROR(__xludf.DUMMYFUNCTION("""COMPUTED_VALUE"""),"saiyogeshbhasuru16@gmail.com")</f>
        <v>saiyogeshbhasuru16@gmail.com</v>
      </c>
      <c r="O434" s="74" t="str">
        <f>IFERROR(__xludf.DUMMYFUNCTION("""COMPUTED_VALUE"""),"SEM-6")</f>
        <v>SEM-6</v>
      </c>
      <c r="P434" s="74"/>
      <c r="Q434" s="74"/>
      <c r="R434" s="74"/>
      <c r="S434" s="74"/>
      <c r="T434" s="74"/>
      <c r="U434" s="74"/>
      <c r="V434" s="74"/>
      <c r="W434" s="74"/>
      <c r="X434" s="74"/>
      <c r="Y434" s="74"/>
    </row>
    <row r="435" ht="26.25" customHeight="1">
      <c r="A435" s="74" t="str">
        <f>IFERROR(__xludf.DUMMYFUNCTION("""COMPUTED_VALUE"""),"Sai Yogesh Bhasuru ")</f>
        <v>Sai Yogesh Bhasuru </v>
      </c>
      <c r="B435" s="74" t="str">
        <f>IFERROR(__xludf.DUMMYFUNCTION("""COMPUTED_VALUE"""),"18331A05D4")</f>
        <v>18331A05D4</v>
      </c>
      <c r="C435" s="90" t="str">
        <f>IFERROR(__xludf.DUMMYFUNCTION("""COMPUTED_VALUE"""),"Introduction to packet tracer ")</f>
        <v>Introduction to packet tracer </v>
      </c>
      <c r="D435" s="74" t="str">
        <f>IFERROR(__xludf.DUMMYFUNCTION("""COMPUTED_VALUE"""),"Cisco ")</f>
        <v>Cisco </v>
      </c>
      <c r="E435" s="74" t="str">
        <f>IFERROR(__xludf.DUMMYFUNCTION("""COMPUTED_VALUE"""),"1 month")</f>
        <v>1 month</v>
      </c>
      <c r="F435" s="91">
        <f>IFERROR(__xludf.DUMMYFUNCTION("""COMPUTED_VALUE"""),44303.0)</f>
        <v>44303</v>
      </c>
      <c r="G435" s="91">
        <f>IFERROR(__xludf.DUMMYFUNCTION("""COMPUTED_VALUE"""),44333.0)</f>
        <v>44333</v>
      </c>
      <c r="H435" s="79">
        <f>IFERROR(__xludf.DUMMYFUNCTION("""COMPUTED_VALUE"""),44334.0)</f>
        <v>44334</v>
      </c>
      <c r="I435" s="92">
        <f>IFERROR(__xludf.DUMMYFUNCTION("""COMPUTED_VALUE"""),96.0)</f>
        <v>96</v>
      </c>
      <c r="J435" s="74" t="str">
        <f>IFERROR(__xludf.DUMMYFUNCTION("""COMPUTED_VALUE"""),"Dr.P Ravi Kiran varma ")</f>
        <v>Dr.P Ravi Kiran varma </v>
      </c>
      <c r="K435" s="80" t="str">
        <f>IFERROR(__xludf.DUMMYFUNCTION("""COMPUTED_VALUE"""),"https://drive.google.com/open?id=1tu1ObCtNEgwaW1ESur34JpG0BxnEKJ4o")</f>
        <v>https://drive.google.com/open?id=1tu1ObCtNEgwaW1ESur34JpG0BxnEKJ4o</v>
      </c>
      <c r="L435" s="74" t="str">
        <f>IFERROR(__xludf.DUMMYFUNCTION("""COMPUTED_VALUE"""),"2018-2022")</f>
        <v>2018-2022</v>
      </c>
      <c r="M435" s="74" t="str">
        <f>IFERROR(__xludf.DUMMYFUNCTION("""COMPUTED_VALUE"""),"S4: Student Certifications")</f>
        <v>S4: Student Certifications</v>
      </c>
      <c r="N435" s="74" t="str">
        <f>IFERROR(__xludf.DUMMYFUNCTION("""COMPUTED_VALUE"""),"saiyogeshbhasuru16@gmail.com")</f>
        <v>saiyogeshbhasuru16@gmail.com</v>
      </c>
      <c r="O435" s="74" t="str">
        <f>IFERROR(__xludf.DUMMYFUNCTION("""COMPUTED_VALUE"""),"SEM-6")</f>
        <v>SEM-6</v>
      </c>
      <c r="P435" s="74"/>
      <c r="Q435" s="74"/>
      <c r="R435" s="74"/>
      <c r="S435" s="74"/>
      <c r="T435" s="74"/>
      <c r="U435" s="74"/>
      <c r="V435" s="74"/>
      <c r="W435" s="74"/>
      <c r="X435" s="74"/>
      <c r="Y435" s="74"/>
    </row>
    <row r="436" ht="26.25" customHeight="1">
      <c r="A436" s="74" t="str">
        <f>IFERROR(__xludf.DUMMYFUNCTION("""COMPUTED_VALUE"""),"Sai Yogesh Bhasuru ")</f>
        <v>Sai Yogesh Bhasuru </v>
      </c>
      <c r="B436" s="74" t="str">
        <f>IFERROR(__xludf.DUMMYFUNCTION("""COMPUTED_VALUE"""),"18331A05D4")</f>
        <v>18331A05D4</v>
      </c>
      <c r="C436" s="90" t="str">
        <f>IFERROR(__xludf.DUMMYFUNCTION("""COMPUTED_VALUE"""),"Iot fundementals : connecting things ")</f>
        <v>Iot fundementals : connecting things </v>
      </c>
      <c r="D436" s="74" t="str">
        <f>IFERROR(__xludf.DUMMYFUNCTION("""COMPUTED_VALUE"""),"Cisco")</f>
        <v>Cisco</v>
      </c>
      <c r="E436" s="74" t="str">
        <f>IFERROR(__xludf.DUMMYFUNCTION("""COMPUTED_VALUE"""),"1 month ")</f>
        <v>1 month </v>
      </c>
      <c r="F436" s="91">
        <f>IFERROR(__xludf.DUMMYFUNCTION("""COMPUTED_VALUE"""),44186.0)</f>
        <v>44186</v>
      </c>
      <c r="G436" s="91">
        <f>IFERROR(__xludf.DUMMYFUNCTION("""COMPUTED_VALUE"""),44217.0)</f>
        <v>44217</v>
      </c>
      <c r="H436" s="79">
        <f>IFERROR(__xludf.DUMMYFUNCTION("""COMPUTED_VALUE"""),44218.0)</f>
        <v>44218</v>
      </c>
      <c r="I436" s="92">
        <f>IFERROR(__xludf.DUMMYFUNCTION("""COMPUTED_VALUE"""),96.0)</f>
        <v>96</v>
      </c>
      <c r="J436" s="74" t="str">
        <f>IFERROR(__xludf.DUMMYFUNCTION("""COMPUTED_VALUE"""),"Dr.P.Ravi Kiran varma ")</f>
        <v>Dr.P.Ravi Kiran varma </v>
      </c>
      <c r="K436" s="80" t="str">
        <f>IFERROR(__xludf.DUMMYFUNCTION("""COMPUTED_VALUE"""),"https://drive.google.com/open?id=1s2j7xWnBz1z6TvxUo2Crr6p7f5ZN-w9u")</f>
        <v>https://drive.google.com/open?id=1s2j7xWnBz1z6TvxUo2Crr6p7f5ZN-w9u</v>
      </c>
      <c r="L436" s="74" t="str">
        <f>IFERROR(__xludf.DUMMYFUNCTION("""COMPUTED_VALUE"""),"2018-2022")</f>
        <v>2018-2022</v>
      </c>
      <c r="M436" s="74" t="str">
        <f>IFERROR(__xludf.DUMMYFUNCTION("""COMPUTED_VALUE"""),"S4: Student Certifications")</f>
        <v>S4: Student Certifications</v>
      </c>
      <c r="N436" s="74" t="str">
        <f>IFERROR(__xludf.DUMMYFUNCTION("""COMPUTED_VALUE"""),"saiyogeshbhasuru16@gmail.com")</f>
        <v>saiyogeshbhasuru16@gmail.com</v>
      </c>
      <c r="O436" s="74" t="str">
        <f>IFERROR(__xludf.DUMMYFUNCTION("""COMPUTED_VALUE"""),"SEM-6")</f>
        <v>SEM-6</v>
      </c>
      <c r="P436" s="74"/>
      <c r="Q436" s="74"/>
      <c r="R436" s="74"/>
      <c r="S436" s="74"/>
      <c r="T436" s="74"/>
      <c r="U436" s="74"/>
      <c r="V436" s="74"/>
      <c r="W436" s="74"/>
      <c r="X436" s="74"/>
      <c r="Y436" s="74"/>
    </row>
    <row r="437" ht="26.25" customHeight="1">
      <c r="A437" s="74" t="str">
        <f>IFERROR(__xludf.DUMMYFUNCTION("""COMPUTED_VALUE"""),"Sai Yogesh Bhasuru ")</f>
        <v>Sai Yogesh Bhasuru </v>
      </c>
      <c r="B437" s="74" t="str">
        <f>IFERROR(__xludf.DUMMYFUNCTION("""COMPUTED_VALUE"""),"18331A05D4")</f>
        <v>18331A05D4</v>
      </c>
      <c r="C437" s="90" t="str">
        <f>IFERROR(__xludf.DUMMYFUNCTION("""COMPUTED_VALUE"""),"Switching routing and wireless essentials ")</f>
        <v>Switching routing and wireless essentials </v>
      </c>
      <c r="D437" s="74" t="str">
        <f>IFERROR(__xludf.DUMMYFUNCTION("""COMPUTED_VALUE"""),"Cisco ")</f>
        <v>Cisco </v>
      </c>
      <c r="E437" s="74" t="str">
        <f>IFERROR(__xludf.DUMMYFUNCTION("""COMPUTED_VALUE"""),"4 weeks")</f>
        <v>4 weeks</v>
      </c>
      <c r="F437" s="91">
        <f>IFERROR(__xludf.DUMMYFUNCTION("""COMPUTED_VALUE"""),43957.0)</f>
        <v>43957</v>
      </c>
      <c r="G437" s="91">
        <f>IFERROR(__xludf.DUMMYFUNCTION("""COMPUTED_VALUE"""),43988.0)</f>
        <v>43988</v>
      </c>
      <c r="H437" s="79">
        <f>IFERROR(__xludf.DUMMYFUNCTION("""COMPUTED_VALUE"""),43989.0)</f>
        <v>43989</v>
      </c>
      <c r="I437" s="92">
        <f>IFERROR(__xludf.DUMMYFUNCTION("""COMPUTED_VALUE"""),92.0)</f>
        <v>92</v>
      </c>
      <c r="J437" s="74" t="str">
        <f>IFERROR(__xludf.DUMMYFUNCTION("""COMPUTED_VALUE"""),"Dr.P.Ravi Kiran varma ")</f>
        <v>Dr.P.Ravi Kiran varma </v>
      </c>
      <c r="K437" s="80" t="str">
        <f>IFERROR(__xludf.DUMMYFUNCTION("""COMPUTED_VALUE"""),"https://drive.google.com/open?id=1ozV6zBev14iz3yyNal7hj2QhlxhgFLV6")</f>
        <v>https://drive.google.com/open?id=1ozV6zBev14iz3yyNal7hj2QhlxhgFLV6</v>
      </c>
      <c r="L437" s="74" t="str">
        <f>IFERROR(__xludf.DUMMYFUNCTION("""COMPUTED_VALUE"""),"2018-2022")</f>
        <v>2018-2022</v>
      </c>
      <c r="M437" s="74" t="str">
        <f>IFERROR(__xludf.DUMMYFUNCTION("""COMPUTED_VALUE"""),"S4: Student Certifications")</f>
        <v>S4: Student Certifications</v>
      </c>
      <c r="N437" s="74" t="str">
        <f>IFERROR(__xludf.DUMMYFUNCTION("""COMPUTED_VALUE"""),"saiyogeshbhasuru16@gmail.com")</f>
        <v>saiyogeshbhasuru16@gmail.com</v>
      </c>
      <c r="O437" s="74" t="str">
        <f>IFERROR(__xludf.DUMMYFUNCTION("""COMPUTED_VALUE"""),"SEM-5")</f>
        <v>SEM-5</v>
      </c>
      <c r="P437" s="74"/>
      <c r="Q437" s="74"/>
      <c r="R437" s="74"/>
      <c r="S437" s="74"/>
      <c r="T437" s="74"/>
      <c r="U437" s="74"/>
      <c r="V437" s="74"/>
      <c r="W437" s="74"/>
      <c r="X437" s="74"/>
      <c r="Y437" s="74"/>
    </row>
    <row r="438" ht="26.25" customHeight="1">
      <c r="A438" s="74" t="str">
        <f>IFERROR(__xludf.DUMMYFUNCTION("""COMPUTED_VALUE"""),"Sai Yogesh Bhasuru ")</f>
        <v>Sai Yogesh Bhasuru </v>
      </c>
      <c r="B438" s="74" t="str">
        <f>IFERROR(__xludf.DUMMYFUNCTION("""COMPUTED_VALUE"""),"18331A05D4")</f>
        <v>18331A05D4</v>
      </c>
      <c r="C438" s="90" t="str">
        <f>IFERROR(__xludf.DUMMYFUNCTION("""COMPUTED_VALUE"""),"Enterprise networking security and automation ")</f>
        <v>Enterprise networking security and automation </v>
      </c>
      <c r="D438" s="74" t="str">
        <f>IFERROR(__xludf.DUMMYFUNCTION("""COMPUTED_VALUE"""),"Cisco ")</f>
        <v>Cisco </v>
      </c>
      <c r="E438" s="74" t="str">
        <f>IFERROR(__xludf.DUMMYFUNCTION("""COMPUTED_VALUE"""),"4 weeks")</f>
        <v>4 weeks</v>
      </c>
      <c r="F438" s="91">
        <f>IFERROR(__xludf.DUMMYFUNCTION("""COMPUTED_VALUE"""),43989.0)</f>
        <v>43989</v>
      </c>
      <c r="G438" s="91">
        <f>IFERROR(__xludf.DUMMYFUNCTION("""COMPUTED_VALUE"""),44019.0)</f>
        <v>44019</v>
      </c>
      <c r="H438" s="79">
        <f>IFERROR(__xludf.DUMMYFUNCTION("""COMPUTED_VALUE"""),44020.0)</f>
        <v>44020</v>
      </c>
      <c r="I438" s="92">
        <f>IFERROR(__xludf.DUMMYFUNCTION("""COMPUTED_VALUE"""),95.0)</f>
        <v>95</v>
      </c>
      <c r="J438" s="74" t="str">
        <f>IFERROR(__xludf.DUMMYFUNCTION("""COMPUTED_VALUE"""),"Dr.P.Ravi Kiran varma")</f>
        <v>Dr.P.Ravi Kiran varma</v>
      </c>
      <c r="K438" s="80" t="str">
        <f>IFERROR(__xludf.DUMMYFUNCTION("""COMPUTED_VALUE"""),"https://drive.google.com/open?id=1WPfUXhW8cLHgHZxkW5IogO5j-ks-Ep7U")</f>
        <v>https://drive.google.com/open?id=1WPfUXhW8cLHgHZxkW5IogO5j-ks-Ep7U</v>
      </c>
      <c r="L438" s="74" t="str">
        <f>IFERROR(__xludf.DUMMYFUNCTION("""COMPUTED_VALUE"""),"2018-2022")</f>
        <v>2018-2022</v>
      </c>
      <c r="M438" s="74" t="str">
        <f>IFERROR(__xludf.DUMMYFUNCTION("""COMPUTED_VALUE"""),"S4: Student Certifications")</f>
        <v>S4: Student Certifications</v>
      </c>
      <c r="N438" s="74" t="str">
        <f>IFERROR(__xludf.DUMMYFUNCTION("""COMPUTED_VALUE"""),"saiyogeshbhasuru16@gmail.com")</f>
        <v>saiyogeshbhasuru16@gmail.com</v>
      </c>
      <c r="O438" s="74" t="str">
        <f>IFERROR(__xludf.DUMMYFUNCTION("""COMPUTED_VALUE"""),"SEM-5")</f>
        <v>SEM-5</v>
      </c>
      <c r="P438" s="74"/>
      <c r="Q438" s="74"/>
      <c r="R438" s="74"/>
      <c r="S438" s="74"/>
      <c r="T438" s="74"/>
      <c r="U438" s="74"/>
      <c r="V438" s="74"/>
      <c r="W438" s="74"/>
      <c r="X438" s="74"/>
      <c r="Y438" s="74"/>
    </row>
    <row r="439" ht="26.25" customHeight="1">
      <c r="A439" s="74" t="str">
        <f>IFERROR(__xludf.DUMMYFUNCTION("""COMPUTED_VALUE"""),"sruthi")</f>
        <v>sruthi</v>
      </c>
      <c r="B439" s="74" t="str">
        <f>IFERROR(__xludf.DUMMYFUNCTION("""COMPUTED_VALUE"""),"18331A05C5")</f>
        <v>18331A05C5</v>
      </c>
      <c r="C439" s="90" t="str">
        <f>IFERROR(__xludf.DUMMYFUNCTION("""COMPUTED_VALUE"""),"python programming")</f>
        <v>python programming</v>
      </c>
      <c r="D439" s="74" t="str">
        <f>IFERROR(__xludf.DUMMYFUNCTION("""COMPUTED_VALUE"""),"cisco")</f>
        <v>cisco</v>
      </c>
      <c r="E439" s="74" t="str">
        <f>IFERROR(__xludf.DUMMYFUNCTION("""COMPUTED_VALUE"""),"3months")</f>
        <v>3months</v>
      </c>
      <c r="F439" s="91">
        <f>IFERROR(__xludf.DUMMYFUNCTION("""COMPUTED_VALUE"""),43835.0)</f>
        <v>43835</v>
      </c>
      <c r="G439" s="91">
        <f>IFERROR(__xludf.DUMMYFUNCTION("""COMPUTED_VALUE"""),43895.0)</f>
        <v>43895</v>
      </c>
      <c r="H439" s="79">
        <f>IFERROR(__xludf.DUMMYFUNCTION("""COMPUTED_VALUE"""),43920.0)</f>
        <v>43920</v>
      </c>
      <c r="I439" s="92">
        <f>IFERROR(__xludf.DUMMYFUNCTION("""COMPUTED_VALUE"""),0.9)</f>
        <v>0.9</v>
      </c>
      <c r="J439" s="74" t="str">
        <f>IFERROR(__xludf.DUMMYFUNCTION("""COMPUTED_VALUE"""),"DR.P.RAVI KIRAN VARMA")</f>
        <v>DR.P.RAVI KIRAN VARMA</v>
      </c>
      <c r="K439" s="80" t="str">
        <f>IFERROR(__xludf.DUMMYFUNCTION("""COMPUTED_VALUE"""),"https://drive.google.com/open?id=1InkIWNhqHwMI_EK22-4sYbdW-AcASCU3")</f>
        <v>https://drive.google.com/open?id=1InkIWNhqHwMI_EK22-4sYbdW-AcASCU3</v>
      </c>
      <c r="L439" s="74" t="str">
        <f>IFERROR(__xludf.DUMMYFUNCTION("""COMPUTED_VALUE"""),"2018-2022")</f>
        <v>2018-2022</v>
      </c>
      <c r="M439" s="74" t="str">
        <f>IFERROR(__xludf.DUMMYFUNCTION("""COMPUTED_VALUE"""),"S4: Student Certifications")</f>
        <v>S4: Student Certifications</v>
      </c>
      <c r="N439" s="74" t="str">
        <f>IFERROR(__xludf.DUMMYFUNCTION("""COMPUTED_VALUE"""),"sruthirokalla369@gmail.com")</f>
        <v>sruthirokalla369@gmail.com</v>
      </c>
      <c r="O439" s="74" t="str">
        <f>IFERROR(__xludf.DUMMYFUNCTION("""COMPUTED_VALUE"""),"SEM-8")</f>
        <v>SEM-8</v>
      </c>
      <c r="P439" s="74"/>
      <c r="Q439" s="74"/>
      <c r="R439" s="74"/>
      <c r="S439" s="74"/>
      <c r="T439" s="74"/>
      <c r="U439" s="74"/>
      <c r="V439" s="74"/>
      <c r="W439" s="74"/>
      <c r="X439" s="74"/>
      <c r="Y439" s="74"/>
    </row>
    <row r="440" ht="26.25" customHeight="1">
      <c r="A440" s="74" t="str">
        <f>IFERROR(__xludf.DUMMYFUNCTION("""COMPUTED_VALUE"""),"Sruthi")</f>
        <v>Sruthi</v>
      </c>
      <c r="B440" s="74" t="str">
        <f>IFERROR(__xludf.DUMMYFUNCTION("""COMPUTED_VALUE"""),"18331A05C5")</f>
        <v>18331A05C5</v>
      </c>
      <c r="C440" s="90" t="str">
        <f>IFERROR(__xludf.DUMMYFUNCTION("""COMPUTED_VALUE"""),"Cybersecurity Essentials")</f>
        <v>Cybersecurity Essentials</v>
      </c>
      <c r="D440" s="74" t="str">
        <f>IFERROR(__xludf.DUMMYFUNCTION("""COMPUTED_VALUE"""),"Cisco")</f>
        <v>Cisco</v>
      </c>
      <c r="E440" s="74" t="str">
        <f>IFERROR(__xludf.DUMMYFUNCTION("""COMPUTED_VALUE"""),"3months")</f>
        <v>3months</v>
      </c>
      <c r="F440" s="91">
        <f>IFERROR(__xludf.DUMMYFUNCTION("""COMPUTED_VALUE"""),43590.0)</f>
        <v>43590</v>
      </c>
      <c r="G440" s="91">
        <f>IFERROR(__xludf.DUMMYFUNCTION("""COMPUTED_VALUE"""),43651.0)</f>
        <v>43651</v>
      </c>
      <c r="H440" s="79">
        <f>IFERROR(__xludf.DUMMYFUNCTION("""COMPUTED_VALUE"""),43666.0)</f>
        <v>43666</v>
      </c>
      <c r="I440" s="92">
        <f>IFERROR(__xludf.DUMMYFUNCTION("""COMPUTED_VALUE"""),0.9)</f>
        <v>0.9</v>
      </c>
      <c r="J440" s="74" t="str">
        <f>IFERROR(__xludf.DUMMYFUNCTION("""COMPUTED_VALUE"""),"Dr.P.Ravi kiran varma")</f>
        <v>Dr.P.Ravi kiran varma</v>
      </c>
      <c r="K440" s="80" t="str">
        <f>IFERROR(__xludf.DUMMYFUNCTION("""COMPUTED_VALUE"""),"https://drive.google.com/open?id=1f_6RyJdXXACjMWev8ca0hIqydzsrtWcs")</f>
        <v>https://drive.google.com/open?id=1f_6RyJdXXACjMWev8ca0hIqydzsrtWcs</v>
      </c>
      <c r="L440" s="74" t="str">
        <f>IFERROR(__xludf.DUMMYFUNCTION("""COMPUTED_VALUE"""),"2018-2022")</f>
        <v>2018-2022</v>
      </c>
      <c r="M440" s="74" t="str">
        <f>IFERROR(__xludf.DUMMYFUNCTION("""COMPUTED_VALUE"""),"S4: Student Certifications")</f>
        <v>S4: Student Certifications</v>
      </c>
      <c r="N440" s="74" t="str">
        <f>IFERROR(__xludf.DUMMYFUNCTION("""COMPUTED_VALUE"""),"sruthirokalla369@gmail.com")</f>
        <v>sruthirokalla369@gmail.com</v>
      </c>
      <c r="O440" s="74" t="str">
        <f>IFERROR(__xludf.DUMMYFUNCTION("""COMPUTED_VALUE"""),"SEM-8")</f>
        <v>SEM-8</v>
      </c>
      <c r="P440" s="74"/>
      <c r="Q440" s="74"/>
      <c r="R440" s="74"/>
      <c r="S440" s="74"/>
      <c r="T440" s="74"/>
      <c r="U440" s="74"/>
      <c r="V440" s="74"/>
      <c r="W440" s="74"/>
      <c r="X440" s="74"/>
      <c r="Y440" s="74"/>
    </row>
    <row r="441" ht="26.25" customHeight="1">
      <c r="A441" s="74" t="str">
        <f>IFERROR(__xludf.DUMMYFUNCTION("""COMPUTED_VALUE"""),"sruthi")</f>
        <v>sruthi</v>
      </c>
      <c r="B441" s="74" t="str">
        <f>IFERROR(__xludf.DUMMYFUNCTION("""COMPUTED_VALUE"""),"18331A05C5")</f>
        <v>18331A05C5</v>
      </c>
      <c r="C441" s="90" t="str">
        <f>IFERROR(__xludf.DUMMYFUNCTION("""COMPUTED_VALUE"""),"Introduction to networks")</f>
        <v>Introduction to networks</v>
      </c>
      <c r="D441" s="74" t="str">
        <f>IFERROR(__xludf.DUMMYFUNCTION("""COMPUTED_VALUE"""),"Cisco")</f>
        <v>Cisco</v>
      </c>
      <c r="E441" s="74" t="str">
        <f>IFERROR(__xludf.DUMMYFUNCTION("""COMPUTED_VALUE"""),"1month")</f>
        <v>1month</v>
      </c>
      <c r="F441" s="91">
        <f>IFERROR(__xludf.DUMMYFUNCTION("""COMPUTED_VALUE"""),43933.0)</f>
        <v>43933</v>
      </c>
      <c r="G441" s="91">
        <f>IFERROR(__xludf.DUMMYFUNCTION("""COMPUTED_VALUE"""),43963.0)</f>
        <v>43963</v>
      </c>
      <c r="H441" s="79">
        <f>IFERROR(__xludf.DUMMYFUNCTION("""COMPUTED_VALUE"""),43965.0)</f>
        <v>43965</v>
      </c>
      <c r="I441" s="92">
        <f>IFERROR(__xludf.DUMMYFUNCTION("""COMPUTED_VALUE"""),90.0)</f>
        <v>90</v>
      </c>
      <c r="J441" s="74" t="str">
        <f>IFERROR(__xludf.DUMMYFUNCTION("""COMPUTED_VALUE"""),"DR.P.Ravi kiran varma")</f>
        <v>DR.P.Ravi kiran varma</v>
      </c>
      <c r="K441" s="80" t="str">
        <f>IFERROR(__xludf.DUMMYFUNCTION("""COMPUTED_VALUE"""),"https://drive.google.com/open?id=12XH5RrfL2FOuXr7u4fG9Rx1Bs1pYuF3w")</f>
        <v>https://drive.google.com/open?id=12XH5RrfL2FOuXr7u4fG9Rx1Bs1pYuF3w</v>
      </c>
      <c r="L441" s="74" t="str">
        <f>IFERROR(__xludf.DUMMYFUNCTION("""COMPUTED_VALUE"""),"2018-2022")</f>
        <v>2018-2022</v>
      </c>
      <c r="M441" s="74" t="str">
        <f>IFERROR(__xludf.DUMMYFUNCTION("""COMPUTED_VALUE"""),"S4: Student Certifications")</f>
        <v>S4: Student Certifications</v>
      </c>
      <c r="N441" s="74" t="str">
        <f>IFERROR(__xludf.DUMMYFUNCTION("""COMPUTED_VALUE"""),"sruthirokalla369@gmail.com")</f>
        <v>sruthirokalla369@gmail.com</v>
      </c>
      <c r="O441" s="74" t="str">
        <f>IFERROR(__xludf.DUMMYFUNCTION("""COMPUTED_VALUE"""),"SEM-8")</f>
        <v>SEM-8</v>
      </c>
      <c r="P441" s="74"/>
      <c r="Q441" s="74"/>
      <c r="R441" s="74"/>
      <c r="S441" s="74"/>
      <c r="T441" s="74"/>
      <c r="U441" s="74"/>
      <c r="V441" s="74"/>
      <c r="W441" s="74"/>
      <c r="X441" s="74"/>
      <c r="Y441" s="74"/>
    </row>
    <row r="442" ht="26.25" customHeight="1">
      <c r="A442" s="74" t="str">
        <f>IFERROR(__xludf.DUMMYFUNCTION("""COMPUTED_VALUE"""),"sruthi")</f>
        <v>sruthi</v>
      </c>
      <c r="B442" s="74" t="str">
        <f>IFERROR(__xludf.DUMMYFUNCTION("""COMPUTED_VALUE"""),"18331A05C5")</f>
        <v>18331A05C5</v>
      </c>
      <c r="C442" s="90" t="str">
        <f>IFERROR(__xludf.DUMMYFUNCTION("""COMPUTED_VALUE"""),"switching routing and wireless essentials")</f>
        <v>switching routing and wireless essentials</v>
      </c>
      <c r="D442" s="74" t="str">
        <f>IFERROR(__xludf.DUMMYFUNCTION("""COMPUTED_VALUE"""),"Cisco")</f>
        <v>Cisco</v>
      </c>
      <c r="E442" s="74" t="str">
        <f>IFERROR(__xludf.DUMMYFUNCTION("""COMPUTED_VALUE"""),"1month")</f>
        <v>1month</v>
      </c>
      <c r="F442" s="91">
        <f>IFERROR(__xludf.DUMMYFUNCTION("""COMPUTED_VALUE"""),43957.0)</f>
        <v>43957</v>
      </c>
      <c r="G442" s="91">
        <f>IFERROR(__xludf.DUMMYFUNCTION("""COMPUTED_VALUE"""),43988.0)</f>
        <v>43988</v>
      </c>
      <c r="H442" s="79">
        <f>IFERROR(__xludf.DUMMYFUNCTION("""COMPUTED_VALUE"""),43989.0)</f>
        <v>43989</v>
      </c>
      <c r="I442" s="92">
        <f>IFERROR(__xludf.DUMMYFUNCTION("""COMPUTED_VALUE"""),90.0)</f>
        <v>90</v>
      </c>
      <c r="J442" s="74" t="str">
        <f>IFERROR(__xludf.DUMMYFUNCTION("""COMPUTED_VALUE"""),"DR.P.Ravi kiran varma")</f>
        <v>DR.P.Ravi kiran varma</v>
      </c>
      <c r="K442" s="80" t="str">
        <f>IFERROR(__xludf.DUMMYFUNCTION("""COMPUTED_VALUE"""),"https://drive.google.com/open?id=1u7wm-N97PPXgI3ost1CrXrVe66wKvBsJ")</f>
        <v>https://drive.google.com/open?id=1u7wm-N97PPXgI3ost1CrXrVe66wKvBsJ</v>
      </c>
      <c r="L442" s="74" t="str">
        <f>IFERROR(__xludf.DUMMYFUNCTION("""COMPUTED_VALUE"""),"2018-2022")</f>
        <v>2018-2022</v>
      </c>
      <c r="M442" s="74" t="str">
        <f>IFERROR(__xludf.DUMMYFUNCTION("""COMPUTED_VALUE"""),"S4: Student Certifications")</f>
        <v>S4: Student Certifications</v>
      </c>
      <c r="N442" s="74" t="str">
        <f>IFERROR(__xludf.DUMMYFUNCTION("""COMPUTED_VALUE"""),"sruthirokalla369@gmail.com")</f>
        <v>sruthirokalla369@gmail.com</v>
      </c>
      <c r="O442" s="74" t="str">
        <f>IFERROR(__xludf.DUMMYFUNCTION("""COMPUTED_VALUE"""),"SEM-8")</f>
        <v>SEM-8</v>
      </c>
      <c r="P442" s="74"/>
      <c r="Q442" s="74"/>
      <c r="R442" s="74"/>
      <c r="S442" s="74"/>
      <c r="T442" s="74"/>
      <c r="U442" s="74"/>
      <c r="V442" s="74"/>
      <c r="W442" s="74"/>
      <c r="X442" s="74"/>
      <c r="Y442" s="74"/>
    </row>
    <row r="443" ht="26.25" customHeight="1">
      <c r="A443" s="74" t="str">
        <f>IFERROR(__xludf.DUMMYFUNCTION("""COMPUTED_VALUE"""),"Sai Yogesh Bhasuru ")</f>
        <v>Sai Yogesh Bhasuru </v>
      </c>
      <c r="B443" s="74" t="str">
        <f>IFERROR(__xludf.DUMMYFUNCTION("""COMPUTED_VALUE"""),"18331A05D4")</f>
        <v>18331A05D4</v>
      </c>
      <c r="C443" s="90" t="str">
        <f>IFERROR(__xludf.DUMMYFUNCTION("""COMPUTED_VALUE"""),"Programming essentials in python")</f>
        <v>Programming essentials in python</v>
      </c>
      <c r="D443" s="74" t="str">
        <f>IFERROR(__xludf.DUMMYFUNCTION("""COMPUTED_VALUE"""),"Cisco ")</f>
        <v>Cisco </v>
      </c>
      <c r="E443" s="74" t="str">
        <f>IFERROR(__xludf.DUMMYFUNCTION("""COMPUTED_VALUE"""),"1 month")</f>
        <v>1 month</v>
      </c>
      <c r="F443" s="91">
        <f>IFERROR(__xludf.DUMMYFUNCTION("""COMPUTED_VALUE"""),44348.0)</f>
        <v>44348</v>
      </c>
      <c r="G443" s="91">
        <f>IFERROR(__xludf.DUMMYFUNCTION("""COMPUTED_VALUE"""),44378.0)</f>
        <v>44378</v>
      </c>
      <c r="H443" s="79">
        <f>IFERROR(__xludf.DUMMYFUNCTION("""COMPUTED_VALUE"""),44379.0)</f>
        <v>44379</v>
      </c>
      <c r="I443" s="92">
        <f>IFERROR(__xludf.DUMMYFUNCTION("""COMPUTED_VALUE"""),96.0)</f>
        <v>96</v>
      </c>
      <c r="J443" s="74" t="str">
        <f>IFERROR(__xludf.DUMMYFUNCTION("""COMPUTED_VALUE"""),"Dr.P.Ravi Kiran varma ")</f>
        <v>Dr.P.Ravi Kiran varma </v>
      </c>
      <c r="K443" s="80" t="str">
        <f>IFERROR(__xludf.DUMMYFUNCTION("""COMPUTED_VALUE"""),"https://drive.google.com/open?id=12zEjCujEAx38R7Mcz3Q5dj-Y8ZmURofK")</f>
        <v>https://drive.google.com/open?id=12zEjCujEAx38R7Mcz3Q5dj-Y8ZmURofK</v>
      </c>
      <c r="L443" s="74" t="str">
        <f>IFERROR(__xludf.DUMMYFUNCTION("""COMPUTED_VALUE"""),"2018-2022")</f>
        <v>2018-2022</v>
      </c>
      <c r="M443" s="74" t="str">
        <f>IFERROR(__xludf.DUMMYFUNCTION("""COMPUTED_VALUE"""),"S4: Student Certifications")</f>
        <v>S4: Student Certifications</v>
      </c>
      <c r="N443" s="74" t="str">
        <f>IFERROR(__xludf.DUMMYFUNCTION("""COMPUTED_VALUE"""),"saiyogeshbhasuru16@gmail.com")</f>
        <v>saiyogeshbhasuru16@gmail.com</v>
      </c>
      <c r="O443" s="74" t="str">
        <f>IFERROR(__xludf.DUMMYFUNCTION("""COMPUTED_VALUE"""),"SEM-6")</f>
        <v>SEM-6</v>
      </c>
      <c r="P443" s="74"/>
      <c r="Q443" s="74"/>
      <c r="R443" s="74"/>
      <c r="S443" s="74"/>
      <c r="T443" s="74"/>
      <c r="U443" s="74"/>
      <c r="V443" s="74"/>
      <c r="W443" s="74"/>
      <c r="X443" s="74"/>
      <c r="Y443" s="74"/>
    </row>
    <row r="444" ht="26.25" customHeight="1">
      <c r="A444" s="74" t="str">
        <f>IFERROR(__xludf.DUMMYFUNCTION("""COMPUTED_VALUE"""),"sruthi")</f>
        <v>sruthi</v>
      </c>
      <c r="B444" s="74" t="str">
        <f>IFERROR(__xludf.DUMMYFUNCTION("""COMPUTED_VALUE"""),"18331A05C5")</f>
        <v>18331A05C5</v>
      </c>
      <c r="C444" s="90" t="str">
        <f>IFERROR(__xludf.DUMMYFUNCTION("""COMPUTED_VALUE"""),"Enterprise Networking, Security, and Automation")</f>
        <v>Enterprise Networking, Security, and Automation</v>
      </c>
      <c r="D444" s="74" t="str">
        <f>IFERROR(__xludf.DUMMYFUNCTION("""COMPUTED_VALUE"""),"Cisco")</f>
        <v>Cisco</v>
      </c>
      <c r="E444" s="74" t="str">
        <f>IFERROR(__xludf.DUMMYFUNCTION("""COMPUTED_VALUE"""),"1month")</f>
        <v>1month</v>
      </c>
      <c r="F444" s="91">
        <f>IFERROR(__xludf.DUMMYFUNCTION("""COMPUTED_VALUE"""),-619994.0)</f>
        <v>-619994</v>
      </c>
      <c r="G444" s="91">
        <f>IFERROR(__xludf.DUMMYFUNCTION("""COMPUTED_VALUE"""),44019.0)</f>
        <v>44019</v>
      </c>
      <c r="H444" s="79">
        <f>IFERROR(__xludf.DUMMYFUNCTION("""COMPUTED_VALUE"""),44020.0)</f>
        <v>44020</v>
      </c>
      <c r="I444" s="92">
        <f>IFERROR(__xludf.DUMMYFUNCTION("""COMPUTED_VALUE"""),90.0)</f>
        <v>90</v>
      </c>
      <c r="J444" s="74" t="str">
        <f>IFERROR(__xludf.DUMMYFUNCTION("""COMPUTED_VALUE"""),"DR.P.Ravi kiran varma")</f>
        <v>DR.P.Ravi kiran varma</v>
      </c>
      <c r="K444" s="80" t="str">
        <f>IFERROR(__xludf.DUMMYFUNCTION("""COMPUTED_VALUE"""),"https://drive.google.com/open?id=1qmWYkZ9uNISCKdJ2kUyd6rPe1yQQrs8m")</f>
        <v>https://drive.google.com/open?id=1qmWYkZ9uNISCKdJ2kUyd6rPe1yQQrs8m</v>
      </c>
      <c r="L444" s="74" t="str">
        <f>IFERROR(__xludf.DUMMYFUNCTION("""COMPUTED_VALUE"""),"2018-2022")</f>
        <v>2018-2022</v>
      </c>
      <c r="M444" s="74" t="str">
        <f>IFERROR(__xludf.DUMMYFUNCTION("""COMPUTED_VALUE"""),"S4: Student Certifications")</f>
        <v>S4: Student Certifications</v>
      </c>
      <c r="N444" s="74" t="str">
        <f>IFERROR(__xludf.DUMMYFUNCTION("""COMPUTED_VALUE"""),"sruthirokalla369@gmail.com")</f>
        <v>sruthirokalla369@gmail.com</v>
      </c>
      <c r="O444" s="74" t="str">
        <f>IFERROR(__xludf.DUMMYFUNCTION("""COMPUTED_VALUE"""),"SEM-8")</f>
        <v>SEM-8</v>
      </c>
      <c r="P444" s="74"/>
      <c r="Q444" s="74"/>
      <c r="R444" s="74"/>
      <c r="S444" s="74"/>
      <c r="T444" s="74"/>
      <c r="U444" s="74"/>
      <c r="V444" s="74"/>
      <c r="W444" s="74"/>
      <c r="X444" s="74"/>
      <c r="Y444" s="74"/>
    </row>
    <row r="445" ht="26.25" customHeight="1">
      <c r="A445" s="74" t="str">
        <f>IFERROR(__xludf.DUMMYFUNCTION("""COMPUTED_VALUE"""),"Sai Yogesh Bhasuru ")</f>
        <v>Sai Yogesh Bhasuru </v>
      </c>
      <c r="B445" s="74" t="str">
        <f>IFERROR(__xludf.DUMMYFUNCTION("""COMPUTED_VALUE"""),"18331A05D4")</f>
        <v>18331A05D4</v>
      </c>
      <c r="C445" s="90" t="str">
        <f>IFERROR(__xludf.DUMMYFUNCTION("""COMPUTED_VALUE"""),"Linux essentials ")</f>
        <v>Linux essentials </v>
      </c>
      <c r="D445" s="74" t="str">
        <f>IFERROR(__xludf.DUMMYFUNCTION("""COMPUTED_VALUE"""),"Cisco")</f>
        <v>Cisco</v>
      </c>
      <c r="E445" s="74" t="str">
        <f>IFERROR(__xludf.DUMMYFUNCTION("""COMPUTED_VALUE"""),"4 weeks")</f>
        <v>4 weeks</v>
      </c>
      <c r="F445" s="91">
        <f>IFERROR(__xludf.DUMMYFUNCTION("""COMPUTED_VALUE"""),43931.0)</f>
        <v>43931</v>
      </c>
      <c r="G445" s="91">
        <f>IFERROR(__xludf.DUMMYFUNCTION("""COMPUTED_VALUE"""),43961.0)</f>
        <v>43961</v>
      </c>
      <c r="H445" s="79">
        <f>IFERROR(__xludf.DUMMYFUNCTION("""COMPUTED_VALUE"""),44327.0)</f>
        <v>44327</v>
      </c>
      <c r="I445" s="92">
        <f>IFERROR(__xludf.DUMMYFUNCTION("""COMPUTED_VALUE"""),95.0)</f>
        <v>95</v>
      </c>
      <c r="J445" s="74" t="str">
        <f>IFERROR(__xludf.DUMMYFUNCTION("""COMPUTED_VALUE"""),"Dr.P.Ravi Kiran varma")</f>
        <v>Dr.P.Ravi Kiran varma</v>
      </c>
      <c r="K445" s="80" t="str">
        <f>IFERROR(__xludf.DUMMYFUNCTION("""COMPUTED_VALUE"""),"https://drive.google.com/open?id=1pWjhSz02aRPeh3Gu2nw87YrCPDMuAnNn")</f>
        <v>https://drive.google.com/open?id=1pWjhSz02aRPeh3Gu2nw87YrCPDMuAnNn</v>
      </c>
      <c r="L445" s="74" t="str">
        <f>IFERROR(__xludf.DUMMYFUNCTION("""COMPUTED_VALUE"""),"2018-2022")</f>
        <v>2018-2022</v>
      </c>
      <c r="M445" s="74" t="str">
        <f>IFERROR(__xludf.DUMMYFUNCTION("""COMPUTED_VALUE"""),"S4: Student Certifications")</f>
        <v>S4: Student Certifications</v>
      </c>
      <c r="N445" s="74" t="str">
        <f>IFERROR(__xludf.DUMMYFUNCTION("""COMPUTED_VALUE"""),"saiyogeshbhasuru16@gmail.com")</f>
        <v>saiyogeshbhasuru16@gmail.com</v>
      </c>
      <c r="O445" s="74" t="str">
        <f>IFERROR(__xludf.DUMMYFUNCTION("""COMPUTED_VALUE"""),"SEM-5")</f>
        <v>SEM-5</v>
      </c>
      <c r="P445" s="74"/>
      <c r="Q445" s="74"/>
      <c r="R445" s="74"/>
      <c r="S445" s="74"/>
      <c r="T445" s="74"/>
      <c r="U445" s="74"/>
      <c r="V445" s="74"/>
      <c r="W445" s="74"/>
      <c r="X445" s="74"/>
      <c r="Y445" s="74"/>
    </row>
    <row r="446" ht="26.25" customHeight="1">
      <c r="A446" s="74" t="str">
        <f>IFERROR(__xludf.DUMMYFUNCTION("""COMPUTED_VALUE"""),"sruthi")</f>
        <v>sruthi</v>
      </c>
      <c r="B446" s="74" t="str">
        <f>IFERROR(__xludf.DUMMYFUNCTION("""COMPUTED_VALUE"""),"18331A05C5")</f>
        <v>18331A05C5</v>
      </c>
      <c r="C446" s="90" t="str">
        <f>IFERROR(__xludf.DUMMYFUNCTION("""COMPUTED_VALUE"""),"Introduction to Cybersecurity")</f>
        <v>Introduction to Cybersecurity</v>
      </c>
      <c r="D446" s="74" t="str">
        <f>IFERROR(__xludf.DUMMYFUNCTION("""COMPUTED_VALUE"""),"Cisco")</f>
        <v>Cisco</v>
      </c>
      <c r="E446" s="74" t="str">
        <f>IFERROR(__xludf.DUMMYFUNCTION("""COMPUTED_VALUE"""),"1month")</f>
        <v>1month</v>
      </c>
      <c r="F446" s="91">
        <f>IFERROR(__xludf.DUMMYFUNCTION("""COMPUTED_VALUE"""),44328.0)</f>
        <v>44328</v>
      </c>
      <c r="G446" s="91">
        <f>IFERROR(__xludf.DUMMYFUNCTION("""COMPUTED_VALUE"""),44330.0)</f>
        <v>44330</v>
      </c>
      <c r="H446" s="79">
        <f>IFERROR(__xludf.DUMMYFUNCTION("""COMPUTED_VALUE"""),44331.0)</f>
        <v>44331</v>
      </c>
      <c r="I446" s="92">
        <f>IFERROR(__xludf.DUMMYFUNCTION("""COMPUTED_VALUE"""),90.0)</f>
        <v>90</v>
      </c>
      <c r="J446" s="74" t="str">
        <f>IFERROR(__xludf.DUMMYFUNCTION("""COMPUTED_VALUE"""),"DR.P.Ravi kiran varma")</f>
        <v>DR.P.Ravi kiran varma</v>
      </c>
      <c r="K446" s="80" t="str">
        <f>IFERROR(__xludf.DUMMYFUNCTION("""COMPUTED_VALUE"""),"https://drive.google.com/open?id=1rUsvBUcqTc4pCRFgLI6clp8DLaNqSU2s")</f>
        <v>https://drive.google.com/open?id=1rUsvBUcqTc4pCRFgLI6clp8DLaNqSU2s</v>
      </c>
      <c r="L446" s="74" t="str">
        <f>IFERROR(__xludf.DUMMYFUNCTION("""COMPUTED_VALUE"""),"2018-2022")</f>
        <v>2018-2022</v>
      </c>
      <c r="M446" s="74" t="str">
        <f>IFERROR(__xludf.DUMMYFUNCTION("""COMPUTED_VALUE"""),"S4: Student Certifications")</f>
        <v>S4: Student Certifications</v>
      </c>
      <c r="N446" s="74" t="str">
        <f>IFERROR(__xludf.DUMMYFUNCTION("""COMPUTED_VALUE"""),"sruthirokalla369@gmail.com")</f>
        <v>sruthirokalla369@gmail.com</v>
      </c>
      <c r="O446" s="74" t="str">
        <f>IFERROR(__xludf.DUMMYFUNCTION("""COMPUTED_VALUE"""),"SEM-8")</f>
        <v>SEM-8</v>
      </c>
      <c r="P446" s="74"/>
      <c r="Q446" s="74"/>
      <c r="R446" s="74"/>
      <c r="S446" s="74"/>
      <c r="T446" s="74"/>
      <c r="U446" s="74"/>
      <c r="V446" s="74"/>
      <c r="W446" s="74"/>
      <c r="X446" s="74"/>
      <c r="Y446" s="74"/>
    </row>
    <row r="447" ht="26.25" customHeight="1">
      <c r="A447" s="74" t="str">
        <f>IFERROR(__xludf.DUMMYFUNCTION("""COMPUTED_VALUE"""),"sruthi")</f>
        <v>sruthi</v>
      </c>
      <c r="B447" s="74" t="str">
        <f>IFERROR(__xludf.DUMMYFUNCTION("""COMPUTED_VALUE"""),"18331A05C5")</f>
        <v>18331A05C5</v>
      </c>
      <c r="C447" s="90" t="str">
        <f>IFERROR(__xludf.DUMMYFUNCTION("""COMPUTED_VALUE"""),"Introduction to Packet Tracer")</f>
        <v>Introduction to Packet Tracer</v>
      </c>
      <c r="D447" s="74" t="str">
        <f>IFERROR(__xludf.DUMMYFUNCTION("""COMPUTED_VALUE"""),"Cisco")</f>
        <v>Cisco</v>
      </c>
      <c r="E447" s="74" t="str">
        <f>IFERROR(__xludf.DUMMYFUNCTION("""COMPUTED_VALUE"""),"1month")</f>
        <v>1month</v>
      </c>
      <c r="F447" s="91">
        <f>IFERROR(__xludf.DUMMYFUNCTION("""COMPUTED_VALUE"""),44383.0)</f>
        <v>44383</v>
      </c>
      <c r="G447" s="91">
        <f>IFERROR(__xludf.DUMMYFUNCTION("""COMPUTED_VALUE"""),44384.0)</f>
        <v>44384</v>
      </c>
      <c r="H447" s="79">
        <f>IFERROR(__xludf.DUMMYFUNCTION("""COMPUTED_VALUE"""),44387.0)</f>
        <v>44387</v>
      </c>
      <c r="I447" s="92">
        <f>IFERROR(__xludf.DUMMYFUNCTION("""COMPUTED_VALUE"""),90.0)</f>
        <v>90</v>
      </c>
      <c r="J447" s="74" t="str">
        <f>IFERROR(__xludf.DUMMYFUNCTION("""COMPUTED_VALUE"""),"DR.P.Ravi kiran varma")</f>
        <v>DR.P.Ravi kiran varma</v>
      </c>
      <c r="K447" s="80" t="str">
        <f>IFERROR(__xludf.DUMMYFUNCTION("""COMPUTED_VALUE"""),"https://drive.google.com/open?id=1zNDTOJTa-loY2JzE0YC6MTK-athBsanK")</f>
        <v>https://drive.google.com/open?id=1zNDTOJTa-loY2JzE0YC6MTK-athBsanK</v>
      </c>
      <c r="L447" s="74" t="str">
        <f>IFERROR(__xludf.DUMMYFUNCTION("""COMPUTED_VALUE"""),"2018-2022")</f>
        <v>2018-2022</v>
      </c>
      <c r="M447" s="74" t="str">
        <f>IFERROR(__xludf.DUMMYFUNCTION("""COMPUTED_VALUE"""),"S4: Student Certifications")</f>
        <v>S4: Student Certifications</v>
      </c>
      <c r="N447" s="74" t="str">
        <f>IFERROR(__xludf.DUMMYFUNCTION("""COMPUTED_VALUE"""),"sruthirokalla369@gmail.com")</f>
        <v>sruthirokalla369@gmail.com</v>
      </c>
      <c r="O447" s="74" t="str">
        <f>IFERROR(__xludf.DUMMYFUNCTION("""COMPUTED_VALUE"""),"SEM-8")</f>
        <v>SEM-8</v>
      </c>
      <c r="P447" s="74"/>
      <c r="Q447" s="74"/>
      <c r="R447" s="74"/>
      <c r="S447" s="74"/>
      <c r="T447" s="74"/>
      <c r="U447" s="74"/>
      <c r="V447" s="74"/>
      <c r="W447" s="74"/>
      <c r="X447" s="74"/>
      <c r="Y447" s="74"/>
    </row>
    <row r="448" ht="26.25" customHeight="1">
      <c r="A448" s="74" t="str">
        <f>IFERROR(__xludf.DUMMYFUNCTION("""COMPUTED_VALUE"""),"sruthi")</f>
        <v>sruthi</v>
      </c>
      <c r="B448" s="74" t="str">
        <f>IFERROR(__xludf.DUMMYFUNCTION("""COMPUTED_VALUE"""),"18331A05C5")</f>
        <v>18331A05C5</v>
      </c>
      <c r="C448" s="90" t="str">
        <f>IFERROR(__xludf.DUMMYFUNCTION("""COMPUTED_VALUE"""),"Programming Essentials in C++")</f>
        <v>Programming Essentials in C++</v>
      </c>
      <c r="D448" s="74" t="str">
        <f>IFERROR(__xludf.DUMMYFUNCTION("""COMPUTED_VALUE"""),"Cisco")</f>
        <v>Cisco</v>
      </c>
      <c r="E448" s="74" t="str">
        <f>IFERROR(__xludf.DUMMYFUNCTION("""COMPUTED_VALUE"""),"3months")</f>
        <v>3months</v>
      </c>
      <c r="F448" s="91">
        <f>IFERROR(__xludf.DUMMYFUNCTION("""COMPUTED_VALUE"""),43988.0)</f>
        <v>43988</v>
      </c>
      <c r="G448" s="91">
        <f>IFERROR(__xludf.DUMMYFUNCTION("""COMPUTED_VALUE"""),44050.0)</f>
        <v>44050</v>
      </c>
      <c r="H448" s="79">
        <f>IFERROR(__xludf.DUMMYFUNCTION("""COMPUTED_VALUE"""),44054.0)</f>
        <v>44054</v>
      </c>
      <c r="I448" s="92">
        <f>IFERROR(__xludf.DUMMYFUNCTION("""COMPUTED_VALUE"""),90.0)</f>
        <v>90</v>
      </c>
      <c r="J448" s="74" t="str">
        <f>IFERROR(__xludf.DUMMYFUNCTION("""COMPUTED_VALUE"""),"DR.P.Ravi kiran varma")</f>
        <v>DR.P.Ravi kiran varma</v>
      </c>
      <c r="K448" s="80" t="str">
        <f>IFERROR(__xludf.DUMMYFUNCTION("""COMPUTED_VALUE"""),"https://drive.google.com/open?id=1EJO0XC5P_pLAqOf-2Q8rbY0TxHWpxzxX")</f>
        <v>https://drive.google.com/open?id=1EJO0XC5P_pLAqOf-2Q8rbY0TxHWpxzxX</v>
      </c>
      <c r="L448" s="74" t="str">
        <f>IFERROR(__xludf.DUMMYFUNCTION("""COMPUTED_VALUE"""),"2018-2022")</f>
        <v>2018-2022</v>
      </c>
      <c r="M448" s="74" t="str">
        <f>IFERROR(__xludf.DUMMYFUNCTION("""COMPUTED_VALUE"""),"S4: Student Certifications")</f>
        <v>S4: Student Certifications</v>
      </c>
      <c r="N448" s="74" t="str">
        <f>IFERROR(__xludf.DUMMYFUNCTION("""COMPUTED_VALUE"""),"sruthirokalla369@gmail.com")</f>
        <v>sruthirokalla369@gmail.com</v>
      </c>
      <c r="O448" s="74" t="str">
        <f>IFERROR(__xludf.DUMMYFUNCTION("""COMPUTED_VALUE"""),"SEM-8")</f>
        <v>SEM-8</v>
      </c>
      <c r="P448" s="74"/>
      <c r="Q448" s="74"/>
      <c r="R448" s="74"/>
      <c r="S448" s="74"/>
      <c r="T448" s="74"/>
      <c r="U448" s="74"/>
      <c r="V448" s="74"/>
      <c r="W448" s="74"/>
      <c r="X448" s="74"/>
      <c r="Y448" s="74"/>
    </row>
    <row r="449" ht="26.25" customHeight="1">
      <c r="A449" s="74" t="str">
        <f>IFERROR(__xludf.DUMMYFUNCTION("""COMPUTED_VALUE"""),"Venkata Surya Pranay Mamidipalli ")</f>
        <v>Venkata Surya Pranay Mamidipalli </v>
      </c>
      <c r="B449" s="74" t="str">
        <f>IFERROR(__xludf.DUMMYFUNCTION("""COMPUTED_VALUE"""),"20331A05A5 ")</f>
        <v>20331A05A5 </v>
      </c>
      <c r="C449" s="90" t="str">
        <f>IFERROR(__xludf.DUMMYFUNCTION("""COMPUTED_VALUE"""),"IT ESSENTIALS")</f>
        <v>IT ESSENTIALS</v>
      </c>
      <c r="D449" s="74" t="str">
        <f>IFERROR(__xludf.DUMMYFUNCTION("""COMPUTED_VALUE"""),"CISCO")</f>
        <v>CISCO</v>
      </c>
      <c r="E449" s="74" t="str">
        <f>IFERROR(__xludf.DUMMYFUNCTION("""COMPUTED_VALUE"""),"10 weeks")</f>
        <v>10 weeks</v>
      </c>
      <c r="F449" s="91">
        <f>IFERROR(__xludf.DUMMYFUNCTION("""COMPUTED_VALUE"""),44695.0)</f>
        <v>44695</v>
      </c>
      <c r="G449" s="91">
        <f>IFERROR(__xludf.DUMMYFUNCTION("""COMPUTED_VALUE"""),44388.0)</f>
        <v>44388</v>
      </c>
      <c r="H449" s="79">
        <f>IFERROR(__xludf.DUMMYFUNCTION("""COMPUTED_VALUE"""),44388.0)</f>
        <v>44388</v>
      </c>
      <c r="I449" s="92">
        <f>IFERROR(__xludf.DUMMYFUNCTION("""COMPUTED_VALUE"""),0.94)</f>
        <v>0.94</v>
      </c>
      <c r="J449" s="74" t="str">
        <f>IFERROR(__xludf.DUMMYFUNCTION("""COMPUTED_VALUE"""),"K.V.SUBBARAJU")</f>
        <v>K.V.SUBBARAJU</v>
      </c>
      <c r="K449" s="80" t="str">
        <f>IFERROR(__xludf.DUMMYFUNCTION("""COMPUTED_VALUE"""),"https://drive.google.com/open?id=1QtbtvLWTBhNXZvDVypiun7FhSG7Wn0YN")</f>
        <v>https://drive.google.com/open?id=1QtbtvLWTBhNXZvDVypiun7FhSG7Wn0YN</v>
      </c>
      <c r="L449" s="74" t="str">
        <f>IFERROR(__xludf.DUMMYFUNCTION("""COMPUTED_VALUE"""),"2020-2024")</f>
        <v>2020-2024</v>
      </c>
      <c r="M449" s="74" t="str">
        <f>IFERROR(__xludf.DUMMYFUNCTION("""COMPUTED_VALUE"""),"S4: Student Certifications")</f>
        <v>S4: Student Certifications</v>
      </c>
      <c r="N449" s="74" t="str">
        <f>IFERROR(__xludf.DUMMYFUNCTION("""COMPUTED_VALUE"""),"suryapranaymamidipalli@gmail.com")</f>
        <v>suryapranaymamidipalli@gmail.com</v>
      </c>
      <c r="O449" s="74" t="str">
        <f>IFERROR(__xludf.DUMMYFUNCTION("""COMPUTED_VALUE"""),"SEM-4")</f>
        <v>SEM-4</v>
      </c>
      <c r="P449" s="74"/>
      <c r="Q449" s="74"/>
      <c r="R449" s="74"/>
      <c r="S449" s="74"/>
      <c r="T449" s="74"/>
      <c r="U449" s="74"/>
      <c r="V449" s="74"/>
      <c r="W449" s="74"/>
      <c r="X449" s="74"/>
      <c r="Y449" s="74"/>
    </row>
    <row r="450" ht="26.25" customHeight="1">
      <c r="A450" s="74" t="str">
        <f>IFERROR(__xludf.DUMMYFUNCTION("""COMPUTED_VALUE"""),"Venkata surya pranay Mamidipalli ")</f>
        <v>Venkata surya pranay Mamidipalli </v>
      </c>
      <c r="B450" s="74" t="str">
        <f>IFERROR(__xludf.DUMMYFUNCTION("""COMPUTED_VALUE"""),"20331A05A5 ")</f>
        <v>20331A05A5 </v>
      </c>
      <c r="C450" s="90" t="str">
        <f>IFERROR(__xludf.DUMMYFUNCTION("""COMPUTED_VALUE"""),"NDG LINUX ESSENTIALS")</f>
        <v>NDG LINUX ESSENTIALS</v>
      </c>
      <c r="D450" s="74" t="str">
        <f>IFERROR(__xludf.DUMMYFUNCTION("""COMPUTED_VALUE"""),"CISCO")</f>
        <v>CISCO</v>
      </c>
      <c r="E450" s="74" t="str">
        <f>IFERROR(__xludf.DUMMYFUNCTION("""COMPUTED_VALUE"""),"5 months")</f>
        <v>5 months</v>
      </c>
      <c r="F450" s="91">
        <f>IFERROR(__xludf.DUMMYFUNCTION("""COMPUTED_VALUE"""),44488.0)</f>
        <v>44488</v>
      </c>
      <c r="G450" s="91">
        <f>IFERROR(__xludf.DUMMYFUNCTION("""COMPUTED_VALUE"""),44651.0)</f>
        <v>44651</v>
      </c>
      <c r="H450" s="79">
        <f>IFERROR(__xludf.DUMMYFUNCTION("""COMPUTED_VALUE"""),44651.0)</f>
        <v>44651</v>
      </c>
      <c r="I450" s="92">
        <f>IFERROR(__xludf.DUMMYFUNCTION("""COMPUTED_VALUE"""),0.9)</f>
        <v>0.9</v>
      </c>
      <c r="J450" s="74" t="str">
        <f>IFERROR(__xludf.DUMMYFUNCTION("""COMPUTED_VALUE"""),"K.V.SUBBARAJU ")</f>
        <v>K.V.SUBBARAJU </v>
      </c>
      <c r="K450" s="80" t="str">
        <f>IFERROR(__xludf.DUMMYFUNCTION("""COMPUTED_VALUE"""),"https://drive.google.com/open?id=1MyCa2fivlqQ7bcs1S2McWuvIsY-7DS9G")</f>
        <v>https://drive.google.com/open?id=1MyCa2fivlqQ7bcs1S2McWuvIsY-7DS9G</v>
      </c>
      <c r="L450" s="74" t="str">
        <f>IFERROR(__xludf.DUMMYFUNCTION("""COMPUTED_VALUE"""),"2020-2024")</f>
        <v>2020-2024</v>
      </c>
      <c r="M450" s="74" t="str">
        <f>IFERROR(__xludf.DUMMYFUNCTION("""COMPUTED_VALUE"""),"S4: Student Certifications")</f>
        <v>S4: Student Certifications</v>
      </c>
      <c r="N450" s="74" t="str">
        <f>IFERROR(__xludf.DUMMYFUNCTION("""COMPUTED_VALUE"""),"suryapranaymamidipalli@gmail.com")</f>
        <v>suryapranaymamidipalli@gmail.com</v>
      </c>
      <c r="O450" s="74" t="str">
        <f>IFERROR(__xludf.DUMMYFUNCTION("""COMPUTED_VALUE"""),"SEM-4")</f>
        <v>SEM-4</v>
      </c>
      <c r="P450" s="74"/>
      <c r="Q450" s="74"/>
      <c r="R450" s="74"/>
      <c r="S450" s="74"/>
      <c r="T450" s="74"/>
      <c r="U450" s="74"/>
      <c r="V450" s="74"/>
      <c r="W450" s="74"/>
      <c r="X450" s="74"/>
      <c r="Y450" s="74"/>
    </row>
    <row r="451" ht="26.25" customHeight="1">
      <c r="A451" s="78" t="str">
        <f>IFERROR(__xludf.DUMMYFUNCTION("""COMPUTED_VALUE"""),"Mudili Kavya")</f>
        <v>Mudili Kavya</v>
      </c>
      <c r="B451" s="78" t="str">
        <f>IFERROR(__xludf.DUMMYFUNCTION("""COMPUTED_VALUE"""),"18331A05A1")</f>
        <v>18331A05A1</v>
      </c>
      <c r="C451" s="93" t="str">
        <f>IFERROR(__xludf.DUMMYFUNCTION("""COMPUTED_VALUE"""),"Machine Learning Using Python")</f>
        <v>Machine Learning Using Python</v>
      </c>
      <c r="D451" s="78" t="str">
        <f>IFERROR(__xludf.DUMMYFUNCTION("""COMPUTED_VALUE"""),"Andhra Pradesh State Skill Development Corporation(APSSDC)")</f>
        <v>Andhra Pradesh State Skill Development Corporation(APSSDC)</v>
      </c>
      <c r="E451" s="78" t="str">
        <f>IFERROR(__xludf.DUMMYFUNCTION("""COMPUTED_VALUE"""),"3 Weeks")</f>
        <v>3 Weeks</v>
      </c>
      <c r="F451" s="94">
        <f>IFERROR(__xludf.DUMMYFUNCTION("""COMPUTED_VALUE"""),44354.0)</f>
        <v>44354</v>
      </c>
      <c r="G451" s="94">
        <f>IFERROR(__xludf.DUMMYFUNCTION("""COMPUTED_VALUE"""),44738.0)</f>
        <v>44738</v>
      </c>
      <c r="H451" s="84">
        <f>IFERROR(__xludf.DUMMYFUNCTION("""COMPUTED_VALUE"""),44372.0)</f>
        <v>44372</v>
      </c>
      <c r="I451" s="95"/>
      <c r="J451" s="78" t="str">
        <f>IFERROR(__xludf.DUMMYFUNCTION("""COMPUTED_VALUE"""),"NA")</f>
        <v>NA</v>
      </c>
      <c r="K451" s="85" t="str">
        <f>IFERROR(__xludf.DUMMYFUNCTION("""COMPUTED_VALUE"""),"https://drive.google.com/open?id=1oaGjs8hJ2R12P4G98dW9kU2e-yGO4_xl")</f>
        <v>https://drive.google.com/open?id=1oaGjs8hJ2R12P4G98dW9kU2e-yGO4_xl</v>
      </c>
      <c r="L451" s="78" t="str">
        <f>IFERROR(__xludf.DUMMYFUNCTION("""COMPUTED_VALUE"""),"2018-2022")</f>
        <v>2018-2022</v>
      </c>
      <c r="M451" s="78" t="str">
        <f>IFERROR(__xludf.DUMMYFUNCTION("""COMPUTED_VALUE"""),"S4: Student Certifications")</f>
        <v>S4: Student Certifications</v>
      </c>
      <c r="N451" s="78" t="str">
        <f>IFERROR(__xludf.DUMMYFUNCTION("""COMPUTED_VALUE"""),"kavyamudili2001@gmail.com")</f>
        <v>kavyamudili2001@gmail.com</v>
      </c>
      <c r="O451" s="78" t="str">
        <f>IFERROR(__xludf.DUMMYFUNCTION("""COMPUTED_VALUE"""),"SEM-8")</f>
        <v>SEM-8</v>
      </c>
      <c r="P451" s="78"/>
      <c r="Q451" s="78"/>
      <c r="R451" s="78"/>
      <c r="S451" s="78"/>
      <c r="T451" s="78"/>
      <c r="U451" s="78"/>
      <c r="V451" s="78"/>
      <c r="W451" s="78"/>
      <c r="X451" s="78"/>
      <c r="Y451" s="78"/>
    </row>
    <row r="452" ht="26.25" customHeight="1">
      <c r="A452" s="74" t="str">
        <f>IFERROR(__xludf.DUMMYFUNCTION("""COMPUTED_VALUE"""),"Kavya Mudili")</f>
        <v>Kavya Mudili</v>
      </c>
      <c r="B452" s="74" t="str">
        <f>IFERROR(__xludf.DUMMYFUNCTION("""COMPUTED_VALUE"""),"18331A05A1")</f>
        <v>18331A05A1</v>
      </c>
      <c r="C452" s="90" t="str">
        <f>IFERROR(__xludf.DUMMYFUNCTION("""COMPUTED_VALUE"""),"Cyber Security  Essentials")</f>
        <v>Cyber Security  Essentials</v>
      </c>
      <c r="D452" s="74" t="str">
        <f>IFERROR(__xludf.DUMMYFUNCTION("""COMPUTED_VALUE"""),"Cisco")</f>
        <v>Cisco</v>
      </c>
      <c r="E452" s="74" t="str">
        <f>IFERROR(__xludf.DUMMYFUNCTION("""COMPUTED_VALUE"""),"12 weeks")</f>
        <v>12 weeks</v>
      </c>
      <c r="F452" s="91">
        <f>IFERROR(__xludf.DUMMYFUNCTION("""COMPUTED_VALUE"""),44677.0)</f>
        <v>44677</v>
      </c>
      <c r="G452" s="91">
        <f>IFERROR(__xludf.DUMMYFUNCTION("""COMPUTED_VALUE"""),43672.0)</f>
        <v>43672</v>
      </c>
      <c r="H452" s="79">
        <f>IFERROR(__xludf.DUMMYFUNCTION("""COMPUTED_VALUE"""),43672.0)</f>
        <v>43672</v>
      </c>
      <c r="I452" s="92"/>
      <c r="J452" s="74" t="str">
        <f>IFERROR(__xludf.DUMMYFUNCTION("""COMPUTED_VALUE"""),"DR. RAVI KIRAN VARMA PENMATSA")</f>
        <v>DR. RAVI KIRAN VARMA PENMATSA</v>
      </c>
      <c r="K452" s="80" t="str">
        <f>IFERROR(__xludf.DUMMYFUNCTION("""COMPUTED_VALUE"""),"https://drive.google.com/open?id=1Wawjw-L04QCVpBY0em0_Y1SQLmOVcqrO")</f>
        <v>https://drive.google.com/open?id=1Wawjw-L04QCVpBY0em0_Y1SQLmOVcqrO</v>
      </c>
      <c r="L452" s="74" t="str">
        <f>IFERROR(__xludf.DUMMYFUNCTION("""COMPUTED_VALUE"""),"2018-2022")</f>
        <v>2018-2022</v>
      </c>
      <c r="M452" s="74" t="str">
        <f>IFERROR(__xludf.DUMMYFUNCTION("""COMPUTED_VALUE"""),"S4: Student Certifications")</f>
        <v>S4: Student Certifications</v>
      </c>
      <c r="N452" s="74" t="str">
        <f>IFERROR(__xludf.DUMMYFUNCTION("""COMPUTED_VALUE"""),"kavyamudili2001@gmail.com")</f>
        <v>kavyamudili2001@gmail.com</v>
      </c>
      <c r="O452" s="74" t="str">
        <f>IFERROR(__xludf.DUMMYFUNCTION("""COMPUTED_VALUE"""),"SEM-8")</f>
        <v>SEM-8</v>
      </c>
      <c r="P452" s="74"/>
      <c r="Q452" s="74"/>
      <c r="R452" s="74"/>
      <c r="S452" s="74"/>
      <c r="T452" s="74"/>
      <c r="U452" s="74"/>
      <c r="V452" s="74"/>
      <c r="W452" s="74"/>
      <c r="X452" s="74"/>
      <c r="Y452" s="74"/>
    </row>
    <row r="453" ht="26.25" customHeight="1">
      <c r="A453" s="74" t="str">
        <f>IFERROR(__xludf.DUMMYFUNCTION("""COMPUTED_VALUE"""),"DEVARAJU")</f>
        <v>DEVARAJU</v>
      </c>
      <c r="B453" s="74" t="str">
        <f>IFERROR(__xludf.DUMMYFUNCTION("""COMPUTED_VALUE"""),"20331A0592")</f>
        <v>20331A0592</v>
      </c>
      <c r="C453" s="90" t="str">
        <f>IFERROR(__xludf.DUMMYFUNCTION("""COMPUTED_VALUE"""),"NDG Linux Essentials")</f>
        <v>NDG Linux Essentials</v>
      </c>
      <c r="D453" s="74" t="str">
        <f>IFERROR(__xludf.DUMMYFUNCTION("""COMPUTED_VALUE"""),"Cisco")</f>
        <v>Cisco</v>
      </c>
      <c r="E453" s="74" t="str">
        <f>IFERROR(__xludf.DUMMYFUNCTION("""COMPUTED_VALUE"""),"10 weeks")</f>
        <v>10 weeks</v>
      </c>
      <c r="F453" s="91">
        <f>IFERROR(__xludf.DUMMYFUNCTION("""COMPUTED_VALUE"""),44481.0)</f>
        <v>44481</v>
      </c>
      <c r="G453" s="91">
        <f>IFERROR(__xludf.DUMMYFUNCTION("""COMPUTED_VALUE"""),44573.0)</f>
        <v>44573</v>
      </c>
      <c r="H453" s="79">
        <f>IFERROR(__xludf.DUMMYFUNCTION("""COMPUTED_VALUE"""),44573.0)</f>
        <v>44573</v>
      </c>
      <c r="I453" s="92">
        <f>IFERROR(__xludf.DUMMYFUNCTION("""COMPUTED_VALUE"""),0.9)</f>
        <v>0.9</v>
      </c>
      <c r="J453" s="74" t="str">
        <f>IFERROR(__xludf.DUMMYFUNCTION("""COMPUTED_VALUE"""),"K .V .SubbaRaju")</f>
        <v>K .V .SubbaRaju</v>
      </c>
      <c r="K453" s="80" t="str">
        <f>IFERROR(__xludf.DUMMYFUNCTION("""COMPUTED_VALUE"""),"https://drive.google.com/open?id=1Z1JVlWAsHNb0NSCqusVw79G3BCC4Y88H")</f>
        <v>https://drive.google.com/open?id=1Z1JVlWAsHNb0NSCqusVw79G3BCC4Y88H</v>
      </c>
      <c r="L453" s="74" t="str">
        <f>IFERROR(__xludf.DUMMYFUNCTION("""COMPUTED_VALUE"""),"2020-2024")</f>
        <v>2020-2024</v>
      </c>
      <c r="M453" s="74" t="str">
        <f>IFERROR(__xludf.DUMMYFUNCTION("""COMPUTED_VALUE"""),"S4: Student Certifications")</f>
        <v>S4: Student Certifications</v>
      </c>
      <c r="N453" s="74" t="str">
        <f>IFERROR(__xludf.DUMMYFUNCTION("""COMPUTED_VALUE"""),"devaraj20112002@gmail.com")</f>
        <v>devaraj20112002@gmail.com</v>
      </c>
      <c r="O453" s="74" t="str">
        <f>IFERROR(__xludf.DUMMYFUNCTION("""COMPUTED_VALUE"""),"SEM-4")</f>
        <v>SEM-4</v>
      </c>
      <c r="P453" s="74"/>
      <c r="Q453" s="74"/>
      <c r="R453" s="74"/>
      <c r="S453" s="74"/>
      <c r="T453" s="74"/>
      <c r="U453" s="74"/>
      <c r="V453" s="74"/>
      <c r="W453" s="74"/>
      <c r="X453" s="74"/>
      <c r="Y453" s="74"/>
    </row>
    <row r="454" ht="26.25" customHeight="1">
      <c r="A454" s="74" t="str">
        <f>IFERROR(__xludf.DUMMYFUNCTION("""COMPUTED_VALUE"""),"Imandi swathi")</f>
        <v>Imandi swathi</v>
      </c>
      <c r="B454" s="74" t="str">
        <f>IFERROR(__xludf.DUMMYFUNCTION("""COMPUTED_VALUE"""),"20331A0572")</f>
        <v>20331A0572</v>
      </c>
      <c r="C454" s="90" t="str">
        <f>IFERROR(__xludf.DUMMYFUNCTION("""COMPUTED_VALUE"""),"NDG Linux")</f>
        <v>NDG Linux</v>
      </c>
      <c r="D454" s="74" t="str">
        <f>IFERROR(__xludf.DUMMYFUNCTION("""COMPUTED_VALUE"""),"Cisco")</f>
        <v>Cisco</v>
      </c>
      <c r="E454" s="74" t="str">
        <f>IFERROR(__xludf.DUMMYFUNCTION("""COMPUTED_VALUE"""),"10 weeks")</f>
        <v>10 weeks</v>
      </c>
      <c r="F454" s="91">
        <f>IFERROR(__xludf.DUMMYFUNCTION("""COMPUTED_VALUE"""),44481.0)</f>
        <v>44481</v>
      </c>
      <c r="G454" s="91">
        <f>IFERROR(__xludf.DUMMYFUNCTION("""COMPUTED_VALUE"""),44573.0)</f>
        <v>44573</v>
      </c>
      <c r="H454" s="79">
        <f>IFERROR(__xludf.DUMMYFUNCTION("""COMPUTED_VALUE"""),44573.0)</f>
        <v>44573</v>
      </c>
      <c r="I454" s="92">
        <f>IFERROR(__xludf.DUMMYFUNCTION("""COMPUTED_VALUE"""),0.9)</f>
        <v>0.9</v>
      </c>
      <c r="J454" s="74" t="str">
        <f>IFERROR(__xludf.DUMMYFUNCTION("""COMPUTED_VALUE"""),"K V subbaraju")</f>
        <v>K V subbaraju</v>
      </c>
      <c r="K454" s="80" t="str">
        <f>IFERROR(__xludf.DUMMYFUNCTION("""COMPUTED_VALUE"""),"https://drive.google.com/open?id=1cqxllut2Fduqdqm6ZeBOazCpG_Pq87iB")</f>
        <v>https://drive.google.com/open?id=1cqxllut2Fduqdqm6ZeBOazCpG_Pq87iB</v>
      </c>
      <c r="L454" s="74" t="str">
        <f>IFERROR(__xludf.DUMMYFUNCTION("""COMPUTED_VALUE"""),"2020-2024")</f>
        <v>2020-2024</v>
      </c>
      <c r="M454" s="74" t="str">
        <f>IFERROR(__xludf.DUMMYFUNCTION("""COMPUTED_VALUE"""),"S4: Student Certifications")</f>
        <v>S4: Student Certifications</v>
      </c>
      <c r="N454" s="74" t="str">
        <f>IFERROR(__xludf.DUMMYFUNCTION("""COMPUTED_VALUE"""),"imandiswathi821@gmail.com")</f>
        <v>imandiswathi821@gmail.com</v>
      </c>
      <c r="O454" s="74" t="str">
        <f>IFERROR(__xludf.DUMMYFUNCTION("""COMPUTED_VALUE"""),"SEM-2")</f>
        <v>SEM-2</v>
      </c>
      <c r="P454" s="74"/>
      <c r="Q454" s="74"/>
      <c r="R454" s="74"/>
      <c r="S454" s="74"/>
      <c r="T454" s="74"/>
      <c r="U454" s="74"/>
      <c r="V454" s="74"/>
      <c r="W454" s="74"/>
      <c r="X454" s="74"/>
      <c r="Y454" s="74"/>
    </row>
    <row r="455" ht="26.25" customHeight="1">
      <c r="A455" s="74" t="str">
        <f>IFERROR(__xludf.DUMMYFUNCTION("""COMPUTED_VALUE"""),"Jami Harshini")</f>
        <v>Jami Harshini</v>
      </c>
      <c r="B455" s="74" t="str">
        <f>IFERROR(__xludf.DUMMYFUNCTION("""COMPUTED_VALUE"""),"18331A0560")</f>
        <v>18331A0560</v>
      </c>
      <c r="C455" s="90" t="str">
        <f>IFERROR(__xludf.DUMMYFUNCTION("""COMPUTED_VALUE"""),"Web design for web developers")</f>
        <v>Web design for web developers</v>
      </c>
      <c r="D455" s="74" t="str">
        <f>IFERROR(__xludf.DUMMYFUNCTION("""COMPUTED_VALUE"""),"Udemy")</f>
        <v>Udemy</v>
      </c>
      <c r="E455" s="74" t="str">
        <f>IFERROR(__xludf.DUMMYFUNCTION("""COMPUTED_VALUE"""),"3 hours")</f>
        <v>3 hours</v>
      </c>
      <c r="F455" s="91">
        <f>IFERROR(__xludf.DUMMYFUNCTION("""COMPUTED_VALUE"""),43990.0)</f>
        <v>43990</v>
      </c>
      <c r="G455" s="91">
        <f>IFERROR(__xludf.DUMMYFUNCTION("""COMPUTED_VALUE"""),44001.0)</f>
        <v>44001</v>
      </c>
      <c r="H455" s="79">
        <f>IFERROR(__xludf.DUMMYFUNCTION("""COMPUTED_VALUE"""),44668.0)</f>
        <v>44668</v>
      </c>
      <c r="I455" s="92">
        <f>IFERROR(__xludf.DUMMYFUNCTION("""COMPUTED_VALUE"""),94.0)</f>
        <v>94</v>
      </c>
      <c r="J455" s="74" t="str">
        <f>IFERROR(__xludf.DUMMYFUNCTION("""COMPUTED_VALUE"""),"Jonas Schmedtmann")</f>
        <v>Jonas Schmedtmann</v>
      </c>
      <c r="K455" s="80" t="str">
        <f>IFERROR(__xludf.DUMMYFUNCTION("""COMPUTED_VALUE"""),"https://drive.google.com/open?id=1sDjV3n0ZaZV91dbGI3HkFjaboiqhhNg-")</f>
        <v>https://drive.google.com/open?id=1sDjV3n0ZaZV91dbGI3HkFjaboiqhhNg-</v>
      </c>
      <c r="L455" s="74" t="str">
        <f>IFERROR(__xludf.DUMMYFUNCTION("""COMPUTED_VALUE"""),"2018-2022")</f>
        <v>2018-2022</v>
      </c>
      <c r="M455" s="74" t="str">
        <f>IFERROR(__xludf.DUMMYFUNCTION("""COMPUTED_VALUE"""),"S4: Student Certifications")</f>
        <v>S4: Student Certifications</v>
      </c>
      <c r="N455" s="74" t="str">
        <f>IFERROR(__xludf.DUMMYFUNCTION("""COMPUTED_VALUE"""),"jamiharshini123@gmail.com")</f>
        <v>jamiharshini123@gmail.com</v>
      </c>
      <c r="O455" s="74" t="str">
        <f>IFERROR(__xludf.DUMMYFUNCTION("""COMPUTED_VALUE"""),"SEM-8")</f>
        <v>SEM-8</v>
      </c>
      <c r="P455" s="74"/>
      <c r="Q455" s="74"/>
      <c r="R455" s="74"/>
      <c r="S455" s="74"/>
      <c r="T455" s="74"/>
      <c r="U455" s="74"/>
      <c r="V455" s="74"/>
      <c r="W455" s="74"/>
      <c r="X455" s="74"/>
      <c r="Y455" s="74"/>
    </row>
    <row r="456" ht="26.25" customHeight="1">
      <c r="A456" s="74" t="str">
        <f>IFERROR(__xludf.DUMMYFUNCTION("""COMPUTED_VALUE"""),"Jami Harshini")</f>
        <v>Jami Harshini</v>
      </c>
      <c r="B456" s="74" t="str">
        <f>IFERROR(__xludf.DUMMYFUNCTION("""COMPUTED_VALUE"""),"18331A0560")</f>
        <v>18331A0560</v>
      </c>
      <c r="C456" s="90" t="str">
        <f>IFERROR(__xludf.DUMMYFUNCTION("""COMPUTED_VALUE"""),"Python Basics")</f>
        <v>Python Basics</v>
      </c>
      <c r="D456" s="74" t="str">
        <f>IFERROR(__xludf.DUMMYFUNCTION("""COMPUTED_VALUE"""),"Coursera")</f>
        <v>Coursera</v>
      </c>
      <c r="E456" s="74" t="str">
        <f>IFERROR(__xludf.DUMMYFUNCTION("""COMPUTED_VALUE"""),"5 hours")</f>
        <v>5 hours</v>
      </c>
      <c r="F456" s="91">
        <f>IFERROR(__xludf.DUMMYFUNCTION("""COMPUTED_VALUE"""),43966.0)</f>
        <v>43966</v>
      </c>
      <c r="G456" s="91">
        <f>IFERROR(__xludf.DUMMYFUNCTION("""COMPUTED_VALUE"""),43976.0)</f>
        <v>43976</v>
      </c>
      <c r="H456" s="79">
        <f>IFERROR(__xludf.DUMMYFUNCTION("""COMPUTED_VALUE"""),43974.0)</f>
        <v>43974</v>
      </c>
      <c r="I456" s="92">
        <f>IFERROR(__xludf.DUMMYFUNCTION("""COMPUTED_VALUE"""),96.0)</f>
        <v>96</v>
      </c>
      <c r="J456" s="74" t="str">
        <f>IFERROR(__xludf.DUMMYFUNCTION("""COMPUTED_VALUE"""),"Paul Resnick")</f>
        <v>Paul Resnick</v>
      </c>
      <c r="K456" s="80" t="str">
        <f>IFERROR(__xludf.DUMMYFUNCTION("""COMPUTED_VALUE"""),"https://drive.google.com/open?id=1OtVz7NJkJOxhAlctniZAXLM5rkioRXHd")</f>
        <v>https://drive.google.com/open?id=1OtVz7NJkJOxhAlctniZAXLM5rkioRXHd</v>
      </c>
      <c r="L456" s="74" t="str">
        <f>IFERROR(__xludf.DUMMYFUNCTION("""COMPUTED_VALUE"""),"2018-2022")</f>
        <v>2018-2022</v>
      </c>
      <c r="M456" s="74" t="str">
        <f>IFERROR(__xludf.DUMMYFUNCTION("""COMPUTED_VALUE"""),"S4: Student Certifications")</f>
        <v>S4: Student Certifications</v>
      </c>
      <c r="N456" s="74" t="str">
        <f>IFERROR(__xludf.DUMMYFUNCTION("""COMPUTED_VALUE"""),"jamiharshini123@gmail.com")</f>
        <v>jamiharshini123@gmail.com</v>
      </c>
      <c r="O456" s="74" t="str">
        <f>IFERROR(__xludf.DUMMYFUNCTION("""COMPUTED_VALUE"""),"SEM-8")</f>
        <v>SEM-8</v>
      </c>
      <c r="P456" s="74"/>
      <c r="Q456" s="74"/>
      <c r="R456" s="74"/>
      <c r="S456" s="74"/>
      <c r="T456" s="74"/>
      <c r="U456" s="74"/>
      <c r="V456" s="74"/>
      <c r="W456" s="74"/>
      <c r="X456" s="74"/>
      <c r="Y456" s="74"/>
    </row>
    <row r="457" ht="26.25" customHeight="1">
      <c r="A457" s="74" t="str">
        <f>IFERROR(__xludf.DUMMYFUNCTION("""COMPUTED_VALUE"""),"Kavya Mudili")</f>
        <v>Kavya Mudili</v>
      </c>
      <c r="B457" s="74" t="str">
        <f>IFERROR(__xludf.DUMMYFUNCTION("""COMPUTED_VALUE"""),"18331A05A1")</f>
        <v>18331A05A1</v>
      </c>
      <c r="C457" s="90" t="str">
        <f>IFERROR(__xludf.DUMMYFUNCTION("""COMPUTED_VALUE"""),"Programming Essentials in C")</f>
        <v>Programming Essentials in C</v>
      </c>
      <c r="D457" s="74" t="str">
        <f>IFERROR(__xludf.DUMMYFUNCTION("""COMPUTED_VALUE"""),"Cisco")</f>
        <v>Cisco</v>
      </c>
      <c r="E457" s="74" t="str">
        <f>IFERROR(__xludf.DUMMYFUNCTION("""COMPUTED_VALUE"""),"8 weeks")</f>
        <v>8 weeks</v>
      </c>
      <c r="F457" s="91">
        <f>IFERROR(__xludf.DUMMYFUNCTION("""COMPUTED_VALUE"""),43581.0)</f>
        <v>43581</v>
      </c>
      <c r="G457" s="91">
        <f>IFERROR(__xludf.DUMMYFUNCTION("""COMPUTED_VALUE"""),43672.0)</f>
        <v>43672</v>
      </c>
      <c r="H457" s="79">
        <f>IFERROR(__xludf.DUMMYFUNCTION("""COMPUTED_VALUE"""),43672.0)</f>
        <v>43672</v>
      </c>
      <c r="I457" s="92"/>
      <c r="J457" s="74" t="str">
        <f>IFERROR(__xludf.DUMMYFUNCTION("""COMPUTED_VALUE"""),"Subba Raju K ")</f>
        <v>Subba Raju K </v>
      </c>
      <c r="K457" s="80" t="str">
        <f>IFERROR(__xludf.DUMMYFUNCTION("""COMPUTED_VALUE"""),"https://drive.google.com/open?id=1l7eoNt7hRn6fxUZXYc909qxPbl4HUAbA")</f>
        <v>https://drive.google.com/open?id=1l7eoNt7hRn6fxUZXYc909qxPbl4HUAbA</v>
      </c>
      <c r="L457" s="74" t="str">
        <f>IFERROR(__xludf.DUMMYFUNCTION("""COMPUTED_VALUE"""),"2018-2022")</f>
        <v>2018-2022</v>
      </c>
      <c r="M457" s="74" t="str">
        <f>IFERROR(__xludf.DUMMYFUNCTION("""COMPUTED_VALUE"""),"S4: Student Certifications")</f>
        <v>S4: Student Certifications</v>
      </c>
      <c r="N457" s="74" t="str">
        <f>IFERROR(__xludf.DUMMYFUNCTION("""COMPUTED_VALUE"""),"kavyamudili2001@gmail.com")</f>
        <v>kavyamudili2001@gmail.com</v>
      </c>
      <c r="O457" s="74" t="str">
        <f>IFERROR(__xludf.DUMMYFUNCTION("""COMPUTED_VALUE"""),"SEM-8")</f>
        <v>SEM-8</v>
      </c>
      <c r="P457" s="74"/>
      <c r="Q457" s="74"/>
      <c r="R457" s="74"/>
      <c r="S457" s="74"/>
      <c r="T457" s="74"/>
      <c r="U457" s="74"/>
      <c r="V457" s="74"/>
      <c r="W457" s="74"/>
      <c r="X457" s="74"/>
      <c r="Y457" s="74"/>
    </row>
    <row r="458" ht="26.25" customHeight="1">
      <c r="A458" s="74" t="str">
        <f>IFERROR(__xludf.DUMMYFUNCTION("""COMPUTED_VALUE"""),"Jami Harshini")</f>
        <v>Jami Harshini</v>
      </c>
      <c r="B458" s="74" t="str">
        <f>IFERROR(__xludf.DUMMYFUNCTION("""COMPUTED_VALUE"""),"18331A0560")</f>
        <v>18331A0560</v>
      </c>
      <c r="C458" s="90" t="str">
        <f>IFERROR(__xludf.DUMMYFUNCTION("""COMPUTED_VALUE"""),"Cybersecurity Essentials")</f>
        <v>Cybersecurity Essentials</v>
      </c>
      <c r="D458" s="74" t="str">
        <f>IFERROR(__xludf.DUMMYFUNCTION("""COMPUTED_VALUE"""),"CISCO")</f>
        <v>CISCO</v>
      </c>
      <c r="E458" s="74" t="str">
        <f>IFERROR(__xludf.DUMMYFUNCTION("""COMPUTED_VALUE"""),"10 hours")</f>
        <v>10 hours</v>
      </c>
      <c r="F458" s="91">
        <f>IFERROR(__xludf.DUMMYFUNCTION("""COMPUTED_VALUE"""),43647.0)</f>
        <v>43647</v>
      </c>
      <c r="G458" s="91">
        <f>IFERROR(__xludf.DUMMYFUNCTION("""COMPUTED_VALUE"""),43677.0)</f>
        <v>43677</v>
      </c>
      <c r="H458" s="79">
        <f>IFERROR(__xludf.DUMMYFUNCTION("""COMPUTED_VALUE"""),43675.0)</f>
        <v>43675</v>
      </c>
      <c r="I458" s="92">
        <f>IFERROR(__xludf.DUMMYFUNCTION("""COMPUTED_VALUE"""),100.0)</f>
        <v>100</v>
      </c>
      <c r="J458" s="74" t="str">
        <f>IFERROR(__xludf.DUMMYFUNCTION("""COMPUTED_VALUE"""),"Dr.Ravi Kiran Varma")</f>
        <v>Dr.Ravi Kiran Varma</v>
      </c>
      <c r="K458" s="80" t="str">
        <f>IFERROR(__xludf.DUMMYFUNCTION("""COMPUTED_VALUE"""),"https://drive.google.com/open?id=1aq0xsrL_B-iQeN4e4rF3P7OQXUecsNFJ")</f>
        <v>https://drive.google.com/open?id=1aq0xsrL_B-iQeN4e4rF3P7OQXUecsNFJ</v>
      </c>
      <c r="L458" s="74" t="str">
        <f>IFERROR(__xludf.DUMMYFUNCTION("""COMPUTED_VALUE"""),"2018-2022")</f>
        <v>2018-2022</v>
      </c>
      <c r="M458" s="74" t="str">
        <f>IFERROR(__xludf.DUMMYFUNCTION("""COMPUTED_VALUE"""),"S4: Student Certifications")</f>
        <v>S4: Student Certifications</v>
      </c>
      <c r="N458" s="74" t="str">
        <f>IFERROR(__xludf.DUMMYFUNCTION("""COMPUTED_VALUE"""),"jamiharshini123@gmail.com")</f>
        <v>jamiharshini123@gmail.com</v>
      </c>
      <c r="O458" s="74" t="str">
        <f>IFERROR(__xludf.DUMMYFUNCTION("""COMPUTED_VALUE"""),"SEM-4")</f>
        <v>SEM-4</v>
      </c>
      <c r="P458" s="74"/>
      <c r="Q458" s="74"/>
      <c r="R458" s="74"/>
      <c r="S458" s="74"/>
      <c r="T458" s="74"/>
      <c r="U458" s="74"/>
      <c r="V458" s="74"/>
      <c r="W458" s="74"/>
      <c r="X458" s="74"/>
      <c r="Y458" s="74"/>
    </row>
    <row r="459" ht="26.25" customHeight="1">
      <c r="A459" s="74" t="str">
        <f>IFERROR(__xludf.DUMMYFUNCTION("""COMPUTED_VALUE"""),"Kavya Mudili")</f>
        <v>Kavya Mudili</v>
      </c>
      <c r="B459" s="74" t="str">
        <f>IFERROR(__xludf.DUMMYFUNCTION("""COMPUTED_VALUE"""),"18331A05A1")</f>
        <v>18331A05A1</v>
      </c>
      <c r="C459" s="90" t="str">
        <f>IFERROR(__xludf.DUMMYFUNCTION("""COMPUTED_VALUE"""),"IT Essentials")</f>
        <v>IT Essentials</v>
      </c>
      <c r="D459" s="74" t="str">
        <f>IFERROR(__xludf.DUMMYFUNCTION("""COMPUTED_VALUE"""),"Cisco")</f>
        <v>Cisco</v>
      </c>
      <c r="E459" s="74" t="str">
        <f>IFERROR(__xludf.DUMMYFUNCTION("""COMPUTED_VALUE"""),"4 months")</f>
        <v>4 months</v>
      </c>
      <c r="F459" s="91">
        <f>IFERROR(__xludf.DUMMYFUNCTION("""COMPUTED_VALUE"""),43633.0)</f>
        <v>43633</v>
      </c>
      <c r="G459" s="91">
        <f>IFERROR(__xludf.DUMMYFUNCTION("""COMPUTED_VALUE"""),43755.0)</f>
        <v>43755</v>
      </c>
      <c r="H459" s="79">
        <f>IFERROR(__xludf.DUMMYFUNCTION("""COMPUTED_VALUE"""),43755.0)</f>
        <v>43755</v>
      </c>
      <c r="I459" s="92"/>
      <c r="J459" s="74" t="str">
        <f>IFERROR(__xludf.DUMMYFUNCTION("""COMPUTED_VALUE"""),"Dr. Suvarna Kumar Gogula")</f>
        <v>Dr. Suvarna Kumar Gogula</v>
      </c>
      <c r="K459" s="80" t="str">
        <f>IFERROR(__xludf.DUMMYFUNCTION("""COMPUTED_VALUE"""),"https://drive.google.com/open?id=18j-pZ12BOZQwFqc_2u-9vRh6F7tBoz_M")</f>
        <v>https://drive.google.com/open?id=18j-pZ12BOZQwFqc_2u-9vRh6F7tBoz_M</v>
      </c>
      <c r="L459" s="74" t="str">
        <f>IFERROR(__xludf.DUMMYFUNCTION("""COMPUTED_VALUE"""),"2018-2022")</f>
        <v>2018-2022</v>
      </c>
      <c r="M459" s="74" t="str">
        <f>IFERROR(__xludf.DUMMYFUNCTION("""COMPUTED_VALUE"""),"S4: Student Certifications")</f>
        <v>S4: Student Certifications</v>
      </c>
      <c r="N459" s="74" t="str">
        <f>IFERROR(__xludf.DUMMYFUNCTION("""COMPUTED_VALUE"""),"kavyamudili2001@gmail.com")</f>
        <v>kavyamudili2001@gmail.com</v>
      </c>
      <c r="O459" s="74" t="str">
        <f>IFERROR(__xludf.DUMMYFUNCTION("""COMPUTED_VALUE"""),"SEM-8")</f>
        <v>SEM-8</v>
      </c>
      <c r="P459" s="74"/>
      <c r="Q459" s="74"/>
      <c r="R459" s="74"/>
      <c r="S459" s="74"/>
      <c r="T459" s="74"/>
      <c r="U459" s="74"/>
      <c r="V459" s="74"/>
      <c r="W459" s="74"/>
      <c r="X459" s="74"/>
      <c r="Y459" s="74"/>
    </row>
    <row r="460" ht="26.25" customHeight="1">
      <c r="A460" s="74" t="str">
        <f>IFERROR(__xludf.DUMMYFUNCTION("""COMPUTED_VALUE"""),"Kavya Mudili")</f>
        <v>Kavya Mudili</v>
      </c>
      <c r="B460" s="74" t="str">
        <f>IFERROR(__xludf.DUMMYFUNCTION("""COMPUTED_VALUE"""),"18331A05A1")</f>
        <v>18331A05A1</v>
      </c>
      <c r="C460" s="90" t="str">
        <f>IFERROR(__xludf.DUMMYFUNCTION("""COMPUTED_VALUE"""),"Linux Essentials")</f>
        <v>Linux Essentials</v>
      </c>
      <c r="D460" s="74" t="str">
        <f>IFERROR(__xludf.DUMMYFUNCTION("""COMPUTED_VALUE"""),"Cisco")</f>
        <v>Cisco</v>
      </c>
      <c r="E460" s="74" t="str">
        <f>IFERROR(__xludf.DUMMYFUNCTION("""COMPUTED_VALUE"""),"4 months")</f>
        <v>4 months</v>
      </c>
      <c r="F460" s="91">
        <f>IFERROR(__xludf.DUMMYFUNCTION("""COMPUTED_VALUE"""),43818.0)</f>
        <v>43818</v>
      </c>
      <c r="G460" s="91">
        <f>IFERROR(__xludf.DUMMYFUNCTION("""COMPUTED_VALUE"""),43940.0)</f>
        <v>43940</v>
      </c>
      <c r="H460" s="79">
        <f>IFERROR(__xludf.DUMMYFUNCTION("""COMPUTED_VALUE"""),43940.0)</f>
        <v>43940</v>
      </c>
      <c r="I460" s="92"/>
      <c r="J460" s="74" t="str">
        <f>IFERROR(__xludf.DUMMYFUNCTION("""COMPUTED_VALUE"""),"K.V.Subba Raju")</f>
        <v>K.V.Subba Raju</v>
      </c>
      <c r="K460" s="80" t="str">
        <f>IFERROR(__xludf.DUMMYFUNCTION("""COMPUTED_VALUE"""),"https://drive.google.com/open?id=12U8nlGkFFj4wHZie88BUI6ywlqI9YugT")</f>
        <v>https://drive.google.com/open?id=12U8nlGkFFj4wHZie88BUI6ywlqI9YugT</v>
      </c>
      <c r="L460" s="74" t="str">
        <f>IFERROR(__xludf.DUMMYFUNCTION("""COMPUTED_VALUE"""),"2018-2022")</f>
        <v>2018-2022</v>
      </c>
      <c r="M460" s="74" t="str">
        <f>IFERROR(__xludf.DUMMYFUNCTION("""COMPUTED_VALUE"""),"S4: Student Certifications")</f>
        <v>S4: Student Certifications</v>
      </c>
      <c r="N460" s="74" t="str">
        <f>IFERROR(__xludf.DUMMYFUNCTION("""COMPUTED_VALUE"""),"kavyamudili2001@gmail.com")</f>
        <v>kavyamudili2001@gmail.com</v>
      </c>
      <c r="O460" s="74" t="str">
        <f>IFERROR(__xludf.DUMMYFUNCTION("""COMPUTED_VALUE"""),"SEM-8")</f>
        <v>SEM-8</v>
      </c>
      <c r="P460" s="74"/>
      <c r="Q460" s="74"/>
      <c r="R460" s="74"/>
      <c r="S460" s="74"/>
      <c r="T460" s="74"/>
      <c r="U460" s="74"/>
      <c r="V460" s="74"/>
      <c r="W460" s="74"/>
      <c r="X460" s="74"/>
      <c r="Y460" s="74"/>
    </row>
    <row r="461" ht="26.25" customHeight="1">
      <c r="A461" s="74" t="str">
        <f>IFERROR(__xludf.DUMMYFUNCTION("""COMPUTED_VALUE"""),"Kavya Mudili")</f>
        <v>Kavya Mudili</v>
      </c>
      <c r="B461" s="74" t="str">
        <f>IFERROR(__xludf.DUMMYFUNCTION("""COMPUTED_VALUE"""),"18331A05A1")</f>
        <v>18331A05A1</v>
      </c>
      <c r="C461" s="90" t="str">
        <f>IFERROR(__xludf.DUMMYFUNCTION("""COMPUTED_VALUE"""),"Programming Essentials in Python")</f>
        <v>Programming Essentials in Python</v>
      </c>
      <c r="D461" s="74" t="str">
        <f>IFERROR(__xludf.DUMMYFUNCTION("""COMPUTED_VALUE"""),"cisco")</f>
        <v>cisco</v>
      </c>
      <c r="E461" s="74" t="str">
        <f>IFERROR(__xludf.DUMMYFUNCTION("""COMPUTED_VALUE"""),"4 weeks")</f>
        <v>4 weeks</v>
      </c>
      <c r="F461" s="91">
        <f>IFERROR(__xludf.DUMMYFUNCTION("""COMPUTED_VALUE"""),44353.0)</f>
        <v>44353</v>
      </c>
      <c r="G461" s="91">
        <f>IFERROR(__xludf.DUMMYFUNCTION("""COMPUTED_VALUE"""),44383.0)</f>
        <v>44383</v>
      </c>
      <c r="H461" s="79">
        <f>IFERROR(__xludf.DUMMYFUNCTION("""COMPUTED_VALUE"""),44383.0)</f>
        <v>44383</v>
      </c>
      <c r="I461" s="92"/>
      <c r="J461" s="74" t="str">
        <f>IFERROR(__xludf.DUMMYFUNCTION("""COMPUTED_VALUE"""),"K.V. Subba Raju")</f>
        <v>K.V. Subba Raju</v>
      </c>
      <c r="K461" s="80" t="str">
        <f>IFERROR(__xludf.DUMMYFUNCTION("""COMPUTED_VALUE"""),"https://drive.google.com/open?id=17NyakmZ6ZsZ83DGgRdjSksxJJRHvzLvv")</f>
        <v>https://drive.google.com/open?id=17NyakmZ6ZsZ83DGgRdjSksxJJRHvzLvv</v>
      </c>
      <c r="L461" s="74" t="str">
        <f>IFERROR(__xludf.DUMMYFUNCTION("""COMPUTED_VALUE"""),"2018-2022")</f>
        <v>2018-2022</v>
      </c>
      <c r="M461" s="74" t="str">
        <f>IFERROR(__xludf.DUMMYFUNCTION("""COMPUTED_VALUE"""),"S4: Student Certifications")</f>
        <v>S4: Student Certifications</v>
      </c>
      <c r="N461" s="74" t="str">
        <f>IFERROR(__xludf.DUMMYFUNCTION("""COMPUTED_VALUE"""),"kavyamudili2001@gmail.com")</f>
        <v>kavyamudili2001@gmail.com</v>
      </c>
      <c r="O461" s="74" t="str">
        <f>IFERROR(__xludf.DUMMYFUNCTION("""COMPUTED_VALUE"""),"SEM-8")</f>
        <v>SEM-8</v>
      </c>
      <c r="P461" s="74"/>
      <c r="Q461" s="74"/>
      <c r="R461" s="74"/>
      <c r="S461" s="74"/>
      <c r="T461" s="74"/>
      <c r="U461" s="74"/>
      <c r="V461" s="74"/>
      <c r="W461" s="74"/>
      <c r="X461" s="74"/>
      <c r="Y461" s="74"/>
    </row>
    <row r="462" ht="26.25" customHeight="1">
      <c r="A462" s="78" t="str">
        <f>IFERROR(__xludf.DUMMYFUNCTION("""COMPUTED_VALUE"""),"Jami Harshini")</f>
        <v>Jami Harshini</v>
      </c>
      <c r="B462" s="78" t="str">
        <f>IFERROR(__xludf.DUMMYFUNCTION("""COMPUTED_VALUE"""),"18331A0560")</f>
        <v>18331A0560</v>
      </c>
      <c r="C462" s="93" t="str">
        <f>IFERROR(__xludf.DUMMYFUNCTION("""COMPUTED_VALUE"""),"Neural Hack 2021 - season 5")</f>
        <v>Neural Hack 2021 - season 5</v>
      </c>
      <c r="D462" s="78" t="str">
        <f>IFERROR(__xludf.DUMMYFUNCTION("""COMPUTED_VALUE"""),"Virtusa")</f>
        <v>Virtusa</v>
      </c>
      <c r="E462" s="78" t="str">
        <f>IFERROR(__xludf.DUMMYFUNCTION("""COMPUTED_VALUE"""),"1 day")</f>
        <v>1 day</v>
      </c>
      <c r="F462" s="94">
        <f>IFERROR(__xludf.DUMMYFUNCTION("""COMPUTED_VALUE"""),44446.0)</f>
        <v>44446</v>
      </c>
      <c r="G462" s="94">
        <f>IFERROR(__xludf.DUMMYFUNCTION("""COMPUTED_VALUE"""),44446.0)</f>
        <v>44446</v>
      </c>
      <c r="H462" s="84">
        <f>IFERROR(__xludf.DUMMYFUNCTION("""COMPUTED_VALUE"""),44446.0)</f>
        <v>44446</v>
      </c>
      <c r="I462" s="95">
        <f>IFERROR(__xludf.DUMMYFUNCTION("""COMPUTED_VALUE"""),95.0)</f>
        <v>95</v>
      </c>
      <c r="J462" s="78" t="str">
        <f>IFERROR(__xludf.DUMMYFUNCTION("""COMPUTED_VALUE"""),"Murali Padmanabhan")</f>
        <v>Murali Padmanabhan</v>
      </c>
      <c r="K462" s="85" t="str">
        <f>IFERROR(__xludf.DUMMYFUNCTION("""COMPUTED_VALUE"""),"https://drive.google.com/open?id=1hPgl68HaJ-zzV1WqFQtYWNEhmfy5PCLs")</f>
        <v>https://drive.google.com/open?id=1hPgl68HaJ-zzV1WqFQtYWNEhmfy5PCLs</v>
      </c>
      <c r="L462" s="78" t="str">
        <f>IFERROR(__xludf.DUMMYFUNCTION("""COMPUTED_VALUE"""),"2018-2022")</f>
        <v>2018-2022</v>
      </c>
      <c r="M462" s="78" t="str">
        <f>IFERROR(__xludf.DUMMYFUNCTION("""COMPUTED_VALUE"""),"S4: Student Certifications")</f>
        <v>S4: Student Certifications</v>
      </c>
      <c r="N462" s="78" t="str">
        <f>IFERROR(__xludf.DUMMYFUNCTION("""COMPUTED_VALUE"""),"jamiharshini123@gmail.com")</f>
        <v>jamiharshini123@gmail.com</v>
      </c>
      <c r="O462" s="78" t="str">
        <f>IFERROR(__xludf.DUMMYFUNCTION("""COMPUTED_VALUE"""),"SEM-7")</f>
        <v>SEM-7</v>
      </c>
      <c r="P462" s="78"/>
      <c r="Q462" s="78"/>
      <c r="R462" s="78"/>
      <c r="S462" s="78"/>
      <c r="T462" s="78"/>
      <c r="U462" s="78"/>
      <c r="V462" s="78"/>
      <c r="W462" s="78"/>
      <c r="X462" s="78"/>
      <c r="Y462" s="78"/>
    </row>
    <row r="463" ht="26.25" customHeight="1">
      <c r="A463" s="74" t="str">
        <f>IFERROR(__xludf.DUMMYFUNCTION("""COMPUTED_VALUE"""),"Kavya Mudili")</f>
        <v>Kavya Mudili</v>
      </c>
      <c r="B463" s="74" t="str">
        <f>IFERROR(__xludf.DUMMYFUNCTION("""COMPUTED_VALUE"""),"18331A05A1")</f>
        <v>18331A05A1</v>
      </c>
      <c r="C463" s="90" t="str">
        <f>IFERROR(__xludf.DUMMYFUNCTION("""COMPUTED_VALUE"""),"c(intermediate)")</f>
        <v>c(intermediate)</v>
      </c>
      <c r="D463" s="74" t="str">
        <f>IFERROR(__xludf.DUMMYFUNCTION("""COMPUTED_VALUE"""),"Hackerrank")</f>
        <v>Hackerrank</v>
      </c>
      <c r="E463" s="74" t="str">
        <f>IFERROR(__xludf.DUMMYFUNCTION("""COMPUTED_VALUE"""),"4 weeks")</f>
        <v>4 weeks</v>
      </c>
      <c r="F463" s="91">
        <f>IFERROR(__xludf.DUMMYFUNCTION("""COMPUTED_VALUE"""),44089.0)</f>
        <v>44089</v>
      </c>
      <c r="G463" s="91">
        <f>IFERROR(__xludf.DUMMYFUNCTION("""COMPUTED_VALUE"""),44058.0)</f>
        <v>44058</v>
      </c>
      <c r="H463" s="79">
        <f>IFERROR(__xludf.DUMMYFUNCTION("""COMPUTED_VALUE"""),44089.0)</f>
        <v>44089</v>
      </c>
      <c r="I463" s="92"/>
      <c r="J463" s="74" t="str">
        <f>IFERROR(__xludf.DUMMYFUNCTION("""COMPUTED_VALUE"""),"NA")</f>
        <v>NA</v>
      </c>
      <c r="K463" s="80" t="str">
        <f>IFERROR(__xludf.DUMMYFUNCTION("""COMPUTED_VALUE"""),"https://drive.google.com/open?id=10QvYm-wuVcxAqSNrdtWB0ZlUg8veOEdU")</f>
        <v>https://drive.google.com/open?id=10QvYm-wuVcxAqSNrdtWB0ZlUg8veOEdU</v>
      </c>
      <c r="L463" s="74" t="str">
        <f>IFERROR(__xludf.DUMMYFUNCTION("""COMPUTED_VALUE"""),"2018-2022")</f>
        <v>2018-2022</v>
      </c>
      <c r="M463" s="74" t="str">
        <f>IFERROR(__xludf.DUMMYFUNCTION("""COMPUTED_VALUE"""),"S4: Student Certifications")</f>
        <v>S4: Student Certifications</v>
      </c>
      <c r="N463" s="74" t="str">
        <f>IFERROR(__xludf.DUMMYFUNCTION("""COMPUTED_VALUE"""),"kavyamudili2001@gmail.com")</f>
        <v>kavyamudili2001@gmail.com</v>
      </c>
      <c r="O463" s="74" t="str">
        <f>IFERROR(__xludf.DUMMYFUNCTION("""COMPUTED_VALUE"""),"SEM-8")</f>
        <v>SEM-8</v>
      </c>
      <c r="P463" s="74"/>
      <c r="Q463" s="74"/>
      <c r="R463" s="74"/>
      <c r="S463" s="74"/>
      <c r="T463" s="74"/>
      <c r="U463" s="74"/>
      <c r="V463" s="74"/>
      <c r="W463" s="74"/>
      <c r="X463" s="74"/>
      <c r="Y463" s="74"/>
    </row>
    <row r="464" ht="26.25" customHeight="1">
      <c r="A464" s="74" t="str">
        <f>IFERROR(__xludf.DUMMYFUNCTION("""COMPUTED_VALUE"""),"Kavya Mudili")</f>
        <v>Kavya Mudili</v>
      </c>
      <c r="B464" s="74" t="str">
        <f>IFERROR(__xludf.DUMMYFUNCTION("""COMPUTED_VALUE"""),"18331A05A1")</f>
        <v>18331A05A1</v>
      </c>
      <c r="C464" s="90" t="str">
        <f>IFERROR(__xludf.DUMMYFUNCTION("""COMPUTED_VALUE"""),"Capstone: Retrieving, Processing, and Visualizing Data with Python")</f>
        <v>Capstone: Retrieving, Processing, and Visualizing Data with Python</v>
      </c>
      <c r="D464" s="74" t="str">
        <f>IFERROR(__xludf.DUMMYFUNCTION("""COMPUTED_VALUE"""),"Coursera")</f>
        <v>Coursera</v>
      </c>
      <c r="E464" s="74" t="str">
        <f>IFERROR(__xludf.DUMMYFUNCTION("""COMPUTED_VALUE"""),"6 weeks")</f>
        <v>6 weeks</v>
      </c>
      <c r="F464" s="91">
        <f>IFERROR(__xludf.DUMMYFUNCTION("""COMPUTED_VALUE"""),43963.0)</f>
        <v>43963</v>
      </c>
      <c r="G464" s="91">
        <f>IFERROR(__xludf.DUMMYFUNCTION("""COMPUTED_VALUE"""),44014.0)</f>
        <v>44014</v>
      </c>
      <c r="H464" s="79">
        <f>IFERROR(__xludf.DUMMYFUNCTION("""COMPUTED_VALUE"""),44014.0)</f>
        <v>44014</v>
      </c>
      <c r="I464" s="92"/>
      <c r="J464" s="74" t="str">
        <f>IFERROR(__xludf.DUMMYFUNCTION("""COMPUTED_VALUE"""),"NA")</f>
        <v>NA</v>
      </c>
      <c r="K464" s="80" t="str">
        <f>IFERROR(__xludf.DUMMYFUNCTION("""COMPUTED_VALUE"""),"https://drive.google.com/open?id=136LdQUNtmF9QaTM1zTx2W11doFVWTOLE")</f>
        <v>https://drive.google.com/open?id=136LdQUNtmF9QaTM1zTx2W11doFVWTOLE</v>
      </c>
      <c r="L464" s="74" t="str">
        <f>IFERROR(__xludf.DUMMYFUNCTION("""COMPUTED_VALUE"""),"2018-2022")</f>
        <v>2018-2022</v>
      </c>
      <c r="M464" s="74" t="str">
        <f>IFERROR(__xludf.DUMMYFUNCTION("""COMPUTED_VALUE"""),"S4: Student Certifications")</f>
        <v>S4: Student Certifications</v>
      </c>
      <c r="N464" s="74" t="str">
        <f>IFERROR(__xludf.DUMMYFUNCTION("""COMPUTED_VALUE"""),"kavyamudili2001@gmail.com")</f>
        <v>kavyamudili2001@gmail.com</v>
      </c>
      <c r="O464" s="74" t="str">
        <f>IFERROR(__xludf.DUMMYFUNCTION("""COMPUTED_VALUE"""),"SEM-8")</f>
        <v>SEM-8</v>
      </c>
      <c r="P464" s="74"/>
      <c r="Q464" s="74"/>
      <c r="R464" s="74"/>
      <c r="S464" s="74"/>
      <c r="T464" s="74"/>
      <c r="U464" s="74"/>
      <c r="V464" s="74"/>
      <c r="W464" s="74"/>
      <c r="X464" s="74"/>
      <c r="Y464" s="74"/>
    </row>
    <row r="465" ht="26.25" customHeight="1">
      <c r="A465" s="74" t="str">
        <f>IFERROR(__xludf.DUMMYFUNCTION("""COMPUTED_VALUE"""),"Koyya Aswini")</f>
        <v>Koyya Aswini</v>
      </c>
      <c r="B465" s="74" t="str">
        <f>IFERROR(__xludf.DUMMYFUNCTION("""COMPUTED_VALUE"""),"20331A0593")</f>
        <v>20331A0593</v>
      </c>
      <c r="C465" s="90" t="str">
        <f>IFERROR(__xludf.DUMMYFUNCTION("""COMPUTED_VALUE"""),"NDG LINUX")</f>
        <v>NDG LINUX</v>
      </c>
      <c r="D465" s="74" t="str">
        <f>IFERROR(__xludf.DUMMYFUNCTION("""COMPUTED_VALUE"""),"Cisco")</f>
        <v>Cisco</v>
      </c>
      <c r="E465" s="74" t="str">
        <f>IFERROR(__xludf.DUMMYFUNCTION("""COMPUTED_VALUE"""),"10 weeks")</f>
        <v>10 weeks</v>
      </c>
      <c r="F465" s="91">
        <f>IFERROR(__xludf.DUMMYFUNCTION("""COMPUTED_VALUE"""),44481.0)</f>
        <v>44481</v>
      </c>
      <c r="G465" s="91">
        <f>IFERROR(__xludf.DUMMYFUNCTION("""COMPUTED_VALUE"""),44573.0)</f>
        <v>44573</v>
      </c>
      <c r="H465" s="79">
        <f>IFERROR(__xludf.DUMMYFUNCTION("""COMPUTED_VALUE"""),44573.0)</f>
        <v>44573</v>
      </c>
      <c r="I465" s="92">
        <f>IFERROR(__xludf.DUMMYFUNCTION("""COMPUTED_VALUE"""),0.85)</f>
        <v>0.85</v>
      </c>
      <c r="J465" s="74" t="str">
        <f>IFERROR(__xludf.DUMMYFUNCTION("""COMPUTED_VALUE"""),"K v subbaraju")</f>
        <v>K v subbaraju</v>
      </c>
      <c r="K465" s="80" t="str">
        <f>IFERROR(__xludf.DUMMYFUNCTION("""COMPUTED_VALUE"""),"https://drive.google.com/open?id=1kAHHiXHPPzDaVNvKd1i1qugvelPnBGd5")</f>
        <v>https://drive.google.com/open?id=1kAHHiXHPPzDaVNvKd1i1qugvelPnBGd5</v>
      </c>
      <c r="L465" s="74" t="str">
        <f>IFERROR(__xludf.DUMMYFUNCTION("""COMPUTED_VALUE"""),"2020-2024")</f>
        <v>2020-2024</v>
      </c>
      <c r="M465" s="74" t="str">
        <f>IFERROR(__xludf.DUMMYFUNCTION("""COMPUTED_VALUE"""),"S4: Student Certifications")</f>
        <v>S4: Student Certifications</v>
      </c>
      <c r="N465" s="74" t="str">
        <f>IFERROR(__xludf.DUMMYFUNCTION("""COMPUTED_VALUE"""),"kaswini206@gmail.com")</f>
        <v>kaswini206@gmail.com</v>
      </c>
      <c r="O465" s="74" t="str">
        <f>IFERROR(__xludf.DUMMYFUNCTION("""COMPUTED_VALUE"""),"SEM-3")</f>
        <v>SEM-3</v>
      </c>
      <c r="P465" s="74"/>
      <c r="Q465" s="74"/>
      <c r="R465" s="74"/>
      <c r="S465" s="74"/>
      <c r="T465" s="74"/>
      <c r="U465" s="74"/>
      <c r="V465" s="74"/>
      <c r="W465" s="74"/>
      <c r="X465" s="74"/>
      <c r="Y465" s="74"/>
    </row>
    <row r="466" ht="26.25" customHeight="1">
      <c r="A466" s="74" t="str">
        <f>IFERROR(__xludf.DUMMYFUNCTION("""COMPUTED_VALUE"""),"INDU KAMBAPU")</f>
        <v>INDU KAMBAPU</v>
      </c>
      <c r="B466" s="74" t="str">
        <f>IFERROR(__xludf.DUMMYFUNCTION("""COMPUTED_VALUE"""),"18331A0565")</f>
        <v>18331A0565</v>
      </c>
      <c r="C466" s="90" t="str">
        <f>IFERROR(__xludf.DUMMYFUNCTION("""COMPUTED_VALUE"""),"AWS")</f>
        <v>AWS</v>
      </c>
      <c r="D466" s="74" t="str">
        <f>IFERROR(__xludf.DUMMYFUNCTION("""COMPUTED_VALUE"""),"EDU SKILLS")</f>
        <v>EDU SKILLS</v>
      </c>
      <c r="E466" s="74" t="str">
        <f>IFERROR(__xludf.DUMMYFUNCTION("""COMPUTED_VALUE"""),"10 WEEKS")</f>
        <v>10 WEEKS</v>
      </c>
      <c r="F466" s="91">
        <f>IFERROR(__xludf.DUMMYFUNCTION("""COMPUTED_VALUE"""),44479.0)</f>
        <v>44479</v>
      </c>
      <c r="G466" s="91">
        <f>IFERROR(__xludf.DUMMYFUNCTION("""COMPUTED_VALUE"""),44540.0)</f>
        <v>44540</v>
      </c>
      <c r="H466" s="79">
        <f>IFERROR(__xludf.DUMMYFUNCTION("""COMPUTED_VALUE"""),44541.0)</f>
        <v>44541</v>
      </c>
      <c r="I466" s="92">
        <f>IFERROR(__xludf.DUMMYFUNCTION("""COMPUTED_VALUE"""),100.0)</f>
        <v>100</v>
      </c>
      <c r="J466" s="74" t="str">
        <f>IFERROR(__xludf.DUMMYFUNCTION("""COMPUTED_VALUE"""),"Dr. P.Ravi Kiran Varma")</f>
        <v>Dr. P.Ravi Kiran Varma</v>
      </c>
      <c r="K466" s="80" t="str">
        <f>IFERROR(__xludf.DUMMYFUNCTION("""COMPUTED_VALUE"""),"https://drive.google.com/open?id=1jwEjX1eg1cjLCJcQyUFV20AYaopM1Rj_")</f>
        <v>https://drive.google.com/open?id=1jwEjX1eg1cjLCJcQyUFV20AYaopM1Rj_</v>
      </c>
      <c r="L466" s="74" t="str">
        <f>IFERROR(__xludf.DUMMYFUNCTION("""COMPUTED_VALUE"""),"2018-2022")</f>
        <v>2018-2022</v>
      </c>
      <c r="M466" s="74" t="str">
        <f>IFERROR(__xludf.DUMMYFUNCTION("""COMPUTED_VALUE"""),"S4: Student Certifications")</f>
        <v>S4: Student Certifications</v>
      </c>
      <c r="N466" s="74" t="str">
        <f>IFERROR(__xludf.DUMMYFUNCTION("""COMPUTED_VALUE"""),"kambapuindu@gmail.com")</f>
        <v>kambapuindu@gmail.com</v>
      </c>
      <c r="O466" s="74" t="str">
        <f>IFERROR(__xludf.DUMMYFUNCTION("""COMPUTED_VALUE"""),"SEM-8")</f>
        <v>SEM-8</v>
      </c>
      <c r="P466" s="74"/>
      <c r="Q466" s="74"/>
      <c r="R466" s="74"/>
      <c r="S466" s="74"/>
      <c r="T466" s="74"/>
      <c r="U466" s="74"/>
      <c r="V466" s="74"/>
      <c r="W466" s="74"/>
      <c r="X466" s="74"/>
      <c r="Y466" s="74"/>
    </row>
    <row r="467" ht="26.25" customHeight="1">
      <c r="A467" s="74" t="str">
        <f>IFERROR(__xludf.DUMMYFUNCTION("""COMPUTED_VALUE"""),"TIRUMALARAJU VIJAYARAMA MOHITH VARMA")</f>
        <v>TIRUMALARAJU VIJAYARAMA MOHITH VARMA</v>
      </c>
      <c r="B467" s="74" t="str">
        <f>IFERROR(__xludf.DUMMYFUNCTION("""COMPUTED_VALUE"""),"18331A05F8")</f>
        <v>18331A05F8</v>
      </c>
      <c r="C467" s="90" t="str">
        <f>IFERROR(__xludf.DUMMYFUNCTION("""COMPUTED_VALUE"""),"C LANGUAGE")</f>
        <v>C LANGUAGE</v>
      </c>
      <c r="D467" s="74" t="str">
        <f>IFERROR(__xludf.DUMMYFUNCTION("""COMPUTED_VALUE"""),"CISCO")</f>
        <v>CISCO</v>
      </c>
      <c r="E467" s="74" t="str">
        <f>IFERROR(__xludf.DUMMYFUNCTION("""COMPUTED_VALUE"""),"90 DAYS")</f>
        <v>90 DAYS</v>
      </c>
      <c r="F467" s="91">
        <f>IFERROR(__xludf.DUMMYFUNCTION("""COMPUTED_VALUE"""),43466.0)</f>
        <v>43466</v>
      </c>
      <c r="G467" s="91">
        <f>IFERROR(__xludf.DUMMYFUNCTION("""COMPUTED_VALUE"""),43657.0)</f>
        <v>43657</v>
      </c>
      <c r="H467" s="79">
        <f>IFERROR(__xludf.DUMMYFUNCTION("""COMPUTED_VALUE"""),43675.0)</f>
        <v>43675</v>
      </c>
      <c r="I467" s="92"/>
      <c r="J467" s="74" t="str">
        <f>IFERROR(__xludf.DUMMYFUNCTION("""COMPUTED_VALUE"""),"DR. RAVI KIRAN VARMA PENMATSA")</f>
        <v>DR. RAVI KIRAN VARMA PENMATSA</v>
      </c>
      <c r="K467" s="80" t="str">
        <f>IFERROR(__xludf.DUMMYFUNCTION("""COMPUTED_VALUE"""),"https://drive.google.com/open?id=1UdFcBbraR4eMfq9v89NSg0Rw00m1jrLa")</f>
        <v>https://drive.google.com/open?id=1UdFcBbraR4eMfq9v89NSg0Rw00m1jrLa</v>
      </c>
      <c r="L467" s="74" t="str">
        <f>IFERROR(__xludf.DUMMYFUNCTION("""COMPUTED_VALUE"""),"2018-2022")</f>
        <v>2018-2022</v>
      </c>
      <c r="M467" s="74" t="str">
        <f>IFERROR(__xludf.DUMMYFUNCTION("""COMPUTED_VALUE"""),"S4: Student Certifications")</f>
        <v>S4: Student Certifications</v>
      </c>
      <c r="N467" s="74" t="str">
        <f>IFERROR(__xludf.DUMMYFUNCTION("""COMPUTED_VALUE"""),"vijayaramaraju1999@gmail.com")</f>
        <v>vijayaramaraju1999@gmail.com</v>
      </c>
      <c r="O467" s="74" t="str">
        <f>IFERROR(__xludf.DUMMYFUNCTION("""COMPUTED_VALUE"""),"SEM-8")</f>
        <v>SEM-8</v>
      </c>
      <c r="P467" s="74"/>
      <c r="Q467" s="74"/>
      <c r="R467" s="74"/>
      <c r="S467" s="74"/>
      <c r="T467" s="74"/>
      <c r="U467" s="74"/>
      <c r="V467" s="74"/>
      <c r="W467" s="74"/>
      <c r="X467" s="74"/>
      <c r="Y467" s="74"/>
    </row>
    <row r="468" ht="26.25" customHeight="1">
      <c r="A468" s="74" t="str">
        <f>IFERROR(__xludf.DUMMYFUNCTION("""COMPUTED_VALUE"""),"TIRUMALARAJU VIJAYARAMA MOHITH VARMA")</f>
        <v>TIRUMALARAJU VIJAYARAMA MOHITH VARMA</v>
      </c>
      <c r="B468" s="74" t="str">
        <f>IFERROR(__xludf.DUMMYFUNCTION("""COMPUTED_VALUE"""),"18331A05F8")</f>
        <v>18331A05F8</v>
      </c>
      <c r="C468" s="90" t="str">
        <f>IFERROR(__xludf.DUMMYFUNCTION("""COMPUTED_VALUE"""),"CYBERSECURITY  ESSENTIALS")</f>
        <v>CYBERSECURITY  ESSENTIALS</v>
      </c>
      <c r="D468" s="74" t="str">
        <f>IFERROR(__xludf.DUMMYFUNCTION("""COMPUTED_VALUE"""),"CISCO")</f>
        <v>CISCO</v>
      </c>
      <c r="E468" s="74" t="str">
        <f>IFERROR(__xludf.DUMMYFUNCTION("""COMPUTED_VALUE"""),"90 DAYS")</f>
        <v>90 DAYS</v>
      </c>
      <c r="F468" s="91">
        <f>IFERROR(__xludf.DUMMYFUNCTION("""COMPUTED_VALUE"""),43525.0)</f>
        <v>43525</v>
      </c>
      <c r="G468" s="91">
        <f>IFERROR(__xludf.DUMMYFUNCTION("""COMPUTED_VALUE"""),43646.0)</f>
        <v>43646</v>
      </c>
      <c r="H468" s="79">
        <f>IFERROR(__xludf.DUMMYFUNCTION("""COMPUTED_VALUE"""),43675.0)</f>
        <v>43675</v>
      </c>
      <c r="I468" s="92"/>
      <c r="J468" s="74" t="str">
        <f>IFERROR(__xludf.DUMMYFUNCTION("""COMPUTED_VALUE"""),"DR. RAVI KIRAN VARMA PENMATSA")</f>
        <v>DR. RAVI KIRAN VARMA PENMATSA</v>
      </c>
      <c r="K468" s="80" t="str">
        <f>IFERROR(__xludf.DUMMYFUNCTION("""COMPUTED_VALUE"""),"https://drive.google.com/open?id=1kB2dETgK9HrOxigXiDFEsWXGRNUPqNBB")</f>
        <v>https://drive.google.com/open?id=1kB2dETgK9HrOxigXiDFEsWXGRNUPqNBB</v>
      </c>
      <c r="L468" s="74" t="str">
        <f>IFERROR(__xludf.DUMMYFUNCTION("""COMPUTED_VALUE"""),"2018-2022")</f>
        <v>2018-2022</v>
      </c>
      <c r="M468" s="74" t="str">
        <f>IFERROR(__xludf.DUMMYFUNCTION("""COMPUTED_VALUE"""),"S4: Student Certifications")</f>
        <v>S4: Student Certifications</v>
      </c>
      <c r="N468" s="74" t="str">
        <f>IFERROR(__xludf.DUMMYFUNCTION("""COMPUTED_VALUE"""),"vijayaramaraju1999@gmail.com")</f>
        <v>vijayaramaraju1999@gmail.com</v>
      </c>
      <c r="O468" s="74" t="str">
        <f>IFERROR(__xludf.DUMMYFUNCTION("""COMPUTED_VALUE"""),"SEM-8")</f>
        <v>SEM-8</v>
      </c>
      <c r="P468" s="74"/>
      <c r="Q468" s="74"/>
      <c r="R468" s="74"/>
      <c r="S468" s="74"/>
      <c r="T468" s="74"/>
      <c r="U468" s="74"/>
      <c r="V468" s="74"/>
      <c r="W468" s="74"/>
      <c r="X468" s="74"/>
      <c r="Y468" s="74"/>
    </row>
    <row r="469" ht="26.25" customHeight="1">
      <c r="A469" s="78" t="str">
        <f>IFERROR(__xludf.DUMMYFUNCTION("""COMPUTED_VALUE"""),"INDU KAMBAPU")</f>
        <v>INDU KAMBAPU</v>
      </c>
      <c r="B469" s="78" t="str">
        <f>IFERROR(__xludf.DUMMYFUNCTION("""COMPUTED_VALUE"""),"18331A0565")</f>
        <v>18331A0565</v>
      </c>
      <c r="C469" s="93" t="str">
        <f>IFERROR(__xludf.DUMMYFUNCTION("""COMPUTED_VALUE"""),"CISCO ")</f>
        <v>CISCO </v>
      </c>
      <c r="D469" s="78" t="str">
        <f>IFERROR(__xludf.DUMMYFUNCTION("""COMPUTED_VALUE"""),"CISCO")</f>
        <v>CISCO</v>
      </c>
      <c r="E469" s="78" t="str">
        <f>IFERROR(__xludf.DUMMYFUNCTION("""COMPUTED_VALUE"""),"1 DAY")</f>
        <v>1 DAY</v>
      </c>
      <c r="F469" s="94">
        <f>IFERROR(__xludf.DUMMYFUNCTION("""COMPUTED_VALUE"""),44469.0)</f>
        <v>44469</v>
      </c>
      <c r="G469" s="94">
        <f>IFERROR(__xludf.DUMMYFUNCTION("""COMPUTED_VALUE"""),44469.0)</f>
        <v>44469</v>
      </c>
      <c r="H469" s="84">
        <f>IFERROR(__xludf.DUMMYFUNCTION("""COMPUTED_VALUE"""),44469.0)</f>
        <v>44469</v>
      </c>
      <c r="I469" s="95">
        <f>IFERROR(__xludf.DUMMYFUNCTION("""COMPUTED_VALUE"""),100.0)</f>
        <v>100</v>
      </c>
      <c r="J469" s="78" t="str">
        <f>IFERROR(__xludf.DUMMYFUNCTION("""COMPUTED_VALUE"""),"Dr. P.Ravi Kiran Varma")</f>
        <v>Dr. P.Ravi Kiran Varma</v>
      </c>
      <c r="K469" s="85" t="str">
        <f>IFERROR(__xludf.DUMMYFUNCTION("""COMPUTED_VALUE"""),"https://drive.google.com/open?id=16gk4EJQdxCN0zUM15j7dKfdYYeYJjiMQ")</f>
        <v>https://drive.google.com/open?id=16gk4EJQdxCN0zUM15j7dKfdYYeYJjiMQ</v>
      </c>
      <c r="L469" s="78" t="str">
        <f>IFERROR(__xludf.DUMMYFUNCTION("""COMPUTED_VALUE"""),"2018-2022")</f>
        <v>2018-2022</v>
      </c>
      <c r="M469" s="78" t="str">
        <f>IFERROR(__xludf.DUMMYFUNCTION("""COMPUTED_VALUE"""),"S4: Student Certifications")</f>
        <v>S4: Student Certifications</v>
      </c>
      <c r="N469" s="78" t="str">
        <f>IFERROR(__xludf.DUMMYFUNCTION("""COMPUTED_VALUE"""),"kambapuindu@gmail.com")</f>
        <v>kambapuindu@gmail.com</v>
      </c>
      <c r="O469" s="78" t="str">
        <f>IFERROR(__xludf.DUMMYFUNCTION("""COMPUTED_VALUE"""),"SEM-8")</f>
        <v>SEM-8</v>
      </c>
      <c r="P469" s="78"/>
      <c r="Q469" s="78"/>
      <c r="R469" s="78"/>
      <c r="S469" s="78"/>
      <c r="T469" s="78"/>
      <c r="U469" s="78"/>
      <c r="V469" s="78"/>
      <c r="W469" s="78"/>
      <c r="X469" s="78"/>
      <c r="Y469" s="78"/>
    </row>
    <row r="470" ht="26.25" customHeight="1">
      <c r="A470" s="74" t="str">
        <f>IFERROR(__xludf.DUMMYFUNCTION("""COMPUTED_VALUE"""),"TIRUMALARAJU VIJAYARAMA MOHITH VARMA")</f>
        <v>TIRUMALARAJU VIJAYARAMA MOHITH VARMA</v>
      </c>
      <c r="B470" s="74" t="str">
        <f>IFERROR(__xludf.DUMMYFUNCTION("""COMPUTED_VALUE"""),"18331A05F8")</f>
        <v>18331A05F8</v>
      </c>
      <c r="C470" s="90" t="str">
        <f>IFERROR(__xludf.DUMMYFUNCTION("""COMPUTED_VALUE"""),"CYBERSECURITY FOUNDATION")</f>
        <v>CYBERSECURITY FOUNDATION</v>
      </c>
      <c r="D470" s="74" t="str">
        <f>IFERROR(__xludf.DUMMYFUNCTION("""COMPUTED_VALUE"""),"PALO ALTO")</f>
        <v>PALO ALTO</v>
      </c>
      <c r="E470" s="74" t="str">
        <f>IFERROR(__xludf.DUMMYFUNCTION("""COMPUTED_VALUE"""),"90 DAYS")</f>
        <v>90 DAYS</v>
      </c>
      <c r="F470" s="91">
        <f>IFERROR(__xludf.DUMMYFUNCTION("""COMPUTED_VALUE"""),44256.0)</f>
        <v>44256</v>
      </c>
      <c r="G470" s="91">
        <f>IFERROR(__xludf.DUMMYFUNCTION("""COMPUTED_VALUE"""),44377.0)</f>
        <v>44377</v>
      </c>
      <c r="H470" s="79">
        <f>IFERROR(__xludf.DUMMYFUNCTION("""COMPUTED_VALUE"""),44402.0)</f>
        <v>44402</v>
      </c>
      <c r="I470" s="92"/>
      <c r="J470" s="74" t="str">
        <f>IFERROR(__xludf.DUMMYFUNCTION("""COMPUTED_VALUE"""),"DR. RAVI KIRAN VARMA PENMATSA")</f>
        <v>DR. RAVI KIRAN VARMA PENMATSA</v>
      </c>
      <c r="K470" s="80" t="str">
        <f>IFERROR(__xludf.DUMMYFUNCTION("""COMPUTED_VALUE"""),"https://drive.google.com/open?id=1Q_mxllZmRvTLTbcdP2WbjAIWSoLVVgED")</f>
        <v>https://drive.google.com/open?id=1Q_mxllZmRvTLTbcdP2WbjAIWSoLVVgED</v>
      </c>
      <c r="L470" s="74" t="str">
        <f>IFERROR(__xludf.DUMMYFUNCTION("""COMPUTED_VALUE"""),"2018-2022")</f>
        <v>2018-2022</v>
      </c>
      <c r="M470" s="74" t="str">
        <f>IFERROR(__xludf.DUMMYFUNCTION("""COMPUTED_VALUE"""),"S4: Student Certifications")</f>
        <v>S4: Student Certifications</v>
      </c>
      <c r="N470" s="74" t="str">
        <f>IFERROR(__xludf.DUMMYFUNCTION("""COMPUTED_VALUE"""),"vijayaramaraju1999@gmail.com")</f>
        <v>vijayaramaraju1999@gmail.com</v>
      </c>
      <c r="O470" s="74" t="str">
        <f>IFERROR(__xludf.DUMMYFUNCTION("""COMPUTED_VALUE"""),"SEM-8")</f>
        <v>SEM-8</v>
      </c>
      <c r="P470" s="74"/>
      <c r="Q470" s="74"/>
      <c r="R470" s="74"/>
      <c r="S470" s="74"/>
      <c r="T470" s="74"/>
      <c r="U470" s="74"/>
      <c r="V470" s="74"/>
      <c r="W470" s="74"/>
      <c r="X470" s="74"/>
      <c r="Y470" s="74"/>
    </row>
    <row r="471" ht="26.25" customHeight="1">
      <c r="A471" s="74" t="str">
        <f>IFERROR(__xludf.DUMMYFUNCTION("""COMPUTED_VALUE"""),"TIRUMALARAJU VIJAYARAMA MOHITH VARMA")</f>
        <v>TIRUMALARAJU VIJAYARAMA MOHITH VARMA</v>
      </c>
      <c r="B471" s="74" t="str">
        <f>IFERROR(__xludf.DUMMYFUNCTION("""COMPUTED_VALUE"""),"18331A05F8")</f>
        <v>18331A05F8</v>
      </c>
      <c r="C471" s="90" t="str">
        <f>IFERROR(__xludf.DUMMYFUNCTION("""COMPUTED_VALUE"""),"MICROSOFT AZURE ESSENTIALS")</f>
        <v>MICROSOFT AZURE ESSENTIALS</v>
      </c>
      <c r="D471" s="74" t="str">
        <f>IFERROR(__xludf.DUMMYFUNCTION("""COMPUTED_VALUE"""),"GREAT LEARNING")</f>
        <v>GREAT LEARNING</v>
      </c>
      <c r="E471" s="74" t="str">
        <f>IFERROR(__xludf.DUMMYFUNCTION("""COMPUTED_VALUE"""),"30 DAYS")</f>
        <v>30 DAYS</v>
      </c>
      <c r="F471" s="91">
        <f>IFERROR(__xludf.DUMMYFUNCTION("""COMPUTED_VALUE"""),44593.0)</f>
        <v>44593</v>
      </c>
      <c r="G471" s="91">
        <f>IFERROR(__xludf.DUMMYFUNCTION("""COMPUTED_VALUE"""),44622.0)</f>
        <v>44622</v>
      </c>
      <c r="H471" s="79">
        <f>IFERROR(__xludf.DUMMYFUNCTION("""COMPUTED_VALUE"""),44652.0)</f>
        <v>44652</v>
      </c>
      <c r="I471" s="92"/>
      <c r="J471" s="74" t="str">
        <f>IFERROR(__xludf.DUMMYFUNCTION("""COMPUTED_VALUE"""),"NA")</f>
        <v>NA</v>
      </c>
      <c r="K471" s="80" t="str">
        <f>IFERROR(__xludf.DUMMYFUNCTION("""COMPUTED_VALUE"""),"https://drive.google.com/open?id=1kUCKamDQvSydly64EJmnG0x75hW8ZcJl")</f>
        <v>https://drive.google.com/open?id=1kUCKamDQvSydly64EJmnG0x75hW8ZcJl</v>
      </c>
      <c r="L471" s="74" t="str">
        <f>IFERROR(__xludf.DUMMYFUNCTION("""COMPUTED_VALUE"""),"2018-2022")</f>
        <v>2018-2022</v>
      </c>
      <c r="M471" s="74" t="str">
        <f>IFERROR(__xludf.DUMMYFUNCTION("""COMPUTED_VALUE"""),"S4: Student Certifications")</f>
        <v>S4: Student Certifications</v>
      </c>
      <c r="N471" s="74" t="str">
        <f>IFERROR(__xludf.DUMMYFUNCTION("""COMPUTED_VALUE"""),"vijayaramaraju1999@gmail.com")</f>
        <v>vijayaramaraju1999@gmail.com</v>
      </c>
      <c r="O471" s="74" t="str">
        <f>IFERROR(__xludf.DUMMYFUNCTION("""COMPUTED_VALUE"""),"SEM-8")</f>
        <v>SEM-8</v>
      </c>
      <c r="P471" s="74"/>
      <c r="Q471" s="74"/>
      <c r="R471" s="74"/>
      <c r="S471" s="74"/>
      <c r="T471" s="74"/>
      <c r="U471" s="74"/>
      <c r="V471" s="74"/>
      <c r="W471" s="74"/>
      <c r="X471" s="74"/>
      <c r="Y471" s="74"/>
    </row>
    <row r="472" ht="26.25" customHeight="1">
      <c r="A472" s="74" t="str">
        <f>IFERROR(__xludf.DUMMYFUNCTION("""COMPUTED_VALUE"""),"TIRUMALARAJU VIJAYARAMA MOHITH VARMA")</f>
        <v>TIRUMALARAJU VIJAYARAMA MOHITH VARMA</v>
      </c>
      <c r="B472" s="74" t="str">
        <f>IFERROR(__xludf.DUMMYFUNCTION("""COMPUTED_VALUE"""),"18331A05F8")</f>
        <v>18331A05F8</v>
      </c>
      <c r="C472" s="90" t="str">
        <f>IFERROR(__xludf.DUMMYFUNCTION("""COMPUTED_VALUE"""),"PYTHON BASICS")</f>
        <v>PYTHON BASICS</v>
      </c>
      <c r="D472" s="74" t="str">
        <f>IFERROR(__xludf.DUMMYFUNCTION("""COMPUTED_VALUE"""),"GREAT LEARNING")</f>
        <v>GREAT LEARNING</v>
      </c>
      <c r="E472" s="74" t="str">
        <f>IFERROR(__xludf.DUMMYFUNCTION("""COMPUTED_VALUE"""),"30 DAYS")</f>
        <v>30 DAYS</v>
      </c>
      <c r="F472" s="91">
        <f>IFERROR(__xludf.DUMMYFUNCTION("""COMPUTED_VALUE"""),44562.0)</f>
        <v>44562</v>
      </c>
      <c r="G472" s="91">
        <f>IFERROR(__xludf.DUMMYFUNCTION("""COMPUTED_VALUE"""),44591.0)</f>
        <v>44591</v>
      </c>
      <c r="H472" s="79">
        <f>IFERROR(__xludf.DUMMYFUNCTION("""COMPUTED_VALUE"""),44653.0)</f>
        <v>44653</v>
      </c>
      <c r="I472" s="92"/>
      <c r="J472" s="74" t="str">
        <f>IFERROR(__xludf.DUMMYFUNCTION("""COMPUTED_VALUE"""),"NA")</f>
        <v>NA</v>
      </c>
      <c r="K472" s="80" t="str">
        <f>IFERROR(__xludf.DUMMYFUNCTION("""COMPUTED_VALUE"""),"https://drive.google.com/open?id=1gb03XodkHPhoZhmWCb4BYT9_AYiuwvXC")</f>
        <v>https://drive.google.com/open?id=1gb03XodkHPhoZhmWCb4BYT9_AYiuwvXC</v>
      </c>
      <c r="L472" s="74" t="str">
        <f>IFERROR(__xludf.DUMMYFUNCTION("""COMPUTED_VALUE"""),"2018-2022")</f>
        <v>2018-2022</v>
      </c>
      <c r="M472" s="74" t="str">
        <f>IFERROR(__xludf.DUMMYFUNCTION("""COMPUTED_VALUE"""),"S4: Student Certifications")</f>
        <v>S4: Student Certifications</v>
      </c>
      <c r="N472" s="74" t="str">
        <f>IFERROR(__xludf.DUMMYFUNCTION("""COMPUTED_VALUE"""),"vijayaramaraju1999@gmail.com")</f>
        <v>vijayaramaraju1999@gmail.com</v>
      </c>
      <c r="O472" s="74" t="str">
        <f>IFERROR(__xludf.DUMMYFUNCTION("""COMPUTED_VALUE"""),"SEM-8")</f>
        <v>SEM-8</v>
      </c>
      <c r="P472" s="74"/>
      <c r="Q472" s="74"/>
      <c r="R472" s="74"/>
      <c r="S472" s="74"/>
      <c r="T472" s="74"/>
      <c r="U472" s="74"/>
      <c r="V472" s="74"/>
      <c r="W472" s="74"/>
      <c r="X472" s="74"/>
      <c r="Y472" s="74"/>
    </row>
    <row r="473" ht="26.25" customHeight="1">
      <c r="A473" s="74" t="str">
        <f>IFERROR(__xludf.DUMMYFUNCTION("""COMPUTED_VALUE"""),"TIRUMALARAJU VIJAYARAMA MOHITH VARMA")</f>
        <v>TIRUMALARAJU VIJAYARAMA MOHITH VARMA</v>
      </c>
      <c r="B473" s="74" t="str">
        <f>IFERROR(__xludf.DUMMYFUNCTION("""COMPUTED_VALUE"""),"18331A05F8")</f>
        <v>18331A05F8</v>
      </c>
      <c r="C473" s="90" t="str">
        <f>IFERROR(__xludf.DUMMYFUNCTION("""COMPUTED_VALUE"""),"MANAGEMENT")</f>
        <v>MANAGEMENT</v>
      </c>
      <c r="D473" s="74" t="str">
        <f>IFERROR(__xludf.DUMMYFUNCTION("""COMPUTED_VALUE"""),"GREAT LEARNING")</f>
        <v>GREAT LEARNING</v>
      </c>
      <c r="E473" s="74" t="str">
        <f>IFERROR(__xludf.DUMMYFUNCTION("""COMPUTED_VALUE"""),"15 DAYS")</f>
        <v>15 DAYS</v>
      </c>
      <c r="F473" s="91">
        <f>IFERROR(__xludf.DUMMYFUNCTION("""COMPUTED_VALUE"""),43922.0)</f>
        <v>43922</v>
      </c>
      <c r="G473" s="91">
        <f>IFERROR(__xludf.DUMMYFUNCTION("""COMPUTED_VALUE"""),43936.0)</f>
        <v>43936</v>
      </c>
      <c r="H473" s="79">
        <f>IFERROR(__xludf.DUMMYFUNCTION("""COMPUTED_VALUE"""),44660.0)</f>
        <v>44660</v>
      </c>
      <c r="I473" s="92"/>
      <c r="J473" s="74" t="str">
        <f>IFERROR(__xludf.DUMMYFUNCTION("""COMPUTED_VALUE"""),"NA")</f>
        <v>NA</v>
      </c>
      <c r="K473" s="80" t="str">
        <f>IFERROR(__xludf.DUMMYFUNCTION("""COMPUTED_VALUE"""),"https://drive.google.com/open?id=16PngkmY2MrkDIn-g-e6sl8BNXl8J7Lpi")</f>
        <v>https://drive.google.com/open?id=16PngkmY2MrkDIn-g-e6sl8BNXl8J7Lpi</v>
      </c>
      <c r="L473" s="74" t="str">
        <f>IFERROR(__xludf.DUMMYFUNCTION("""COMPUTED_VALUE"""),"2018-2022")</f>
        <v>2018-2022</v>
      </c>
      <c r="M473" s="74" t="str">
        <f>IFERROR(__xludf.DUMMYFUNCTION("""COMPUTED_VALUE"""),"S4: Student Certifications")</f>
        <v>S4: Student Certifications</v>
      </c>
      <c r="N473" s="74" t="str">
        <f>IFERROR(__xludf.DUMMYFUNCTION("""COMPUTED_VALUE"""),"vijayaramaraju1999@gmail.com")</f>
        <v>vijayaramaraju1999@gmail.com</v>
      </c>
      <c r="O473" s="74" t="str">
        <f>IFERROR(__xludf.DUMMYFUNCTION("""COMPUTED_VALUE"""),"SEM-8")</f>
        <v>SEM-8</v>
      </c>
      <c r="P473" s="74"/>
      <c r="Q473" s="74"/>
      <c r="R473" s="74"/>
      <c r="S473" s="74"/>
      <c r="T473" s="74"/>
      <c r="U473" s="74"/>
      <c r="V473" s="74"/>
      <c r="W473" s="74"/>
      <c r="X473" s="74"/>
      <c r="Y473" s="74"/>
    </row>
    <row r="474" ht="26.25" customHeight="1">
      <c r="A474" s="74" t="str">
        <f>IFERROR(__xludf.DUMMYFUNCTION("""COMPUTED_VALUE"""),"TIRUMALARAJU VIJAYARAMA MOHITH VARMA")</f>
        <v>TIRUMALARAJU VIJAYARAMA MOHITH VARMA</v>
      </c>
      <c r="B474" s="74" t="str">
        <f>IFERROR(__xludf.DUMMYFUNCTION("""COMPUTED_VALUE"""),"18331A05F8")</f>
        <v>18331A05F8</v>
      </c>
      <c r="C474" s="90" t="str">
        <f>IFERROR(__xludf.DUMMYFUNCTION("""COMPUTED_VALUE"""),"ADVANCED EXCEL TUTORIAL")</f>
        <v>ADVANCED EXCEL TUTORIAL</v>
      </c>
      <c r="D474" s="74" t="str">
        <f>IFERROR(__xludf.DUMMYFUNCTION("""COMPUTED_VALUE"""),"ELEARNMARKETS")</f>
        <v>ELEARNMARKETS</v>
      </c>
      <c r="E474" s="74" t="str">
        <f>IFERROR(__xludf.DUMMYFUNCTION("""COMPUTED_VALUE"""),"60 DAYS")</f>
        <v>60 DAYS</v>
      </c>
      <c r="F474" s="91">
        <f>IFERROR(__xludf.DUMMYFUNCTION("""COMPUTED_VALUE"""),44593.0)</f>
        <v>44593</v>
      </c>
      <c r="G474" s="91">
        <f>IFERROR(__xludf.DUMMYFUNCTION("""COMPUTED_VALUE"""),44653.0)</f>
        <v>44653</v>
      </c>
      <c r="H474" s="79">
        <f>IFERROR(__xludf.DUMMYFUNCTION("""COMPUTED_VALUE"""),44654.0)</f>
        <v>44654</v>
      </c>
      <c r="I474" s="92"/>
      <c r="J474" s="74" t="str">
        <f>IFERROR(__xludf.DUMMYFUNCTION("""COMPUTED_VALUE"""),"NA")</f>
        <v>NA</v>
      </c>
      <c r="K474" s="80" t="str">
        <f>IFERROR(__xludf.DUMMYFUNCTION("""COMPUTED_VALUE"""),"https://drive.google.com/open?id=1qG4yKD0AhX79KjzGNKXGiMINRg-6-e_d")</f>
        <v>https://drive.google.com/open?id=1qG4yKD0AhX79KjzGNKXGiMINRg-6-e_d</v>
      </c>
      <c r="L474" s="74" t="str">
        <f>IFERROR(__xludf.DUMMYFUNCTION("""COMPUTED_VALUE"""),"2018-2022")</f>
        <v>2018-2022</v>
      </c>
      <c r="M474" s="74" t="str">
        <f>IFERROR(__xludf.DUMMYFUNCTION("""COMPUTED_VALUE"""),"S4: Student Certifications")</f>
        <v>S4: Student Certifications</v>
      </c>
      <c r="N474" s="74" t="str">
        <f>IFERROR(__xludf.DUMMYFUNCTION("""COMPUTED_VALUE"""),"vijayaramaraju1999@gmail.com")</f>
        <v>vijayaramaraju1999@gmail.com</v>
      </c>
      <c r="O474" s="74" t="str">
        <f>IFERROR(__xludf.DUMMYFUNCTION("""COMPUTED_VALUE"""),"SEM-8")</f>
        <v>SEM-8</v>
      </c>
      <c r="P474" s="74"/>
      <c r="Q474" s="74"/>
      <c r="R474" s="74"/>
      <c r="S474" s="74"/>
      <c r="T474" s="74"/>
      <c r="U474" s="74"/>
      <c r="V474" s="74"/>
      <c r="W474" s="74"/>
      <c r="X474" s="74"/>
      <c r="Y474" s="74"/>
    </row>
    <row r="475" ht="26.25" customHeight="1">
      <c r="A475" s="74" t="str">
        <f>IFERROR(__xludf.DUMMYFUNCTION("""COMPUTED_VALUE"""),"SAI VENKATA ROHIT NAIK BHUKYA")</f>
        <v>SAI VENKATA ROHIT NAIK BHUKYA</v>
      </c>
      <c r="B475" s="74" t="str">
        <f>IFERROR(__xludf.DUMMYFUNCTION("""COMPUTED_VALUE"""),"18331A05D3")</f>
        <v>18331A05D3</v>
      </c>
      <c r="C475" s="90" t="str">
        <f>IFERROR(__xludf.DUMMYFUNCTION("""COMPUTED_VALUE"""),"SQL")</f>
        <v>SQL</v>
      </c>
      <c r="D475" s="74" t="str">
        <f>IFERROR(__xludf.DUMMYFUNCTION("""COMPUTED_VALUE"""),"Coursera")</f>
        <v>Coursera</v>
      </c>
      <c r="E475" s="74" t="str">
        <f>IFERROR(__xludf.DUMMYFUNCTION("""COMPUTED_VALUE"""),"2 months ")</f>
        <v>2 months </v>
      </c>
      <c r="F475" s="91">
        <f>IFERROR(__xludf.DUMMYFUNCTION("""COMPUTED_VALUE"""),43983.0)</f>
        <v>43983</v>
      </c>
      <c r="G475" s="91">
        <f>IFERROR(__xludf.DUMMYFUNCTION("""COMPUTED_VALUE"""),44056.0)</f>
        <v>44056</v>
      </c>
      <c r="H475" s="79">
        <f>IFERROR(__xludf.DUMMYFUNCTION("""COMPUTED_VALUE"""),44053.0)</f>
        <v>44053</v>
      </c>
      <c r="I475" s="92">
        <f>IFERROR(__xludf.DUMMYFUNCTION("""COMPUTED_VALUE"""),100.0)</f>
        <v>100</v>
      </c>
      <c r="J475" s="74" t="str">
        <f>IFERROR(__xludf.DUMMYFUNCTION("""COMPUTED_VALUE"""),"Charles severance")</f>
        <v>Charles severance</v>
      </c>
      <c r="K475" s="80" t="str">
        <f>IFERROR(__xludf.DUMMYFUNCTION("""COMPUTED_VALUE"""),"https://drive.google.com/open?id=1K7re4F4sjorGSy4xdqaaQ9iR-eljFBmp")</f>
        <v>https://drive.google.com/open?id=1K7re4F4sjorGSy4xdqaaQ9iR-eljFBmp</v>
      </c>
      <c r="L475" s="74" t="str">
        <f>IFERROR(__xludf.DUMMYFUNCTION("""COMPUTED_VALUE"""),"2018-2022")</f>
        <v>2018-2022</v>
      </c>
      <c r="M475" s="74" t="str">
        <f>IFERROR(__xludf.DUMMYFUNCTION("""COMPUTED_VALUE"""),"S4: Student Certifications")</f>
        <v>S4: Student Certifications</v>
      </c>
      <c r="N475" s="74" t="str">
        <f>IFERROR(__xludf.DUMMYFUNCTION("""COMPUTED_VALUE"""),"rohitbhukya@gmail.com")</f>
        <v>rohitbhukya@gmail.com</v>
      </c>
      <c r="O475" s="74" t="str">
        <f>IFERROR(__xludf.DUMMYFUNCTION("""COMPUTED_VALUE"""),"SEM-8")</f>
        <v>SEM-8</v>
      </c>
      <c r="P475" s="74"/>
      <c r="Q475" s="74"/>
      <c r="R475" s="74"/>
      <c r="S475" s="74"/>
      <c r="T475" s="74"/>
      <c r="U475" s="74"/>
      <c r="V475" s="74"/>
      <c r="W475" s="74"/>
      <c r="X475" s="74"/>
      <c r="Y475" s="74"/>
    </row>
    <row r="476" ht="26.25" customHeight="1">
      <c r="A476" s="74" t="str">
        <f>IFERROR(__xludf.DUMMYFUNCTION("""COMPUTED_VALUE"""),"SAI VENKATA ROHIT NAIK BHUKYA")</f>
        <v>SAI VENKATA ROHIT NAIK BHUKYA</v>
      </c>
      <c r="B476" s="74" t="str">
        <f>IFERROR(__xludf.DUMMYFUNCTION("""COMPUTED_VALUE"""),"18331A05D3")</f>
        <v>18331A05D3</v>
      </c>
      <c r="C476" s="90" t="str">
        <f>IFERROR(__xludf.DUMMYFUNCTION("""COMPUTED_VALUE"""),"PHP ")</f>
        <v>PHP </v>
      </c>
      <c r="D476" s="74" t="str">
        <f>IFERROR(__xludf.DUMMYFUNCTION("""COMPUTED_VALUE"""),"Coursera")</f>
        <v>Coursera</v>
      </c>
      <c r="E476" s="74" t="str">
        <f>IFERROR(__xludf.DUMMYFUNCTION("""COMPUTED_VALUE"""),"2 months ")</f>
        <v>2 months </v>
      </c>
      <c r="F476" s="91">
        <f>IFERROR(__xludf.DUMMYFUNCTION("""COMPUTED_VALUE"""),43983.0)</f>
        <v>43983</v>
      </c>
      <c r="G476" s="91">
        <f>IFERROR(__xludf.DUMMYFUNCTION("""COMPUTED_VALUE"""),44051.0)</f>
        <v>44051</v>
      </c>
      <c r="H476" s="79">
        <f>IFERROR(__xludf.DUMMYFUNCTION("""COMPUTED_VALUE"""),44049.0)</f>
        <v>44049</v>
      </c>
      <c r="I476" s="92">
        <f>IFERROR(__xludf.DUMMYFUNCTION("""COMPUTED_VALUE"""),96.0)</f>
        <v>96</v>
      </c>
      <c r="J476" s="74" t="str">
        <f>IFERROR(__xludf.DUMMYFUNCTION("""COMPUTED_VALUE"""),"Charles severance")</f>
        <v>Charles severance</v>
      </c>
      <c r="K476" s="80" t="str">
        <f>IFERROR(__xludf.DUMMYFUNCTION("""COMPUTED_VALUE"""),"https://drive.google.com/open?id=1egre4J8ROMfoWUd7u6ooYPskcd26Yji0")</f>
        <v>https://drive.google.com/open?id=1egre4J8ROMfoWUd7u6ooYPskcd26Yji0</v>
      </c>
      <c r="L476" s="74" t="str">
        <f>IFERROR(__xludf.DUMMYFUNCTION("""COMPUTED_VALUE"""),"2018-2022")</f>
        <v>2018-2022</v>
      </c>
      <c r="M476" s="74" t="str">
        <f>IFERROR(__xludf.DUMMYFUNCTION("""COMPUTED_VALUE"""),"S4: Student Certifications")</f>
        <v>S4: Student Certifications</v>
      </c>
      <c r="N476" s="74" t="str">
        <f>IFERROR(__xludf.DUMMYFUNCTION("""COMPUTED_VALUE"""),"rohitbhukya@gmail.com")</f>
        <v>rohitbhukya@gmail.com</v>
      </c>
      <c r="O476" s="74" t="str">
        <f>IFERROR(__xludf.DUMMYFUNCTION("""COMPUTED_VALUE"""),"SEM-8")</f>
        <v>SEM-8</v>
      </c>
      <c r="P476" s="74"/>
      <c r="Q476" s="74"/>
      <c r="R476" s="74"/>
      <c r="S476" s="74"/>
      <c r="T476" s="74"/>
      <c r="U476" s="74"/>
      <c r="V476" s="74"/>
      <c r="W476" s="74"/>
      <c r="X476" s="74"/>
      <c r="Y476" s="74"/>
    </row>
    <row r="477" ht="26.25" customHeight="1">
      <c r="A477" s="74" t="str">
        <f>IFERROR(__xludf.DUMMYFUNCTION("""COMPUTED_VALUE"""),"SAI VENKATA ROHIT NAIK BHUKYA")</f>
        <v>SAI VENKATA ROHIT NAIK BHUKYA</v>
      </c>
      <c r="B477" s="74" t="str">
        <f>IFERROR(__xludf.DUMMYFUNCTION("""COMPUTED_VALUE"""),"18331A05D3")</f>
        <v>18331A05D3</v>
      </c>
      <c r="C477" s="90" t="str">
        <f>IFERROR(__xludf.DUMMYFUNCTION("""COMPUTED_VALUE"""),"CLA")</f>
        <v>CLA</v>
      </c>
      <c r="D477" s="74" t="str">
        <f>IFERROR(__xludf.DUMMYFUNCTION("""COMPUTED_VALUE"""),"Cisco")</f>
        <v>Cisco</v>
      </c>
      <c r="E477" s="74" t="str">
        <f>IFERROR(__xludf.DUMMYFUNCTION("""COMPUTED_VALUE"""),"3 months ")</f>
        <v>3 months </v>
      </c>
      <c r="F477" s="91">
        <f>IFERROR(__xludf.DUMMYFUNCTION("""COMPUTED_VALUE"""),43526.0)</f>
        <v>43526</v>
      </c>
      <c r="G477" s="91">
        <f>IFERROR(__xludf.DUMMYFUNCTION("""COMPUTED_VALUE"""),43618.0)</f>
        <v>43618</v>
      </c>
      <c r="H477" s="79">
        <f>IFERROR(__xludf.DUMMYFUNCTION("""COMPUTED_VALUE"""),43618.0)</f>
        <v>43618</v>
      </c>
      <c r="I477" s="92">
        <f>IFERROR(__xludf.DUMMYFUNCTION("""COMPUTED_VALUE"""),80.0)</f>
        <v>80</v>
      </c>
      <c r="J477" s="74" t="str">
        <f>IFERROR(__xludf.DUMMYFUNCTION("""COMPUTED_VALUE"""),"Dr.Ravi kiran varma")</f>
        <v>Dr.Ravi kiran varma</v>
      </c>
      <c r="K477" s="80" t="str">
        <f>IFERROR(__xludf.DUMMYFUNCTION("""COMPUTED_VALUE"""),"https://drive.google.com/open?id=1z5KkDpjCjsM7cmCqgb6ch6Zw6xDrHH7K")</f>
        <v>https://drive.google.com/open?id=1z5KkDpjCjsM7cmCqgb6ch6Zw6xDrHH7K</v>
      </c>
      <c r="L477" s="74" t="str">
        <f>IFERROR(__xludf.DUMMYFUNCTION("""COMPUTED_VALUE"""),"2018-2022")</f>
        <v>2018-2022</v>
      </c>
      <c r="M477" s="74" t="str">
        <f>IFERROR(__xludf.DUMMYFUNCTION("""COMPUTED_VALUE"""),"S4: Student Certifications")</f>
        <v>S4: Student Certifications</v>
      </c>
      <c r="N477" s="74" t="str">
        <f>IFERROR(__xludf.DUMMYFUNCTION("""COMPUTED_VALUE"""),"rohitbhukya@gmail.com")</f>
        <v>rohitbhukya@gmail.com</v>
      </c>
      <c r="O477" s="74" t="str">
        <f>IFERROR(__xludf.DUMMYFUNCTION("""COMPUTED_VALUE"""),"SEM-8")</f>
        <v>SEM-8</v>
      </c>
      <c r="P477" s="74"/>
      <c r="Q477" s="74"/>
      <c r="R477" s="74"/>
      <c r="S477" s="74"/>
      <c r="T477" s="74"/>
      <c r="U477" s="74"/>
      <c r="V477" s="74"/>
      <c r="W477" s="74"/>
      <c r="X477" s="74"/>
      <c r="Y477" s="74"/>
    </row>
    <row r="478" ht="26.25" customHeight="1">
      <c r="A478" s="74" t="str">
        <f>IFERROR(__xludf.DUMMYFUNCTION("""COMPUTED_VALUE"""),"SAI VENKATA ROHIT NAIK BHUKYA")</f>
        <v>SAI VENKATA ROHIT NAIK BHUKYA</v>
      </c>
      <c r="B478" s="74" t="str">
        <f>IFERROR(__xludf.DUMMYFUNCTION("""COMPUTED_VALUE"""),"18331A05D3")</f>
        <v>18331A05D3</v>
      </c>
      <c r="C478" s="90" t="str">
        <f>IFERROR(__xludf.DUMMYFUNCTION("""COMPUTED_VALUE"""),"Cybersecurity ")</f>
        <v>Cybersecurity </v>
      </c>
      <c r="D478" s="74" t="str">
        <f>IFERROR(__xludf.DUMMYFUNCTION("""COMPUTED_VALUE"""),"Cisco ")</f>
        <v>Cisco </v>
      </c>
      <c r="E478" s="74" t="str">
        <f>IFERROR(__xludf.DUMMYFUNCTION("""COMPUTED_VALUE"""),"2 months")</f>
        <v>2 months</v>
      </c>
      <c r="F478" s="91">
        <f>IFERROR(__xludf.DUMMYFUNCTION("""COMPUTED_VALUE"""),43614.0)</f>
        <v>43614</v>
      </c>
      <c r="G478" s="91">
        <f>IFERROR(__xludf.DUMMYFUNCTION("""COMPUTED_VALUE"""),43677.0)</f>
        <v>43677</v>
      </c>
      <c r="H478" s="79">
        <f>IFERROR(__xludf.DUMMYFUNCTION("""COMPUTED_VALUE"""),43646.0)</f>
        <v>43646</v>
      </c>
      <c r="I478" s="92">
        <f>IFERROR(__xludf.DUMMYFUNCTION("""COMPUTED_VALUE"""),80.0)</f>
        <v>80</v>
      </c>
      <c r="J478" s="74" t="str">
        <f>IFERROR(__xludf.DUMMYFUNCTION("""COMPUTED_VALUE"""),"Dr.Ravi kiran varma")</f>
        <v>Dr.Ravi kiran varma</v>
      </c>
      <c r="K478" s="80" t="str">
        <f>IFERROR(__xludf.DUMMYFUNCTION("""COMPUTED_VALUE"""),"https://drive.google.com/open?id=1v01EIsd16wQQu_jl1eRzigztb8ixsaaB")</f>
        <v>https://drive.google.com/open?id=1v01EIsd16wQQu_jl1eRzigztb8ixsaaB</v>
      </c>
      <c r="L478" s="74" t="str">
        <f>IFERROR(__xludf.DUMMYFUNCTION("""COMPUTED_VALUE"""),"2018-2022")</f>
        <v>2018-2022</v>
      </c>
      <c r="M478" s="74" t="str">
        <f>IFERROR(__xludf.DUMMYFUNCTION("""COMPUTED_VALUE"""),"S4: Student Certifications")</f>
        <v>S4: Student Certifications</v>
      </c>
      <c r="N478" s="74" t="str">
        <f>IFERROR(__xludf.DUMMYFUNCTION("""COMPUTED_VALUE"""),"rohitbhukya@gmail.com")</f>
        <v>rohitbhukya@gmail.com</v>
      </c>
      <c r="O478" s="74" t="str">
        <f>IFERROR(__xludf.DUMMYFUNCTION("""COMPUTED_VALUE"""),"SEM-8")</f>
        <v>SEM-8</v>
      </c>
      <c r="P478" s="74"/>
      <c r="Q478" s="74"/>
      <c r="R478" s="74"/>
      <c r="S478" s="74"/>
      <c r="T478" s="74"/>
      <c r="U478" s="74"/>
      <c r="V478" s="74"/>
      <c r="W478" s="74"/>
      <c r="X478" s="74"/>
      <c r="Y478" s="74"/>
    </row>
    <row r="479" ht="26.25" customHeight="1">
      <c r="A479" s="74" t="str">
        <f>IFERROR(__xludf.DUMMYFUNCTION("""COMPUTED_VALUE"""),"SAI VENKATA ROHIT NAIK BHUKYA")</f>
        <v>SAI VENKATA ROHIT NAIK BHUKYA</v>
      </c>
      <c r="B479" s="74" t="str">
        <f>IFERROR(__xludf.DUMMYFUNCTION("""COMPUTED_VALUE"""),"18331A05D3")</f>
        <v>18331A05D3</v>
      </c>
      <c r="C479" s="90" t="str">
        <f>IFERROR(__xludf.DUMMYFUNCTION("""COMPUTED_VALUE"""),"PCAP")</f>
        <v>PCAP</v>
      </c>
      <c r="D479" s="74" t="str">
        <f>IFERROR(__xludf.DUMMYFUNCTION("""COMPUTED_VALUE"""),"Cisco")</f>
        <v>Cisco</v>
      </c>
      <c r="E479" s="74" t="str">
        <f>IFERROR(__xludf.DUMMYFUNCTION("""COMPUTED_VALUE"""),"2 months ")</f>
        <v>2 months </v>
      </c>
      <c r="F479" s="91">
        <f>IFERROR(__xludf.DUMMYFUNCTION("""COMPUTED_VALUE"""),44318.0)</f>
        <v>44318</v>
      </c>
      <c r="G479" s="91">
        <f>IFERROR(__xludf.DUMMYFUNCTION("""COMPUTED_VALUE"""),44408.0)</f>
        <v>44408</v>
      </c>
      <c r="H479" s="79">
        <f>IFERROR(__xludf.DUMMYFUNCTION("""COMPUTED_VALUE"""),44408.0)</f>
        <v>44408</v>
      </c>
      <c r="I479" s="92">
        <f>IFERROR(__xludf.DUMMYFUNCTION("""COMPUTED_VALUE"""),90.0)</f>
        <v>90</v>
      </c>
      <c r="J479" s="74" t="str">
        <f>IFERROR(__xludf.DUMMYFUNCTION("""COMPUTED_VALUE"""),"Subba raju k v")</f>
        <v>Subba raju k v</v>
      </c>
      <c r="K479" s="80" t="str">
        <f>IFERROR(__xludf.DUMMYFUNCTION("""COMPUTED_VALUE"""),"https://drive.google.com/open?id=14M2s0Yb5IrkGYbOl1tHOF2UOlYrDb6lf")</f>
        <v>https://drive.google.com/open?id=14M2s0Yb5IrkGYbOl1tHOF2UOlYrDb6lf</v>
      </c>
      <c r="L479" s="74" t="str">
        <f>IFERROR(__xludf.DUMMYFUNCTION("""COMPUTED_VALUE"""),"2018-2022")</f>
        <v>2018-2022</v>
      </c>
      <c r="M479" s="74" t="str">
        <f>IFERROR(__xludf.DUMMYFUNCTION("""COMPUTED_VALUE"""),"S4: Student Certifications")</f>
        <v>S4: Student Certifications</v>
      </c>
      <c r="N479" s="74" t="str">
        <f>IFERROR(__xludf.DUMMYFUNCTION("""COMPUTED_VALUE"""),"rohitbhukya@gmail.com")</f>
        <v>rohitbhukya@gmail.com</v>
      </c>
      <c r="O479" s="74" t="str">
        <f>IFERROR(__xludf.DUMMYFUNCTION("""COMPUTED_VALUE"""),"SEM-8")</f>
        <v>SEM-8</v>
      </c>
      <c r="P479" s="74"/>
      <c r="Q479" s="74"/>
      <c r="R479" s="74"/>
      <c r="S479" s="74"/>
      <c r="T479" s="74"/>
      <c r="U479" s="74"/>
      <c r="V479" s="74"/>
      <c r="W479" s="74"/>
      <c r="X479" s="74"/>
      <c r="Y479" s="74"/>
    </row>
    <row r="480" ht="26.25" customHeight="1">
      <c r="A480" s="74" t="str">
        <f>IFERROR(__xludf.DUMMYFUNCTION("""COMPUTED_VALUE"""),"anushanalli18@gmail.com")</f>
        <v>anushanalli18@gmail.com</v>
      </c>
      <c r="B480" s="74" t="str">
        <f>IFERROR(__xludf.DUMMYFUNCTION("""COMPUTED_VALUE"""),"18331A05A7")</f>
        <v>18331A05A7</v>
      </c>
      <c r="C480" s="90" t="str">
        <f>IFERROR(__xludf.DUMMYFUNCTION("""COMPUTED_VALUE"""),"CLA: Programming Essentials in C")</f>
        <v>CLA: Programming Essentials in C</v>
      </c>
      <c r="D480" s="74" t="str">
        <f>IFERROR(__xludf.DUMMYFUNCTION("""COMPUTED_VALUE"""),"Cisco Networking Academy")</f>
        <v>Cisco Networking Academy</v>
      </c>
      <c r="E480" s="74" t="str">
        <f>IFERROR(__xludf.DUMMYFUNCTION("""COMPUTED_VALUE"""),"7 months")</f>
        <v>7 months</v>
      </c>
      <c r="F480" s="91">
        <f>IFERROR(__xludf.DUMMYFUNCTION("""COMPUTED_VALUE"""),43466.0)</f>
        <v>43466</v>
      </c>
      <c r="G480" s="91">
        <f>IFERROR(__xludf.DUMMYFUNCTION("""COMPUTED_VALUE"""),43654.0)</f>
        <v>43654</v>
      </c>
      <c r="H480" s="79">
        <f>IFERROR(__xludf.DUMMYFUNCTION("""COMPUTED_VALUE"""),43654.0)</f>
        <v>43654</v>
      </c>
      <c r="I480" s="92">
        <f>IFERROR(__xludf.DUMMYFUNCTION("""COMPUTED_VALUE"""),98.0)</f>
        <v>98</v>
      </c>
      <c r="J480" s="74" t="str">
        <f>IFERROR(__xludf.DUMMYFUNCTION("""COMPUTED_VALUE"""),"VAMSI KRISHNA MAHABHASHYAM")</f>
        <v>VAMSI KRISHNA MAHABHASHYAM</v>
      </c>
      <c r="K480" s="80" t="str">
        <f>IFERROR(__xludf.DUMMYFUNCTION("""COMPUTED_VALUE"""),"https://drive.google.com/open?id=1-2XRNFWqoYlC4fMcw_b0gR2AoUtJrEB5")</f>
        <v>https://drive.google.com/open?id=1-2XRNFWqoYlC4fMcw_b0gR2AoUtJrEB5</v>
      </c>
      <c r="L480" s="74" t="str">
        <f>IFERROR(__xludf.DUMMYFUNCTION("""COMPUTED_VALUE"""),"2018-2022")</f>
        <v>2018-2022</v>
      </c>
      <c r="M480" s="74" t="str">
        <f>IFERROR(__xludf.DUMMYFUNCTION("""COMPUTED_VALUE"""),"S4: Student Certifications")</f>
        <v>S4: Student Certifications</v>
      </c>
      <c r="N480" s="74" t="str">
        <f>IFERROR(__xludf.DUMMYFUNCTION("""COMPUTED_VALUE"""),"anushanalli18@gmail.com")</f>
        <v>anushanalli18@gmail.com</v>
      </c>
      <c r="O480" s="74" t="str">
        <f>IFERROR(__xludf.DUMMYFUNCTION("""COMPUTED_VALUE"""),"SEM-8")</f>
        <v>SEM-8</v>
      </c>
      <c r="P480" s="74"/>
      <c r="Q480" s="74"/>
      <c r="R480" s="74"/>
      <c r="S480" s="74"/>
      <c r="T480" s="74"/>
      <c r="U480" s="74"/>
      <c r="V480" s="74"/>
      <c r="W480" s="74"/>
      <c r="X480" s="74"/>
      <c r="Y480" s="74"/>
    </row>
    <row r="481" ht="26.25" customHeight="1">
      <c r="A481" s="74" t="str">
        <f>IFERROR(__xludf.DUMMYFUNCTION("""COMPUTED_VALUE"""),"Nalli Anusha")</f>
        <v>Nalli Anusha</v>
      </c>
      <c r="B481" s="74" t="str">
        <f>IFERROR(__xludf.DUMMYFUNCTION("""COMPUTED_VALUE"""),"18331A05A7")</f>
        <v>18331A05A7</v>
      </c>
      <c r="C481" s="90" t="str">
        <f>IFERROR(__xludf.DUMMYFUNCTION("""COMPUTED_VALUE"""),"Cybersecurity Essentials")</f>
        <v>Cybersecurity Essentials</v>
      </c>
      <c r="D481" s="74" t="str">
        <f>IFERROR(__xludf.DUMMYFUNCTION("""COMPUTED_VALUE"""),"Cisco Networking Academy")</f>
        <v>Cisco Networking Academy</v>
      </c>
      <c r="E481" s="74" t="str">
        <f>IFERROR(__xludf.DUMMYFUNCTION("""COMPUTED_VALUE"""),"1 month")</f>
        <v>1 month</v>
      </c>
      <c r="F481" s="91">
        <f>IFERROR(__xludf.DUMMYFUNCTION("""COMPUTED_VALUE"""),43668.0)</f>
        <v>43668</v>
      </c>
      <c r="G481" s="91">
        <f>IFERROR(__xludf.DUMMYFUNCTION("""COMPUTED_VALUE"""),43699.0)</f>
        <v>43699</v>
      </c>
      <c r="H481" s="79">
        <f>IFERROR(__xludf.DUMMYFUNCTION("""COMPUTED_VALUE"""),43672.0)</f>
        <v>43672</v>
      </c>
      <c r="I481" s="92">
        <f>IFERROR(__xludf.DUMMYFUNCTION("""COMPUTED_VALUE"""),100.0)</f>
        <v>100</v>
      </c>
      <c r="J481" s="74" t="str">
        <f>IFERROR(__xludf.DUMMYFUNCTION("""COMPUTED_VALUE"""),"Kalyana Chakravarthy Chilukuri")</f>
        <v>Kalyana Chakravarthy Chilukuri</v>
      </c>
      <c r="K481" s="80" t="str">
        <f>IFERROR(__xludf.DUMMYFUNCTION("""COMPUTED_VALUE"""),"https://drive.google.com/open?id=1-Kh2b0Mccdp5ibZVzDcX7rSa2CN-NJG8")</f>
        <v>https://drive.google.com/open?id=1-Kh2b0Mccdp5ibZVzDcX7rSa2CN-NJG8</v>
      </c>
      <c r="L481" s="74" t="str">
        <f>IFERROR(__xludf.DUMMYFUNCTION("""COMPUTED_VALUE"""),"2018-2022")</f>
        <v>2018-2022</v>
      </c>
      <c r="M481" s="74" t="str">
        <f>IFERROR(__xludf.DUMMYFUNCTION("""COMPUTED_VALUE"""),"S4: Student Certifications")</f>
        <v>S4: Student Certifications</v>
      </c>
      <c r="N481" s="74" t="str">
        <f>IFERROR(__xludf.DUMMYFUNCTION("""COMPUTED_VALUE"""),"anushanalli18@gmail.com")</f>
        <v>anushanalli18@gmail.com</v>
      </c>
      <c r="O481" s="74" t="str">
        <f>IFERROR(__xludf.DUMMYFUNCTION("""COMPUTED_VALUE"""),"SEM-8")</f>
        <v>SEM-8</v>
      </c>
      <c r="P481" s="74"/>
      <c r="Q481" s="74"/>
      <c r="R481" s="74"/>
      <c r="S481" s="74"/>
      <c r="T481" s="74"/>
      <c r="U481" s="74"/>
      <c r="V481" s="74"/>
      <c r="W481" s="74"/>
      <c r="X481" s="74"/>
      <c r="Y481" s="74"/>
    </row>
    <row r="482" ht="26.25" customHeight="1">
      <c r="A482" s="74" t="str">
        <f>IFERROR(__xludf.DUMMYFUNCTION("""COMPUTED_VALUE"""),"Hari Krishna Saripalli")</f>
        <v>Hari Krishna Saripalli</v>
      </c>
      <c r="B482" s="74" t="str">
        <f>IFERROR(__xludf.DUMMYFUNCTION("""COMPUTED_VALUE"""),"18331A05D9")</f>
        <v>18331A05D9</v>
      </c>
      <c r="C482" s="90" t="str">
        <f>IFERROR(__xludf.DUMMYFUNCTION("""COMPUTED_VALUE"""),"Web Design for Everybody Capstone")</f>
        <v>Web Design for Everybody Capstone</v>
      </c>
      <c r="D482" s="74" t="str">
        <f>IFERROR(__xludf.DUMMYFUNCTION("""COMPUTED_VALUE"""),"Coursera")</f>
        <v>Coursera</v>
      </c>
      <c r="E482" s="74" t="str">
        <f>IFERROR(__xludf.DUMMYFUNCTION("""COMPUTED_VALUE"""),"3 months")</f>
        <v>3 months</v>
      </c>
      <c r="F482" s="91">
        <f>IFERROR(__xludf.DUMMYFUNCTION("""COMPUTED_VALUE"""),43952.0)</f>
        <v>43952</v>
      </c>
      <c r="G482" s="91">
        <f>IFERROR(__xludf.DUMMYFUNCTION("""COMPUTED_VALUE"""),44036.0)</f>
        <v>44036</v>
      </c>
      <c r="H482" s="79">
        <f>IFERROR(__xludf.DUMMYFUNCTION("""COMPUTED_VALUE"""),44675.0)</f>
        <v>44675</v>
      </c>
      <c r="I482" s="92">
        <f>IFERROR(__xludf.DUMMYFUNCTION("""COMPUTED_VALUE"""),80.0)</f>
        <v>80</v>
      </c>
      <c r="J482" s="74" t="str">
        <f>IFERROR(__xludf.DUMMYFUNCTION("""COMPUTED_VALUE"""),"Collen van lent")</f>
        <v>Collen van lent</v>
      </c>
      <c r="K482" s="80" t="str">
        <f>IFERROR(__xludf.DUMMYFUNCTION("""COMPUTED_VALUE"""),"https://drive.google.com/open?id=1LY1yS5lHsPfg_pPppzxlb8enwNd2sr7N")</f>
        <v>https://drive.google.com/open?id=1LY1yS5lHsPfg_pPppzxlb8enwNd2sr7N</v>
      </c>
      <c r="L482" s="74" t="str">
        <f>IFERROR(__xludf.DUMMYFUNCTION("""COMPUTED_VALUE"""),"2018-2022")</f>
        <v>2018-2022</v>
      </c>
      <c r="M482" s="74" t="str">
        <f>IFERROR(__xludf.DUMMYFUNCTION("""COMPUTED_VALUE"""),"S4: Student Certifications")</f>
        <v>S4: Student Certifications</v>
      </c>
      <c r="N482" s="74" t="str">
        <f>IFERROR(__xludf.DUMMYFUNCTION("""COMPUTED_VALUE"""),"harikrishnasaripalli99@gmail.com")</f>
        <v>harikrishnasaripalli99@gmail.com</v>
      </c>
      <c r="O482" s="74" t="str">
        <f>IFERROR(__xludf.DUMMYFUNCTION("""COMPUTED_VALUE"""),"SEM-8")</f>
        <v>SEM-8</v>
      </c>
      <c r="P482" s="74"/>
      <c r="Q482" s="74"/>
      <c r="R482" s="74"/>
      <c r="S482" s="74"/>
      <c r="T482" s="74"/>
      <c r="U482" s="74"/>
      <c r="V482" s="74"/>
      <c r="W482" s="74"/>
      <c r="X482" s="74"/>
      <c r="Y482" s="74"/>
    </row>
    <row r="483" ht="26.25" customHeight="1">
      <c r="A483" s="74" t="str">
        <f>IFERROR(__xludf.DUMMYFUNCTION("""COMPUTED_VALUE"""),"manoj varma sagi")</f>
        <v>manoj varma sagi</v>
      </c>
      <c r="B483" s="74" t="str">
        <f>IFERROR(__xludf.DUMMYFUNCTION("""COMPUTED_VALUE"""),"18331A05C8")</f>
        <v>18331A05C8</v>
      </c>
      <c r="C483" s="90" t="str">
        <f>IFERROR(__xludf.DUMMYFUNCTION("""COMPUTED_VALUE"""),"C")</f>
        <v>C</v>
      </c>
      <c r="D483" s="74" t="str">
        <f>IFERROR(__xludf.DUMMYFUNCTION("""COMPUTED_VALUE"""),"cisco")</f>
        <v>cisco</v>
      </c>
      <c r="E483" s="74" t="str">
        <f>IFERROR(__xludf.DUMMYFUNCTION("""COMPUTED_VALUE"""),"1 week")</f>
        <v>1 week</v>
      </c>
      <c r="F483" s="91">
        <f>IFERROR(__xludf.DUMMYFUNCTION("""COMPUTED_VALUE"""),43670.0)</f>
        <v>43670</v>
      </c>
      <c r="G483" s="91">
        <f>IFERROR(__xludf.DUMMYFUNCTION("""COMPUTED_VALUE"""),43676.0)</f>
        <v>43676</v>
      </c>
      <c r="H483" s="79">
        <f>IFERROR(__xludf.DUMMYFUNCTION("""COMPUTED_VALUE"""),43676.0)</f>
        <v>43676</v>
      </c>
      <c r="I483" s="92">
        <f>IFERROR(__xludf.DUMMYFUNCTION("""COMPUTED_VALUE"""),90.0)</f>
        <v>90</v>
      </c>
      <c r="J483" s="74" t="str">
        <f>IFERROR(__xludf.DUMMYFUNCTION("""COMPUTED_VALUE"""),"DR Ravi kiran varmA")</f>
        <v>DR Ravi kiran varmA</v>
      </c>
      <c r="K483" s="80" t="str">
        <f>IFERROR(__xludf.DUMMYFUNCTION("""COMPUTED_VALUE"""),"https://drive.google.com/open?id=1hPn17VP27yhvydDTY9traLQ1wHwZmrox")</f>
        <v>https://drive.google.com/open?id=1hPn17VP27yhvydDTY9traLQ1wHwZmrox</v>
      </c>
      <c r="L483" s="74" t="str">
        <f>IFERROR(__xludf.DUMMYFUNCTION("""COMPUTED_VALUE"""),"2018-2022")</f>
        <v>2018-2022</v>
      </c>
      <c r="M483" s="74" t="str">
        <f>IFERROR(__xludf.DUMMYFUNCTION("""COMPUTED_VALUE"""),"S4: Student Certifications")</f>
        <v>S4: Student Certifications</v>
      </c>
      <c r="N483" s="74" t="str">
        <f>IFERROR(__xludf.DUMMYFUNCTION("""COMPUTED_VALUE"""),"manojvarmaaa13@gmail.com")</f>
        <v>manojvarmaaa13@gmail.com</v>
      </c>
      <c r="O483" s="74" t="str">
        <f>IFERROR(__xludf.DUMMYFUNCTION("""COMPUTED_VALUE"""),"SEM-8")</f>
        <v>SEM-8</v>
      </c>
      <c r="P483" s="74"/>
      <c r="Q483" s="74"/>
      <c r="R483" s="74"/>
      <c r="S483" s="74"/>
      <c r="T483" s="74"/>
      <c r="U483" s="74"/>
      <c r="V483" s="74"/>
      <c r="W483" s="74"/>
      <c r="X483" s="74"/>
      <c r="Y483" s="74"/>
    </row>
    <row r="484" ht="26.25" customHeight="1">
      <c r="A484" s="74" t="str">
        <f>IFERROR(__xludf.DUMMYFUNCTION("""COMPUTED_VALUE"""),"manoj varma sagi")</f>
        <v>manoj varma sagi</v>
      </c>
      <c r="B484" s="74" t="str">
        <f>IFERROR(__xludf.DUMMYFUNCTION("""COMPUTED_VALUE"""),"18331A05C8")</f>
        <v>18331A05C8</v>
      </c>
      <c r="C484" s="90" t="str">
        <f>IFERROR(__xludf.DUMMYFUNCTION("""COMPUTED_VALUE"""),"Cyber security")</f>
        <v>Cyber security</v>
      </c>
      <c r="D484" s="74" t="str">
        <f>IFERROR(__xludf.DUMMYFUNCTION("""COMPUTED_VALUE"""),"Cisco")</f>
        <v>Cisco</v>
      </c>
      <c r="E484" s="74" t="str">
        <f>IFERROR(__xludf.DUMMYFUNCTION("""COMPUTED_VALUE"""),"1 week")</f>
        <v>1 week</v>
      </c>
      <c r="F484" s="91">
        <f>IFERROR(__xludf.DUMMYFUNCTION("""COMPUTED_VALUE"""),43670.0)</f>
        <v>43670</v>
      </c>
      <c r="G484" s="91">
        <f>IFERROR(__xludf.DUMMYFUNCTION("""COMPUTED_VALUE"""),43676.0)</f>
        <v>43676</v>
      </c>
      <c r="H484" s="79">
        <f>IFERROR(__xludf.DUMMYFUNCTION("""COMPUTED_VALUE"""),43676.0)</f>
        <v>43676</v>
      </c>
      <c r="I484" s="92">
        <f>IFERROR(__xludf.DUMMYFUNCTION("""COMPUTED_VALUE"""),90.0)</f>
        <v>90</v>
      </c>
      <c r="J484" s="74" t="str">
        <f>IFERROR(__xludf.DUMMYFUNCTION("""COMPUTED_VALUE"""),"K V Subba raju")</f>
        <v>K V Subba raju</v>
      </c>
      <c r="K484" s="80" t="str">
        <f>IFERROR(__xludf.DUMMYFUNCTION("""COMPUTED_VALUE"""),"https://drive.google.com/open?id=1BKGViztp3IVXKGp0QsPQ8GzQD5egv4tn")</f>
        <v>https://drive.google.com/open?id=1BKGViztp3IVXKGp0QsPQ8GzQD5egv4tn</v>
      </c>
      <c r="L484" s="74" t="str">
        <f>IFERROR(__xludf.DUMMYFUNCTION("""COMPUTED_VALUE"""),"2018-2022")</f>
        <v>2018-2022</v>
      </c>
      <c r="M484" s="74" t="str">
        <f>IFERROR(__xludf.DUMMYFUNCTION("""COMPUTED_VALUE"""),"S4: Student Certifications")</f>
        <v>S4: Student Certifications</v>
      </c>
      <c r="N484" s="74" t="str">
        <f>IFERROR(__xludf.DUMMYFUNCTION("""COMPUTED_VALUE"""),"manojvarmaaa13@gmail.com")</f>
        <v>manojvarmaaa13@gmail.com</v>
      </c>
      <c r="O484" s="74" t="str">
        <f>IFERROR(__xludf.DUMMYFUNCTION("""COMPUTED_VALUE"""),"SEM-8")</f>
        <v>SEM-8</v>
      </c>
      <c r="P484" s="74"/>
      <c r="Q484" s="74"/>
      <c r="R484" s="74"/>
      <c r="S484" s="74"/>
      <c r="T484" s="74"/>
      <c r="U484" s="74"/>
      <c r="V484" s="74"/>
      <c r="W484" s="74"/>
      <c r="X484" s="74"/>
      <c r="Y484" s="74"/>
    </row>
    <row r="485" ht="26.25" customHeight="1">
      <c r="A485" s="74" t="str">
        <f>IFERROR(__xludf.DUMMYFUNCTION("""COMPUTED_VALUE"""),"Nalli Anusha")</f>
        <v>Nalli Anusha</v>
      </c>
      <c r="B485" s="74" t="str">
        <f>IFERROR(__xludf.DUMMYFUNCTION("""COMPUTED_VALUE"""),"18331A05A7")</f>
        <v>18331A05A7</v>
      </c>
      <c r="C485" s="90" t="str">
        <f>IFERROR(__xludf.DUMMYFUNCTION("""COMPUTED_VALUE"""),"NDG Linux Essentials")</f>
        <v>NDG Linux Essentials</v>
      </c>
      <c r="D485" s="74" t="str">
        <f>IFERROR(__xludf.DUMMYFUNCTION("""COMPUTED_VALUE"""),"Cisco Networking Academy")</f>
        <v>Cisco Networking Academy</v>
      </c>
      <c r="E485" s="74" t="str">
        <f>IFERROR(__xludf.DUMMYFUNCTION("""COMPUTED_VALUE"""),"3 months")</f>
        <v>3 months</v>
      </c>
      <c r="F485" s="91">
        <f>IFERROR(__xludf.DUMMYFUNCTION("""COMPUTED_VALUE"""),43831.0)</f>
        <v>43831</v>
      </c>
      <c r="G485" s="91">
        <f>IFERROR(__xludf.DUMMYFUNCTION("""COMPUTED_VALUE"""),43936.0)</f>
        <v>43936</v>
      </c>
      <c r="H485" s="79">
        <f>IFERROR(__xludf.DUMMYFUNCTION("""COMPUTED_VALUE"""),43936.0)</f>
        <v>43936</v>
      </c>
      <c r="I485" s="92">
        <f>IFERROR(__xludf.DUMMYFUNCTION("""COMPUTED_VALUE"""),98.0)</f>
        <v>98</v>
      </c>
      <c r="J485" s="74" t="str">
        <f>IFERROR(__xludf.DUMMYFUNCTION("""COMPUTED_VALUE"""),"SUBBARAJU K V")</f>
        <v>SUBBARAJU K V</v>
      </c>
      <c r="K485" s="80" t="str">
        <f>IFERROR(__xludf.DUMMYFUNCTION("""COMPUTED_VALUE"""),"https://drive.google.com/open?id=12RL8c1eDxOxloOcL-nQ5Q8_yqlWmTs1j")</f>
        <v>https://drive.google.com/open?id=12RL8c1eDxOxloOcL-nQ5Q8_yqlWmTs1j</v>
      </c>
      <c r="L485" s="74" t="str">
        <f>IFERROR(__xludf.DUMMYFUNCTION("""COMPUTED_VALUE"""),"2018-2022")</f>
        <v>2018-2022</v>
      </c>
      <c r="M485" s="74" t="str">
        <f>IFERROR(__xludf.DUMMYFUNCTION("""COMPUTED_VALUE"""),"S4: Student Certifications")</f>
        <v>S4: Student Certifications</v>
      </c>
      <c r="N485" s="74" t="str">
        <f>IFERROR(__xludf.DUMMYFUNCTION("""COMPUTED_VALUE"""),"anushanalli18@gmail.com")</f>
        <v>anushanalli18@gmail.com</v>
      </c>
      <c r="O485" s="74" t="str">
        <f>IFERROR(__xludf.DUMMYFUNCTION("""COMPUTED_VALUE"""),"SEM-8")</f>
        <v>SEM-8</v>
      </c>
      <c r="P485" s="74"/>
      <c r="Q485" s="74"/>
      <c r="R485" s="74"/>
      <c r="S485" s="74"/>
      <c r="T485" s="74"/>
      <c r="U485" s="74"/>
      <c r="V485" s="74"/>
      <c r="W485" s="74"/>
      <c r="X485" s="74"/>
      <c r="Y485" s="74"/>
    </row>
    <row r="486" ht="26.25" customHeight="1">
      <c r="A486" s="78" t="str">
        <f>IFERROR(__xludf.DUMMYFUNCTION("""COMPUTED_VALUE"""),"manoj varma sagi")</f>
        <v>manoj varma sagi</v>
      </c>
      <c r="B486" s="78" t="str">
        <f>IFERROR(__xludf.DUMMYFUNCTION("""COMPUTED_VALUE"""),"18331A05C8")</f>
        <v>18331A05C8</v>
      </c>
      <c r="C486" s="93" t="str">
        <f>IFERROR(__xludf.DUMMYFUNCTION("""COMPUTED_VALUE"""),"AWS")</f>
        <v>AWS</v>
      </c>
      <c r="D486" s="78" t="str">
        <f>IFERROR(__xludf.DUMMYFUNCTION("""COMPUTED_VALUE"""),"AICTE")</f>
        <v>AICTE</v>
      </c>
      <c r="E486" s="78" t="str">
        <f>IFERROR(__xludf.DUMMYFUNCTION("""COMPUTED_VALUE"""),"2 months")</f>
        <v>2 months</v>
      </c>
      <c r="F486" s="94">
        <f>IFERROR(__xludf.DUMMYFUNCTION("""COMPUTED_VALUE"""),44482.0)</f>
        <v>44482</v>
      </c>
      <c r="G486" s="94">
        <f>IFERROR(__xludf.DUMMYFUNCTION("""COMPUTED_VALUE"""),44554.0)</f>
        <v>44554</v>
      </c>
      <c r="H486" s="84">
        <f>IFERROR(__xludf.DUMMYFUNCTION("""COMPUTED_VALUE"""),44554.0)</f>
        <v>44554</v>
      </c>
      <c r="I486" s="95">
        <f>IFERROR(__xludf.DUMMYFUNCTION("""COMPUTED_VALUE"""),90.0)</f>
        <v>90</v>
      </c>
      <c r="J486" s="78" t="str">
        <f>IFERROR(__xludf.DUMMYFUNCTION("""COMPUTED_VALUE"""),"DR Ravi kiran varma")</f>
        <v>DR Ravi kiran varma</v>
      </c>
      <c r="K486" s="85" t="str">
        <f>IFERROR(__xludf.DUMMYFUNCTION("""COMPUTED_VALUE"""),"https://drive.google.com/open?id=1lJpU6p4HauFCn44XN7EJcAWZpal2R1b5")</f>
        <v>https://drive.google.com/open?id=1lJpU6p4HauFCn44XN7EJcAWZpal2R1b5</v>
      </c>
      <c r="L486" s="78" t="str">
        <f>IFERROR(__xludf.DUMMYFUNCTION("""COMPUTED_VALUE"""),"2018-2022")</f>
        <v>2018-2022</v>
      </c>
      <c r="M486" s="78" t="str">
        <f>IFERROR(__xludf.DUMMYFUNCTION("""COMPUTED_VALUE"""),"S4: Student Certifications")</f>
        <v>S4: Student Certifications</v>
      </c>
      <c r="N486" s="78" t="str">
        <f>IFERROR(__xludf.DUMMYFUNCTION("""COMPUTED_VALUE"""),"manojvarmaaa13@gmail.com")</f>
        <v>manojvarmaaa13@gmail.com</v>
      </c>
      <c r="O486" s="78" t="str">
        <f>IFERROR(__xludf.DUMMYFUNCTION("""COMPUTED_VALUE"""),"SEM-8")</f>
        <v>SEM-8</v>
      </c>
      <c r="P486" s="78"/>
      <c r="Q486" s="78"/>
      <c r="R486" s="78"/>
      <c r="S486" s="78"/>
      <c r="T486" s="78"/>
      <c r="U486" s="78"/>
      <c r="V486" s="78"/>
      <c r="W486" s="78"/>
      <c r="X486" s="78"/>
      <c r="Y486" s="78"/>
    </row>
    <row r="487" ht="26.25" customHeight="1">
      <c r="A487" s="74" t="str">
        <f>IFERROR(__xludf.DUMMYFUNCTION("""COMPUTED_VALUE"""),"L.Kavya")</f>
        <v>L.Kavya</v>
      </c>
      <c r="B487" s="74" t="str">
        <f>IFERROR(__xludf.DUMMYFUNCTION("""COMPUTED_VALUE"""),"18331A0585")</f>
        <v>18331A0585</v>
      </c>
      <c r="C487" s="90" t="str">
        <f>IFERROR(__xludf.DUMMYFUNCTION("""COMPUTED_VALUE"""),"Programming Essentials in C")</f>
        <v>Programming Essentials in C</v>
      </c>
      <c r="D487" s="74" t="str">
        <f>IFERROR(__xludf.DUMMYFUNCTION("""COMPUTED_VALUE"""),"Cisco")</f>
        <v>Cisco</v>
      </c>
      <c r="E487" s="74" t="str">
        <f>IFERROR(__xludf.DUMMYFUNCTION("""COMPUTED_VALUE"""),"4 months")</f>
        <v>4 months</v>
      </c>
      <c r="F487" s="91">
        <f>IFERROR(__xludf.DUMMYFUNCTION("""COMPUTED_VALUE"""),43571.0)</f>
        <v>43571</v>
      </c>
      <c r="G487" s="91">
        <f>IFERROR(__xludf.DUMMYFUNCTION("""COMPUTED_VALUE"""),43693.0)</f>
        <v>43693</v>
      </c>
      <c r="H487" s="79">
        <f>IFERROR(__xludf.DUMMYFUNCTION("""COMPUTED_VALUE"""),43693.0)</f>
        <v>43693</v>
      </c>
      <c r="I487" s="92"/>
      <c r="J487" s="74" t="str">
        <f>IFERROR(__xludf.DUMMYFUNCTION("""COMPUTED_VALUE"""),"Subbaraju KV")</f>
        <v>Subbaraju KV</v>
      </c>
      <c r="K487" s="80" t="str">
        <f>IFERROR(__xludf.DUMMYFUNCTION("""COMPUTED_VALUE"""),"https://drive.google.com/open?id=1jJoTU4sgyRGXMbpfu72l4atFy68iFGgx")</f>
        <v>https://drive.google.com/open?id=1jJoTU4sgyRGXMbpfu72l4atFy68iFGgx</v>
      </c>
      <c r="L487" s="74" t="str">
        <f>IFERROR(__xludf.DUMMYFUNCTION("""COMPUTED_VALUE"""),"2018-2022")</f>
        <v>2018-2022</v>
      </c>
      <c r="M487" s="74" t="str">
        <f>IFERROR(__xludf.DUMMYFUNCTION("""COMPUTED_VALUE"""),"S4: Student Certifications")</f>
        <v>S4: Student Certifications</v>
      </c>
      <c r="N487" s="74" t="str">
        <f>IFERROR(__xludf.DUMMYFUNCTION("""COMPUTED_VALUE"""),"lakhanapuramkavya@gmail.com")</f>
        <v>lakhanapuramkavya@gmail.com</v>
      </c>
      <c r="O487" s="74" t="str">
        <f>IFERROR(__xludf.DUMMYFUNCTION("""COMPUTED_VALUE"""),"SEM-8")</f>
        <v>SEM-8</v>
      </c>
      <c r="P487" s="74"/>
      <c r="Q487" s="74"/>
      <c r="R487" s="74"/>
      <c r="S487" s="74"/>
      <c r="T487" s="74"/>
      <c r="U487" s="74"/>
      <c r="V487" s="74"/>
      <c r="W487" s="74"/>
      <c r="X487" s="74"/>
      <c r="Y487" s="74"/>
    </row>
    <row r="488" ht="26.25" customHeight="1">
      <c r="A488" s="74" t="str">
        <f>IFERROR(__xludf.DUMMYFUNCTION("""COMPUTED_VALUE"""),"L.Kavya")</f>
        <v>L.Kavya</v>
      </c>
      <c r="B488" s="74" t="str">
        <f>IFERROR(__xludf.DUMMYFUNCTION("""COMPUTED_VALUE"""),"18331A0585")</f>
        <v>18331A0585</v>
      </c>
      <c r="C488" s="90" t="str">
        <f>IFERROR(__xludf.DUMMYFUNCTION("""COMPUTED_VALUE"""),"Cybersecurity ")</f>
        <v>Cybersecurity </v>
      </c>
      <c r="D488" s="74" t="str">
        <f>IFERROR(__xludf.DUMMYFUNCTION("""COMPUTED_VALUE"""),"Cisco ")</f>
        <v>Cisco </v>
      </c>
      <c r="E488" s="74" t="str">
        <f>IFERROR(__xludf.DUMMYFUNCTION("""COMPUTED_VALUE"""),"3 months")</f>
        <v>3 months</v>
      </c>
      <c r="F488" s="91">
        <f>IFERROR(__xludf.DUMMYFUNCTION("""COMPUTED_VALUE"""),43581.0)</f>
        <v>43581</v>
      </c>
      <c r="G488" s="91">
        <f>IFERROR(__xludf.DUMMYFUNCTION("""COMPUTED_VALUE"""),43672.0)</f>
        <v>43672</v>
      </c>
      <c r="H488" s="79">
        <f>IFERROR(__xludf.DUMMYFUNCTION("""COMPUTED_VALUE"""),43672.0)</f>
        <v>43672</v>
      </c>
      <c r="I488" s="92"/>
      <c r="J488" s="74" t="str">
        <f>IFERROR(__xludf.DUMMYFUNCTION("""COMPUTED_VALUE"""),"Ravi Kiran Varma")</f>
        <v>Ravi Kiran Varma</v>
      </c>
      <c r="K488" s="80" t="str">
        <f>IFERROR(__xludf.DUMMYFUNCTION("""COMPUTED_VALUE"""),"https://drive.google.com/open?id=1oATV4z38uVsk4DRsCVGk1JQtK1jyN3h9")</f>
        <v>https://drive.google.com/open?id=1oATV4z38uVsk4DRsCVGk1JQtK1jyN3h9</v>
      </c>
      <c r="L488" s="74" t="str">
        <f>IFERROR(__xludf.DUMMYFUNCTION("""COMPUTED_VALUE"""),"2018-2022")</f>
        <v>2018-2022</v>
      </c>
      <c r="M488" s="74" t="str">
        <f>IFERROR(__xludf.DUMMYFUNCTION("""COMPUTED_VALUE"""),"S4: Student Certifications")</f>
        <v>S4: Student Certifications</v>
      </c>
      <c r="N488" s="74" t="str">
        <f>IFERROR(__xludf.DUMMYFUNCTION("""COMPUTED_VALUE"""),"lakhanapuramkavya@gmail.com")</f>
        <v>lakhanapuramkavya@gmail.com</v>
      </c>
      <c r="O488" s="74" t="str">
        <f>IFERROR(__xludf.DUMMYFUNCTION("""COMPUTED_VALUE"""),"SEM-8")</f>
        <v>SEM-8</v>
      </c>
      <c r="P488" s="74"/>
      <c r="Q488" s="74"/>
      <c r="R488" s="74"/>
      <c r="S488" s="74"/>
      <c r="T488" s="74"/>
      <c r="U488" s="74"/>
      <c r="V488" s="74"/>
      <c r="W488" s="74"/>
      <c r="X488" s="74"/>
      <c r="Y488" s="74"/>
    </row>
    <row r="489" ht="26.25" customHeight="1">
      <c r="A489" s="78" t="str">
        <f>IFERROR(__xludf.DUMMYFUNCTION("""COMPUTED_VALUE"""),"L.Kavya")</f>
        <v>L.Kavya</v>
      </c>
      <c r="B489" s="78" t="str">
        <f>IFERROR(__xludf.DUMMYFUNCTION("""COMPUTED_VALUE"""),"18331A0585")</f>
        <v>18331A0585</v>
      </c>
      <c r="C489" s="93" t="str">
        <f>IFERROR(__xludf.DUMMYFUNCTION("""COMPUTED_VALUE"""),"4.0 Tech Online Boot Camp")</f>
        <v>4.0 Tech Online Boot Camp</v>
      </c>
      <c r="D489" s="78" t="str">
        <f>IFERROR(__xludf.DUMMYFUNCTION("""COMPUTED_VALUE"""),"CCBP 4.0 Tech Community ")</f>
        <v>CCBP 4.0 Tech Community </v>
      </c>
      <c r="E489" s="78" t="str">
        <f>IFERROR(__xludf.DUMMYFUNCTION("""COMPUTED_VALUE"""),"1 day")</f>
        <v>1 day</v>
      </c>
      <c r="F489" s="94">
        <f>IFERROR(__xludf.DUMMYFUNCTION("""COMPUTED_VALUE"""),44473.0)</f>
        <v>44473</v>
      </c>
      <c r="G489" s="94">
        <f>IFERROR(__xludf.DUMMYFUNCTION("""COMPUTED_VALUE"""),44473.0)</f>
        <v>44473</v>
      </c>
      <c r="H489" s="84">
        <f>IFERROR(__xludf.DUMMYFUNCTION("""COMPUTED_VALUE"""),44473.0)</f>
        <v>44473</v>
      </c>
      <c r="I489" s="95"/>
      <c r="J489" s="78" t="str">
        <f>IFERROR(__xludf.DUMMYFUNCTION("""COMPUTED_VALUE"""),"-")</f>
        <v>-</v>
      </c>
      <c r="K489" s="85" t="str">
        <f>IFERROR(__xludf.DUMMYFUNCTION("""COMPUTED_VALUE"""),"https://drive.google.com/open?id=1zl0FM32wwsGqc5vNeMZ_jEgkKuRia6S2")</f>
        <v>https://drive.google.com/open?id=1zl0FM32wwsGqc5vNeMZ_jEgkKuRia6S2</v>
      </c>
      <c r="L489" s="78" t="str">
        <f>IFERROR(__xludf.DUMMYFUNCTION("""COMPUTED_VALUE"""),"2018-2022")</f>
        <v>2018-2022</v>
      </c>
      <c r="M489" s="78" t="str">
        <f>IFERROR(__xludf.DUMMYFUNCTION("""COMPUTED_VALUE"""),"S4: Student Certifications")</f>
        <v>S4: Student Certifications</v>
      </c>
      <c r="N489" s="78" t="str">
        <f>IFERROR(__xludf.DUMMYFUNCTION("""COMPUTED_VALUE"""),"lakhanapuramkavya@gmail.com")</f>
        <v>lakhanapuramkavya@gmail.com</v>
      </c>
      <c r="O489" s="78" t="str">
        <f>IFERROR(__xludf.DUMMYFUNCTION("""COMPUTED_VALUE"""),"SEM-8")</f>
        <v>SEM-8</v>
      </c>
      <c r="P489" s="78"/>
      <c r="Q489" s="78"/>
      <c r="R489" s="78"/>
      <c r="S489" s="78"/>
      <c r="T489" s="78"/>
      <c r="U489" s="78"/>
      <c r="V489" s="78"/>
      <c r="W489" s="78"/>
      <c r="X489" s="78"/>
      <c r="Y489" s="78"/>
    </row>
    <row r="490" ht="26.25" customHeight="1">
      <c r="A490" s="74" t="str">
        <f>IFERROR(__xludf.DUMMYFUNCTION("""COMPUTED_VALUE"""),"L.Kavya")</f>
        <v>L.Kavya</v>
      </c>
      <c r="B490" s="74" t="str">
        <f>IFERROR(__xludf.DUMMYFUNCTION("""COMPUTED_VALUE"""),"18331A0585")</f>
        <v>18331A0585</v>
      </c>
      <c r="C490" s="90" t="str">
        <f>IFERROR(__xludf.DUMMYFUNCTION("""COMPUTED_VALUE"""),"SQL")</f>
        <v>SQL</v>
      </c>
      <c r="D490" s="74" t="str">
        <f>IFERROR(__xludf.DUMMYFUNCTION("""COMPUTED_VALUE"""),"SoloLearn")</f>
        <v>SoloLearn</v>
      </c>
      <c r="E490" s="74" t="str">
        <f>IFERROR(__xludf.DUMMYFUNCTION("""COMPUTED_VALUE"""),"1 month")</f>
        <v>1 month</v>
      </c>
      <c r="F490" s="91">
        <f>IFERROR(__xludf.DUMMYFUNCTION("""COMPUTED_VALUE"""),43525.0)</f>
        <v>43525</v>
      </c>
      <c r="G490" s="91">
        <f>IFERROR(__xludf.DUMMYFUNCTION("""COMPUTED_VALUE"""),43981.0)</f>
        <v>43981</v>
      </c>
      <c r="H490" s="79">
        <f>IFERROR(__xludf.DUMMYFUNCTION("""COMPUTED_VALUE"""),43921.0)</f>
        <v>43921</v>
      </c>
      <c r="I490" s="92"/>
      <c r="J490" s="74" t="str">
        <f>IFERROR(__xludf.DUMMYFUNCTION("""COMPUTED_VALUE"""),"-")</f>
        <v>-</v>
      </c>
      <c r="K490" s="80" t="str">
        <f>IFERROR(__xludf.DUMMYFUNCTION("""COMPUTED_VALUE"""),"https://drive.google.com/open?id=1OD1v1NPhwpIGDw1egj5-f8gTMb_M7LZF")</f>
        <v>https://drive.google.com/open?id=1OD1v1NPhwpIGDw1egj5-f8gTMb_M7LZF</v>
      </c>
      <c r="L490" s="74" t="str">
        <f>IFERROR(__xludf.DUMMYFUNCTION("""COMPUTED_VALUE"""),"2018-2022")</f>
        <v>2018-2022</v>
      </c>
      <c r="M490" s="74" t="str">
        <f>IFERROR(__xludf.DUMMYFUNCTION("""COMPUTED_VALUE"""),"S4: Student Certifications")</f>
        <v>S4: Student Certifications</v>
      </c>
      <c r="N490" s="74" t="str">
        <f>IFERROR(__xludf.DUMMYFUNCTION("""COMPUTED_VALUE"""),"lakhanapuramkavya@gmail.com")</f>
        <v>lakhanapuramkavya@gmail.com</v>
      </c>
      <c r="O490" s="74" t="str">
        <f>IFERROR(__xludf.DUMMYFUNCTION("""COMPUTED_VALUE"""),"SEM-8")</f>
        <v>SEM-8</v>
      </c>
      <c r="P490" s="74"/>
      <c r="Q490" s="74"/>
      <c r="R490" s="74"/>
      <c r="S490" s="74"/>
      <c r="T490" s="74"/>
      <c r="U490" s="74"/>
      <c r="V490" s="74"/>
      <c r="W490" s="74"/>
      <c r="X490" s="74"/>
      <c r="Y490" s="74"/>
    </row>
    <row r="491" ht="26.25" customHeight="1">
      <c r="A491" s="78" t="str">
        <f>IFERROR(__xludf.DUMMYFUNCTION("""COMPUTED_VALUE"""),"L.Kavya")</f>
        <v>L.Kavya</v>
      </c>
      <c r="B491" s="78" t="str">
        <f>IFERROR(__xludf.DUMMYFUNCTION("""COMPUTED_VALUE"""),"18341A0585")</f>
        <v>18341A0585</v>
      </c>
      <c r="C491" s="93" t="str">
        <f>IFERROR(__xludf.DUMMYFUNCTION("""COMPUTED_VALUE"""),"Tata Imagination Challenge 2021")</f>
        <v>Tata Imagination Challenge 2021</v>
      </c>
      <c r="D491" s="78" t="str">
        <f>IFERROR(__xludf.DUMMYFUNCTION("""COMPUTED_VALUE"""),"Dare To Complete ")</f>
        <v>Dare To Complete </v>
      </c>
      <c r="E491" s="78" t="str">
        <f>IFERROR(__xludf.DUMMYFUNCTION("""COMPUTED_VALUE"""),"3 days")</f>
        <v>3 days</v>
      </c>
      <c r="F491" s="94">
        <f>IFERROR(__xludf.DUMMYFUNCTION("""COMPUTED_VALUE"""),44484.0)</f>
        <v>44484</v>
      </c>
      <c r="G491" s="94">
        <f>IFERROR(__xludf.DUMMYFUNCTION("""COMPUTED_VALUE"""),44486.0)</f>
        <v>44486</v>
      </c>
      <c r="H491" s="84">
        <f>IFERROR(__xludf.DUMMYFUNCTION("""COMPUTED_VALUE"""),44486.0)</f>
        <v>44486</v>
      </c>
      <c r="I491" s="95"/>
      <c r="J491" s="78" t="str">
        <f>IFERROR(__xludf.DUMMYFUNCTION("""COMPUTED_VALUE"""),"-")</f>
        <v>-</v>
      </c>
      <c r="K491" s="85" t="str">
        <f>IFERROR(__xludf.DUMMYFUNCTION("""COMPUTED_VALUE"""),"https://drive.google.com/open?id=1EnSLOaNxEjnCT7OoDfIeiqBqy8uy1FsZ")</f>
        <v>https://drive.google.com/open?id=1EnSLOaNxEjnCT7OoDfIeiqBqy8uy1FsZ</v>
      </c>
      <c r="L491" s="78" t="str">
        <f>IFERROR(__xludf.DUMMYFUNCTION("""COMPUTED_VALUE"""),"2018-2022")</f>
        <v>2018-2022</v>
      </c>
      <c r="M491" s="78" t="str">
        <f>IFERROR(__xludf.DUMMYFUNCTION("""COMPUTED_VALUE"""),"S4: Student Certifications")</f>
        <v>S4: Student Certifications</v>
      </c>
      <c r="N491" s="78" t="str">
        <f>IFERROR(__xludf.DUMMYFUNCTION("""COMPUTED_VALUE"""),"lakhanapuramkavya@gmail.com")</f>
        <v>lakhanapuramkavya@gmail.com</v>
      </c>
      <c r="O491" s="78" t="str">
        <f>IFERROR(__xludf.DUMMYFUNCTION("""COMPUTED_VALUE"""),"SEM-8")</f>
        <v>SEM-8</v>
      </c>
      <c r="P491" s="78"/>
      <c r="Q491" s="78"/>
      <c r="R491" s="78"/>
      <c r="S491" s="78"/>
      <c r="T491" s="78"/>
      <c r="U491" s="78"/>
      <c r="V491" s="78"/>
      <c r="W491" s="78"/>
      <c r="X491" s="78"/>
      <c r="Y491" s="78"/>
    </row>
    <row r="492" ht="26.25" customHeight="1">
      <c r="A492" s="74" t="str">
        <f>IFERROR(__xludf.DUMMYFUNCTION("""COMPUTED_VALUE"""),"L.Kavya")</f>
        <v>L.Kavya</v>
      </c>
      <c r="B492" s="74" t="str">
        <f>IFERROR(__xludf.DUMMYFUNCTION("""COMPUTED_VALUE"""),"18331A0585")</f>
        <v>18331A0585</v>
      </c>
      <c r="C492" s="90" t="str">
        <f>IFERROR(__xludf.DUMMYFUNCTION("""COMPUTED_VALUE"""),"Microsoft Azure Fundamentals")</f>
        <v>Microsoft Azure Fundamentals</v>
      </c>
      <c r="D492" s="74" t="str">
        <f>IFERROR(__xludf.DUMMYFUNCTION("""COMPUTED_VALUE"""),"Microsoft ")</f>
        <v>Microsoft </v>
      </c>
      <c r="E492" s="74" t="str">
        <f>IFERROR(__xludf.DUMMYFUNCTION("""COMPUTED_VALUE"""),"1 month")</f>
        <v>1 month</v>
      </c>
      <c r="F492" s="91">
        <f>IFERROR(__xludf.DUMMYFUNCTION("""COMPUTED_VALUE"""),44593.0)</f>
        <v>44593</v>
      </c>
      <c r="G492" s="91">
        <f>IFERROR(__xludf.DUMMYFUNCTION("""COMPUTED_VALUE"""),44621.0)</f>
        <v>44621</v>
      </c>
      <c r="H492" s="79">
        <f>IFERROR(__xludf.DUMMYFUNCTION("""COMPUTED_VALUE"""),44641.0)</f>
        <v>44641</v>
      </c>
      <c r="I492" s="92"/>
      <c r="J492" s="74" t="str">
        <f>IFERROR(__xludf.DUMMYFUNCTION("""COMPUTED_VALUE"""),"-")</f>
        <v>-</v>
      </c>
      <c r="K492" s="80" t="str">
        <f>IFERROR(__xludf.DUMMYFUNCTION("""COMPUTED_VALUE"""),"https://drive.google.com/open?id=10E2Ll4SUAfNR9h_MRcegXemaUXhuQ-LK")</f>
        <v>https://drive.google.com/open?id=10E2Ll4SUAfNR9h_MRcegXemaUXhuQ-LK</v>
      </c>
      <c r="L492" s="74" t="str">
        <f>IFERROR(__xludf.DUMMYFUNCTION("""COMPUTED_VALUE"""),"2018-2022")</f>
        <v>2018-2022</v>
      </c>
      <c r="M492" s="74" t="str">
        <f>IFERROR(__xludf.DUMMYFUNCTION("""COMPUTED_VALUE"""),"S4: Student Certifications")</f>
        <v>S4: Student Certifications</v>
      </c>
      <c r="N492" s="74" t="str">
        <f>IFERROR(__xludf.DUMMYFUNCTION("""COMPUTED_VALUE"""),"lakhanapuramkavya@gmail.com")</f>
        <v>lakhanapuramkavya@gmail.com</v>
      </c>
      <c r="O492" s="74" t="str">
        <f>IFERROR(__xludf.DUMMYFUNCTION("""COMPUTED_VALUE"""),"SEM-8")</f>
        <v>SEM-8</v>
      </c>
      <c r="P492" s="74"/>
      <c r="Q492" s="74"/>
      <c r="R492" s="74"/>
      <c r="S492" s="74"/>
      <c r="T492" s="74"/>
      <c r="U492" s="74"/>
      <c r="V492" s="74"/>
      <c r="W492" s="74"/>
      <c r="X492" s="74"/>
      <c r="Y492" s="74"/>
    </row>
    <row r="493" ht="26.25" customHeight="1">
      <c r="A493" s="74" t="str">
        <f>IFERROR(__xludf.DUMMYFUNCTION("""COMPUTED_VALUE"""),"Thudumu Soni kumar")</f>
        <v>Thudumu Soni kumar</v>
      </c>
      <c r="B493" s="74" t="str">
        <f>IFERROR(__xludf.DUMMYFUNCTION("""COMPUTED_VALUE"""),"18331A05F6")</f>
        <v>18331A05F6</v>
      </c>
      <c r="C493" s="90" t="str">
        <f>IFERROR(__xludf.DUMMYFUNCTION("""COMPUTED_VALUE"""),"C")</f>
        <v>C</v>
      </c>
      <c r="D493" s="74" t="str">
        <f>IFERROR(__xludf.DUMMYFUNCTION("""COMPUTED_VALUE"""),"Cisco")</f>
        <v>Cisco</v>
      </c>
      <c r="E493" s="74" t="str">
        <f>IFERROR(__xludf.DUMMYFUNCTION("""COMPUTED_VALUE"""),"6")</f>
        <v>6</v>
      </c>
      <c r="F493" s="91">
        <f>IFERROR(__xludf.DUMMYFUNCTION("""COMPUTED_VALUE"""),43498.0)</f>
        <v>43498</v>
      </c>
      <c r="G493" s="91">
        <f>IFERROR(__xludf.DUMMYFUNCTION("""COMPUTED_VALUE"""),43676.0)</f>
        <v>43676</v>
      </c>
      <c r="H493" s="79">
        <f>IFERROR(__xludf.DUMMYFUNCTION("""COMPUTED_VALUE"""),44681.0)</f>
        <v>44681</v>
      </c>
      <c r="I493" s="92">
        <f>IFERROR(__xludf.DUMMYFUNCTION("""COMPUTED_VALUE"""),90.0)</f>
        <v>90</v>
      </c>
      <c r="J493" s="74" t="str">
        <f>IFERROR(__xludf.DUMMYFUNCTION("""COMPUTED_VALUE"""),"DR RAVI KIRAN VARMA PENMATSA")</f>
        <v>DR RAVI KIRAN VARMA PENMATSA</v>
      </c>
      <c r="K493" s="80" t="str">
        <f>IFERROR(__xludf.DUMMYFUNCTION("""COMPUTED_VALUE"""),"https://drive.google.com/open?id=1KfBxR3zT_qNZ6b0gk50CYbmZIJNudz2s")</f>
        <v>https://drive.google.com/open?id=1KfBxR3zT_qNZ6b0gk50CYbmZIJNudz2s</v>
      </c>
      <c r="L493" s="74" t="str">
        <f>IFERROR(__xludf.DUMMYFUNCTION("""COMPUTED_VALUE"""),"2018-2022")</f>
        <v>2018-2022</v>
      </c>
      <c r="M493" s="74" t="str">
        <f>IFERROR(__xludf.DUMMYFUNCTION("""COMPUTED_VALUE"""),"S4: Student Certifications")</f>
        <v>S4: Student Certifications</v>
      </c>
      <c r="N493" s="74" t="str">
        <f>IFERROR(__xludf.DUMMYFUNCTION("""COMPUTED_VALUE"""),"tsksoni1@gmail.com")</f>
        <v>tsksoni1@gmail.com</v>
      </c>
      <c r="O493" s="74" t="str">
        <f>IFERROR(__xludf.DUMMYFUNCTION("""COMPUTED_VALUE"""),"SEM-2")</f>
        <v>SEM-2</v>
      </c>
      <c r="P493" s="74"/>
      <c r="Q493" s="74"/>
      <c r="R493" s="74"/>
      <c r="S493" s="74"/>
      <c r="T493" s="74"/>
      <c r="U493" s="74"/>
      <c r="V493" s="74"/>
      <c r="W493" s="74"/>
      <c r="X493" s="74"/>
      <c r="Y493" s="74"/>
    </row>
    <row r="494" ht="26.25" customHeight="1">
      <c r="A494" s="74" t="str">
        <f>IFERROR(__xludf.DUMMYFUNCTION("""COMPUTED_VALUE"""),"SRIHARI NAIDU POGIRI")</f>
        <v>SRIHARI NAIDU POGIRI</v>
      </c>
      <c r="B494" s="74" t="str">
        <f>IFERROR(__xludf.DUMMYFUNCTION("""COMPUTED_VALUE"""),"18331A05E6")</f>
        <v>18331A05E6</v>
      </c>
      <c r="C494" s="90" t="str">
        <f>IFERROR(__xludf.DUMMYFUNCTION("""COMPUTED_VALUE"""),"Programming essesntials in c")</f>
        <v>Programming essesntials in c</v>
      </c>
      <c r="D494" s="74" t="str">
        <f>IFERROR(__xludf.DUMMYFUNCTION("""COMPUTED_VALUE"""),"Cisco")</f>
        <v>Cisco</v>
      </c>
      <c r="E494" s="74" t="str">
        <f>IFERROR(__xludf.DUMMYFUNCTION("""COMPUTED_VALUE"""),"6 months")</f>
        <v>6 months</v>
      </c>
      <c r="F494" s="91">
        <f>IFERROR(__xludf.DUMMYFUNCTION("""COMPUTED_VALUE"""),43501.0)</f>
        <v>43501</v>
      </c>
      <c r="G494" s="91">
        <f>IFERROR(__xludf.DUMMYFUNCTION("""COMPUTED_VALUE"""),43655.0)</f>
        <v>43655</v>
      </c>
      <c r="H494" s="79">
        <f>IFERROR(__xludf.DUMMYFUNCTION("""COMPUTED_VALUE"""),43655.0)</f>
        <v>43655</v>
      </c>
      <c r="I494" s="92">
        <f>IFERROR(__xludf.DUMMYFUNCTION("""COMPUTED_VALUE"""),100.0)</f>
        <v>100</v>
      </c>
      <c r="J494" s="74" t="str">
        <f>IFERROR(__xludf.DUMMYFUNCTION("""COMPUTED_VALUE"""),"DR RAVI KIRAN VARMA PENMATSA")</f>
        <v>DR RAVI KIRAN VARMA PENMATSA</v>
      </c>
      <c r="K494" s="80" t="str">
        <f>IFERROR(__xludf.DUMMYFUNCTION("""COMPUTED_VALUE"""),"https://drive.google.com/open?id=1icNJAJuu3Wy4ss4bug7-BgODwv2t1xhH")</f>
        <v>https://drive.google.com/open?id=1icNJAJuu3Wy4ss4bug7-BgODwv2t1xhH</v>
      </c>
      <c r="L494" s="74" t="str">
        <f>IFERROR(__xludf.DUMMYFUNCTION("""COMPUTED_VALUE"""),"2018-2022")</f>
        <v>2018-2022</v>
      </c>
      <c r="M494" s="74" t="str">
        <f>IFERROR(__xludf.DUMMYFUNCTION("""COMPUTED_VALUE"""),"S4: Student Certifications")</f>
        <v>S4: Student Certifications</v>
      </c>
      <c r="N494" s="74" t="str">
        <f>IFERROR(__xludf.DUMMYFUNCTION("""COMPUTED_VALUE"""),"sriharismart0000@gmail.com")</f>
        <v>sriharismart0000@gmail.com</v>
      </c>
      <c r="O494" s="74" t="str">
        <f>IFERROR(__xludf.DUMMYFUNCTION("""COMPUTED_VALUE"""),"SEM-4")</f>
        <v>SEM-4</v>
      </c>
      <c r="P494" s="74"/>
      <c r="Q494" s="74"/>
      <c r="R494" s="74"/>
      <c r="S494" s="74"/>
      <c r="T494" s="74"/>
      <c r="U494" s="74"/>
      <c r="V494" s="74"/>
      <c r="W494" s="74"/>
      <c r="X494" s="74"/>
      <c r="Y494" s="74"/>
    </row>
    <row r="495" ht="26.25" customHeight="1">
      <c r="A495" s="74" t="str">
        <f>IFERROR(__xludf.DUMMYFUNCTION("""COMPUTED_VALUE"""),"Uday sai Kiran Abbiredddy")</f>
        <v>Uday sai Kiran Abbiredddy</v>
      </c>
      <c r="B495" s="74" t="str">
        <f>IFERROR(__xludf.DUMMYFUNCTION("""COMPUTED_VALUE"""),"18331A05G0")</f>
        <v>18331A05G0</v>
      </c>
      <c r="C495" s="90" t="str">
        <f>IFERROR(__xludf.DUMMYFUNCTION("""COMPUTED_VALUE"""),"Introduction to Networks")</f>
        <v>Introduction to Networks</v>
      </c>
      <c r="D495" s="74" t="str">
        <f>IFERROR(__xludf.DUMMYFUNCTION("""COMPUTED_VALUE"""),"CCNA")</f>
        <v>CCNA</v>
      </c>
      <c r="E495" s="74" t="str">
        <f>IFERROR(__xludf.DUMMYFUNCTION("""COMPUTED_VALUE"""),"1 month")</f>
        <v>1 month</v>
      </c>
      <c r="F495" s="91">
        <f>IFERROR(__xludf.DUMMYFUNCTION("""COMPUTED_VALUE"""),44348.0)</f>
        <v>44348</v>
      </c>
      <c r="G495" s="91">
        <f>IFERROR(__xludf.DUMMYFUNCTION("""COMPUTED_VALUE"""),44378.0)</f>
        <v>44378</v>
      </c>
      <c r="H495" s="79">
        <f>IFERROR(__xludf.DUMMYFUNCTION("""COMPUTED_VALUE"""),44378.0)</f>
        <v>44378</v>
      </c>
      <c r="I495" s="92">
        <f>IFERROR(__xludf.DUMMYFUNCTION("""COMPUTED_VALUE"""),0.95)</f>
        <v>0.95</v>
      </c>
      <c r="J495" s="74" t="str">
        <f>IFERROR(__xludf.DUMMYFUNCTION("""COMPUTED_VALUE"""),"Ravi Kiran Varma")</f>
        <v>Ravi Kiran Varma</v>
      </c>
      <c r="K495" s="80" t="str">
        <f>IFERROR(__xludf.DUMMYFUNCTION("""COMPUTED_VALUE"""),"https://drive.google.com/open?id=1BH-PRg3x3i8kT7ptfZj5TSMnBWA5QRY1")</f>
        <v>https://drive.google.com/open?id=1BH-PRg3x3i8kT7ptfZj5TSMnBWA5QRY1</v>
      </c>
      <c r="L495" s="74" t="str">
        <f>IFERROR(__xludf.DUMMYFUNCTION("""COMPUTED_VALUE"""),"2018-2022")</f>
        <v>2018-2022</v>
      </c>
      <c r="M495" s="74" t="str">
        <f>IFERROR(__xludf.DUMMYFUNCTION("""COMPUTED_VALUE"""),"S4: Student Certifications")</f>
        <v>S4: Student Certifications</v>
      </c>
      <c r="N495" s="74" t="str">
        <f>IFERROR(__xludf.DUMMYFUNCTION("""COMPUTED_VALUE"""),"abbireddy8300@gmail.com")</f>
        <v>abbireddy8300@gmail.com</v>
      </c>
      <c r="O495" s="74" t="str">
        <f>IFERROR(__xludf.DUMMYFUNCTION("""COMPUTED_VALUE"""),"SEM-1")</f>
        <v>SEM-1</v>
      </c>
      <c r="P495" s="74"/>
      <c r="Q495" s="74"/>
      <c r="R495" s="74"/>
      <c r="S495" s="74"/>
      <c r="T495" s="74"/>
      <c r="U495" s="74"/>
      <c r="V495" s="74"/>
      <c r="W495" s="74"/>
      <c r="X495" s="74"/>
      <c r="Y495" s="74"/>
    </row>
    <row r="496" ht="26.25" customHeight="1">
      <c r="A496" s="74" t="str">
        <f>IFERROR(__xludf.DUMMYFUNCTION("""COMPUTED_VALUE"""),"Thudumu Soni kumar")</f>
        <v>Thudumu Soni kumar</v>
      </c>
      <c r="B496" s="74" t="str">
        <f>IFERROR(__xludf.DUMMYFUNCTION("""COMPUTED_VALUE"""),"18331A05F6")</f>
        <v>18331A05F6</v>
      </c>
      <c r="C496" s="90" t="str">
        <f>IFERROR(__xludf.DUMMYFUNCTION("""COMPUTED_VALUE"""),"Cisco")</f>
        <v>Cisco</v>
      </c>
      <c r="D496" s="74" t="str">
        <f>IFERROR(__xludf.DUMMYFUNCTION("""COMPUTED_VALUE"""),"Cybersecurity ")</f>
        <v>Cybersecurity </v>
      </c>
      <c r="E496" s="74" t="str">
        <f>IFERROR(__xludf.DUMMYFUNCTION("""COMPUTED_VALUE"""),"6monrhs")</f>
        <v>6monrhs</v>
      </c>
      <c r="F496" s="91">
        <f>IFERROR(__xludf.DUMMYFUNCTION("""COMPUTED_VALUE"""),43573.0)</f>
        <v>43573</v>
      </c>
      <c r="G496" s="91">
        <f>IFERROR(__xludf.DUMMYFUNCTION("""COMPUTED_VALUE"""),43662.0)</f>
        <v>43662</v>
      </c>
      <c r="H496" s="79">
        <f>IFERROR(__xludf.DUMMYFUNCTION("""COMPUTED_VALUE"""),43665.0)</f>
        <v>43665</v>
      </c>
      <c r="I496" s="92">
        <f>IFERROR(__xludf.DUMMYFUNCTION("""COMPUTED_VALUE"""),90.0)</f>
        <v>90</v>
      </c>
      <c r="J496" s="74" t="str">
        <f>IFERROR(__xludf.DUMMYFUNCTION("""COMPUTED_VALUE"""),"DR RAVI KIRAN VARMA PENMATSA")</f>
        <v>DR RAVI KIRAN VARMA PENMATSA</v>
      </c>
      <c r="K496" s="80" t="str">
        <f>IFERROR(__xludf.DUMMYFUNCTION("""COMPUTED_VALUE"""),"https://drive.google.com/open?id=1h8NrepugU0ydNIsSDDJourgUc70hRnYH")</f>
        <v>https://drive.google.com/open?id=1h8NrepugU0ydNIsSDDJourgUc70hRnYH</v>
      </c>
      <c r="L496" s="74" t="str">
        <f>IFERROR(__xludf.DUMMYFUNCTION("""COMPUTED_VALUE"""),"2018-2022")</f>
        <v>2018-2022</v>
      </c>
      <c r="M496" s="74" t="str">
        <f>IFERROR(__xludf.DUMMYFUNCTION("""COMPUTED_VALUE"""),"S4: Student Certifications")</f>
        <v>S4: Student Certifications</v>
      </c>
      <c r="N496" s="74" t="str">
        <f>IFERROR(__xludf.DUMMYFUNCTION("""COMPUTED_VALUE"""),"tsksoni1@gmail.com")</f>
        <v>tsksoni1@gmail.com</v>
      </c>
      <c r="O496" s="74" t="str">
        <f>IFERROR(__xludf.DUMMYFUNCTION("""COMPUTED_VALUE"""),"SEM-2")</f>
        <v>SEM-2</v>
      </c>
      <c r="P496" s="74"/>
      <c r="Q496" s="74"/>
      <c r="R496" s="74"/>
      <c r="S496" s="74"/>
      <c r="T496" s="74"/>
      <c r="U496" s="74"/>
      <c r="V496" s="74"/>
      <c r="W496" s="74"/>
      <c r="X496" s="74"/>
      <c r="Y496" s="74"/>
    </row>
    <row r="497" ht="26.25" customHeight="1">
      <c r="A497" s="74" t="str">
        <f>IFERROR(__xludf.DUMMYFUNCTION("""COMPUTED_VALUE"""),"Uday sai kiran Abbireddy")</f>
        <v>Uday sai kiran Abbireddy</v>
      </c>
      <c r="B497" s="74" t="str">
        <f>IFERROR(__xludf.DUMMYFUNCTION("""COMPUTED_VALUE"""),"18331A05G0.")</f>
        <v>18331A05G0.</v>
      </c>
      <c r="C497" s="90" t="str">
        <f>IFERROR(__xludf.DUMMYFUNCTION("""COMPUTED_VALUE"""),"Programming Essentials in C")</f>
        <v>Programming Essentials in C</v>
      </c>
      <c r="D497" s="74" t="str">
        <f>IFERROR(__xludf.DUMMYFUNCTION("""COMPUTED_VALUE"""),"CCNA")</f>
        <v>CCNA</v>
      </c>
      <c r="E497" s="74" t="str">
        <f>IFERROR(__xludf.DUMMYFUNCTION("""COMPUTED_VALUE"""),"1 month")</f>
        <v>1 month</v>
      </c>
      <c r="F497" s="91">
        <f>IFERROR(__xludf.DUMMYFUNCTION("""COMPUTED_VALUE"""),43566.0)</f>
        <v>43566</v>
      </c>
      <c r="G497" s="91">
        <f>IFERROR(__xludf.DUMMYFUNCTION("""COMPUTED_VALUE"""),43585.0)</f>
        <v>43585</v>
      </c>
      <c r="H497" s="79">
        <f>IFERROR(__xludf.DUMMYFUNCTION("""COMPUTED_VALUE"""),43585.0)</f>
        <v>43585</v>
      </c>
      <c r="I497" s="92">
        <f>IFERROR(__xludf.DUMMYFUNCTION("""COMPUTED_VALUE"""),100.0)</f>
        <v>100</v>
      </c>
      <c r="J497" s="74" t="str">
        <f>IFERROR(__xludf.DUMMYFUNCTION("""COMPUTED_VALUE"""),"Ravi Kiran Varma")</f>
        <v>Ravi Kiran Varma</v>
      </c>
      <c r="K497" s="80" t="str">
        <f>IFERROR(__xludf.DUMMYFUNCTION("""COMPUTED_VALUE"""),"https://drive.google.com/open?id=1Xf4evwkfBW0R1l-NdlxYWV8qBgHehXF5")</f>
        <v>https://drive.google.com/open?id=1Xf4evwkfBW0R1l-NdlxYWV8qBgHehXF5</v>
      </c>
      <c r="L497" s="74" t="str">
        <f>IFERROR(__xludf.DUMMYFUNCTION("""COMPUTED_VALUE"""),"2018-2022")</f>
        <v>2018-2022</v>
      </c>
      <c r="M497" s="74" t="str">
        <f>IFERROR(__xludf.DUMMYFUNCTION("""COMPUTED_VALUE"""),"S4: Student Certifications")</f>
        <v>S4: Student Certifications</v>
      </c>
      <c r="N497" s="74" t="str">
        <f>IFERROR(__xludf.DUMMYFUNCTION("""COMPUTED_VALUE"""),"abbireddy8300@gmail.com")</f>
        <v>abbireddy8300@gmail.com</v>
      </c>
      <c r="O497" s="74" t="str">
        <f>IFERROR(__xludf.DUMMYFUNCTION("""COMPUTED_VALUE"""),"SEM-1")</f>
        <v>SEM-1</v>
      </c>
      <c r="P497" s="74"/>
      <c r="Q497" s="74"/>
      <c r="R497" s="74"/>
      <c r="S497" s="74"/>
      <c r="T497" s="74"/>
      <c r="U497" s="74"/>
      <c r="V497" s="74"/>
      <c r="W497" s="74"/>
      <c r="X497" s="74"/>
      <c r="Y497" s="74"/>
    </row>
    <row r="498" ht="26.25" customHeight="1">
      <c r="A498" s="74" t="str">
        <f>IFERROR(__xludf.DUMMYFUNCTION("""COMPUTED_VALUE"""),"SRIHARI NAIDU POGIRI")</f>
        <v>SRIHARI NAIDU POGIRI</v>
      </c>
      <c r="B498" s="74" t="str">
        <f>IFERROR(__xludf.DUMMYFUNCTION("""COMPUTED_VALUE"""),"18331A05E6")</f>
        <v>18331A05E6</v>
      </c>
      <c r="C498" s="90" t="str">
        <f>IFERROR(__xludf.DUMMYFUNCTION("""COMPUTED_VALUE"""),"CYBER SECURITY ESSENTIALS")</f>
        <v>CYBER SECURITY ESSENTIALS</v>
      </c>
      <c r="D498" s="74" t="str">
        <f>IFERROR(__xludf.DUMMYFUNCTION("""COMPUTED_VALUE"""),"CISCO")</f>
        <v>CISCO</v>
      </c>
      <c r="E498" s="74" t="str">
        <f>IFERROR(__xludf.DUMMYFUNCTION("""COMPUTED_VALUE"""),"6 months")</f>
        <v>6 months</v>
      </c>
      <c r="F498" s="91">
        <f>IFERROR(__xludf.DUMMYFUNCTION("""COMPUTED_VALUE"""),43501.0)</f>
        <v>43501</v>
      </c>
      <c r="G498" s="91">
        <f>IFERROR(__xludf.DUMMYFUNCTION("""COMPUTED_VALUE"""),43676.0)</f>
        <v>43676</v>
      </c>
      <c r="H498" s="79">
        <f>IFERROR(__xludf.DUMMYFUNCTION("""COMPUTED_VALUE"""),43676.0)</f>
        <v>43676</v>
      </c>
      <c r="I498" s="92">
        <f>IFERROR(__xludf.DUMMYFUNCTION("""COMPUTED_VALUE"""),100.0)</f>
        <v>100</v>
      </c>
      <c r="J498" s="74" t="str">
        <f>IFERROR(__xludf.DUMMYFUNCTION("""COMPUTED_VALUE"""),"DR RAVI KIRAN VARMA PENMATSA")</f>
        <v>DR RAVI KIRAN VARMA PENMATSA</v>
      </c>
      <c r="K498" s="80" t="str">
        <f>IFERROR(__xludf.DUMMYFUNCTION("""COMPUTED_VALUE"""),"https://drive.google.com/open?id=17tn4juU4_DUYU4WxjeD0_gQdnDwsFK4O")</f>
        <v>https://drive.google.com/open?id=17tn4juU4_DUYU4WxjeD0_gQdnDwsFK4O</v>
      </c>
      <c r="L498" s="74" t="str">
        <f>IFERROR(__xludf.DUMMYFUNCTION("""COMPUTED_VALUE"""),"2018-2022")</f>
        <v>2018-2022</v>
      </c>
      <c r="M498" s="74" t="str">
        <f>IFERROR(__xludf.DUMMYFUNCTION("""COMPUTED_VALUE"""),"S4: Student Certifications")</f>
        <v>S4: Student Certifications</v>
      </c>
      <c r="N498" s="74" t="str">
        <f>IFERROR(__xludf.DUMMYFUNCTION("""COMPUTED_VALUE"""),"sriharismart0000@gmail.com")</f>
        <v>sriharismart0000@gmail.com</v>
      </c>
      <c r="O498" s="74" t="str">
        <f>IFERROR(__xludf.DUMMYFUNCTION("""COMPUTED_VALUE"""),"SEM-2")</f>
        <v>SEM-2</v>
      </c>
      <c r="P498" s="74"/>
      <c r="Q498" s="74"/>
      <c r="R498" s="74"/>
      <c r="S498" s="74"/>
      <c r="T498" s="74"/>
      <c r="U498" s="74"/>
      <c r="V498" s="74"/>
      <c r="W498" s="74"/>
      <c r="X498" s="74"/>
      <c r="Y498" s="74"/>
    </row>
    <row r="499" ht="26.25" customHeight="1">
      <c r="A499" s="74" t="str">
        <f>IFERROR(__xludf.DUMMYFUNCTION("""COMPUTED_VALUE"""),"MOYYA VENKATESWARA NAIDU")</f>
        <v>MOYYA VENKATESWARA NAIDU</v>
      </c>
      <c r="B499" s="74" t="str">
        <f>IFERROR(__xludf.DUMMYFUNCTION("""COMPUTED_VALUE"""),"20331A05B5")</f>
        <v>20331A05B5</v>
      </c>
      <c r="C499" s="90" t="str">
        <f>IFERROR(__xludf.DUMMYFUNCTION("""COMPUTED_VALUE"""),"It Essentials")</f>
        <v>It Essentials</v>
      </c>
      <c r="D499" s="74" t="str">
        <f>IFERROR(__xludf.DUMMYFUNCTION("""COMPUTED_VALUE"""),"Cisco")</f>
        <v>Cisco</v>
      </c>
      <c r="E499" s="74" t="str">
        <f>IFERROR(__xludf.DUMMYFUNCTION("""COMPUTED_VALUE"""),"2 months")</f>
        <v>2 months</v>
      </c>
      <c r="F499" s="91">
        <f>IFERROR(__xludf.DUMMYFUNCTION("""COMPUTED_VALUE"""),44378.0)</f>
        <v>44378</v>
      </c>
      <c r="G499" s="91">
        <f>IFERROR(__xludf.DUMMYFUNCTION("""COMPUTED_VALUE"""),44469.0)</f>
        <v>44469</v>
      </c>
      <c r="H499" s="79">
        <f>IFERROR(__xludf.DUMMYFUNCTION("""COMPUTED_VALUE"""),44464.0)</f>
        <v>44464</v>
      </c>
      <c r="I499" s="92">
        <f>IFERROR(__xludf.DUMMYFUNCTION("""COMPUTED_VALUE"""),96.0)</f>
        <v>96</v>
      </c>
      <c r="J499" s="74" t="str">
        <f>IFERROR(__xludf.DUMMYFUNCTION("""COMPUTED_VALUE"""),"K Subba Raju")</f>
        <v>K Subba Raju</v>
      </c>
      <c r="K499" s="80" t="str">
        <f>IFERROR(__xludf.DUMMYFUNCTION("""COMPUTED_VALUE"""),"https://drive.google.com/open?id=1zIvJBF_xQ5S9qMEkM3UqEPmg3JTGPRFk")</f>
        <v>https://drive.google.com/open?id=1zIvJBF_xQ5S9qMEkM3UqEPmg3JTGPRFk</v>
      </c>
      <c r="L499" s="74" t="str">
        <f>IFERROR(__xludf.DUMMYFUNCTION("""COMPUTED_VALUE"""),"2020-2024")</f>
        <v>2020-2024</v>
      </c>
      <c r="M499" s="74" t="str">
        <f>IFERROR(__xludf.DUMMYFUNCTION("""COMPUTED_VALUE"""),"S4: Student Certifications")</f>
        <v>S4: Student Certifications</v>
      </c>
      <c r="N499" s="74" t="str">
        <f>IFERROR(__xludf.DUMMYFUNCTION("""COMPUTED_VALUE"""),"venkateswaranaidumoyya@gmail.com")</f>
        <v>venkateswaranaidumoyya@gmail.com</v>
      </c>
      <c r="O499" s="74" t="str">
        <f>IFERROR(__xludf.DUMMYFUNCTION("""COMPUTED_VALUE"""),"SEM-4")</f>
        <v>SEM-4</v>
      </c>
      <c r="P499" s="74"/>
      <c r="Q499" s="74"/>
      <c r="R499" s="74"/>
      <c r="S499" s="74"/>
      <c r="T499" s="74"/>
      <c r="U499" s="74"/>
      <c r="V499" s="74"/>
      <c r="W499" s="74"/>
      <c r="X499" s="74"/>
      <c r="Y499" s="74"/>
    </row>
    <row r="500" ht="26.25" customHeight="1">
      <c r="A500" s="74" t="str">
        <f>IFERROR(__xludf.DUMMYFUNCTION("""COMPUTED_VALUE"""),"Uday sai Kiran Abbireddy")</f>
        <v>Uday sai Kiran Abbireddy</v>
      </c>
      <c r="B500" s="74" t="str">
        <f>IFERROR(__xludf.DUMMYFUNCTION("""COMPUTED_VALUE"""),"18331A05G0")</f>
        <v>18331A05G0</v>
      </c>
      <c r="C500" s="90" t="str">
        <f>IFERROR(__xludf.DUMMYFUNCTION("""COMPUTED_VALUE"""),"Cyber Security Essentials")</f>
        <v>Cyber Security Essentials</v>
      </c>
      <c r="D500" s="74" t="str">
        <f>IFERROR(__xludf.DUMMYFUNCTION("""COMPUTED_VALUE"""),"Cisco")</f>
        <v>Cisco</v>
      </c>
      <c r="E500" s="74" t="str">
        <f>IFERROR(__xludf.DUMMYFUNCTION("""COMPUTED_VALUE"""),"1 Month")</f>
        <v>1 Month</v>
      </c>
      <c r="F500" s="91">
        <f>IFERROR(__xludf.DUMMYFUNCTION("""COMPUTED_VALUE"""),43641.0)</f>
        <v>43641</v>
      </c>
      <c r="G500" s="91">
        <f>IFERROR(__xludf.DUMMYFUNCTION("""COMPUTED_VALUE"""),43676.0)</f>
        <v>43676</v>
      </c>
      <c r="H500" s="79">
        <f>IFERROR(__xludf.DUMMYFUNCTION("""COMPUTED_VALUE"""),43676.0)</f>
        <v>43676</v>
      </c>
      <c r="I500" s="92">
        <f>IFERROR(__xludf.DUMMYFUNCTION("""COMPUTED_VALUE"""),95.0)</f>
        <v>95</v>
      </c>
      <c r="J500" s="74" t="str">
        <f>IFERROR(__xludf.DUMMYFUNCTION("""COMPUTED_VALUE"""),"Ravi Kiran Varma")</f>
        <v>Ravi Kiran Varma</v>
      </c>
      <c r="K500" s="80" t="str">
        <f>IFERROR(__xludf.DUMMYFUNCTION("""COMPUTED_VALUE"""),"https://drive.google.com/open?id=1Ug5t3VNci3uyoMfvLwu4DoJcudtXmz6n")</f>
        <v>https://drive.google.com/open?id=1Ug5t3VNci3uyoMfvLwu4DoJcudtXmz6n</v>
      </c>
      <c r="L500" s="74" t="str">
        <f>IFERROR(__xludf.DUMMYFUNCTION("""COMPUTED_VALUE"""),"2018-2022")</f>
        <v>2018-2022</v>
      </c>
      <c r="M500" s="74" t="str">
        <f>IFERROR(__xludf.DUMMYFUNCTION("""COMPUTED_VALUE"""),"S4: Student Certifications")</f>
        <v>S4: Student Certifications</v>
      </c>
      <c r="N500" s="74" t="str">
        <f>IFERROR(__xludf.DUMMYFUNCTION("""COMPUTED_VALUE"""),"abbireddy8300@gmail.com")</f>
        <v>abbireddy8300@gmail.com</v>
      </c>
      <c r="O500" s="74" t="str">
        <f>IFERROR(__xludf.DUMMYFUNCTION("""COMPUTED_VALUE"""),"SEM-4")</f>
        <v>SEM-4</v>
      </c>
      <c r="P500" s="74"/>
      <c r="Q500" s="74"/>
      <c r="R500" s="74"/>
      <c r="S500" s="74"/>
      <c r="T500" s="74"/>
      <c r="U500" s="74"/>
      <c r="V500" s="74"/>
      <c r="W500" s="74"/>
      <c r="X500" s="74"/>
      <c r="Y500" s="74"/>
    </row>
    <row r="501" ht="26.25" customHeight="1">
      <c r="A501" s="74" t="str">
        <f>IFERROR(__xludf.DUMMYFUNCTION("""COMPUTED_VALUE"""),"SRIHARI NAIDU POGIRI")</f>
        <v>SRIHARI NAIDU POGIRI</v>
      </c>
      <c r="B501" s="74" t="str">
        <f>IFERROR(__xludf.DUMMYFUNCTION("""COMPUTED_VALUE"""),"18331A05E6")</f>
        <v>18331A05E6</v>
      </c>
      <c r="C501" s="90" t="str">
        <f>IFERROR(__xludf.DUMMYFUNCTION("""COMPUTED_VALUE"""),"PROGRAMMING ESSESNTIALS IN PYTHON")</f>
        <v>PROGRAMMING ESSESNTIALS IN PYTHON</v>
      </c>
      <c r="D501" s="74" t="str">
        <f>IFERROR(__xludf.DUMMYFUNCTION("""COMPUTED_VALUE"""),"CISCO")</f>
        <v>CISCO</v>
      </c>
      <c r="E501" s="74" t="str">
        <f>IFERROR(__xludf.DUMMYFUNCTION("""COMPUTED_VALUE"""),"3months")</f>
        <v>3months</v>
      </c>
      <c r="F501" s="91">
        <f>IFERROR(__xludf.DUMMYFUNCTION("""COMPUTED_VALUE"""),44321.0)</f>
        <v>44321</v>
      </c>
      <c r="G501" s="91">
        <f>IFERROR(__xludf.DUMMYFUNCTION("""COMPUTED_VALUE"""),44387.0)</f>
        <v>44387</v>
      </c>
      <c r="H501" s="79">
        <f>IFERROR(__xludf.DUMMYFUNCTION("""COMPUTED_VALUE"""),44380.0)</f>
        <v>44380</v>
      </c>
      <c r="I501" s="92">
        <f>IFERROR(__xludf.DUMMYFUNCTION("""COMPUTED_VALUE"""),100.0)</f>
        <v>100</v>
      </c>
      <c r="J501" s="74" t="str">
        <f>IFERROR(__xludf.DUMMYFUNCTION("""COMPUTED_VALUE"""),"DR RAVI KIRAN VARMA PENMATSA")</f>
        <v>DR RAVI KIRAN VARMA PENMATSA</v>
      </c>
      <c r="K501" s="80" t="str">
        <f>IFERROR(__xludf.DUMMYFUNCTION("""COMPUTED_VALUE"""),"https://drive.google.com/open?id=1tZvwC6rzsQDCj5lbFaKWVh3P1rWKOafa")</f>
        <v>https://drive.google.com/open?id=1tZvwC6rzsQDCj5lbFaKWVh3P1rWKOafa</v>
      </c>
      <c r="L501" s="74" t="str">
        <f>IFERROR(__xludf.DUMMYFUNCTION("""COMPUTED_VALUE"""),"2018-2022")</f>
        <v>2018-2022</v>
      </c>
      <c r="M501" s="74" t="str">
        <f>IFERROR(__xludf.DUMMYFUNCTION("""COMPUTED_VALUE"""),"S4: Student Certifications")</f>
        <v>S4: Student Certifications</v>
      </c>
      <c r="N501" s="74" t="str">
        <f>IFERROR(__xludf.DUMMYFUNCTION("""COMPUTED_VALUE"""),"sriharismart0000@gmail.com")</f>
        <v>sriharismart0000@gmail.com</v>
      </c>
      <c r="O501" s="74" t="str">
        <f>IFERROR(__xludf.DUMMYFUNCTION("""COMPUTED_VALUE"""),"SEM-5")</f>
        <v>SEM-5</v>
      </c>
      <c r="P501" s="74"/>
      <c r="Q501" s="74"/>
      <c r="R501" s="74"/>
      <c r="S501" s="74"/>
      <c r="T501" s="74"/>
      <c r="U501" s="74"/>
      <c r="V501" s="74"/>
      <c r="W501" s="74"/>
      <c r="X501" s="74"/>
      <c r="Y501" s="74"/>
    </row>
    <row r="502" ht="26.25" customHeight="1">
      <c r="A502" s="74" t="str">
        <f>IFERROR(__xludf.DUMMYFUNCTION("""COMPUTED_VALUE"""),"Uday sai kiran Abbireddy")</f>
        <v>Uday sai kiran Abbireddy</v>
      </c>
      <c r="B502" s="74" t="str">
        <f>IFERROR(__xludf.DUMMYFUNCTION("""COMPUTED_VALUE"""),"18331A05G0")</f>
        <v>18331A05G0</v>
      </c>
      <c r="C502" s="90" t="str">
        <f>IFERROR(__xludf.DUMMYFUNCTION("""COMPUTED_VALUE"""),"Switching, Routing, and Wireless Networks")</f>
        <v>Switching, Routing, and Wireless Networks</v>
      </c>
      <c r="D502" s="74" t="str">
        <f>IFERROR(__xludf.DUMMYFUNCTION("""COMPUTED_VALUE"""),"Cisco")</f>
        <v>Cisco</v>
      </c>
      <c r="E502" s="74" t="str">
        <f>IFERROR(__xludf.DUMMYFUNCTION("""COMPUTED_VALUE"""),"1 month")</f>
        <v>1 month</v>
      </c>
      <c r="F502" s="91">
        <f>IFERROR(__xludf.DUMMYFUNCTION("""COMPUTED_VALUE"""),43955.0)</f>
        <v>43955</v>
      </c>
      <c r="G502" s="91">
        <f>IFERROR(__xludf.DUMMYFUNCTION("""COMPUTED_VALUE"""),43990.0)</f>
        <v>43990</v>
      </c>
      <c r="H502" s="79">
        <f>IFERROR(__xludf.DUMMYFUNCTION("""COMPUTED_VALUE"""),43990.0)</f>
        <v>43990</v>
      </c>
      <c r="I502" s="92">
        <f>IFERROR(__xludf.DUMMYFUNCTION("""COMPUTED_VALUE"""),100.0)</f>
        <v>100</v>
      </c>
      <c r="J502" s="74" t="str">
        <f>IFERROR(__xludf.DUMMYFUNCTION("""COMPUTED_VALUE"""),"Ravi Kiran Varma Penmatsa")</f>
        <v>Ravi Kiran Varma Penmatsa</v>
      </c>
      <c r="K502" s="80" t="str">
        <f>IFERROR(__xludf.DUMMYFUNCTION("""COMPUTED_VALUE"""),"https://drive.google.com/open?id=1GUXYnrxGrBjKWI0LoOXMDiraPHF9jeui")</f>
        <v>https://drive.google.com/open?id=1GUXYnrxGrBjKWI0LoOXMDiraPHF9jeui</v>
      </c>
      <c r="L502" s="74" t="str">
        <f>IFERROR(__xludf.DUMMYFUNCTION("""COMPUTED_VALUE"""),"2018-2022")</f>
        <v>2018-2022</v>
      </c>
      <c r="M502" s="74" t="str">
        <f>IFERROR(__xludf.DUMMYFUNCTION("""COMPUTED_VALUE"""),"S4: Student Certifications")</f>
        <v>S4: Student Certifications</v>
      </c>
      <c r="N502" s="74" t="str">
        <f>IFERROR(__xludf.DUMMYFUNCTION("""COMPUTED_VALUE"""),"abbireddy8300@gmail.com")</f>
        <v>abbireddy8300@gmail.com</v>
      </c>
      <c r="O502" s="74" t="str">
        <f>IFERROR(__xludf.DUMMYFUNCTION("""COMPUTED_VALUE"""),"SEM-5")</f>
        <v>SEM-5</v>
      </c>
      <c r="P502" s="74"/>
      <c r="Q502" s="74"/>
      <c r="R502" s="74"/>
      <c r="S502" s="74"/>
      <c r="T502" s="74"/>
      <c r="U502" s="74"/>
      <c r="V502" s="74"/>
      <c r="W502" s="74"/>
      <c r="X502" s="74"/>
      <c r="Y502" s="74"/>
    </row>
    <row r="503" ht="26.25" customHeight="1">
      <c r="A503" s="74" t="str">
        <f>IFERROR(__xludf.DUMMYFUNCTION("""COMPUTED_VALUE"""),"Uday sai kiran Abbireddy")</f>
        <v>Uday sai kiran Abbireddy</v>
      </c>
      <c r="B503" s="74" t="str">
        <f>IFERROR(__xludf.DUMMYFUNCTION("""COMPUTED_VALUE"""),"18331A05G0")</f>
        <v>18331A05G0</v>
      </c>
      <c r="C503" s="90" t="str">
        <f>IFERROR(__xludf.DUMMYFUNCTION("""COMPUTED_VALUE"""),"Enterprise Networking, Security, And Automation.")</f>
        <v>Enterprise Networking, Security, And Automation.</v>
      </c>
      <c r="D503" s="74" t="str">
        <f>IFERROR(__xludf.DUMMYFUNCTION("""COMPUTED_VALUE"""),"Cisco")</f>
        <v>Cisco</v>
      </c>
      <c r="E503" s="74" t="str">
        <f>IFERROR(__xludf.DUMMYFUNCTION("""COMPUTED_VALUE"""),"1 month")</f>
        <v>1 month</v>
      </c>
      <c r="F503" s="91">
        <f>IFERROR(__xludf.DUMMYFUNCTION("""COMPUTED_VALUE"""),43986.0)</f>
        <v>43986</v>
      </c>
      <c r="G503" s="91">
        <f>IFERROR(__xludf.DUMMYFUNCTION("""COMPUTED_VALUE"""),44024.0)</f>
        <v>44024</v>
      </c>
      <c r="H503" s="79">
        <f>IFERROR(__xludf.DUMMYFUNCTION("""COMPUTED_VALUE"""),44024.0)</f>
        <v>44024</v>
      </c>
      <c r="I503" s="92">
        <f>IFERROR(__xludf.DUMMYFUNCTION("""COMPUTED_VALUE"""),90.0)</f>
        <v>90</v>
      </c>
      <c r="J503" s="74" t="str">
        <f>IFERROR(__xludf.DUMMYFUNCTION("""COMPUTED_VALUE"""),"Ravi Kiran Varma Penmatsa")</f>
        <v>Ravi Kiran Varma Penmatsa</v>
      </c>
      <c r="K503" s="80" t="str">
        <f>IFERROR(__xludf.DUMMYFUNCTION("""COMPUTED_VALUE"""),"https://drive.google.com/open?id=1cxSMeC_FJlUsEbswkGYBB-f3dR41ySBU")</f>
        <v>https://drive.google.com/open?id=1cxSMeC_FJlUsEbswkGYBB-f3dR41ySBU</v>
      </c>
      <c r="L503" s="74" t="str">
        <f>IFERROR(__xludf.DUMMYFUNCTION("""COMPUTED_VALUE"""),"2018-2022")</f>
        <v>2018-2022</v>
      </c>
      <c r="M503" s="74" t="str">
        <f>IFERROR(__xludf.DUMMYFUNCTION("""COMPUTED_VALUE"""),"S4: Student Certifications")</f>
        <v>S4: Student Certifications</v>
      </c>
      <c r="N503" s="74" t="str">
        <f>IFERROR(__xludf.DUMMYFUNCTION("""COMPUTED_VALUE"""),"abbireddy8300@gmail.com")</f>
        <v>abbireddy8300@gmail.com</v>
      </c>
      <c r="O503" s="74" t="str">
        <f>IFERROR(__xludf.DUMMYFUNCTION("""COMPUTED_VALUE"""),"SEM-5")</f>
        <v>SEM-5</v>
      </c>
      <c r="P503" s="74"/>
      <c r="Q503" s="74"/>
      <c r="R503" s="74"/>
      <c r="S503" s="74"/>
      <c r="T503" s="74"/>
      <c r="U503" s="74"/>
      <c r="V503" s="74"/>
      <c r="W503" s="74"/>
      <c r="X503" s="74"/>
      <c r="Y503" s="74"/>
    </row>
    <row r="504" ht="26.25" customHeight="1">
      <c r="A504" s="102" t="str">
        <f>IFERROR(__xludf.DUMMYFUNCTION("""COMPUTED_VALUE"""),"MOYYA VENKATESWARA NAIDU")</f>
        <v>MOYYA VENKATESWARA NAIDU</v>
      </c>
      <c r="B504" s="102" t="str">
        <f>IFERROR(__xludf.DUMMYFUNCTION("""COMPUTED_VALUE"""),"20331A05B5")</f>
        <v>20331A05B5</v>
      </c>
      <c r="C504" s="103" t="str">
        <f>IFERROR(__xludf.DUMMYFUNCTION("""COMPUTED_VALUE"""),"NGD Linux Essentials")</f>
        <v>NGD Linux Essentials</v>
      </c>
      <c r="D504" s="102" t="str">
        <f>IFERROR(__xludf.DUMMYFUNCTION("""COMPUTED_VALUE"""),"Cisco")</f>
        <v>Cisco</v>
      </c>
      <c r="E504" s="102" t="str">
        <f>IFERROR(__xludf.DUMMYFUNCTION("""COMPUTED_VALUE"""),"2 months")</f>
        <v>2 months</v>
      </c>
      <c r="F504" s="104">
        <f>IFERROR(__xludf.DUMMYFUNCTION("""COMPUTED_VALUE"""),44470.0)</f>
        <v>44470</v>
      </c>
      <c r="G504" s="104">
        <f>IFERROR(__xludf.DUMMYFUNCTION("""COMPUTED_VALUE"""),44561.0)</f>
        <v>44561</v>
      </c>
      <c r="H504" s="105">
        <f>IFERROR(__xludf.DUMMYFUNCTION("""COMPUTED_VALUE"""),44556.0)</f>
        <v>44556</v>
      </c>
      <c r="I504" s="106">
        <f>IFERROR(__xludf.DUMMYFUNCTION("""COMPUTED_VALUE"""),97.0)</f>
        <v>97</v>
      </c>
      <c r="J504" s="102" t="str">
        <f>IFERROR(__xludf.DUMMYFUNCTION("""COMPUTED_VALUE"""),"K Subba Raju")</f>
        <v>K Subba Raju</v>
      </c>
      <c r="K504" s="107" t="str">
        <f>IFERROR(__xludf.DUMMYFUNCTION("""COMPUTED_VALUE"""),"https://drive.google.com/open?id=1RKfLsFt74vnUJHLq7UFknSc1hSnykayV")</f>
        <v>https://drive.google.com/open?id=1RKfLsFt74vnUJHLq7UFknSc1hSnykayV</v>
      </c>
      <c r="L504" s="102" t="str">
        <f>IFERROR(__xludf.DUMMYFUNCTION("""COMPUTED_VALUE"""),"2020-2024")</f>
        <v>2020-2024</v>
      </c>
      <c r="M504" s="102" t="str">
        <f>IFERROR(__xludf.DUMMYFUNCTION("""COMPUTED_VALUE"""),"S4: Student Certifications")</f>
        <v>S4: Student Certifications</v>
      </c>
      <c r="N504" s="102" t="str">
        <f>IFERROR(__xludf.DUMMYFUNCTION("""COMPUTED_VALUE"""),"venkateswaranaidumoyya@gmail.com")</f>
        <v>venkateswaranaidumoyya@gmail.com</v>
      </c>
      <c r="O504" s="102" t="str">
        <f>IFERROR(__xludf.DUMMYFUNCTION("""COMPUTED_VALUE"""),"SEM-4")</f>
        <v>SEM-4</v>
      </c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</row>
    <row r="505" ht="26.25" customHeight="1">
      <c r="A505" s="74" t="str">
        <f>IFERROR(__xludf.DUMMYFUNCTION("""COMPUTED_VALUE"""),"Uday sai Kiran Abbireddy")</f>
        <v>Uday sai Kiran Abbireddy</v>
      </c>
      <c r="B505" s="74" t="str">
        <f>IFERROR(__xludf.DUMMYFUNCTION("""COMPUTED_VALUE"""),"18331A05G0")</f>
        <v>18331A05G0</v>
      </c>
      <c r="C505" s="90" t="str">
        <f>IFERROR(__xludf.DUMMYFUNCTION("""COMPUTED_VALUE"""),"Programming Essentials in Python")</f>
        <v>Programming Essentials in Python</v>
      </c>
      <c r="D505" s="74" t="str">
        <f>IFERROR(__xludf.DUMMYFUNCTION("""COMPUTED_VALUE"""),"Cisco")</f>
        <v>Cisco</v>
      </c>
      <c r="E505" s="74" t="str">
        <f>IFERROR(__xludf.DUMMYFUNCTION("""COMPUTED_VALUE"""),"1 month")</f>
        <v>1 month</v>
      </c>
      <c r="F505" s="91">
        <f>IFERROR(__xludf.DUMMYFUNCTION("""COMPUTED_VALUE"""),43901.0)</f>
        <v>43901</v>
      </c>
      <c r="G505" s="91">
        <f>IFERROR(__xludf.DUMMYFUNCTION("""COMPUTED_VALUE"""),43946.0)</f>
        <v>43946</v>
      </c>
      <c r="H505" s="79">
        <f>IFERROR(__xludf.DUMMYFUNCTION("""COMPUTED_VALUE"""),43946.0)</f>
        <v>43946</v>
      </c>
      <c r="I505" s="92">
        <f>IFERROR(__xludf.DUMMYFUNCTION("""COMPUTED_VALUE"""),95.0)</f>
        <v>95</v>
      </c>
      <c r="J505" s="74" t="str">
        <f>IFERROR(__xludf.DUMMYFUNCTION("""COMPUTED_VALUE"""),"Ravi Kiran Varma Penmatsa")</f>
        <v>Ravi Kiran Varma Penmatsa</v>
      </c>
      <c r="K505" s="80" t="str">
        <f>IFERROR(__xludf.DUMMYFUNCTION("""COMPUTED_VALUE"""),"https://drive.google.com/open?id=1cSM7x8o4W_E3LFnpiS_Jm2WLq9tnhRZ2")</f>
        <v>https://drive.google.com/open?id=1cSM7x8o4W_E3LFnpiS_Jm2WLq9tnhRZ2</v>
      </c>
      <c r="L505" s="74" t="str">
        <f>IFERROR(__xludf.DUMMYFUNCTION("""COMPUTED_VALUE"""),"2018-2022")</f>
        <v>2018-2022</v>
      </c>
      <c r="M505" s="74" t="str">
        <f>IFERROR(__xludf.DUMMYFUNCTION("""COMPUTED_VALUE"""),"S4: Student Certifications")</f>
        <v>S4: Student Certifications</v>
      </c>
      <c r="N505" s="74" t="str">
        <f>IFERROR(__xludf.DUMMYFUNCTION("""COMPUTED_VALUE"""),"abbireddy8300@gmail.com")</f>
        <v>abbireddy8300@gmail.com</v>
      </c>
      <c r="O505" s="74" t="str">
        <f>IFERROR(__xludf.DUMMYFUNCTION("""COMPUTED_VALUE"""),"SEM-6")</f>
        <v>SEM-6</v>
      </c>
      <c r="P505" s="74"/>
      <c r="Q505" s="74"/>
      <c r="R505" s="74"/>
      <c r="S505" s="74"/>
      <c r="T505" s="74"/>
      <c r="U505" s="74"/>
      <c r="V505" s="74"/>
      <c r="W505" s="74"/>
      <c r="X505" s="74"/>
      <c r="Y505" s="74"/>
    </row>
    <row r="506" ht="26.25" customHeight="1">
      <c r="A506" s="74" t="str">
        <f>IFERROR(__xludf.DUMMYFUNCTION("""COMPUTED_VALUE"""),"Uday saoi kiran Abbireddy")</f>
        <v>Uday saoi kiran Abbireddy</v>
      </c>
      <c r="B506" s="74" t="str">
        <f>IFERROR(__xludf.DUMMYFUNCTION("""COMPUTED_VALUE"""),"18331A05G0")</f>
        <v>18331A05G0</v>
      </c>
      <c r="C506" s="90" t="str">
        <f>IFERROR(__xludf.DUMMYFUNCTION("""COMPUTED_VALUE"""),"AWS Cloud Virtual Internship")</f>
        <v>AWS Cloud Virtual Internship</v>
      </c>
      <c r="D506" s="74" t="str">
        <f>IFERROR(__xludf.DUMMYFUNCTION("""COMPUTED_VALUE"""),"AICTE")</f>
        <v>AICTE</v>
      </c>
      <c r="E506" s="74" t="str">
        <f>IFERROR(__xludf.DUMMYFUNCTION("""COMPUTED_VALUE"""),"10 weeks")</f>
        <v>10 weeks</v>
      </c>
      <c r="F506" s="91">
        <f>IFERROR(__xludf.DUMMYFUNCTION("""COMPUTED_VALUE"""),44481.0)</f>
        <v>44481</v>
      </c>
      <c r="G506" s="91">
        <f>IFERROR(__xludf.DUMMYFUNCTION("""COMPUTED_VALUE"""),44541.0)</f>
        <v>44541</v>
      </c>
      <c r="H506" s="79">
        <f>IFERROR(__xludf.DUMMYFUNCTION("""COMPUTED_VALUE"""),44266.0)</f>
        <v>44266</v>
      </c>
      <c r="I506" s="92">
        <f>IFERROR(__xludf.DUMMYFUNCTION("""COMPUTED_VALUE"""),100.0)</f>
        <v>100</v>
      </c>
      <c r="J506" s="74" t="str">
        <f>IFERROR(__xludf.DUMMYFUNCTION("""COMPUTED_VALUE"""),"AWS Acadamey")</f>
        <v>AWS Acadamey</v>
      </c>
      <c r="K506" s="80" t="str">
        <f>IFERROR(__xludf.DUMMYFUNCTION("""COMPUTED_VALUE"""),"https://drive.google.com/open?id=1vKa_n_oyI4AoCh9UTGclxRUxxe2U_WzG")</f>
        <v>https://drive.google.com/open?id=1vKa_n_oyI4AoCh9UTGclxRUxxe2U_WzG</v>
      </c>
      <c r="L506" s="74" t="str">
        <f>IFERROR(__xludf.DUMMYFUNCTION("""COMPUTED_VALUE"""),"2018-2022")</f>
        <v>2018-2022</v>
      </c>
      <c r="M506" s="74" t="str">
        <f>IFERROR(__xludf.DUMMYFUNCTION("""COMPUTED_VALUE"""),"S4: Student Certifications")</f>
        <v>S4: Student Certifications</v>
      </c>
      <c r="N506" s="74" t="str">
        <f>IFERROR(__xludf.DUMMYFUNCTION("""COMPUTED_VALUE"""),"abbireddy8300@gmail.com")</f>
        <v>abbireddy8300@gmail.com</v>
      </c>
      <c r="O506" s="74" t="str">
        <f>IFERROR(__xludf.DUMMYFUNCTION("""COMPUTED_VALUE"""),"SEM-7")</f>
        <v>SEM-7</v>
      </c>
      <c r="P506" s="74"/>
      <c r="Q506" s="74"/>
      <c r="R506" s="74"/>
      <c r="S506" s="74"/>
      <c r="T506" s="74"/>
      <c r="U506" s="74"/>
      <c r="V506" s="74"/>
      <c r="W506" s="74"/>
      <c r="X506" s="74"/>
      <c r="Y506" s="74"/>
    </row>
    <row r="507" ht="26.25" customHeight="1">
      <c r="A507" s="74" t="str">
        <f>IFERROR(__xludf.DUMMYFUNCTION("""COMPUTED_VALUE"""),"Uday sai kiran Abbireddy")</f>
        <v>Uday sai kiran Abbireddy</v>
      </c>
      <c r="B507" s="74" t="str">
        <f>IFERROR(__xludf.DUMMYFUNCTION("""COMPUTED_VALUE"""),"18331A05G0")</f>
        <v>18331A05G0</v>
      </c>
      <c r="C507" s="90" t="str">
        <f>IFERROR(__xludf.DUMMYFUNCTION("""COMPUTED_VALUE"""),"Introduction to Packet Tracer")</f>
        <v>Introduction to Packet Tracer</v>
      </c>
      <c r="D507" s="74" t="str">
        <f>IFERROR(__xludf.DUMMYFUNCTION("""COMPUTED_VALUE"""),"Cisco")</f>
        <v>Cisco</v>
      </c>
      <c r="E507" s="74" t="str">
        <f>IFERROR(__xludf.DUMMYFUNCTION("""COMPUTED_VALUE"""),"1 month")</f>
        <v>1 month</v>
      </c>
      <c r="F507" s="91">
        <f>IFERROR(__xludf.DUMMYFUNCTION("""COMPUTED_VALUE"""),44293.0)</f>
        <v>44293</v>
      </c>
      <c r="G507" s="91">
        <f>IFERROR(__xludf.DUMMYFUNCTION("""COMPUTED_VALUE"""),44341.0)</f>
        <v>44341</v>
      </c>
      <c r="H507" s="79">
        <f>IFERROR(__xludf.DUMMYFUNCTION("""COMPUTED_VALUE"""),44341.0)</f>
        <v>44341</v>
      </c>
      <c r="I507" s="92">
        <f>IFERROR(__xludf.DUMMYFUNCTION("""COMPUTED_VALUE"""),100.0)</f>
        <v>100</v>
      </c>
      <c r="J507" s="74" t="str">
        <f>IFERROR(__xludf.DUMMYFUNCTION("""COMPUTED_VALUE"""),"Ravi kiran Varma Penmatsa")</f>
        <v>Ravi kiran Varma Penmatsa</v>
      </c>
      <c r="K507" s="80" t="str">
        <f>IFERROR(__xludf.DUMMYFUNCTION("""COMPUTED_VALUE"""),"https://drive.google.com/open?id=1Dzn2hpi1Qp9w0A9xUJxLMx6IhlI2QGuk")</f>
        <v>https://drive.google.com/open?id=1Dzn2hpi1Qp9w0A9xUJxLMx6IhlI2QGuk</v>
      </c>
      <c r="L507" s="74" t="str">
        <f>IFERROR(__xludf.DUMMYFUNCTION("""COMPUTED_VALUE"""),"2018-2022")</f>
        <v>2018-2022</v>
      </c>
      <c r="M507" s="74" t="str">
        <f>IFERROR(__xludf.DUMMYFUNCTION("""COMPUTED_VALUE"""),"S4: Student Certifications")</f>
        <v>S4: Student Certifications</v>
      </c>
      <c r="N507" s="74" t="str">
        <f>IFERROR(__xludf.DUMMYFUNCTION("""COMPUTED_VALUE"""),"abbireddy8300@gmail.com")</f>
        <v>abbireddy8300@gmail.com</v>
      </c>
      <c r="O507" s="74" t="str">
        <f>IFERROR(__xludf.DUMMYFUNCTION("""COMPUTED_VALUE"""),"SEM-5")</f>
        <v>SEM-5</v>
      </c>
      <c r="P507" s="74"/>
      <c r="Q507" s="74"/>
      <c r="R507" s="74"/>
      <c r="S507" s="74"/>
      <c r="T507" s="74"/>
      <c r="U507" s="74"/>
      <c r="V507" s="74"/>
      <c r="W507" s="74"/>
      <c r="X507" s="74"/>
      <c r="Y507" s="74"/>
    </row>
    <row r="508" ht="26.25" customHeight="1">
      <c r="A508" s="78" t="str">
        <f>IFERROR(__xludf.DUMMYFUNCTION("""COMPUTED_VALUE"""),"Kolluru Sai Venkata Ravi Sastry")</f>
        <v>Kolluru Sai Venkata Ravi Sastry</v>
      </c>
      <c r="B508" s="78" t="str">
        <f>IFERROR(__xludf.DUMMYFUNCTION("""COMPUTED_VALUE"""),"20331A0588")</f>
        <v>20331A0588</v>
      </c>
      <c r="C508" s="93" t="str">
        <f>IFERROR(__xludf.DUMMYFUNCTION("""COMPUTED_VALUE"""),"LINUX  AUTOMATION VIRTUAL INTERNSHIP")</f>
        <v>LINUX  AUTOMATION VIRTUAL INTERNSHIP</v>
      </c>
      <c r="D508" s="78" t="str">
        <f>IFERROR(__xludf.DUMMYFUNCTION("""COMPUTED_VALUE"""),"Redhat enterprises")</f>
        <v>Redhat enterprises</v>
      </c>
      <c r="E508" s="78" t="str">
        <f>IFERROR(__xludf.DUMMYFUNCTION("""COMPUTED_VALUE"""),"10 weeks")</f>
        <v>10 weeks</v>
      </c>
      <c r="F508" s="94">
        <f>IFERROR(__xludf.DUMMYFUNCTION("""COMPUTED_VALUE"""),44491.0)</f>
        <v>44491</v>
      </c>
      <c r="G508" s="94">
        <f>IFERROR(__xludf.DUMMYFUNCTION("""COMPUTED_VALUE"""),44561.0)</f>
        <v>44561</v>
      </c>
      <c r="H508" s="84">
        <f>IFERROR(__xludf.DUMMYFUNCTION("""COMPUTED_VALUE"""),44561.0)</f>
        <v>44561</v>
      </c>
      <c r="I508" s="95">
        <f>IFERROR(__xludf.DUMMYFUNCTION("""COMPUTED_VALUE"""),90.0)</f>
        <v>90</v>
      </c>
      <c r="J508" s="78" t="str">
        <f>IFERROR(__xludf.DUMMYFUNCTION("""COMPUTED_VALUE"""),"K.V Subbaraju")</f>
        <v>K.V Subbaraju</v>
      </c>
      <c r="K508" s="85" t="str">
        <f>IFERROR(__xludf.DUMMYFUNCTION("""COMPUTED_VALUE"""),"https://drive.google.com/open?id=1TZeRWDVvLRWDIxlmQfpSSmfVPpff27yt")</f>
        <v>https://drive.google.com/open?id=1TZeRWDVvLRWDIxlmQfpSSmfVPpff27yt</v>
      </c>
      <c r="L508" s="78" t="str">
        <f>IFERROR(__xludf.DUMMYFUNCTION("""COMPUTED_VALUE"""),"2020-2024")</f>
        <v>2020-2024</v>
      </c>
      <c r="M508" s="78" t="str">
        <f>IFERROR(__xludf.DUMMYFUNCTION("""COMPUTED_VALUE"""),"S4: Student Certifications")</f>
        <v>S4: Student Certifications</v>
      </c>
      <c r="N508" s="78" t="str">
        <f>IFERROR(__xludf.DUMMYFUNCTION("""COMPUTED_VALUE"""),"ravisastrykolluru2021@gmail.com")</f>
        <v>ravisastrykolluru2021@gmail.com</v>
      </c>
      <c r="O508" s="78" t="str">
        <f>IFERROR(__xludf.DUMMYFUNCTION("""COMPUTED_VALUE"""),"SEM-4")</f>
        <v>SEM-4</v>
      </c>
      <c r="P508" s="78"/>
      <c r="Q508" s="78"/>
      <c r="R508" s="78"/>
      <c r="S508" s="78"/>
      <c r="T508" s="78"/>
      <c r="U508" s="78"/>
      <c r="V508" s="78"/>
      <c r="W508" s="78"/>
      <c r="X508" s="78"/>
      <c r="Y508" s="78"/>
    </row>
    <row r="509" ht="26.25" customHeight="1">
      <c r="A509" s="78" t="str">
        <f>IFERROR(__xludf.DUMMYFUNCTION("""COMPUTED_VALUE"""),"Kuppili Pratyusha")</f>
        <v>Kuppili Pratyusha</v>
      </c>
      <c r="B509" s="78" t="str">
        <f>IFERROR(__xludf.DUMMYFUNCTION("""COMPUTED_VALUE"""),"18331A0583")</f>
        <v>18331A0583</v>
      </c>
      <c r="C509" s="93" t="str">
        <f>IFERROR(__xludf.DUMMYFUNCTION("""COMPUTED_VALUE"""),"4.0 tech boot camp")</f>
        <v>4.0 tech boot camp</v>
      </c>
      <c r="D509" s="78" t="str">
        <f>IFERROR(__xludf.DUMMYFUNCTION("""COMPUTED_VALUE"""),"Ccbp 4.0 tech community")</f>
        <v>Ccbp 4.0 tech community</v>
      </c>
      <c r="E509" s="78" t="str">
        <f>IFERROR(__xludf.DUMMYFUNCTION("""COMPUTED_VALUE"""),"12 hrs")</f>
        <v>12 hrs</v>
      </c>
      <c r="F509" s="94">
        <f>IFERROR(__xludf.DUMMYFUNCTION("""COMPUTED_VALUE"""),44296.0)</f>
        <v>44296</v>
      </c>
      <c r="G509" s="94">
        <f>IFERROR(__xludf.DUMMYFUNCTION("""COMPUTED_VALUE"""),44661.0)</f>
        <v>44661</v>
      </c>
      <c r="H509" s="84">
        <f>IFERROR(__xludf.DUMMYFUNCTION("""COMPUTED_VALUE"""),44296.0)</f>
        <v>44296</v>
      </c>
      <c r="I509" s="95">
        <f>IFERROR(__xludf.DUMMYFUNCTION("""COMPUTED_VALUE"""),0.8)</f>
        <v>0.8</v>
      </c>
      <c r="J509" s="78" t="str">
        <f>IFERROR(__xludf.DUMMYFUNCTION("""COMPUTED_VALUE"""),"NA")</f>
        <v>NA</v>
      </c>
      <c r="K509" s="85" t="str">
        <f>IFERROR(__xludf.DUMMYFUNCTION("""COMPUTED_VALUE"""),"https://drive.google.com/open?id=1SU1986z5Bl7T2ntuXWAw2vduIF4Z19lT")</f>
        <v>https://drive.google.com/open?id=1SU1986z5Bl7T2ntuXWAw2vduIF4Z19lT</v>
      </c>
      <c r="L509" s="78" t="str">
        <f>IFERROR(__xludf.DUMMYFUNCTION("""COMPUTED_VALUE"""),"2018-2022")</f>
        <v>2018-2022</v>
      </c>
      <c r="M509" s="78" t="str">
        <f>IFERROR(__xludf.DUMMYFUNCTION("""COMPUTED_VALUE"""),"S4: Student Certifications")</f>
        <v>S4: Student Certifications</v>
      </c>
      <c r="N509" s="78" t="str">
        <f>IFERROR(__xludf.DUMMYFUNCTION("""COMPUTED_VALUE"""),"pratyukuppili2001@gmail.com")</f>
        <v>pratyukuppili2001@gmail.com</v>
      </c>
      <c r="O509" s="78" t="str">
        <f>IFERROR(__xludf.DUMMYFUNCTION("""COMPUTED_VALUE"""),"SEM-8")</f>
        <v>SEM-8</v>
      </c>
      <c r="P509" s="78"/>
      <c r="Q509" s="78"/>
      <c r="R509" s="78"/>
      <c r="S509" s="78"/>
      <c r="T509" s="78"/>
      <c r="U509" s="78"/>
      <c r="V509" s="78"/>
      <c r="W509" s="78"/>
      <c r="X509" s="78"/>
      <c r="Y509" s="78"/>
    </row>
    <row r="510" ht="26.25" customHeight="1">
      <c r="A510" s="74" t="str">
        <f>IFERROR(__xludf.DUMMYFUNCTION("""COMPUTED_VALUE"""),"SRIHARI NAIDU POGIRI")</f>
        <v>SRIHARI NAIDU POGIRI</v>
      </c>
      <c r="B510" s="74" t="str">
        <f>IFERROR(__xludf.DUMMYFUNCTION("""COMPUTED_VALUE"""),"18331A05E6")</f>
        <v>18331A05E6</v>
      </c>
      <c r="C510" s="90" t="str">
        <f>IFERROR(__xludf.DUMMYFUNCTION("""COMPUTED_VALUE"""),"Web Design for Everybody: Basics of Web Development &amp; Coding")</f>
        <v>Web Design for Everybody: Basics of Web Development &amp; Coding</v>
      </c>
      <c r="D510" s="74" t="str">
        <f>IFERROR(__xludf.DUMMYFUNCTION("""COMPUTED_VALUE"""),"COURSERA")</f>
        <v>COURSERA</v>
      </c>
      <c r="E510" s="74" t="str">
        <f>IFERROR(__xludf.DUMMYFUNCTION("""COMPUTED_VALUE"""),"6 months")</f>
        <v>6 months</v>
      </c>
      <c r="F510" s="91">
        <f>IFERROR(__xludf.DUMMYFUNCTION("""COMPUTED_VALUE"""),43872.0)</f>
        <v>43872</v>
      </c>
      <c r="G510" s="91">
        <f>IFERROR(__xludf.DUMMYFUNCTION("""COMPUTED_VALUE"""),44028.0)</f>
        <v>44028</v>
      </c>
      <c r="H510" s="79">
        <f>IFERROR(__xludf.DUMMYFUNCTION("""COMPUTED_VALUE"""),44025.0)</f>
        <v>44025</v>
      </c>
      <c r="I510" s="92">
        <f>IFERROR(__xludf.DUMMYFUNCTION("""COMPUTED_VALUE"""),100.0)</f>
        <v>100</v>
      </c>
      <c r="J510" s="74" t="str">
        <f>IFERROR(__xludf.DUMMYFUNCTION("""COMPUTED_VALUE"""),"Colleen Van lent PhD")</f>
        <v>Colleen Van lent PhD</v>
      </c>
      <c r="K510" s="80" t="str">
        <f>IFERROR(__xludf.DUMMYFUNCTION("""COMPUTED_VALUE"""),"https://drive.google.com/open?id=1paBUJfz_M4Gigm8Veby7U8NWn40KrzpW")</f>
        <v>https://drive.google.com/open?id=1paBUJfz_M4Gigm8Veby7U8NWn40KrzpW</v>
      </c>
      <c r="L510" s="74" t="str">
        <f>IFERROR(__xludf.DUMMYFUNCTION("""COMPUTED_VALUE"""),"2018-2022")</f>
        <v>2018-2022</v>
      </c>
      <c r="M510" s="74" t="str">
        <f>IFERROR(__xludf.DUMMYFUNCTION("""COMPUTED_VALUE"""),"S4: Student Certifications")</f>
        <v>S4: Student Certifications</v>
      </c>
      <c r="N510" s="74" t="str">
        <f>IFERROR(__xludf.DUMMYFUNCTION("""COMPUTED_VALUE"""),"sriharismart0000@gmail.com")</f>
        <v>sriharismart0000@gmail.com</v>
      </c>
      <c r="O510" s="74" t="str">
        <f>IFERROR(__xludf.DUMMYFUNCTION("""COMPUTED_VALUE"""),"SEM-4")</f>
        <v>SEM-4</v>
      </c>
      <c r="P510" s="74"/>
      <c r="Q510" s="74"/>
      <c r="R510" s="74"/>
      <c r="S510" s="74"/>
      <c r="T510" s="74"/>
      <c r="U510" s="74"/>
      <c r="V510" s="74"/>
      <c r="W510" s="74"/>
      <c r="X510" s="74"/>
      <c r="Y510" s="74"/>
    </row>
    <row r="511" ht="26.25" customHeight="1">
      <c r="A511" s="74" t="str">
        <f>IFERROR(__xludf.DUMMYFUNCTION("""COMPUTED_VALUE"""),"Manukonda Royal Frederick ")</f>
        <v>Manukonda Royal Frederick </v>
      </c>
      <c r="B511" s="74" t="str">
        <f>IFERROR(__xludf.DUMMYFUNCTION("""COMPUTED_VALUE"""),"18331A0595")</f>
        <v>18331A0595</v>
      </c>
      <c r="C511" s="90" t="str">
        <f>IFERROR(__xludf.DUMMYFUNCTION("""COMPUTED_VALUE"""),"Programming essentials in C Language ")</f>
        <v>Programming essentials in C Language </v>
      </c>
      <c r="D511" s="74" t="str">
        <f>IFERROR(__xludf.DUMMYFUNCTION("""COMPUTED_VALUE"""),"Cisco")</f>
        <v>Cisco</v>
      </c>
      <c r="E511" s="74" t="str">
        <f>IFERROR(__xludf.DUMMYFUNCTION("""COMPUTED_VALUE"""),"6months")</f>
        <v>6months</v>
      </c>
      <c r="F511" s="91">
        <f>IFERROR(__xludf.DUMMYFUNCTION("""COMPUTED_VALUE"""),43159.0)</f>
        <v>43159</v>
      </c>
      <c r="G511" s="91">
        <f>IFERROR(__xludf.DUMMYFUNCTION("""COMPUTED_VALUE"""),43311.0)</f>
        <v>43311</v>
      </c>
      <c r="H511" s="79">
        <f>IFERROR(__xludf.DUMMYFUNCTION("""COMPUTED_VALUE"""),43311.0)</f>
        <v>43311</v>
      </c>
      <c r="I511" s="92">
        <f>IFERROR(__xludf.DUMMYFUNCTION("""COMPUTED_VALUE"""),98.0)</f>
        <v>98</v>
      </c>
      <c r="J511" s="74" t="str">
        <f>IFERROR(__xludf.DUMMYFUNCTION("""COMPUTED_VALUE"""),"Subbaraju")</f>
        <v>Subbaraju</v>
      </c>
      <c r="K511" s="80" t="str">
        <f>IFERROR(__xludf.DUMMYFUNCTION("""COMPUTED_VALUE"""),"https://drive.google.com/open?id=1LrTwKTVFOygHJ8gHCJ2OlPA3e0ySb62H")</f>
        <v>https://drive.google.com/open?id=1LrTwKTVFOygHJ8gHCJ2OlPA3e0ySb62H</v>
      </c>
      <c r="L511" s="74" t="str">
        <f>IFERROR(__xludf.DUMMYFUNCTION("""COMPUTED_VALUE"""),"2018-2022")</f>
        <v>2018-2022</v>
      </c>
      <c r="M511" s="74" t="str">
        <f>IFERROR(__xludf.DUMMYFUNCTION("""COMPUTED_VALUE"""),"S4: Student Certifications")</f>
        <v>S4: Student Certifications</v>
      </c>
      <c r="N511" s="74" t="str">
        <f>IFERROR(__xludf.DUMMYFUNCTION("""COMPUTED_VALUE"""),"royalfrederickmanukonda@gmail.com")</f>
        <v>royalfrederickmanukonda@gmail.com</v>
      </c>
      <c r="O511" s="74" t="str">
        <f>IFERROR(__xludf.DUMMYFUNCTION("""COMPUTED_VALUE"""),"SEM-8")</f>
        <v>SEM-8</v>
      </c>
      <c r="P511" s="74"/>
      <c r="Q511" s="74"/>
      <c r="R511" s="74"/>
      <c r="S511" s="74"/>
      <c r="T511" s="74"/>
      <c r="U511" s="74"/>
      <c r="V511" s="74"/>
      <c r="W511" s="74"/>
      <c r="X511" s="74"/>
      <c r="Y511" s="74"/>
    </row>
    <row r="512" ht="26.25" customHeight="1">
      <c r="A512" s="74" t="str">
        <f>IFERROR(__xludf.DUMMYFUNCTION("""COMPUTED_VALUE"""),"Manukonda Royal Frederick ")</f>
        <v>Manukonda Royal Frederick </v>
      </c>
      <c r="B512" s="74" t="str">
        <f>IFERROR(__xludf.DUMMYFUNCTION("""COMPUTED_VALUE"""),"18331A0595")</f>
        <v>18331A0595</v>
      </c>
      <c r="C512" s="90" t="str">
        <f>IFERROR(__xludf.DUMMYFUNCTION("""COMPUTED_VALUE"""),"Redhat System Administration ")</f>
        <v>Redhat System Administration </v>
      </c>
      <c r="D512" s="74" t="str">
        <f>IFERROR(__xludf.DUMMYFUNCTION("""COMPUTED_VALUE"""),"Redhat ")</f>
        <v>Redhat </v>
      </c>
      <c r="E512" s="74" t="str">
        <f>IFERROR(__xludf.DUMMYFUNCTION("""COMPUTED_VALUE"""),"10weeks")</f>
        <v>10weeks</v>
      </c>
      <c r="F512" s="91">
        <f>IFERROR(__xludf.DUMMYFUNCTION("""COMPUTED_VALUE"""),44562.0)</f>
        <v>44562</v>
      </c>
      <c r="G512" s="91">
        <f>IFERROR(__xludf.DUMMYFUNCTION("""COMPUTED_VALUE"""),44639.0)</f>
        <v>44639</v>
      </c>
      <c r="H512" s="79">
        <f>IFERROR(__xludf.DUMMYFUNCTION("""COMPUTED_VALUE"""),44621.0)</f>
        <v>44621</v>
      </c>
      <c r="I512" s="92">
        <f>IFERROR(__xludf.DUMMYFUNCTION("""COMPUTED_VALUE"""),90.0)</f>
        <v>90</v>
      </c>
      <c r="J512" s="74" t="str">
        <f>IFERROR(__xludf.DUMMYFUNCTION("""COMPUTED_VALUE"""),"NA")</f>
        <v>NA</v>
      </c>
      <c r="K512" s="80" t="str">
        <f>IFERROR(__xludf.DUMMYFUNCTION("""COMPUTED_VALUE"""),"https://drive.google.com/open?id=198sBy60ZJuhV2m216INIEmBsIzHPJOir")</f>
        <v>https://drive.google.com/open?id=198sBy60ZJuhV2m216INIEmBsIzHPJOir</v>
      </c>
      <c r="L512" s="74" t="str">
        <f>IFERROR(__xludf.DUMMYFUNCTION("""COMPUTED_VALUE"""),"2018-2022")</f>
        <v>2018-2022</v>
      </c>
      <c r="M512" s="74" t="str">
        <f>IFERROR(__xludf.DUMMYFUNCTION("""COMPUTED_VALUE"""),"S4: Student Certifications")</f>
        <v>S4: Student Certifications</v>
      </c>
      <c r="N512" s="74" t="str">
        <f>IFERROR(__xludf.DUMMYFUNCTION("""COMPUTED_VALUE"""),"royalfrederickmanukonda@gmail.com")</f>
        <v>royalfrederickmanukonda@gmail.com</v>
      </c>
      <c r="O512" s="74" t="str">
        <f>IFERROR(__xludf.DUMMYFUNCTION("""COMPUTED_VALUE"""),"SEM-8")</f>
        <v>SEM-8</v>
      </c>
      <c r="P512" s="74"/>
      <c r="Q512" s="74"/>
      <c r="R512" s="74"/>
      <c r="S512" s="74"/>
      <c r="T512" s="74"/>
      <c r="U512" s="74"/>
      <c r="V512" s="74"/>
      <c r="W512" s="74"/>
      <c r="X512" s="74"/>
      <c r="Y512" s="74"/>
    </row>
    <row r="513" ht="26.25" customHeight="1">
      <c r="A513" s="74" t="str">
        <f>IFERROR(__xludf.DUMMYFUNCTION("""COMPUTED_VALUE"""),"SRIHARI NAIDU POGIRI")</f>
        <v>SRIHARI NAIDU POGIRI</v>
      </c>
      <c r="B513" s="74" t="str">
        <f>IFERROR(__xludf.DUMMYFUNCTION("""COMPUTED_VALUE"""),"18331A05E6")</f>
        <v>18331A05E6</v>
      </c>
      <c r="C513" s="90" t="str">
        <f>IFERROR(__xludf.DUMMYFUNCTION("""COMPUTED_VALUE"""),"Building web applications in php")</f>
        <v>Building web applications in php</v>
      </c>
      <c r="D513" s="74" t="str">
        <f>IFERROR(__xludf.DUMMYFUNCTION("""COMPUTED_VALUE"""),"COURSERA")</f>
        <v>COURSERA</v>
      </c>
      <c r="E513" s="74" t="str">
        <f>IFERROR(__xludf.DUMMYFUNCTION("""COMPUTED_VALUE"""),"1month")</f>
        <v>1month</v>
      </c>
      <c r="F513" s="91">
        <f>IFERROR(__xludf.DUMMYFUNCTION("""COMPUTED_VALUE"""),44027.0)</f>
        <v>44027</v>
      </c>
      <c r="G513" s="91">
        <f>IFERROR(__xludf.DUMMYFUNCTION("""COMPUTED_VALUE"""),44058.0)</f>
        <v>44058</v>
      </c>
      <c r="H513" s="79">
        <f>IFERROR(__xludf.DUMMYFUNCTION("""COMPUTED_VALUE"""),44048.0)</f>
        <v>44048</v>
      </c>
      <c r="I513" s="92">
        <f>IFERROR(__xludf.DUMMYFUNCTION("""COMPUTED_VALUE"""),100.0)</f>
        <v>100</v>
      </c>
      <c r="J513" s="74" t="str">
        <f>IFERROR(__xludf.DUMMYFUNCTION("""COMPUTED_VALUE"""),"Charles severance")</f>
        <v>Charles severance</v>
      </c>
      <c r="K513" s="80" t="str">
        <f>IFERROR(__xludf.DUMMYFUNCTION("""COMPUTED_VALUE"""),"https://drive.google.com/open?id=1CraJr1Nid3rqoJ1bVL8eBdrZi1yQ-kpC")</f>
        <v>https://drive.google.com/open?id=1CraJr1Nid3rqoJ1bVL8eBdrZi1yQ-kpC</v>
      </c>
      <c r="L513" s="74" t="str">
        <f>IFERROR(__xludf.DUMMYFUNCTION("""COMPUTED_VALUE"""),"2018-2022")</f>
        <v>2018-2022</v>
      </c>
      <c r="M513" s="74" t="str">
        <f>IFERROR(__xludf.DUMMYFUNCTION("""COMPUTED_VALUE"""),"S4: Student Certifications")</f>
        <v>S4: Student Certifications</v>
      </c>
      <c r="N513" s="74" t="str">
        <f>IFERROR(__xludf.DUMMYFUNCTION("""COMPUTED_VALUE"""),"sriharismart0000@gmail.com")</f>
        <v>sriharismart0000@gmail.com</v>
      </c>
      <c r="O513" s="74" t="str">
        <f>IFERROR(__xludf.DUMMYFUNCTION("""COMPUTED_VALUE"""),"SEM-4")</f>
        <v>SEM-4</v>
      </c>
      <c r="P513" s="74"/>
      <c r="Q513" s="74"/>
      <c r="R513" s="74"/>
      <c r="S513" s="74"/>
      <c r="T513" s="74"/>
      <c r="U513" s="74"/>
      <c r="V513" s="74"/>
      <c r="W513" s="74"/>
      <c r="X513" s="74"/>
      <c r="Y513" s="74"/>
    </row>
    <row r="514" ht="26.25" customHeight="1">
      <c r="A514" s="78" t="str">
        <f>IFERROR(__xludf.DUMMYFUNCTION("""COMPUTED_VALUE"""),"Donthamsetti Sumitha")</f>
        <v>Donthamsetti Sumitha</v>
      </c>
      <c r="B514" s="78" t="str">
        <f>IFERROR(__xludf.DUMMYFUNCTION("""COMPUTED_VALUE"""),"18331A0535")</f>
        <v>18331A0535</v>
      </c>
      <c r="C514" s="93" t="str">
        <f>IFERROR(__xludf.DUMMYFUNCTION("""COMPUTED_VALUE"""),"Python")</f>
        <v>Python</v>
      </c>
      <c r="D514" s="78" t="str">
        <f>IFERROR(__xludf.DUMMYFUNCTION("""COMPUTED_VALUE"""),"JNTU Kakinada")</f>
        <v>JNTU Kakinada</v>
      </c>
      <c r="E514" s="78" t="str">
        <f>IFERROR(__xludf.DUMMYFUNCTION("""COMPUTED_VALUE"""),"1 Day")</f>
        <v>1 Day</v>
      </c>
      <c r="F514" s="94">
        <f>IFERROR(__xludf.DUMMYFUNCTION("""COMPUTED_VALUE"""),44015.0)</f>
        <v>44015</v>
      </c>
      <c r="G514" s="94">
        <f>IFERROR(__xludf.DUMMYFUNCTION("""COMPUTED_VALUE"""),44015.0)</f>
        <v>44015</v>
      </c>
      <c r="H514" s="84">
        <f>IFERROR(__xludf.DUMMYFUNCTION("""COMPUTED_VALUE"""),44015.0)</f>
        <v>44015</v>
      </c>
      <c r="I514" s="95"/>
      <c r="J514" s="78" t="str">
        <f>IFERROR(__xludf.DUMMYFUNCTION("""COMPUTED_VALUE"""),"National level online quiz")</f>
        <v>National level online quiz</v>
      </c>
      <c r="K514" s="85" t="str">
        <f>IFERROR(__xludf.DUMMYFUNCTION("""COMPUTED_VALUE"""),"https://drive.google.com/open?id=1pMTutEHS8VT2lEPvgSLuKWua8eBbMpnz")</f>
        <v>https://drive.google.com/open?id=1pMTutEHS8VT2lEPvgSLuKWua8eBbMpnz</v>
      </c>
      <c r="L514" s="78" t="str">
        <f>IFERROR(__xludf.DUMMYFUNCTION("""COMPUTED_VALUE"""),"2018-2022")</f>
        <v>2018-2022</v>
      </c>
      <c r="M514" s="78" t="str">
        <f>IFERROR(__xludf.DUMMYFUNCTION("""COMPUTED_VALUE"""),"S4: Student Certifications")</f>
        <v>S4: Student Certifications</v>
      </c>
      <c r="N514" s="78" t="str">
        <f>IFERROR(__xludf.DUMMYFUNCTION("""COMPUTED_VALUE"""),"sumitha.donthamsetti@gmail.com")</f>
        <v>sumitha.donthamsetti@gmail.com</v>
      </c>
      <c r="O514" s="78" t="str">
        <f>IFERROR(__xludf.DUMMYFUNCTION("""COMPUTED_VALUE"""),"SEM-4")</f>
        <v>SEM-4</v>
      </c>
      <c r="P514" s="78"/>
      <c r="Q514" s="78"/>
      <c r="R514" s="78"/>
      <c r="S514" s="78"/>
      <c r="T514" s="78"/>
      <c r="U514" s="78"/>
      <c r="V514" s="78"/>
      <c r="W514" s="78"/>
      <c r="X514" s="78"/>
      <c r="Y514" s="78"/>
    </row>
    <row r="515" ht="26.25" customHeight="1">
      <c r="A515" s="74" t="str">
        <f>IFERROR(__xludf.DUMMYFUNCTION("""COMPUTED_VALUE"""),"SRIHARI NAIDU POGIRI")</f>
        <v>SRIHARI NAIDU POGIRI</v>
      </c>
      <c r="B515" s="74" t="str">
        <f>IFERROR(__xludf.DUMMYFUNCTION("""COMPUTED_VALUE"""),"18331A05E6")</f>
        <v>18331A05E6</v>
      </c>
      <c r="C515" s="90" t="str">
        <f>IFERROR(__xludf.DUMMYFUNCTION("""COMPUTED_VALUE"""),"Introduction to Structured query language")</f>
        <v>Introduction to Structured query language</v>
      </c>
      <c r="D515" s="74" t="str">
        <f>IFERROR(__xludf.DUMMYFUNCTION("""COMPUTED_VALUE"""),"COURSERA")</f>
        <v>COURSERA</v>
      </c>
      <c r="E515" s="74" t="str">
        <f>IFERROR(__xludf.DUMMYFUNCTION("""COMPUTED_VALUE"""),"1 month")</f>
        <v>1 month</v>
      </c>
      <c r="F515" s="91">
        <f>IFERROR(__xludf.DUMMYFUNCTION("""COMPUTED_VALUE"""),44024.0)</f>
        <v>44024</v>
      </c>
      <c r="G515" s="91">
        <f>IFERROR(__xludf.DUMMYFUNCTION("""COMPUTED_VALUE"""),44055.0)</f>
        <v>44055</v>
      </c>
      <c r="H515" s="79">
        <f>IFERROR(__xludf.DUMMYFUNCTION("""COMPUTED_VALUE"""),44051.0)</f>
        <v>44051</v>
      </c>
      <c r="I515" s="92">
        <f>IFERROR(__xludf.DUMMYFUNCTION("""COMPUTED_VALUE"""),100.0)</f>
        <v>100</v>
      </c>
      <c r="J515" s="74" t="str">
        <f>IFERROR(__xludf.DUMMYFUNCTION("""COMPUTED_VALUE"""),"Charles severance")</f>
        <v>Charles severance</v>
      </c>
      <c r="K515" s="80" t="str">
        <f>IFERROR(__xludf.DUMMYFUNCTION("""COMPUTED_VALUE"""),"https://drive.google.com/open?id=1d5VMkEdhOE6wUBXgCuli559i34T1JNFq")</f>
        <v>https://drive.google.com/open?id=1d5VMkEdhOE6wUBXgCuli559i34T1JNFq</v>
      </c>
      <c r="L515" s="74" t="str">
        <f>IFERROR(__xludf.DUMMYFUNCTION("""COMPUTED_VALUE"""),"2018-2022")</f>
        <v>2018-2022</v>
      </c>
      <c r="M515" s="74" t="str">
        <f>IFERROR(__xludf.DUMMYFUNCTION("""COMPUTED_VALUE"""),"S4: Student Certifications")</f>
        <v>S4: Student Certifications</v>
      </c>
      <c r="N515" s="74" t="str">
        <f>IFERROR(__xludf.DUMMYFUNCTION("""COMPUTED_VALUE"""),"sriharismart0000@gmail.com")</f>
        <v>sriharismart0000@gmail.com</v>
      </c>
      <c r="O515" s="74" t="str">
        <f>IFERROR(__xludf.DUMMYFUNCTION("""COMPUTED_VALUE"""),"SEM-4")</f>
        <v>SEM-4</v>
      </c>
      <c r="P515" s="74"/>
      <c r="Q515" s="74"/>
      <c r="R515" s="74"/>
      <c r="S515" s="74"/>
      <c r="T515" s="74"/>
      <c r="U515" s="74"/>
      <c r="V515" s="74"/>
      <c r="W515" s="74"/>
      <c r="X515" s="74"/>
      <c r="Y515" s="74"/>
    </row>
    <row r="516" ht="26.25" customHeight="1">
      <c r="A516" s="74" t="str">
        <f>IFERROR(__xludf.DUMMYFUNCTION("""COMPUTED_VALUE"""),"Donthamsetti Sumitha")</f>
        <v>Donthamsetti Sumitha</v>
      </c>
      <c r="B516" s="74" t="str">
        <f>IFERROR(__xludf.DUMMYFUNCTION("""COMPUTED_VALUE"""),"18331A0535")</f>
        <v>18331A0535</v>
      </c>
      <c r="C516" s="90" t="str">
        <f>IFERROR(__xludf.DUMMYFUNCTION("""COMPUTED_VALUE"""),"AWS Academy Certificate")</f>
        <v>AWS Academy Certificate</v>
      </c>
      <c r="D516" s="74" t="str">
        <f>IFERROR(__xludf.DUMMYFUNCTION("""COMPUTED_VALUE"""),"AICTE Edu skills")</f>
        <v>AICTE Edu skills</v>
      </c>
      <c r="E516" s="74" t="str">
        <f>IFERROR(__xludf.DUMMYFUNCTION("""COMPUTED_VALUE"""),"10 weeks")</f>
        <v>10 weeks</v>
      </c>
      <c r="F516" s="91">
        <f>IFERROR(__xludf.DUMMYFUNCTION("""COMPUTED_VALUE"""),44487.0)</f>
        <v>44487</v>
      </c>
      <c r="G516" s="91">
        <f>IFERROR(__xludf.DUMMYFUNCTION("""COMPUTED_VALUE"""),44559.0)</f>
        <v>44559</v>
      </c>
      <c r="H516" s="79">
        <f>IFERROR(__xludf.DUMMYFUNCTION("""COMPUTED_VALUE"""),44569.0)</f>
        <v>44569</v>
      </c>
      <c r="I516" s="92"/>
      <c r="J516" s="74" t="str">
        <f>IFERROR(__xludf.DUMMYFUNCTION("""COMPUTED_VALUE"""),"Ravi kiran varma")</f>
        <v>Ravi kiran varma</v>
      </c>
      <c r="K516" s="80" t="str">
        <f>IFERROR(__xludf.DUMMYFUNCTION("""COMPUTED_VALUE"""),"https://drive.google.com/open?id=1pJnAHkwhsnPJtQBH37JAkhjqh901yg2r")</f>
        <v>https://drive.google.com/open?id=1pJnAHkwhsnPJtQBH37JAkhjqh901yg2r</v>
      </c>
      <c r="L516" s="74" t="str">
        <f>IFERROR(__xludf.DUMMYFUNCTION("""COMPUTED_VALUE"""),"2018-2022")</f>
        <v>2018-2022</v>
      </c>
      <c r="M516" s="74" t="str">
        <f>IFERROR(__xludf.DUMMYFUNCTION("""COMPUTED_VALUE"""),"S4: Student Certifications")</f>
        <v>S4: Student Certifications</v>
      </c>
      <c r="N516" s="74" t="str">
        <f>IFERROR(__xludf.DUMMYFUNCTION("""COMPUTED_VALUE"""),"sumitha.donthamsetti@gmail.com")</f>
        <v>sumitha.donthamsetti@gmail.com</v>
      </c>
      <c r="O516" s="74" t="str">
        <f>IFERROR(__xludf.DUMMYFUNCTION("""COMPUTED_VALUE"""),"SEM-7")</f>
        <v>SEM-7</v>
      </c>
      <c r="P516" s="74"/>
      <c r="Q516" s="74"/>
      <c r="R516" s="74"/>
      <c r="S516" s="74"/>
      <c r="T516" s="74"/>
      <c r="U516" s="74"/>
      <c r="V516" s="74"/>
      <c r="W516" s="74"/>
      <c r="X516" s="74"/>
      <c r="Y516" s="74"/>
    </row>
    <row r="517" ht="26.25" customHeight="1">
      <c r="A517" s="74" t="str">
        <f>IFERROR(__xludf.DUMMYFUNCTION("""COMPUTED_VALUE"""),"Karanam yeswanth teja")</f>
        <v>Karanam yeswanth teja</v>
      </c>
      <c r="B517" s="74" t="str">
        <f>IFERROR(__xludf.DUMMYFUNCTION("""COMPUTED_VALUE"""),"20331A0581")</f>
        <v>20331A0581</v>
      </c>
      <c r="C517" s="90" t="str">
        <f>IFERROR(__xludf.DUMMYFUNCTION("""COMPUTED_VALUE"""),"IT essentials")</f>
        <v>IT essentials</v>
      </c>
      <c r="D517" s="74" t="str">
        <f>IFERROR(__xludf.DUMMYFUNCTION("""COMPUTED_VALUE"""),"Cisco")</f>
        <v>Cisco</v>
      </c>
      <c r="E517" s="74" t="str">
        <f>IFERROR(__xludf.DUMMYFUNCTION("""COMPUTED_VALUE"""),"2 months")</f>
        <v>2 months</v>
      </c>
      <c r="F517" s="91">
        <f>IFERROR(__xludf.DUMMYFUNCTION("""COMPUTED_VALUE"""),44378.0)</f>
        <v>44378</v>
      </c>
      <c r="G517" s="91">
        <f>IFERROR(__xludf.DUMMYFUNCTION("""COMPUTED_VALUE"""),44440.0)</f>
        <v>44440</v>
      </c>
      <c r="H517" s="79">
        <f>IFERROR(__xludf.DUMMYFUNCTION("""COMPUTED_VALUE"""),44464.0)</f>
        <v>44464</v>
      </c>
      <c r="I517" s="92">
        <f>IFERROR(__xludf.DUMMYFUNCTION("""COMPUTED_VALUE"""),95.0)</f>
        <v>95</v>
      </c>
      <c r="J517" s="74" t="str">
        <f>IFERROR(__xludf.DUMMYFUNCTION("""COMPUTED_VALUE"""),"K.subbaraju")</f>
        <v>K.subbaraju</v>
      </c>
      <c r="K517" s="80" t="str">
        <f>IFERROR(__xludf.DUMMYFUNCTION("""COMPUTED_VALUE"""),"https://drive.google.com/open?id=1yOJySaImIeqzV8zvtN7zLCZ8rTzC6P4y")</f>
        <v>https://drive.google.com/open?id=1yOJySaImIeqzV8zvtN7zLCZ8rTzC6P4y</v>
      </c>
      <c r="L517" s="74" t="str">
        <f>IFERROR(__xludf.DUMMYFUNCTION("""COMPUTED_VALUE"""),"2020-2024")</f>
        <v>2020-2024</v>
      </c>
      <c r="M517" s="74" t="str">
        <f>IFERROR(__xludf.DUMMYFUNCTION("""COMPUTED_VALUE"""),"S4: Student Certifications")</f>
        <v>S4: Student Certifications</v>
      </c>
      <c r="N517" s="74" t="str">
        <f>IFERROR(__xludf.DUMMYFUNCTION("""COMPUTED_VALUE"""),"tejacherry0611@gmail.com")</f>
        <v>tejacherry0611@gmail.com</v>
      </c>
      <c r="O517" s="74" t="str">
        <f>IFERROR(__xludf.DUMMYFUNCTION("""COMPUTED_VALUE"""),"SEM-4")</f>
        <v>SEM-4</v>
      </c>
      <c r="P517" s="74"/>
      <c r="Q517" s="74"/>
      <c r="R517" s="74"/>
      <c r="S517" s="74"/>
      <c r="T517" s="74"/>
      <c r="U517" s="74"/>
      <c r="V517" s="74"/>
      <c r="W517" s="74"/>
      <c r="X517" s="74"/>
      <c r="Y517" s="74"/>
    </row>
    <row r="518" ht="26.25" customHeight="1">
      <c r="A518" s="74" t="str">
        <f>IFERROR(__xludf.DUMMYFUNCTION("""COMPUTED_VALUE"""),"GUMMA VENKATA SRIVATHSA")</f>
        <v>GUMMA VENKATA SRIVATHSA</v>
      </c>
      <c r="B518" s="74" t="str">
        <f>IFERROR(__xludf.DUMMYFUNCTION("""COMPUTED_VALUE"""),"20331A0568")</f>
        <v>20331A0568</v>
      </c>
      <c r="C518" s="90" t="str">
        <f>IFERROR(__xludf.DUMMYFUNCTION("""COMPUTED_VALUE"""),"IT Essentials")</f>
        <v>IT Essentials</v>
      </c>
      <c r="D518" s="74" t="str">
        <f>IFERROR(__xludf.DUMMYFUNCTION("""COMPUTED_VALUE"""),"CISCO")</f>
        <v>CISCO</v>
      </c>
      <c r="E518" s="74" t="str">
        <f>IFERROR(__xludf.DUMMYFUNCTION("""COMPUTED_VALUE"""),"2 months")</f>
        <v>2 months</v>
      </c>
      <c r="F518" s="91">
        <f>IFERROR(__xludf.DUMMYFUNCTION("""COMPUTED_VALUE"""),44378.0)</f>
        <v>44378</v>
      </c>
      <c r="G518" s="91">
        <f>IFERROR(__xludf.DUMMYFUNCTION("""COMPUTED_VALUE"""),44467.0)</f>
        <v>44467</v>
      </c>
      <c r="H518" s="79">
        <f>IFERROR(__xludf.DUMMYFUNCTION("""COMPUTED_VALUE"""),44464.0)</f>
        <v>44464</v>
      </c>
      <c r="I518" s="92">
        <f>IFERROR(__xludf.DUMMYFUNCTION("""COMPUTED_VALUE"""),95.0)</f>
        <v>95</v>
      </c>
      <c r="J518" s="74" t="str">
        <f>IFERROR(__xludf.DUMMYFUNCTION("""COMPUTED_VALUE"""),"K.SUBBARAJU")</f>
        <v>K.SUBBARAJU</v>
      </c>
      <c r="K518" s="80" t="str">
        <f>IFERROR(__xludf.DUMMYFUNCTION("""COMPUTED_VALUE"""),"https://drive.google.com/open?id=1kXrytMYKsJLrS-3i_-DaB6hKP07r6KbC")</f>
        <v>https://drive.google.com/open?id=1kXrytMYKsJLrS-3i_-DaB6hKP07r6KbC</v>
      </c>
      <c r="L518" s="74" t="str">
        <f>IFERROR(__xludf.DUMMYFUNCTION("""COMPUTED_VALUE"""),"2020-2024")</f>
        <v>2020-2024</v>
      </c>
      <c r="M518" s="74" t="str">
        <f>IFERROR(__xludf.DUMMYFUNCTION("""COMPUTED_VALUE"""),"S4: Student Certifications")</f>
        <v>S4: Student Certifications</v>
      </c>
      <c r="N518" s="74" t="str">
        <f>IFERROR(__xludf.DUMMYFUNCTION("""COMPUTED_VALUE"""),"gvsrivathsa@gmail.com")</f>
        <v>gvsrivathsa@gmail.com</v>
      </c>
      <c r="O518" s="74" t="str">
        <f>IFERROR(__xludf.DUMMYFUNCTION("""COMPUTED_VALUE"""),"SEM-4")</f>
        <v>SEM-4</v>
      </c>
      <c r="P518" s="74"/>
      <c r="Q518" s="74"/>
      <c r="R518" s="74"/>
      <c r="S518" s="74"/>
      <c r="T518" s="74"/>
      <c r="U518" s="74"/>
      <c r="V518" s="74"/>
      <c r="W518" s="74"/>
      <c r="X518" s="74"/>
      <c r="Y518" s="74"/>
    </row>
    <row r="519" ht="26.25" customHeight="1">
      <c r="A519" s="74" t="str">
        <f>IFERROR(__xludf.DUMMYFUNCTION("""COMPUTED_VALUE"""),"Karanam yeswanth teja")</f>
        <v>Karanam yeswanth teja</v>
      </c>
      <c r="B519" s="74" t="str">
        <f>IFERROR(__xludf.DUMMYFUNCTION("""COMPUTED_VALUE"""),"20331A0581")</f>
        <v>20331A0581</v>
      </c>
      <c r="C519" s="90" t="str">
        <f>IFERROR(__xludf.DUMMYFUNCTION("""COMPUTED_VALUE"""),"NDG Linux essentials")</f>
        <v>NDG Linux essentials</v>
      </c>
      <c r="D519" s="74" t="str">
        <f>IFERROR(__xludf.DUMMYFUNCTION("""COMPUTED_VALUE"""),"Cisco")</f>
        <v>Cisco</v>
      </c>
      <c r="E519" s="74" t="str">
        <f>IFERROR(__xludf.DUMMYFUNCTION("""COMPUTED_VALUE"""),"2 months")</f>
        <v>2 months</v>
      </c>
      <c r="F519" s="91">
        <f>IFERROR(__xludf.DUMMYFUNCTION("""COMPUTED_VALUE"""),44470.0)</f>
        <v>44470</v>
      </c>
      <c r="G519" s="91">
        <f>IFERROR(__xludf.DUMMYFUNCTION("""COMPUTED_VALUE"""),44531.0)</f>
        <v>44531</v>
      </c>
      <c r="H519" s="79">
        <f>IFERROR(__xludf.DUMMYFUNCTION("""COMPUTED_VALUE"""),44555.0)</f>
        <v>44555</v>
      </c>
      <c r="I519" s="92">
        <f>IFERROR(__xludf.DUMMYFUNCTION("""COMPUTED_VALUE"""),96.0)</f>
        <v>96</v>
      </c>
      <c r="J519" s="74" t="str">
        <f>IFERROR(__xludf.DUMMYFUNCTION("""COMPUTED_VALUE"""),"K.subbaraju")</f>
        <v>K.subbaraju</v>
      </c>
      <c r="K519" s="80" t="str">
        <f>IFERROR(__xludf.DUMMYFUNCTION("""COMPUTED_VALUE"""),"https://drive.google.com/open?id=1NiIHfvJgm5gpPCpKbnhOuxmv4ZnfWpQW")</f>
        <v>https://drive.google.com/open?id=1NiIHfvJgm5gpPCpKbnhOuxmv4ZnfWpQW</v>
      </c>
      <c r="L519" s="74" t="str">
        <f>IFERROR(__xludf.DUMMYFUNCTION("""COMPUTED_VALUE"""),"2020-2024")</f>
        <v>2020-2024</v>
      </c>
      <c r="M519" s="74" t="str">
        <f>IFERROR(__xludf.DUMMYFUNCTION("""COMPUTED_VALUE"""),"S4: Student Certifications")</f>
        <v>S4: Student Certifications</v>
      </c>
      <c r="N519" s="74" t="str">
        <f>IFERROR(__xludf.DUMMYFUNCTION("""COMPUTED_VALUE"""),"tejacherry0611@gmail.com")</f>
        <v>tejacherry0611@gmail.com</v>
      </c>
      <c r="O519" s="74" t="str">
        <f>IFERROR(__xludf.DUMMYFUNCTION("""COMPUTED_VALUE"""),"SEM-4")</f>
        <v>SEM-4</v>
      </c>
      <c r="P519" s="74"/>
      <c r="Q519" s="74"/>
      <c r="R519" s="74"/>
      <c r="S519" s="74"/>
      <c r="T519" s="74"/>
      <c r="U519" s="74"/>
      <c r="V519" s="74"/>
      <c r="W519" s="74"/>
      <c r="X519" s="74"/>
      <c r="Y519" s="74"/>
    </row>
    <row r="520" ht="26.25" customHeight="1">
      <c r="A520" s="74" t="str">
        <f>IFERROR(__xludf.DUMMYFUNCTION("""COMPUTED_VALUE"""),"Gudala Lalitha Maheswari")</f>
        <v>Gudala Lalitha Maheswari</v>
      </c>
      <c r="B520" s="74" t="str">
        <f>IFERROR(__xludf.DUMMYFUNCTION("""COMPUTED_VALUE"""),"20331A0565")</f>
        <v>20331A0565</v>
      </c>
      <c r="C520" s="90" t="str">
        <f>IFERROR(__xludf.DUMMYFUNCTION("""COMPUTED_VALUE"""),"IT Essentials")</f>
        <v>IT Essentials</v>
      </c>
      <c r="D520" s="74" t="str">
        <f>IFERROR(__xludf.DUMMYFUNCTION("""COMPUTED_VALUE"""),"Cisco")</f>
        <v>Cisco</v>
      </c>
      <c r="E520" s="74" t="str">
        <f>IFERROR(__xludf.DUMMYFUNCTION("""COMPUTED_VALUE"""),"2 months")</f>
        <v>2 months</v>
      </c>
      <c r="F520" s="91">
        <f>IFERROR(__xludf.DUMMYFUNCTION("""COMPUTED_VALUE"""),44378.0)</f>
        <v>44378</v>
      </c>
      <c r="G520" s="91">
        <f>IFERROR(__xludf.DUMMYFUNCTION("""COMPUTED_VALUE"""),44469.0)</f>
        <v>44469</v>
      </c>
      <c r="H520" s="79">
        <f>IFERROR(__xludf.DUMMYFUNCTION("""COMPUTED_VALUE"""),44464.0)</f>
        <v>44464</v>
      </c>
      <c r="I520" s="92">
        <f>IFERROR(__xludf.DUMMYFUNCTION("""COMPUTED_VALUE"""),95.0)</f>
        <v>95</v>
      </c>
      <c r="J520" s="74" t="str">
        <f>IFERROR(__xludf.DUMMYFUNCTION("""COMPUTED_VALUE"""),"K Subba Raju")</f>
        <v>K Subba Raju</v>
      </c>
      <c r="K520" s="80" t="str">
        <f>IFERROR(__xludf.DUMMYFUNCTION("""COMPUTED_VALUE"""),"https://drive.google.com/open?id=1AJghTvCvOYf2111qo8ySsjxTH-es7gtq")</f>
        <v>https://drive.google.com/open?id=1AJghTvCvOYf2111qo8ySsjxTH-es7gtq</v>
      </c>
      <c r="L520" s="74" t="str">
        <f>IFERROR(__xludf.DUMMYFUNCTION("""COMPUTED_VALUE"""),"2020-2024")</f>
        <v>2020-2024</v>
      </c>
      <c r="M520" s="74" t="str">
        <f>IFERROR(__xludf.DUMMYFUNCTION("""COMPUTED_VALUE"""),"S4: Student Certifications")</f>
        <v>S4: Student Certifications</v>
      </c>
      <c r="N520" s="74" t="str">
        <f>IFERROR(__xludf.DUMMYFUNCTION("""COMPUTED_VALUE"""),"gudalalalithamaheswari4180@gmail.com")</f>
        <v>gudalalalithamaheswari4180@gmail.com</v>
      </c>
      <c r="O520" s="74" t="str">
        <f>IFERROR(__xludf.DUMMYFUNCTION("""COMPUTED_VALUE"""),"SEM-4")</f>
        <v>SEM-4</v>
      </c>
      <c r="P520" s="74"/>
      <c r="Q520" s="74"/>
      <c r="R520" s="74"/>
      <c r="S520" s="74"/>
      <c r="T520" s="74"/>
      <c r="U520" s="74"/>
      <c r="V520" s="74"/>
      <c r="W520" s="74"/>
      <c r="X520" s="74"/>
      <c r="Y520" s="74"/>
    </row>
    <row r="521" ht="26.25" customHeight="1">
      <c r="A521" s="74" t="str">
        <f>IFERROR(__xludf.DUMMYFUNCTION("""COMPUTED_VALUE"""),"M. Tarun Kumar")</f>
        <v>M. Tarun Kumar</v>
      </c>
      <c r="B521" s="74" t="str">
        <f>IFERROR(__xludf.DUMMYFUNCTION("""COMPUTED_VALUE"""),"20331A05B0")</f>
        <v>20331A05B0</v>
      </c>
      <c r="C521" s="90" t="str">
        <f>IFERROR(__xludf.DUMMYFUNCTION("""COMPUTED_VALUE"""),"IT essentials")</f>
        <v>IT essentials</v>
      </c>
      <c r="D521" s="74" t="str">
        <f>IFERROR(__xludf.DUMMYFUNCTION("""COMPUTED_VALUE"""),"CISCO")</f>
        <v>CISCO</v>
      </c>
      <c r="E521" s="74" t="str">
        <f>IFERROR(__xludf.DUMMYFUNCTION("""COMPUTED_VALUE"""),"2 Months")</f>
        <v>2 Months</v>
      </c>
      <c r="F521" s="91">
        <f>IFERROR(__xludf.DUMMYFUNCTION("""COMPUTED_VALUE"""),44378.0)</f>
        <v>44378</v>
      </c>
      <c r="G521" s="91">
        <f>IFERROR(__xludf.DUMMYFUNCTION("""COMPUTED_VALUE"""),44440.0)</f>
        <v>44440</v>
      </c>
      <c r="H521" s="79">
        <f>IFERROR(__xludf.DUMMYFUNCTION("""COMPUTED_VALUE"""),44439.0)</f>
        <v>44439</v>
      </c>
      <c r="I521" s="92">
        <f>IFERROR(__xludf.DUMMYFUNCTION("""COMPUTED_VALUE"""),92.0)</f>
        <v>92</v>
      </c>
      <c r="J521" s="74" t="str">
        <f>IFERROR(__xludf.DUMMYFUNCTION("""COMPUTED_VALUE"""),"K Subba raju")</f>
        <v>K Subba raju</v>
      </c>
      <c r="K521" s="80" t="str">
        <f>IFERROR(__xludf.DUMMYFUNCTION("""COMPUTED_VALUE"""),"https://drive.google.com/open?id=1mxzJH-OG4In_VvdEQaVkfMt6-qVrqc3K")</f>
        <v>https://drive.google.com/open?id=1mxzJH-OG4In_VvdEQaVkfMt6-qVrqc3K</v>
      </c>
      <c r="L521" s="74" t="str">
        <f>IFERROR(__xludf.DUMMYFUNCTION("""COMPUTED_VALUE"""),"2020-2024")</f>
        <v>2020-2024</v>
      </c>
      <c r="M521" s="74" t="str">
        <f>IFERROR(__xludf.DUMMYFUNCTION("""COMPUTED_VALUE"""),"S4: Student Certifications")</f>
        <v>S4: Student Certifications</v>
      </c>
      <c r="N521" s="74" t="str">
        <f>IFERROR(__xludf.DUMMYFUNCTION("""COMPUTED_VALUE"""),"mt790191@gmail.com")</f>
        <v>mt790191@gmail.com</v>
      </c>
      <c r="O521" s="74" t="str">
        <f>IFERROR(__xludf.DUMMYFUNCTION("""COMPUTED_VALUE"""),"SEM-4")</f>
        <v>SEM-4</v>
      </c>
      <c r="P521" s="74"/>
      <c r="Q521" s="74"/>
      <c r="R521" s="74"/>
      <c r="S521" s="74"/>
      <c r="T521" s="74"/>
      <c r="U521" s="74"/>
      <c r="V521" s="74"/>
      <c r="W521" s="74"/>
      <c r="X521" s="74"/>
      <c r="Y521" s="74"/>
    </row>
    <row r="522" ht="26.25" customHeight="1">
      <c r="A522" s="74" t="str">
        <f>IFERROR(__xludf.DUMMYFUNCTION("""COMPUTED_VALUE"""),"GUMMA VENKATA SRIVATHSA")</f>
        <v>GUMMA VENKATA SRIVATHSA</v>
      </c>
      <c r="B522" s="74" t="str">
        <f>IFERROR(__xludf.DUMMYFUNCTION("""COMPUTED_VALUE"""),"20331A0568")</f>
        <v>20331A0568</v>
      </c>
      <c r="C522" s="90" t="str">
        <f>IFERROR(__xludf.DUMMYFUNCTION("""COMPUTED_VALUE"""),"NDG LINUX ESSENTIALS")</f>
        <v>NDG LINUX ESSENTIALS</v>
      </c>
      <c r="D522" s="74" t="str">
        <f>IFERROR(__xludf.DUMMYFUNCTION("""COMPUTED_VALUE"""),"Cisco")</f>
        <v>Cisco</v>
      </c>
      <c r="E522" s="74" t="str">
        <f>IFERROR(__xludf.DUMMYFUNCTION("""COMPUTED_VALUE"""),"2 months")</f>
        <v>2 months</v>
      </c>
      <c r="F522" s="91">
        <f>IFERROR(__xludf.DUMMYFUNCTION("""COMPUTED_VALUE"""),44481.0)</f>
        <v>44481</v>
      </c>
      <c r="G522" s="91">
        <f>IFERROR(__xludf.DUMMYFUNCTION("""COMPUTED_VALUE"""),44551.0)</f>
        <v>44551</v>
      </c>
      <c r="H522" s="79">
        <f>IFERROR(__xludf.DUMMYFUNCTION("""COMPUTED_VALUE"""),44545.0)</f>
        <v>44545</v>
      </c>
      <c r="I522" s="92">
        <f>IFERROR(__xludf.DUMMYFUNCTION("""COMPUTED_VALUE"""),96.0)</f>
        <v>96</v>
      </c>
      <c r="J522" s="74" t="str">
        <f>IFERROR(__xludf.DUMMYFUNCTION("""COMPUTED_VALUE"""),"K.SUBBARAJU")</f>
        <v>K.SUBBARAJU</v>
      </c>
      <c r="K522" s="80" t="str">
        <f>IFERROR(__xludf.DUMMYFUNCTION("""COMPUTED_VALUE"""),"https://drive.google.com/open?id=1zlp-hU7vPBWUBXOs7s5t0l2yaDufQLfH")</f>
        <v>https://drive.google.com/open?id=1zlp-hU7vPBWUBXOs7s5t0l2yaDufQLfH</v>
      </c>
      <c r="L522" s="74" t="str">
        <f>IFERROR(__xludf.DUMMYFUNCTION("""COMPUTED_VALUE"""),"2020-2024")</f>
        <v>2020-2024</v>
      </c>
      <c r="M522" s="74" t="str">
        <f>IFERROR(__xludf.DUMMYFUNCTION("""COMPUTED_VALUE"""),"S4: Student Certifications")</f>
        <v>S4: Student Certifications</v>
      </c>
      <c r="N522" s="74" t="str">
        <f>IFERROR(__xludf.DUMMYFUNCTION("""COMPUTED_VALUE"""),"gvsrivathsa@gmail.com")</f>
        <v>gvsrivathsa@gmail.com</v>
      </c>
      <c r="O522" s="74" t="str">
        <f>IFERROR(__xludf.DUMMYFUNCTION("""COMPUTED_VALUE"""),"SEM-4")</f>
        <v>SEM-4</v>
      </c>
      <c r="P522" s="74"/>
      <c r="Q522" s="74"/>
      <c r="R522" s="74"/>
      <c r="S522" s="74"/>
      <c r="T522" s="74"/>
      <c r="U522" s="74"/>
      <c r="V522" s="74"/>
      <c r="W522" s="74"/>
      <c r="X522" s="74"/>
      <c r="Y522" s="74"/>
    </row>
    <row r="523" ht="26.25" customHeight="1">
      <c r="A523" s="74" t="str">
        <f>IFERROR(__xludf.DUMMYFUNCTION("""COMPUTED_VALUE"""),"Gudala Lalitha Maheswari")</f>
        <v>Gudala Lalitha Maheswari</v>
      </c>
      <c r="B523" s="74" t="str">
        <f>IFERROR(__xludf.DUMMYFUNCTION("""COMPUTED_VALUE"""),"20331A0565")</f>
        <v>20331A0565</v>
      </c>
      <c r="C523" s="90" t="str">
        <f>IFERROR(__xludf.DUMMYFUNCTION("""COMPUTED_VALUE"""),"NDG Linux Essentials")</f>
        <v>NDG Linux Essentials</v>
      </c>
      <c r="D523" s="74" t="str">
        <f>IFERROR(__xludf.DUMMYFUNCTION("""COMPUTED_VALUE"""),"Cisco")</f>
        <v>Cisco</v>
      </c>
      <c r="E523" s="74" t="str">
        <f>IFERROR(__xludf.DUMMYFUNCTION("""COMPUTED_VALUE"""),"2 months")</f>
        <v>2 months</v>
      </c>
      <c r="F523" s="91">
        <f>IFERROR(__xludf.DUMMYFUNCTION("""COMPUTED_VALUE"""),44470.0)</f>
        <v>44470</v>
      </c>
      <c r="G523" s="91">
        <f>IFERROR(__xludf.DUMMYFUNCTION("""COMPUTED_VALUE"""),44530.0)</f>
        <v>44530</v>
      </c>
      <c r="H523" s="79">
        <f>IFERROR(__xludf.DUMMYFUNCTION("""COMPUTED_VALUE"""),44555.0)</f>
        <v>44555</v>
      </c>
      <c r="I523" s="92">
        <f>IFERROR(__xludf.DUMMYFUNCTION("""COMPUTED_VALUE"""),96.0)</f>
        <v>96</v>
      </c>
      <c r="J523" s="74" t="str">
        <f>IFERROR(__xludf.DUMMYFUNCTION("""COMPUTED_VALUE"""),"K Subba Raju")</f>
        <v>K Subba Raju</v>
      </c>
      <c r="K523" s="80" t="str">
        <f>IFERROR(__xludf.DUMMYFUNCTION("""COMPUTED_VALUE"""),"https://drive.google.com/open?id=17Sl_rQ_ag42spqyJh38eNM10mb_mPENE")</f>
        <v>https://drive.google.com/open?id=17Sl_rQ_ag42spqyJh38eNM10mb_mPENE</v>
      </c>
      <c r="L523" s="74" t="str">
        <f>IFERROR(__xludf.DUMMYFUNCTION("""COMPUTED_VALUE"""),"2020-2024")</f>
        <v>2020-2024</v>
      </c>
      <c r="M523" s="74" t="str">
        <f>IFERROR(__xludf.DUMMYFUNCTION("""COMPUTED_VALUE"""),"S4: Student Certifications")</f>
        <v>S4: Student Certifications</v>
      </c>
      <c r="N523" s="74" t="str">
        <f>IFERROR(__xludf.DUMMYFUNCTION("""COMPUTED_VALUE"""),"gudalalalithamaheswari4180@gmail.com")</f>
        <v>gudalalalithamaheswari4180@gmail.com</v>
      </c>
      <c r="O523" s="74" t="str">
        <f>IFERROR(__xludf.DUMMYFUNCTION("""COMPUTED_VALUE"""),"SEM-4")</f>
        <v>SEM-4</v>
      </c>
      <c r="P523" s="74"/>
      <c r="Q523" s="74"/>
      <c r="R523" s="74"/>
      <c r="S523" s="74"/>
      <c r="T523" s="74"/>
      <c r="U523" s="74"/>
      <c r="V523" s="74"/>
      <c r="W523" s="74"/>
      <c r="X523" s="74"/>
      <c r="Y523" s="74"/>
    </row>
    <row r="524" ht="26.25" customHeight="1">
      <c r="A524" s="74" t="str">
        <f>IFERROR(__xludf.DUMMYFUNCTION("""COMPUTED_VALUE"""),"Kolluru Sai Venkata Ravi Sastry")</f>
        <v>Kolluru Sai Venkata Ravi Sastry</v>
      </c>
      <c r="B524" s="74" t="str">
        <f>IFERROR(__xludf.DUMMYFUNCTION("""COMPUTED_VALUE"""),"20331A0588")</f>
        <v>20331A0588</v>
      </c>
      <c r="C524" s="90" t="str">
        <f>IFERROR(__xludf.DUMMYFUNCTION("""COMPUTED_VALUE"""),"IT ESSENTIALS")</f>
        <v>IT ESSENTIALS</v>
      </c>
      <c r="D524" s="74" t="str">
        <f>IFERROR(__xludf.DUMMYFUNCTION("""COMPUTED_VALUE"""),"CISCO ONLINE COURSE")</f>
        <v>CISCO ONLINE COURSE</v>
      </c>
      <c r="E524" s="74" t="str">
        <f>IFERROR(__xludf.DUMMYFUNCTION("""COMPUTED_VALUE"""),"10 WEEKS")</f>
        <v>10 WEEKS</v>
      </c>
      <c r="F524" s="91">
        <f>IFERROR(__xludf.DUMMYFUNCTION("""COMPUTED_VALUE"""),44330.0)</f>
        <v>44330</v>
      </c>
      <c r="G524" s="91">
        <f>IFERROR(__xludf.DUMMYFUNCTION("""COMPUTED_VALUE"""),44388.0)</f>
        <v>44388</v>
      </c>
      <c r="H524" s="79">
        <f>IFERROR(__xludf.DUMMYFUNCTION("""COMPUTED_VALUE"""),44388.0)</f>
        <v>44388</v>
      </c>
      <c r="I524" s="92">
        <f>IFERROR(__xludf.DUMMYFUNCTION("""COMPUTED_VALUE"""),90.0)</f>
        <v>90</v>
      </c>
      <c r="J524" s="74" t="str">
        <f>IFERROR(__xludf.DUMMYFUNCTION("""COMPUTED_VALUE"""),"K.V SUBBARAJU")</f>
        <v>K.V SUBBARAJU</v>
      </c>
      <c r="K524" s="80" t="str">
        <f>IFERROR(__xludf.DUMMYFUNCTION("""COMPUTED_VALUE"""),"https://drive.google.com/open?id=1czIzAGfCjQHXOg3WrEvdsBQ0ELMRPG0z")</f>
        <v>https://drive.google.com/open?id=1czIzAGfCjQHXOg3WrEvdsBQ0ELMRPG0z</v>
      </c>
      <c r="L524" s="74" t="str">
        <f>IFERROR(__xludf.DUMMYFUNCTION("""COMPUTED_VALUE"""),"2020-2024")</f>
        <v>2020-2024</v>
      </c>
      <c r="M524" s="74" t="str">
        <f>IFERROR(__xludf.DUMMYFUNCTION("""COMPUTED_VALUE"""),"S4: Student Certifications")</f>
        <v>S4: Student Certifications</v>
      </c>
      <c r="N524" s="74" t="str">
        <f>IFERROR(__xludf.DUMMYFUNCTION("""COMPUTED_VALUE"""),"ravisastrykolluru2021@gmail.com")</f>
        <v>ravisastrykolluru2021@gmail.com</v>
      </c>
      <c r="O524" s="74" t="str">
        <f>IFERROR(__xludf.DUMMYFUNCTION("""COMPUTED_VALUE"""),"SEM-4")</f>
        <v>SEM-4</v>
      </c>
      <c r="P524" s="74"/>
      <c r="Q524" s="74"/>
      <c r="R524" s="74"/>
      <c r="S524" s="74"/>
      <c r="T524" s="74"/>
      <c r="U524" s="74"/>
      <c r="V524" s="74"/>
      <c r="W524" s="74"/>
      <c r="X524" s="74"/>
      <c r="Y524" s="74"/>
    </row>
    <row r="525" ht="26.25" customHeight="1">
      <c r="A525" s="74" t="str">
        <f>IFERROR(__xludf.DUMMYFUNCTION("""COMPUTED_VALUE"""),"Killana Gayatri Venkata Manikanta")</f>
        <v>Killana Gayatri Venkata Manikanta</v>
      </c>
      <c r="B525" s="74" t="str">
        <f>IFERROR(__xludf.DUMMYFUNCTION("""COMPUTED_VALUE"""),"18331A0576")</f>
        <v>18331A0576</v>
      </c>
      <c r="C525" s="90" t="str">
        <f>IFERROR(__xludf.DUMMYFUNCTION("""COMPUTED_VALUE"""),"Programming Esentials in C")</f>
        <v>Programming Esentials in C</v>
      </c>
      <c r="D525" s="74" t="str">
        <f>IFERROR(__xludf.DUMMYFUNCTION("""COMPUTED_VALUE"""),"Cisco")</f>
        <v>Cisco</v>
      </c>
      <c r="E525" s="74" t="str">
        <f>IFERROR(__xludf.DUMMYFUNCTION("""COMPUTED_VALUE"""),"one month")</f>
        <v>one month</v>
      </c>
      <c r="F525" s="91">
        <f>IFERROR(__xludf.DUMMYFUNCTION("""COMPUTED_VALUE"""),43624.0)</f>
        <v>43624</v>
      </c>
      <c r="G525" s="91">
        <f>IFERROR(__xludf.DUMMYFUNCTION("""COMPUTED_VALUE"""),43654.0)</f>
        <v>43654</v>
      </c>
      <c r="H525" s="79">
        <f>IFERROR(__xludf.DUMMYFUNCTION("""COMPUTED_VALUE"""),43686.0)</f>
        <v>43686</v>
      </c>
      <c r="I525" s="92">
        <f>IFERROR(__xludf.DUMMYFUNCTION("""COMPUTED_VALUE"""),90.0)</f>
        <v>90</v>
      </c>
      <c r="J525" s="74" t="str">
        <f>IFERROR(__xludf.DUMMYFUNCTION("""COMPUTED_VALUE"""),"Vamsi Krishna Mahabhasyam")</f>
        <v>Vamsi Krishna Mahabhasyam</v>
      </c>
      <c r="K525" s="80" t="str">
        <f>IFERROR(__xludf.DUMMYFUNCTION("""COMPUTED_VALUE"""),"https://drive.google.com/open?id=1Qc5AqfMve3ctBRZ_w3MfmS_ctS2EU0GC")</f>
        <v>https://drive.google.com/open?id=1Qc5AqfMve3ctBRZ_w3MfmS_ctS2EU0GC</v>
      </c>
      <c r="L525" s="74" t="str">
        <f>IFERROR(__xludf.DUMMYFUNCTION("""COMPUTED_VALUE"""),"2018-2022")</f>
        <v>2018-2022</v>
      </c>
      <c r="M525" s="74" t="str">
        <f>IFERROR(__xludf.DUMMYFUNCTION("""COMPUTED_VALUE"""),"S4: Student Certifications")</f>
        <v>S4: Student Certifications</v>
      </c>
      <c r="N525" s="74" t="str">
        <f>IFERROR(__xludf.DUMMYFUNCTION("""COMPUTED_VALUE"""),"manikantakillana22@gmail.com")</f>
        <v>manikantakillana22@gmail.com</v>
      </c>
      <c r="O525" s="74" t="str">
        <f>IFERROR(__xludf.DUMMYFUNCTION("""COMPUTED_VALUE"""),"SEM-3")</f>
        <v>SEM-3</v>
      </c>
      <c r="P525" s="74"/>
      <c r="Q525" s="74"/>
      <c r="R525" s="74"/>
      <c r="S525" s="74"/>
      <c r="T525" s="74"/>
      <c r="U525" s="74"/>
      <c r="V525" s="74"/>
      <c r="W525" s="74"/>
      <c r="X525" s="74"/>
      <c r="Y525" s="74"/>
    </row>
    <row r="526" ht="26.25" customHeight="1">
      <c r="A526" s="74" t="str">
        <f>IFERROR(__xludf.DUMMYFUNCTION("""COMPUTED_VALUE"""),"Killana Gayatri Venkata Manikanta")</f>
        <v>Killana Gayatri Venkata Manikanta</v>
      </c>
      <c r="B526" s="74" t="str">
        <f>IFERROR(__xludf.DUMMYFUNCTION("""COMPUTED_VALUE"""),"  18331A0576")</f>
        <v>  18331A0576</v>
      </c>
      <c r="C526" s="90" t="str">
        <f>IFERROR(__xludf.DUMMYFUNCTION("""COMPUTED_VALUE"""),"Cyber Security Essemtials")</f>
        <v>Cyber Security Essemtials</v>
      </c>
      <c r="D526" s="74" t="str">
        <f>IFERROR(__xludf.DUMMYFUNCTION("""COMPUTED_VALUE"""),"Cisco")</f>
        <v>Cisco</v>
      </c>
      <c r="E526" s="74" t="str">
        <f>IFERROR(__xludf.DUMMYFUNCTION("""COMPUTED_VALUE"""),"one month")</f>
        <v>one month</v>
      </c>
      <c r="F526" s="91">
        <f>IFERROR(__xludf.DUMMYFUNCTION("""COMPUTED_VALUE"""),43666.0)</f>
        <v>43666</v>
      </c>
      <c r="G526" s="91">
        <f>IFERROR(__xludf.DUMMYFUNCTION("""COMPUTED_VALUE"""),43672.0)</f>
        <v>43672</v>
      </c>
      <c r="H526" s="79">
        <f>IFERROR(__xludf.DUMMYFUNCTION("""COMPUTED_VALUE"""),43672.0)</f>
        <v>43672</v>
      </c>
      <c r="I526" s="92">
        <f>IFERROR(__xludf.DUMMYFUNCTION("""COMPUTED_VALUE"""),90.0)</f>
        <v>90</v>
      </c>
      <c r="J526" s="74" t="str">
        <f>IFERROR(__xludf.DUMMYFUNCTION("""COMPUTED_VALUE"""),"Dr.Ravi Kiran Varma Penmatsa")</f>
        <v>Dr.Ravi Kiran Varma Penmatsa</v>
      </c>
      <c r="K526" s="80" t="str">
        <f>IFERROR(__xludf.DUMMYFUNCTION("""COMPUTED_VALUE"""),"https://drive.google.com/open?id=1nH8TaKBldh6ZDc0sW1vjSxEoDNNHr6gI")</f>
        <v>https://drive.google.com/open?id=1nH8TaKBldh6ZDc0sW1vjSxEoDNNHr6gI</v>
      </c>
      <c r="L526" s="74" t="str">
        <f>IFERROR(__xludf.DUMMYFUNCTION("""COMPUTED_VALUE"""),"2018-2022")</f>
        <v>2018-2022</v>
      </c>
      <c r="M526" s="74" t="str">
        <f>IFERROR(__xludf.DUMMYFUNCTION("""COMPUTED_VALUE"""),"S4: Student Certifications")</f>
        <v>S4: Student Certifications</v>
      </c>
      <c r="N526" s="74" t="str">
        <f>IFERROR(__xludf.DUMMYFUNCTION("""COMPUTED_VALUE"""),"manikantakillana22@gmail.com")</f>
        <v>manikantakillana22@gmail.com</v>
      </c>
      <c r="O526" s="74" t="str">
        <f>IFERROR(__xludf.DUMMYFUNCTION("""COMPUTED_VALUE"""),"SEM-3")</f>
        <v>SEM-3</v>
      </c>
      <c r="P526" s="74"/>
      <c r="Q526" s="74"/>
      <c r="R526" s="74"/>
      <c r="S526" s="74"/>
      <c r="T526" s="74"/>
      <c r="U526" s="74"/>
      <c r="V526" s="74"/>
      <c r="W526" s="74"/>
      <c r="X526" s="74"/>
      <c r="Y526" s="74"/>
    </row>
    <row r="527" ht="26.25" customHeight="1">
      <c r="A527" s="74" t="str">
        <f>IFERROR(__xludf.DUMMYFUNCTION("""COMPUTED_VALUE"""),"Killana Gayatri Venkata Manikanta")</f>
        <v>Killana Gayatri Venkata Manikanta</v>
      </c>
      <c r="B527" s="74" t="str">
        <f>IFERROR(__xludf.DUMMYFUNCTION("""COMPUTED_VALUE"""),"  18331A0576")</f>
        <v>  18331A0576</v>
      </c>
      <c r="C527" s="90" t="str">
        <f>IFERROR(__xludf.DUMMYFUNCTION("""COMPUTED_VALUE"""),"Programming Essentials in python")</f>
        <v>Programming Essentials in python</v>
      </c>
      <c r="D527" s="74" t="str">
        <f>IFERROR(__xludf.DUMMYFUNCTION("""COMPUTED_VALUE"""),"Cisco")</f>
        <v>Cisco</v>
      </c>
      <c r="E527" s="74" t="str">
        <f>IFERROR(__xludf.DUMMYFUNCTION("""COMPUTED_VALUE"""),"one month")</f>
        <v>one month</v>
      </c>
      <c r="F527" s="91">
        <f>IFERROR(__xludf.DUMMYFUNCTION("""COMPUTED_VALUE"""),44355.0)</f>
        <v>44355</v>
      </c>
      <c r="G527" s="91">
        <f>IFERROR(__xludf.DUMMYFUNCTION("""COMPUTED_VALUE"""),44388.0)</f>
        <v>44388</v>
      </c>
      <c r="H527" s="79">
        <f>IFERROR(__xludf.DUMMYFUNCTION("""COMPUTED_VALUE"""),44388.0)</f>
        <v>44388</v>
      </c>
      <c r="I527" s="92">
        <f>IFERROR(__xludf.DUMMYFUNCTION("""COMPUTED_VALUE"""),90.0)</f>
        <v>90</v>
      </c>
      <c r="J527" s="74" t="str">
        <f>IFERROR(__xludf.DUMMYFUNCTION("""COMPUTED_VALUE"""),"Subba Raju K V")</f>
        <v>Subba Raju K V</v>
      </c>
      <c r="K527" s="80" t="str">
        <f>IFERROR(__xludf.DUMMYFUNCTION("""COMPUTED_VALUE"""),"https://drive.google.com/open?id=10YCOw4UsW0uhFlhA-QSLmEDz3KUDJMRG")</f>
        <v>https://drive.google.com/open?id=10YCOw4UsW0uhFlhA-QSLmEDz3KUDJMRG</v>
      </c>
      <c r="L527" s="74" t="str">
        <f>IFERROR(__xludf.DUMMYFUNCTION("""COMPUTED_VALUE"""),"2018-2022")</f>
        <v>2018-2022</v>
      </c>
      <c r="M527" s="74" t="str">
        <f>IFERROR(__xludf.DUMMYFUNCTION("""COMPUTED_VALUE"""),"S4: Student Certifications")</f>
        <v>S4: Student Certifications</v>
      </c>
      <c r="N527" s="74" t="str">
        <f>IFERROR(__xludf.DUMMYFUNCTION("""COMPUTED_VALUE"""),"manikantakillana22@gmail.com")</f>
        <v>manikantakillana22@gmail.com</v>
      </c>
      <c r="O527" s="74" t="str">
        <f>IFERROR(__xludf.DUMMYFUNCTION("""COMPUTED_VALUE"""),"SEM-7")</f>
        <v>SEM-7</v>
      </c>
      <c r="P527" s="74"/>
      <c r="Q527" s="74"/>
      <c r="R527" s="74"/>
      <c r="S527" s="74"/>
      <c r="T527" s="74"/>
      <c r="U527" s="74"/>
      <c r="V527" s="74"/>
      <c r="W527" s="74"/>
      <c r="X527" s="74"/>
      <c r="Y527" s="74"/>
    </row>
    <row r="528" ht="26.25" customHeight="1">
      <c r="A528" s="74" t="str">
        <f>IFERROR(__xludf.DUMMYFUNCTION("""COMPUTED_VALUE"""),"Killana Gayatri Venkata Manikanta")</f>
        <v>Killana Gayatri Venkata Manikanta</v>
      </c>
      <c r="B528" s="74" t="str">
        <f>IFERROR(__xludf.DUMMYFUNCTION("""COMPUTED_VALUE""")," 18331A0576")</f>
        <v> 18331A0576</v>
      </c>
      <c r="C528" s="90" t="str">
        <f>IFERROR(__xludf.DUMMYFUNCTION("""COMPUTED_VALUE"""),"CCNA")</f>
        <v>CCNA</v>
      </c>
      <c r="D528" s="74" t="str">
        <f>IFERROR(__xludf.DUMMYFUNCTION("""COMPUTED_VALUE"""),"Cisco")</f>
        <v>Cisco</v>
      </c>
      <c r="E528" s="74" t="str">
        <f>IFERROR(__xludf.DUMMYFUNCTION("""COMPUTED_VALUE"""),"one month")</f>
        <v>one month</v>
      </c>
      <c r="F528" s="91">
        <f>IFERROR(__xludf.DUMMYFUNCTION("""COMPUTED_VALUE"""),44385.0)</f>
        <v>44385</v>
      </c>
      <c r="G528" s="91">
        <f>IFERROR(__xludf.DUMMYFUNCTION("""COMPUTED_VALUE"""),44388.0)</f>
        <v>44388</v>
      </c>
      <c r="H528" s="79">
        <f>IFERROR(__xludf.DUMMYFUNCTION("""COMPUTED_VALUE"""),44388.0)</f>
        <v>44388</v>
      </c>
      <c r="I528" s="92">
        <f>IFERROR(__xludf.DUMMYFUNCTION("""COMPUTED_VALUE"""),90.0)</f>
        <v>90</v>
      </c>
      <c r="J528" s="74" t="str">
        <f>IFERROR(__xludf.DUMMYFUNCTION("""COMPUTED_VALUE"""),"SubbaRaju k v")</f>
        <v>SubbaRaju k v</v>
      </c>
      <c r="K528" s="80" t="str">
        <f>IFERROR(__xludf.DUMMYFUNCTION("""COMPUTED_VALUE"""),"https://drive.google.com/open?id=1g1PPciummGlsJydx6Kye9TuF6hVVOtLV")</f>
        <v>https://drive.google.com/open?id=1g1PPciummGlsJydx6Kye9TuF6hVVOtLV</v>
      </c>
      <c r="L528" s="74" t="str">
        <f>IFERROR(__xludf.DUMMYFUNCTION("""COMPUTED_VALUE"""),"2018-2022")</f>
        <v>2018-2022</v>
      </c>
      <c r="M528" s="74" t="str">
        <f>IFERROR(__xludf.DUMMYFUNCTION("""COMPUTED_VALUE"""),"S4: Student Certifications")</f>
        <v>S4: Student Certifications</v>
      </c>
      <c r="N528" s="74" t="str">
        <f>IFERROR(__xludf.DUMMYFUNCTION("""COMPUTED_VALUE"""),"manikantakillana22@gmail.com")</f>
        <v>manikantakillana22@gmail.com</v>
      </c>
      <c r="O528" s="74" t="str">
        <f>IFERROR(__xludf.DUMMYFUNCTION("""COMPUTED_VALUE"""),"SEM-7")</f>
        <v>SEM-7</v>
      </c>
      <c r="P528" s="74"/>
      <c r="Q528" s="74"/>
      <c r="R528" s="74"/>
      <c r="S528" s="74"/>
      <c r="T528" s="74"/>
      <c r="U528" s="74"/>
      <c r="V528" s="74"/>
      <c r="W528" s="74"/>
      <c r="X528" s="74"/>
      <c r="Y528" s="74"/>
    </row>
    <row r="529" ht="26.25" customHeight="1">
      <c r="A529" s="74" t="str">
        <f>IFERROR(__xludf.DUMMYFUNCTION("""COMPUTED_VALUE"""),"KONA.THARUN SREE SAI")</f>
        <v>KONA.THARUN SREE SAI</v>
      </c>
      <c r="B529" s="74" t="str">
        <f>IFERROR(__xludf.DUMMYFUNCTION("""COMPUTED_VALUE"""),"20331A0590")</f>
        <v>20331A0590</v>
      </c>
      <c r="C529" s="90" t="str">
        <f>IFERROR(__xludf.DUMMYFUNCTION("""COMPUTED_VALUE"""),"NDG LINUX  ESSENTIAL ")</f>
        <v>NDG LINUX  ESSENTIAL </v>
      </c>
      <c r="D529" s="74" t="str">
        <f>IFERROR(__xludf.DUMMYFUNCTION("""COMPUTED_VALUE"""),"Cisco ")</f>
        <v>Cisco </v>
      </c>
      <c r="E529" s="74" t="str">
        <f>IFERROR(__xludf.DUMMYFUNCTION("""COMPUTED_VALUE"""),"2 months ")</f>
        <v>2 months </v>
      </c>
      <c r="F529" s="91">
        <f>IFERROR(__xludf.DUMMYFUNCTION("""COMPUTED_VALUE"""),44479.0)</f>
        <v>44479</v>
      </c>
      <c r="G529" s="91">
        <f>IFERROR(__xludf.DUMMYFUNCTION("""COMPUTED_VALUE"""),44542.0)</f>
        <v>44542</v>
      </c>
      <c r="H529" s="79">
        <f>IFERROR(__xludf.DUMMYFUNCTION("""COMPUTED_VALUE"""),44540.0)</f>
        <v>44540</v>
      </c>
      <c r="I529" s="92">
        <f>IFERROR(__xludf.DUMMYFUNCTION("""COMPUTED_VALUE"""),98.0)</f>
        <v>98</v>
      </c>
      <c r="J529" s="74" t="str">
        <f>IFERROR(__xludf.DUMMYFUNCTION("""COMPUTED_VALUE"""),"K.subba Raj ")</f>
        <v>K.subba Raj </v>
      </c>
      <c r="K529" s="80" t="str">
        <f>IFERROR(__xludf.DUMMYFUNCTION("""COMPUTED_VALUE"""),"https://drive.google.com/open?id=1jXQvw4zGqm7fBrhjrUC98L7_ZuN9JyzH")</f>
        <v>https://drive.google.com/open?id=1jXQvw4zGqm7fBrhjrUC98L7_ZuN9JyzH</v>
      </c>
      <c r="L529" s="74" t="str">
        <f>IFERROR(__xludf.DUMMYFUNCTION("""COMPUTED_VALUE"""),"2020-2024")</f>
        <v>2020-2024</v>
      </c>
      <c r="M529" s="74" t="str">
        <f>IFERROR(__xludf.DUMMYFUNCTION("""COMPUTED_VALUE"""),"S4: Student Certifications")</f>
        <v>S4: Student Certifications</v>
      </c>
      <c r="N529" s="74" t="str">
        <f>IFERROR(__xludf.DUMMYFUNCTION("""COMPUTED_VALUE"""),"tharunkona111@gmail.com")</f>
        <v>tharunkona111@gmail.com</v>
      </c>
      <c r="O529" s="74" t="str">
        <f>IFERROR(__xludf.DUMMYFUNCTION("""COMPUTED_VALUE"""),"SEM-4")</f>
        <v>SEM-4</v>
      </c>
      <c r="P529" s="74"/>
      <c r="Q529" s="74"/>
      <c r="R529" s="74"/>
      <c r="S529" s="74"/>
      <c r="T529" s="74"/>
      <c r="U529" s="74"/>
      <c r="V529" s="74"/>
      <c r="W529" s="74"/>
      <c r="X529" s="74"/>
      <c r="Y529" s="74"/>
    </row>
    <row r="530" ht="26.25" customHeight="1">
      <c r="A530" s="74" t="str">
        <f>IFERROR(__xludf.DUMMYFUNCTION("""COMPUTED_VALUE"""),"Killana Gayatri Venkata Manikanta")</f>
        <v>Killana Gayatri Venkata Manikanta</v>
      </c>
      <c r="B530" s="74" t="str">
        <f>IFERROR(__xludf.DUMMYFUNCTION("""COMPUTED_VALUE"""),"18331A0576")</f>
        <v>18331A0576</v>
      </c>
      <c r="C530" s="90" t="str">
        <f>IFERROR(__xludf.DUMMYFUNCTION("""COMPUTED_VALUE"""),"Linux")</f>
        <v>Linux</v>
      </c>
      <c r="D530" s="74" t="str">
        <f>IFERROR(__xludf.DUMMYFUNCTION("""COMPUTED_VALUE"""),"Red Hat")</f>
        <v>Red Hat</v>
      </c>
      <c r="E530" s="74" t="str">
        <f>IFERROR(__xludf.DUMMYFUNCTION("""COMPUTED_VALUE"""),"10 days")</f>
        <v>10 days</v>
      </c>
      <c r="F530" s="91">
        <f>IFERROR(__xludf.DUMMYFUNCTION("""COMPUTED_VALUE"""),44647.0)</f>
        <v>44647</v>
      </c>
      <c r="G530" s="91">
        <f>IFERROR(__xludf.DUMMYFUNCTION("""COMPUTED_VALUE"""),44658.0)</f>
        <v>44658</v>
      </c>
      <c r="H530" s="79">
        <f>IFERROR(__xludf.DUMMYFUNCTION("""COMPUTED_VALUE"""),44658.0)</f>
        <v>44658</v>
      </c>
      <c r="I530" s="92">
        <f>IFERROR(__xludf.DUMMYFUNCTION("""COMPUTED_VALUE"""),90.0)</f>
        <v>90</v>
      </c>
      <c r="J530" s="74" t="str">
        <f>IFERROR(__xludf.DUMMYFUNCTION("""COMPUTED_VALUE"""),"SubbaRaju K V")</f>
        <v>SubbaRaju K V</v>
      </c>
      <c r="K530" s="80" t="str">
        <f>IFERROR(__xludf.DUMMYFUNCTION("""COMPUTED_VALUE"""),"https://drive.google.com/open?id=1KvXPRrtHu5Ev8HODK-1xhlS1_HnHyN_5")</f>
        <v>https://drive.google.com/open?id=1KvXPRrtHu5Ev8HODK-1xhlS1_HnHyN_5</v>
      </c>
      <c r="L530" s="74" t="str">
        <f>IFERROR(__xludf.DUMMYFUNCTION("""COMPUTED_VALUE"""),"2018-2022")</f>
        <v>2018-2022</v>
      </c>
      <c r="M530" s="74" t="str">
        <f>IFERROR(__xludf.DUMMYFUNCTION("""COMPUTED_VALUE"""),"S4: Student Certifications")</f>
        <v>S4: Student Certifications</v>
      </c>
      <c r="N530" s="74" t="str">
        <f>IFERROR(__xludf.DUMMYFUNCTION("""COMPUTED_VALUE"""),"manikantakillana22@gmail.com")</f>
        <v>manikantakillana22@gmail.com</v>
      </c>
      <c r="O530" s="74" t="str">
        <f>IFERROR(__xludf.DUMMYFUNCTION("""COMPUTED_VALUE"""),"SEM-8")</f>
        <v>SEM-8</v>
      </c>
      <c r="P530" s="74"/>
      <c r="Q530" s="74"/>
      <c r="R530" s="74"/>
      <c r="S530" s="74"/>
      <c r="T530" s="74"/>
      <c r="U530" s="74"/>
      <c r="V530" s="74"/>
      <c r="W530" s="74"/>
      <c r="X530" s="74"/>
      <c r="Y530" s="74"/>
    </row>
    <row r="531" ht="26.25" customHeight="1">
      <c r="A531" s="74" t="str">
        <f>IFERROR(__xludf.DUMMYFUNCTION("""COMPUTED_VALUE"""),"Prajyulitha Lakkoju ")</f>
        <v>Prajyulitha Lakkoju </v>
      </c>
      <c r="B531" s="74" t="str">
        <f>IFERROR(__xludf.DUMMYFUNCTION("""COMPUTED_VALUE"""),"20331A0598")</f>
        <v>20331A0598</v>
      </c>
      <c r="C531" s="90" t="str">
        <f>IFERROR(__xludf.DUMMYFUNCTION("""COMPUTED_VALUE"""),"Cisco it essentials")</f>
        <v>Cisco it essentials</v>
      </c>
      <c r="D531" s="74" t="str">
        <f>IFERROR(__xludf.DUMMYFUNCTION("""COMPUTED_VALUE"""),"NDG")</f>
        <v>NDG</v>
      </c>
      <c r="E531" s="74" t="str">
        <f>IFERROR(__xludf.DUMMYFUNCTION("""COMPUTED_VALUE"""),"2 months")</f>
        <v>2 months</v>
      </c>
      <c r="F531" s="91">
        <f>IFERROR(__xludf.DUMMYFUNCTION("""COMPUTED_VALUE"""),44317.0)</f>
        <v>44317</v>
      </c>
      <c r="G531" s="91">
        <f>IFERROR(__xludf.DUMMYFUNCTION("""COMPUTED_VALUE"""),44305.0)</f>
        <v>44305</v>
      </c>
      <c r="H531" s="79">
        <f>IFERROR(__xludf.DUMMYFUNCTION("""COMPUTED_VALUE"""),44396.0)</f>
        <v>44396</v>
      </c>
      <c r="I531" s="92">
        <f>IFERROR(__xludf.DUMMYFUNCTION("""COMPUTED_VALUE"""),93.0)</f>
        <v>93</v>
      </c>
      <c r="J531" s="74" t="str">
        <f>IFERROR(__xludf.DUMMYFUNCTION("""COMPUTED_VALUE"""),"Dr suvarna Kumar gogula")</f>
        <v>Dr suvarna Kumar gogula</v>
      </c>
      <c r="K531" s="80" t="str">
        <f>IFERROR(__xludf.DUMMYFUNCTION("""COMPUTED_VALUE"""),"https://drive.google.com/open?id=1NSplG2ly1V3XE_WGlxIRc7GYvwZOmQk4")</f>
        <v>https://drive.google.com/open?id=1NSplG2ly1V3XE_WGlxIRc7GYvwZOmQk4</v>
      </c>
      <c r="L531" s="74" t="str">
        <f>IFERROR(__xludf.DUMMYFUNCTION("""COMPUTED_VALUE"""),"2020-2024")</f>
        <v>2020-2024</v>
      </c>
      <c r="M531" s="74" t="str">
        <f>IFERROR(__xludf.DUMMYFUNCTION("""COMPUTED_VALUE"""),"S4: Student Certifications")</f>
        <v>S4: Student Certifications</v>
      </c>
      <c r="N531" s="74" t="str">
        <f>IFERROR(__xludf.DUMMYFUNCTION("""COMPUTED_VALUE"""),"sonalakkoju6@gmail.com")</f>
        <v>sonalakkoju6@gmail.com</v>
      </c>
      <c r="O531" s="74" t="str">
        <f>IFERROR(__xludf.DUMMYFUNCTION("""COMPUTED_VALUE"""),"SEM-3")</f>
        <v>SEM-3</v>
      </c>
      <c r="P531" s="74"/>
      <c r="Q531" s="74"/>
      <c r="R531" s="74"/>
      <c r="S531" s="74"/>
      <c r="T531" s="74"/>
      <c r="U531" s="74"/>
      <c r="V531" s="74"/>
      <c r="W531" s="74"/>
      <c r="X531" s="74"/>
      <c r="Y531" s="74"/>
    </row>
    <row r="532" ht="26.25" customHeight="1">
      <c r="A532" s="74" t="str">
        <f>IFERROR(__xludf.DUMMYFUNCTION("""COMPUTED_VALUE"""),"Pavanteja sepana")</f>
        <v>Pavanteja sepana</v>
      </c>
      <c r="B532" s="74" t="str">
        <f>IFERROR(__xludf.DUMMYFUNCTION("""COMPUTED_VALUE"""),"18331A05H4")</f>
        <v>18331A05H4</v>
      </c>
      <c r="C532" s="90" t="str">
        <f>IFERROR(__xludf.DUMMYFUNCTION("""COMPUTED_VALUE"""),"Programming essentials in C")</f>
        <v>Programming essentials in C</v>
      </c>
      <c r="D532" s="74" t="str">
        <f>IFERROR(__xludf.DUMMYFUNCTION("""COMPUTED_VALUE"""),"Cisco networking academy")</f>
        <v>Cisco networking academy</v>
      </c>
      <c r="E532" s="74" t="str">
        <f>IFERROR(__xludf.DUMMYFUNCTION("""COMPUTED_VALUE"""),"4 months")</f>
        <v>4 months</v>
      </c>
      <c r="F532" s="91">
        <f>IFERROR(__xludf.DUMMYFUNCTION("""COMPUTED_VALUE"""),43647.0)</f>
        <v>43647</v>
      </c>
      <c r="G532" s="91">
        <f>IFERROR(__xludf.DUMMYFUNCTION("""COMPUTED_VALUE"""),43782.0)</f>
        <v>43782</v>
      </c>
      <c r="H532" s="79">
        <f>IFERROR(__xludf.DUMMYFUNCTION("""COMPUTED_VALUE"""),43803.0)</f>
        <v>43803</v>
      </c>
      <c r="I532" s="92">
        <f>IFERROR(__xludf.DUMMYFUNCTION("""COMPUTED_VALUE"""),92.0)</f>
        <v>92</v>
      </c>
      <c r="J532" s="74" t="str">
        <f>IFERROR(__xludf.DUMMYFUNCTION("""COMPUTED_VALUE"""),"Ravi Kiran varama penmatsa")</f>
        <v>Ravi Kiran varama penmatsa</v>
      </c>
      <c r="K532" s="80" t="str">
        <f>IFERROR(__xludf.DUMMYFUNCTION("""COMPUTED_VALUE"""),"https://drive.google.com/open?id=1qt7a5B2-6G4JsDP0xvOkYugdloNW3pP6")</f>
        <v>https://drive.google.com/open?id=1qt7a5B2-6G4JsDP0xvOkYugdloNW3pP6</v>
      </c>
      <c r="L532" s="74" t="str">
        <f>IFERROR(__xludf.DUMMYFUNCTION("""COMPUTED_VALUE"""),"2018-2022")</f>
        <v>2018-2022</v>
      </c>
      <c r="M532" s="74" t="str">
        <f>IFERROR(__xludf.DUMMYFUNCTION("""COMPUTED_VALUE"""),"S4: Student Certifications")</f>
        <v>S4: Student Certifications</v>
      </c>
      <c r="N532" s="74" t="str">
        <f>IFERROR(__xludf.DUMMYFUNCTION("""COMPUTED_VALUE"""),"tejpavan68@gmail.com")</f>
        <v>tejpavan68@gmail.com</v>
      </c>
      <c r="O532" s="74" t="str">
        <f>IFERROR(__xludf.DUMMYFUNCTION("""COMPUTED_VALUE"""),"SEM-1")</f>
        <v>SEM-1</v>
      </c>
      <c r="P532" s="74"/>
      <c r="Q532" s="74"/>
      <c r="R532" s="74"/>
      <c r="S532" s="74"/>
      <c r="T532" s="74"/>
      <c r="U532" s="74"/>
      <c r="V532" s="74"/>
      <c r="W532" s="74"/>
      <c r="X532" s="74"/>
      <c r="Y532" s="74"/>
    </row>
    <row r="533" ht="26.25" customHeight="1">
      <c r="A533" s="74" t="str">
        <f>IFERROR(__xludf.DUMMYFUNCTION("""COMPUTED_VALUE"""),"Pavanteja sepana")</f>
        <v>Pavanteja sepana</v>
      </c>
      <c r="B533" s="74" t="str">
        <f>IFERROR(__xludf.DUMMYFUNCTION("""COMPUTED_VALUE"""),"18331A05H4")</f>
        <v>18331A05H4</v>
      </c>
      <c r="C533" s="90" t="str">
        <f>IFERROR(__xludf.DUMMYFUNCTION("""COMPUTED_VALUE"""),"Cybersecurity essentials")</f>
        <v>Cybersecurity essentials</v>
      </c>
      <c r="D533" s="74" t="str">
        <f>IFERROR(__xludf.DUMMYFUNCTION("""COMPUTED_VALUE"""),"Cisco")</f>
        <v>Cisco</v>
      </c>
      <c r="E533" s="74" t="str">
        <f>IFERROR(__xludf.DUMMYFUNCTION("""COMPUTED_VALUE"""),"1 month")</f>
        <v>1 month</v>
      </c>
      <c r="F533" s="91">
        <f>IFERROR(__xludf.DUMMYFUNCTION("""COMPUTED_VALUE"""),43629.0)</f>
        <v>43629</v>
      </c>
      <c r="G533" s="91">
        <f>IFERROR(__xludf.DUMMYFUNCTION("""COMPUTED_VALUE"""),43662.0)</f>
        <v>43662</v>
      </c>
      <c r="H533" s="79">
        <f>IFERROR(__xludf.DUMMYFUNCTION("""COMPUTED_VALUE"""),43676.0)</f>
        <v>43676</v>
      </c>
      <c r="I533" s="92">
        <f>IFERROR(__xludf.DUMMYFUNCTION("""COMPUTED_VALUE"""),100.0)</f>
        <v>100</v>
      </c>
      <c r="J533" s="74" t="str">
        <f>IFERROR(__xludf.DUMMYFUNCTION("""COMPUTED_VALUE"""),"Subba raju kv ")</f>
        <v>Subba raju kv </v>
      </c>
      <c r="K533" s="80" t="str">
        <f>IFERROR(__xludf.DUMMYFUNCTION("""COMPUTED_VALUE"""),"https://drive.google.com/open?id=1r6kjgn0k81G9upoY_aZZXrU3VZdSNE-5")</f>
        <v>https://drive.google.com/open?id=1r6kjgn0k81G9upoY_aZZXrU3VZdSNE-5</v>
      </c>
      <c r="L533" s="74" t="str">
        <f>IFERROR(__xludf.DUMMYFUNCTION("""COMPUTED_VALUE"""),"2018-2022")</f>
        <v>2018-2022</v>
      </c>
      <c r="M533" s="74" t="str">
        <f>IFERROR(__xludf.DUMMYFUNCTION("""COMPUTED_VALUE"""),"S4: Student Certifications")</f>
        <v>S4: Student Certifications</v>
      </c>
      <c r="N533" s="74" t="str">
        <f>IFERROR(__xludf.DUMMYFUNCTION("""COMPUTED_VALUE"""),"tejpavan68@gmail.com")</f>
        <v>tejpavan68@gmail.com</v>
      </c>
      <c r="O533" s="74" t="str">
        <f>IFERROR(__xludf.DUMMYFUNCTION("""COMPUTED_VALUE"""),"SEM-2")</f>
        <v>SEM-2</v>
      </c>
      <c r="P533" s="74"/>
      <c r="Q533" s="74"/>
      <c r="R533" s="74"/>
      <c r="S533" s="74"/>
      <c r="T533" s="74"/>
      <c r="U533" s="74"/>
      <c r="V533" s="74"/>
      <c r="W533" s="74"/>
      <c r="X533" s="74"/>
      <c r="Y533" s="74"/>
    </row>
    <row r="534" ht="26.25" customHeight="1">
      <c r="A534" s="74" t="str">
        <f>IFERROR(__xludf.DUMMYFUNCTION("""COMPUTED_VALUE"""),"Pavanteja sepana")</f>
        <v>Pavanteja sepana</v>
      </c>
      <c r="B534" s="74" t="str">
        <f>IFERROR(__xludf.DUMMYFUNCTION("""COMPUTED_VALUE"""),"18331A05H4")</f>
        <v>18331A05H4</v>
      </c>
      <c r="C534" s="90" t="str">
        <f>IFERROR(__xludf.DUMMYFUNCTION("""COMPUTED_VALUE"""),"Red Hat System Administration I (RH124)")</f>
        <v>Red Hat System Administration I (RH124)</v>
      </c>
      <c r="D534" s="74" t="str">
        <f>IFERROR(__xludf.DUMMYFUNCTION("""COMPUTED_VALUE"""),"AICTE")</f>
        <v>AICTE</v>
      </c>
      <c r="E534" s="74" t="str">
        <f>IFERROR(__xludf.DUMMYFUNCTION("""COMPUTED_VALUE"""),"1 month")</f>
        <v>1 month</v>
      </c>
      <c r="F534" s="91">
        <f>IFERROR(__xludf.DUMMYFUNCTION("""COMPUTED_VALUE"""),44627.0)</f>
        <v>44627</v>
      </c>
      <c r="G534" s="91">
        <f>IFERROR(__xludf.DUMMYFUNCTION("""COMPUTED_VALUE"""),44627.0)</f>
        <v>44627</v>
      </c>
      <c r="H534" s="79">
        <f>IFERROR(__xludf.DUMMYFUNCTION("""COMPUTED_VALUE"""),44658.0)</f>
        <v>44658</v>
      </c>
      <c r="I534" s="92">
        <f>IFERROR(__xludf.DUMMYFUNCTION("""COMPUTED_VALUE"""),100.0)</f>
        <v>100</v>
      </c>
      <c r="J534" s="74" t="str">
        <f>IFERROR(__xludf.DUMMYFUNCTION("""COMPUTED_VALUE"""),"Subba raju kv")</f>
        <v>Subba raju kv</v>
      </c>
      <c r="K534" s="80" t="str">
        <f>IFERROR(__xludf.DUMMYFUNCTION("""COMPUTED_VALUE"""),"https://drive.google.com/open?id=1lZlrMRlBl-ZLTW1m78YX4pxu7K-6bUBi")</f>
        <v>https://drive.google.com/open?id=1lZlrMRlBl-ZLTW1m78YX4pxu7K-6bUBi</v>
      </c>
      <c r="L534" s="74" t="str">
        <f>IFERROR(__xludf.DUMMYFUNCTION("""COMPUTED_VALUE"""),"2018-2022")</f>
        <v>2018-2022</v>
      </c>
      <c r="M534" s="74" t="str">
        <f>IFERROR(__xludf.DUMMYFUNCTION("""COMPUTED_VALUE"""),"S4: Student Certifications")</f>
        <v>S4: Student Certifications</v>
      </c>
      <c r="N534" s="74" t="str">
        <f>IFERROR(__xludf.DUMMYFUNCTION("""COMPUTED_VALUE"""),"tejpavan68@gmail.com")</f>
        <v>tejpavan68@gmail.com</v>
      </c>
      <c r="O534" s="74" t="str">
        <f>IFERROR(__xludf.DUMMYFUNCTION("""COMPUTED_VALUE"""),"SEM-8")</f>
        <v>SEM-8</v>
      </c>
      <c r="P534" s="74"/>
      <c r="Q534" s="74"/>
      <c r="R534" s="74"/>
      <c r="S534" s="74"/>
      <c r="T534" s="74"/>
      <c r="U534" s="74"/>
      <c r="V534" s="74"/>
      <c r="W534" s="74"/>
      <c r="X534" s="74"/>
      <c r="Y534" s="74"/>
    </row>
    <row r="535" ht="26.25" customHeight="1">
      <c r="A535" s="74" t="str">
        <f>IFERROR(__xludf.DUMMYFUNCTION("""COMPUTED_VALUE"""),"Prajyulitha Lakkoju ")</f>
        <v>Prajyulitha Lakkoju </v>
      </c>
      <c r="B535" s="74" t="str">
        <f>IFERROR(__xludf.DUMMYFUNCTION("""COMPUTED_VALUE"""),"20331A0598")</f>
        <v>20331A0598</v>
      </c>
      <c r="C535" s="90" t="str">
        <f>IFERROR(__xludf.DUMMYFUNCTION("""COMPUTED_VALUE"""),"Programming for everybody (getting started with python)")</f>
        <v>Programming for everybody (getting started with python)</v>
      </c>
      <c r="D535" s="74" t="str">
        <f>IFERROR(__xludf.DUMMYFUNCTION("""COMPUTED_VALUE"""),"University of Michigan ")</f>
        <v>University of Michigan </v>
      </c>
      <c r="E535" s="74" t="str">
        <f>IFERROR(__xludf.DUMMYFUNCTION("""COMPUTED_VALUE"""),"4 weeks")</f>
        <v>4 weeks</v>
      </c>
      <c r="F535" s="91">
        <f>IFERROR(__xludf.DUMMYFUNCTION("""COMPUTED_VALUE"""),44662.0)</f>
        <v>44662</v>
      </c>
      <c r="G535" s="91">
        <f>IFERROR(__xludf.DUMMYFUNCTION("""COMPUTED_VALUE"""),44350.0)</f>
        <v>44350</v>
      </c>
      <c r="H535" s="79">
        <f>IFERROR(__xludf.DUMMYFUNCTION("""COMPUTED_VALUE"""),44348.0)</f>
        <v>44348</v>
      </c>
      <c r="I535" s="92">
        <f>IFERROR(__xludf.DUMMYFUNCTION("""COMPUTED_VALUE"""),100.0)</f>
        <v>100</v>
      </c>
      <c r="J535" s="74" t="str">
        <f>IFERROR(__xludf.DUMMYFUNCTION("""COMPUTED_VALUE"""),"No")</f>
        <v>No</v>
      </c>
      <c r="K535" s="80" t="str">
        <f>IFERROR(__xludf.DUMMYFUNCTION("""COMPUTED_VALUE"""),"https://drive.google.com/open?id=1suhghNE_gGxnd0mnesNV1ieJ0Rzs88iu")</f>
        <v>https://drive.google.com/open?id=1suhghNE_gGxnd0mnesNV1ieJ0Rzs88iu</v>
      </c>
      <c r="L535" s="74" t="str">
        <f>IFERROR(__xludf.DUMMYFUNCTION("""COMPUTED_VALUE"""),"2020-2024")</f>
        <v>2020-2024</v>
      </c>
      <c r="M535" s="74" t="str">
        <f>IFERROR(__xludf.DUMMYFUNCTION("""COMPUTED_VALUE"""),"S4: Student Certifications")</f>
        <v>S4: Student Certifications</v>
      </c>
      <c r="N535" s="74" t="str">
        <f>IFERROR(__xludf.DUMMYFUNCTION("""COMPUTED_VALUE"""),"sonalakkoju6@gmail.com")</f>
        <v>sonalakkoju6@gmail.com</v>
      </c>
      <c r="O535" s="74" t="str">
        <f>IFERROR(__xludf.DUMMYFUNCTION("""COMPUTED_VALUE"""),"SEM-3")</f>
        <v>SEM-3</v>
      </c>
      <c r="P535" s="74"/>
      <c r="Q535" s="74"/>
      <c r="R535" s="74"/>
      <c r="S535" s="74"/>
      <c r="T535" s="74"/>
      <c r="U535" s="74"/>
      <c r="V535" s="74"/>
      <c r="W535" s="74"/>
      <c r="X535" s="74"/>
      <c r="Y535" s="74"/>
    </row>
    <row r="536" ht="26.25" customHeight="1">
      <c r="A536" s="74" t="str">
        <f>IFERROR(__xludf.DUMMYFUNCTION("""COMPUTED_VALUE"""),"Kondeti Geetanjali ")</f>
        <v>Kondeti Geetanjali </v>
      </c>
      <c r="B536" s="74" t="str">
        <f>IFERROR(__xludf.DUMMYFUNCTION("""COMPUTED_VALUE"""),"20331A0591 ")</f>
        <v>20331A0591 </v>
      </c>
      <c r="C536" s="90" t="str">
        <f>IFERROR(__xludf.DUMMYFUNCTION("""COMPUTED_VALUE"""),"IT essentials ")</f>
        <v>IT essentials </v>
      </c>
      <c r="D536" s="74" t="str">
        <f>IFERROR(__xludf.DUMMYFUNCTION("""COMPUTED_VALUE"""),"Cisco Networking academy ")</f>
        <v>Cisco Networking academy </v>
      </c>
      <c r="E536" s="74" t="str">
        <f>IFERROR(__xludf.DUMMYFUNCTION("""COMPUTED_VALUE"""),"2 months")</f>
        <v>2 months</v>
      </c>
      <c r="F536" s="91">
        <f>IFERROR(__xludf.DUMMYFUNCTION("""COMPUTED_VALUE"""),44333.0)</f>
        <v>44333</v>
      </c>
      <c r="G536" s="91">
        <f>IFERROR(__xludf.DUMMYFUNCTION("""COMPUTED_VALUE"""),44759.0)</f>
        <v>44759</v>
      </c>
      <c r="H536" s="79">
        <f>IFERROR(__xludf.DUMMYFUNCTION("""COMPUTED_VALUE"""),44394.0)</f>
        <v>44394</v>
      </c>
      <c r="I536" s="92">
        <f>IFERROR(__xludf.DUMMYFUNCTION("""COMPUTED_VALUE"""),0.92)</f>
        <v>0.92</v>
      </c>
      <c r="J536" s="74" t="str">
        <f>IFERROR(__xludf.DUMMYFUNCTION("""COMPUTED_VALUE"""),"Dr. Suvarna Kumar Gogula")</f>
        <v>Dr. Suvarna Kumar Gogula</v>
      </c>
      <c r="K536" s="80" t="str">
        <f>IFERROR(__xludf.DUMMYFUNCTION("""COMPUTED_VALUE"""),"https://drive.google.com/open?id=14LIehmwYyGdyv-HF6cs2pf9kDT6oLxKO")</f>
        <v>https://drive.google.com/open?id=14LIehmwYyGdyv-HF6cs2pf9kDT6oLxKO</v>
      </c>
      <c r="L536" s="74" t="str">
        <f>IFERROR(__xludf.DUMMYFUNCTION("""COMPUTED_VALUE"""),"2020-2024")</f>
        <v>2020-2024</v>
      </c>
      <c r="M536" s="74" t="str">
        <f>IFERROR(__xludf.DUMMYFUNCTION("""COMPUTED_VALUE"""),"S4: Student Certifications")</f>
        <v>S4: Student Certifications</v>
      </c>
      <c r="N536" s="74" t="str">
        <f>IFERROR(__xludf.DUMMYFUNCTION("""COMPUTED_VALUE"""),"kondetigeetanjali2003@gmail.com")</f>
        <v>kondetigeetanjali2003@gmail.com</v>
      </c>
      <c r="O536" s="74" t="str">
        <f>IFERROR(__xludf.DUMMYFUNCTION("""COMPUTED_VALUE"""),"SEM-3")</f>
        <v>SEM-3</v>
      </c>
      <c r="P536" s="74"/>
      <c r="Q536" s="74"/>
      <c r="R536" s="74"/>
      <c r="S536" s="74"/>
      <c r="T536" s="74"/>
      <c r="U536" s="74"/>
      <c r="V536" s="74"/>
      <c r="W536" s="74"/>
      <c r="X536" s="74"/>
      <c r="Y536" s="74"/>
    </row>
    <row r="537" ht="26.25" customHeight="1">
      <c r="A537" s="74" t="str">
        <f>IFERROR(__xludf.DUMMYFUNCTION("""COMPUTED_VALUE"""),"Kuriti Ravindra naidu")</f>
        <v>Kuriti Ravindra naidu</v>
      </c>
      <c r="B537" s="74" t="str">
        <f>IFERROR(__xludf.DUMMYFUNCTION("""COMPUTED_VALUE"""),"20331A0597")</f>
        <v>20331A0597</v>
      </c>
      <c r="C537" s="90" t="str">
        <f>IFERROR(__xludf.DUMMYFUNCTION("""COMPUTED_VALUE"""),"IT Essentials")</f>
        <v>IT Essentials</v>
      </c>
      <c r="D537" s="74" t="str">
        <f>IFERROR(__xludf.DUMMYFUNCTION("""COMPUTED_VALUE"""),"Cisco")</f>
        <v>Cisco</v>
      </c>
      <c r="E537" s="74" t="str">
        <f>IFERROR(__xludf.DUMMYFUNCTION("""COMPUTED_VALUE"""),"2 months")</f>
        <v>2 months</v>
      </c>
      <c r="F537" s="91">
        <f>IFERROR(__xludf.DUMMYFUNCTION("""COMPUTED_VALUE"""),44333.0)</f>
        <v>44333</v>
      </c>
      <c r="G537" s="91">
        <f>IFERROR(__xludf.DUMMYFUNCTION("""COMPUTED_VALUE"""),44396.0)</f>
        <v>44396</v>
      </c>
      <c r="H537" s="79">
        <f>IFERROR(__xludf.DUMMYFUNCTION("""COMPUTED_VALUE"""),44394.0)</f>
        <v>44394</v>
      </c>
      <c r="I537" s="92">
        <f>IFERROR(__xludf.DUMMYFUNCTION("""COMPUTED_VALUE"""),0.92)</f>
        <v>0.92</v>
      </c>
      <c r="J537" s="74" t="str">
        <f>IFERROR(__xludf.DUMMYFUNCTION("""COMPUTED_VALUE"""),"Dr.Suvarna kumar gogula")</f>
        <v>Dr.Suvarna kumar gogula</v>
      </c>
      <c r="K537" s="80" t="str">
        <f>IFERROR(__xludf.DUMMYFUNCTION("""COMPUTED_VALUE"""),"https://drive.google.com/open?id=1d0KR6IQNBkDE-A4-SJmWZRoAXQxrhI1_")</f>
        <v>https://drive.google.com/open?id=1d0KR6IQNBkDE-A4-SJmWZRoAXQxrhI1_</v>
      </c>
      <c r="L537" s="74" t="str">
        <f>IFERROR(__xludf.DUMMYFUNCTION("""COMPUTED_VALUE"""),"2020-2024")</f>
        <v>2020-2024</v>
      </c>
      <c r="M537" s="74" t="str">
        <f>IFERROR(__xludf.DUMMYFUNCTION("""COMPUTED_VALUE"""),"S4: Student Certifications")</f>
        <v>S4: Student Certifications</v>
      </c>
      <c r="N537" s="74" t="str">
        <f>IFERROR(__xludf.DUMMYFUNCTION("""COMPUTED_VALUE"""),"ravindranaidukuriti@gmail.com")</f>
        <v>ravindranaidukuriti@gmail.com</v>
      </c>
      <c r="O537" s="74" t="str">
        <f>IFERROR(__xludf.DUMMYFUNCTION("""COMPUTED_VALUE"""),"SEM-4")</f>
        <v>SEM-4</v>
      </c>
      <c r="P537" s="74"/>
      <c r="Q537" s="74"/>
      <c r="R537" s="74"/>
      <c r="S537" s="74"/>
      <c r="T537" s="74"/>
      <c r="U537" s="74"/>
      <c r="V537" s="74"/>
      <c r="W537" s="74"/>
      <c r="X537" s="74"/>
      <c r="Y537" s="74"/>
    </row>
    <row r="538" ht="26.25" customHeight="1">
      <c r="A538" s="74" t="str">
        <f>IFERROR(__xludf.DUMMYFUNCTION("""COMPUTED_VALUE"""),"M. Tarun Kumar")</f>
        <v>M. Tarun Kumar</v>
      </c>
      <c r="B538" s="74" t="str">
        <f>IFERROR(__xludf.DUMMYFUNCTION("""COMPUTED_VALUE"""),"20331A05B0")</f>
        <v>20331A05B0</v>
      </c>
      <c r="C538" s="90" t="str">
        <f>IFERROR(__xludf.DUMMYFUNCTION("""COMPUTED_VALUE"""),"IT Essentials")</f>
        <v>IT Essentials</v>
      </c>
      <c r="D538" s="74" t="str">
        <f>IFERROR(__xludf.DUMMYFUNCTION("""COMPUTED_VALUE"""),"Cisco")</f>
        <v>Cisco</v>
      </c>
      <c r="E538" s="74" t="str">
        <f>IFERROR(__xludf.DUMMYFUNCTION("""COMPUTED_VALUE"""),"2 months")</f>
        <v>2 months</v>
      </c>
      <c r="F538" s="91">
        <f>IFERROR(__xludf.DUMMYFUNCTION("""COMPUTED_VALUE"""),44378.0)</f>
        <v>44378</v>
      </c>
      <c r="G538" s="91">
        <f>IFERROR(__xludf.DUMMYFUNCTION("""COMPUTED_VALUE"""),44440.0)</f>
        <v>44440</v>
      </c>
      <c r="H538" s="79">
        <f>IFERROR(__xludf.DUMMYFUNCTION("""COMPUTED_VALUE"""),44439.0)</f>
        <v>44439</v>
      </c>
      <c r="I538" s="92">
        <f>IFERROR(__xludf.DUMMYFUNCTION("""COMPUTED_VALUE"""),95.0)</f>
        <v>95</v>
      </c>
      <c r="J538" s="74" t="str">
        <f>IFERROR(__xludf.DUMMYFUNCTION("""COMPUTED_VALUE"""),"K . Subbaraj")</f>
        <v>K . Subbaraj</v>
      </c>
      <c r="K538" s="80" t="str">
        <f>IFERROR(__xludf.DUMMYFUNCTION("""COMPUTED_VALUE"""),"https://drive.google.com/open?id=1wLqkG0B7CZj2enTBSaRevw6zhdZ39qcw")</f>
        <v>https://drive.google.com/open?id=1wLqkG0B7CZj2enTBSaRevw6zhdZ39qcw</v>
      </c>
      <c r="L538" s="74" t="str">
        <f>IFERROR(__xludf.DUMMYFUNCTION("""COMPUTED_VALUE"""),"2020-2024")</f>
        <v>2020-2024</v>
      </c>
      <c r="M538" s="74" t="str">
        <f>IFERROR(__xludf.DUMMYFUNCTION("""COMPUTED_VALUE"""),"S4: Student Certifications")</f>
        <v>S4: Student Certifications</v>
      </c>
      <c r="N538" s="74" t="str">
        <f>IFERROR(__xludf.DUMMYFUNCTION("""COMPUTED_VALUE"""),"mt790191@gmail.com")</f>
        <v>mt790191@gmail.com</v>
      </c>
      <c r="O538" s="74" t="str">
        <f>IFERROR(__xludf.DUMMYFUNCTION("""COMPUTED_VALUE"""),"SEM-4")</f>
        <v>SEM-4</v>
      </c>
      <c r="P538" s="74"/>
      <c r="Q538" s="74"/>
      <c r="R538" s="74"/>
      <c r="S538" s="74"/>
      <c r="T538" s="74"/>
      <c r="U538" s="74"/>
      <c r="V538" s="74"/>
      <c r="W538" s="74"/>
      <c r="X538" s="74"/>
      <c r="Y538" s="74"/>
    </row>
    <row r="539" ht="26.25" customHeight="1">
      <c r="A539" s="74" t="str">
        <f>IFERROR(__xludf.DUMMYFUNCTION("""COMPUTED_VALUE"""),"Kuriti Ravindra naidu ")</f>
        <v>Kuriti Ravindra naidu </v>
      </c>
      <c r="B539" s="74" t="str">
        <f>IFERROR(__xludf.DUMMYFUNCTION("""COMPUTED_VALUE"""),"20331A0597")</f>
        <v>20331A0597</v>
      </c>
      <c r="C539" s="90" t="str">
        <f>IFERROR(__xludf.DUMMYFUNCTION("""COMPUTED_VALUE"""),"NDG linux")</f>
        <v>NDG linux</v>
      </c>
      <c r="D539" s="74" t="str">
        <f>IFERROR(__xludf.DUMMYFUNCTION("""COMPUTED_VALUE"""),"Cisco")</f>
        <v>Cisco</v>
      </c>
      <c r="E539" s="74" t="str">
        <f>IFERROR(__xludf.DUMMYFUNCTION("""COMPUTED_VALUE"""),"2 months")</f>
        <v>2 months</v>
      </c>
      <c r="F539" s="91">
        <f>IFERROR(__xludf.DUMMYFUNCTION("""COMPUTED_VALUE"""),44470.0)</f>
        <v>44470</v>
      </c>
      <c r="G539" s="91">
        <f>IFERROR(__xludf.DUMMYFUNCTION("""COMPUTED_VALUE"""),44561.0)</f>
        <v>44561</v>
      </c>
      <c r="H539" s="79">
        <f>IFERROR(__xludf.DUMMYFUNCTION("""COMPUTED_VALUE"""),44542.0)</f>
        <v>44542</v>
      </c>
      <c r="I539" s="92">
        <f>IFERROR(__xludf.DUMMYFUNCTION("""COMPUTED_VALUE"""),90.0)</f>
        <v>90</v>
      </c>
      <c r="J539" s="74" t="str">
        <f>IFERROR(__xludf.DUMMYFUNCTION("""COMPUTED_VALUE"""),"Dr . Subbaraju sir")</f>
        <v>Dr . Subbaraju sir</v>
      </c>
      <c r="K539" s="80" t="str">
        <f>IFERROR(__xludf.DUMMYFUNCTION("""COMPUTED_VALUE"""),"https://drive.google.com/open?id=1AmK6gtlJvyR9Zvdm5oy-YUJo4zmpxEwh")</f>
        <v>https://drive.google.com/open?id=1AmK6gtlJvyR9Zvdm5oy-YUJo4zmpxEwh</v>
      </c>
      <c r="L539" s="74" t="str">
        <f>IFERROR(__xludf.DUMMYFUNCTION("""COMPUTED_VALUE"""),"2020-2024")</f>
        <v>2020-2024</v>
      </c>
      <c r="M539" s="74" t="str">
        <f>IFERROR(__xludf.DUMMYFUNCTION("""COMPUTED_VALUE"""),"S4: Student Certifications")</f>
        <v>S4: Student Certifications</v>
      </c>
      <c r="N539" s="74" t="str">
        <f>IFERROR(__xludf.DUMMYFUNCTION("""COMPUTED_VALUE"""),"ravindranaidukuriti@gmail.com")</f>
        <v>ravindranaidukuriti@gmail.com</v>
      </c>
      <c r="O539" s="74" t="str">
        <f>IFERROR(__xludf.DUMMYFUNCTION("""COMPUTED_VALUE"""),"SEM-4")</f>
        <v>SEM-4</v>
      </c>
      <c r="P539" s="74"/>
      <c r="Q539" s="74"/>
      <c r="R539" s="74"/>
      <c r="S539" s="74"/>
      <c r="T539" s="74"/>
      <c r="U539" s="74"/>
      <c r="V539" s="74"/>
      <c r="W539" s="74"/>
      <c r="X539" s="74"/>
      <c r="Y539" s="74"/>
    </row>
    <row r="540" ht="26.25" customHeight="1">
      <c r="A540" s="74" t="str">
        <f>IFERROR(__xludf.DUMMYFUNCTION("""COMPUTED_VALUE"""),"Nukarapu Sai Surya Harshith")</f>
        <v>Nukarapu Sai Surya Harshith</v>
      </c>
      <c r="B540" s="74" t="str">
        <f>IFERROR(__xludf.DUMMYFUNCTION("""COMPUTED_VALUE"""),"20331A05C8")</f>
        <v>20331A05C8</v>
      </c>
      <c r="C540" s="90" t="str">
        <f>IFERROR(__xludf.DUMMYFUNCTION("""COMPUTED_VALUE"""),"IT Essentials course")</f>
        <v>IT Essentials course</v>
      </c>
      <c r="D540" s="74" t="str">
        <f>IFERROR(__xludf.DUMMYFUNCTION("""COMPUTED_VALUE"""),"CISCO Networking Academy")</f>
        <v>CISCO Networking Academy</v>
      </c>
      <c r="E540" s="74" t="str">
        <f>IFERROR(__xludf.DUMMYFUNCTION("""COMPUTED_VALUE"""),"2 months")</f>
        <v>2 months</v>
      </c>
      <c r="F540" s="91">
        <f>IFERROR(__xludf.DUMMYFUNCTION("""COMPUTED_VALUE"""),44353.0)</f>
        <v>44353</v>
      </c>
      <c r="G540" s="91">
        <f>IFERROR(__xludf.DUMMYFUNCTION("""COMPUTED_VALUE"""),44414.0)</f>
        <v>44414</v>
      </c>
      <c r="H540" s="79">
        <f>IFERROR(__xludf.DUMMYFUNCTION("""COMPUTED_VALUE"""),44779.0)</f>
        <v>44779</v>
      </c>
      <c r="I540" s="92">
        <f>IFERROR(__xludf.DUMMYFUNCTION("""COMPUTED_VALUE"""),96.0)</f>
        <v>96</v>
      </c>
      <c r="J540" s="74" t="str">
        <f>IFERROR(__xludf.DUMMYFUNCTION("""COMPUTED_VALUE"""),"Subha Raju ")</f>
        <v>Subha Raju </v>
      </c>
      <c r="K540" s="80" t="str">
        <f>IFERROR(__xludf.DUMMYFUNCTION("""COMPUTED_VALUE"""),"https://drive.google.com/open?id=1o3_ZxR1dQRBZMIFc6vqFHPGas0qFe5A1")</f>
        <v>https://drive.google.com/open?id=1o3_ZxR1dQRBZMIFc6vqFHPGas0qFe5A1</v>
      </c>
      <c r="L540" s="74" t="str">
        <f>IFERROR(__xludf.DUMMYFUNCTION("""COMPUTED_VALUE"""),"2020-2024")</f>
        <v>2020-2024</v>
      </c>
      <c r="M540" s="74" t="str">
        <f>IFERROR(__xludf.DUMMYFUNCTION("""COMPUTED_VALUE"""),"S4: Student Certifications")</f>
        <v>S4: Student Certifications</v>
      </c>
      <c r="N540" s="74" t="str">
        <f>IFERROR(__xludf.DUMMYFUNCTION("""COMPUTED_VALUE"""),"harshithnukarapu210@yahoo.com")</f>
        <v>harshithnukarapu210@yahoo.com</v>
      </c>
      <c r="O540" s="74" t="str">
        <f>IFERROR(__xludf.DUMMYFUNCTION("""COMPUTED_VALUE"""),"SEM-2")</f>
        <v>SEM-2</v>
      </c>
      <c r="P540" s="74"/>
      <c r="Q540" s="74"/>
      <c r="R540" s="74"/>
      <c r="S540" s="74"/>
      <c r="T540" s="74"/>
      <c r="U540" s="74"/>
      <c r="V540" s="74"/>
      <c r="W540" s="74"/>
      <c r="X540" s="74"/>
      <c r="Y540" s="74"/>
    </row>
    <row r="541" ht="26.25" customHeight="1">
      <c r="A541" s="74" t="str">
        <f>IFERROR(__xludf.DUMMYFUNCTION("""COMPUTED_VALUE"""),"Jahnavi Kadagala")</f>
        <v>Jahnavi Kadagala</v>
      </c>
      <c r="B541" s="74" t="str">
        <f>IFERROR(__xludf.DUMMYFUNCTION("""COMPUTED_VALUE"""),"20331A0576")</f>
        <v>20331A0576</v>
      </c>
      <c r="C541" s="90" t="str">
        <f>IFERROR(__xludf.DUMMYFUNCTION("""COMPUTED_VALUE"""),"IT Essentials")</f>
        <v>IT Essentials</v>
      </c>
      <c r="D541" s="74" t="str">
        <f>IFERROR(__xludf.DUMMYFUNCTION("""COMPUTED_VALUE"""),"Cisco")</f>
        <v>Cisco</v>
      </c>
      <c r="E541" s="74" t="str">
        <f>IFERROR(__xludf.DUMMYFUNCTION("""COMPUTED_VALUE"""),"2months")</f>
        <v>2months</v>
      </c>
      <c r="F541" s="91">
        <f>IFERROR(__xludf.DUMMYFUNCTION("""COMPUTED_VALUE"""),44378.0)</f>
        <v>44378</v>
      </c>
      <c r="G541" s="91">
        <f>IFERROR(__xludf.DUMMYFUNCTION("""COMPUTED_VALUE"""),44440.0)</f>
        <v>44440</v>
      </c>
      <c r="H541" s="79">
        <f>IFERROR(__xludf.DUMMYFUNCTION("""COMPUTED_VALUE"""),44440.0)</f>
        <v>44440</v>
      </c>
      <c r="I541" s="92">
        <f>IFERROR(__xludf.DUMMYFUNCTION("""COMPUTED_VALUE"""),92.0)</f>
        <v>92</v>
      </c>
      <c r="J541" s="74" t="str">
        <f>IFERROR(__xludf.DUMMYFUNCTION("""COMPUTED_VALUE"""),"k.Subbaraju")</f>
        <v>k.Subbaraju</v>
      </c>
      <c r="K541" s="80" t="str">
        <f>IFERROR(__xludf.DUMMYFUNCTION("""COMPUTED_VALUE"""),"https://drive.google.com/open?id=1dZnSV-pHqcDQWPTUvehAvOrIez_YMVqD")</f>
        <v>https://drive.google.com/open?id=1dZnSV-pHqcDQWPTUvehAvOrIez_YMVqD</v>
      </c>
      <c r="L541" s="74" t="str">
        <f>IFERROR(__xludf.DUMMYFUNCTION("""COMPUTED_VALUE"""),"2020-2024")</f>
        <v>2020-2024</v>
      </c>
      <c r="M541" s="74" t="str">
        <f>IFERROR(__xludf.DUMMYFUNCTION("""COMPUTED_VALUE"""),"S4: Student Certifications")</f>
        <v>S4: Student Certifications</v>
      </c>
      <c r="N541" s="74" t="str">
        <f>IFERROR(__xludf.DUMMYFUNCTION("""COMPUTED_VALUE"""),"jahnavi200305@gmail.com")</f>
        <v>jahnavi200305@gmail.com</v>
      </c>
      <c r="O541" s="74" t="str">
        <f>IFERROR(__xludf.DUMMYFUNCTION("""COMPUTED_VALUE"""),"SEM-4")</f>
        <v>SEM-4</v>
      </c>
      <c r="P541" s="74"/>
      <c r="Q541" s="74"/>
      <c r="R541" s="74"/>
      <c r="S541" s="74"/>
      <c r="T541" s="74"/>
      <c r="U541" s="74"/>
      <c r="V541" s="74"/>
      <c r="W541" s="74"/>
      <c r="X541" s="74"/>
      <c r="Y541" s="74"/>
    </row>
    <row r="542" ht="26.25" customHeight="1">
      <c r="A542" s="74" t="str">
        <f>IFERROR(__xludf.DUMMYFUNCTION("""COMPUTED_VALUE"""),"Madabathula Padma Praharshitha ")</f>
        <v>Madabathula Padma Praharshitha </v>
      </c>
      <c r="B542" s="74" t="str">
        <f>IFERROR(__xludf.DUMMYFUNCTION("""COMPUTED_VALUE"""),"20331A05A3")</f>
        <v>20331A05A3</v>
      </c>
      <c r="C542" s="90" t="str">
        <f>IFERROR(__xludf.DUMMYFUNCTION("""COMPUTED_VALUE"""),"It essentials ")</f>
        <v>It essentials </v>
      </c>
      <c r="D542" s="74" t="str">
        <f>IFERROR(__xludf.DUMMYFUNCTION("""COMPUTED_VALUE"""),"Cisco networking academy ")</f>
        <v>Cisco networking academy </v>
      </c>
      <c r="E542" s="74" t="str">
        <f>IFERROR(__xludf.DUMMYFUNCTION("""COMPUTED_VALUE"""),"2 months")</f>
        <v>2 months</v>
      </c>
      <c r="F542" s="91">
        <f>IFERROR(__xludf.DUMMYFUNCTION("""COMPUTED_VALUE"""),44353.0)</f>
        <v>44353</v>
      </c>
      <c r="G542" s="91">
        <f>IFERROR(__xludf.DUMMYFUNCTION("""COMPUTED_VALUE"""),44414.0)</f>
        <v>44414</v>
      </c>
      <c r="H542" s="79">
        <f>IFERROR(__xludf.DUMMYFUNCTION("""COMPUTED_VALUE"""),44414.0)</f>
        <v>44414</v>
      </c>
      <c r="I542" s="92">
        <f>IFERROR(__xludf.DUMMYFUNCTION("""COMPUTED_VALUE"""),95.0)</f>
        <v>95</v>
      </c>
      <c r="J542" s="74" t="str">
        <f>IFERROR(__xludf.DUMMYFUNCTION("""COMPUTED_VALUE"""),"K V Subha Raju")</f>
        <v>K V Subha Raju</v>
      </c>
      <c r="K542" s="80" t="str">
        <f>IFERROR(__xludf.DUMMYFUNCTION("""COMPUTED_VALUE"""),"https://drive.google.com/open?id=1h1KZYLbmTaYH0uVr8nGP_oBlO4Por7L8")</f>
        <v>https://drive.google.com/open?id=1h1KZYLbmTaYH0uVr8nGP_oBlO4Por7L8</v>
      </c>
      <c r="L542" s="74" t="str">
        <f>IFERROR(__xludf.DUMMYFUNCTION("""COMPUTED_VALUE"""),"2020-2024")</f>
        <v>2020-2024</v>
      </c>
      <c r="M542" s="74" t="str">
        <f>IFERROR(__xludf.DUMMYFUNCTION("""COMPUTED_VALUE"""),"S4: Student Certifications")</f>
        <v>S4: Student Certifications</v>
      </c>
      <c r="N542" s="74" t="str">
        <f>IFERROR(__xludf.DUMMYFUNCTION("""COMPUTED_VALUE"""),"praharshitha210@gmail.com")</f>
        <v>praharshitha210@gmail.com</v>
      </c>
      <c r="O542" s="74" t="str">
        <f>IFERROR(__xludf.DUMMYFUNCTION("""COMPUTED_VALUE"""),"SEM-2")</f>
        <v>SEM-2</v>
      </c>
      <c r="P542" s="74"/>
      <c r="Q542" s="74"/>
      <c r="R542" s="74"/>
      <c r="S542" s="74"/>
      <c r="T542" s="74"/>
      <c r="U542" s="74"/>
      <c r="V542" s="74"/>
      <c r="W542" s="74"/>
      <c r="X542" s="74"/>
      <c r="Y542" s="74"/>
    </row>
    <row r="543" ht="26.25" customHeight="1">
      <c r="A543" s="74" t="str">
        <f>IFERROR(__xludf.DUMMYFUNCTION("""COMPUTED_VALUE"""),"Tejaswikarthik Nistala")</f>
        <v>Tejaswikarthik Nistala</v>
      </c>
      <c r="B543" s="74" t="str">
        <f>IFERROR(__xludf.DUMMYFUNCTION("""COMPUTED_VALUE"""),"20331A05C7")</f>
        <v>20331A05C7</v>
      </c>
      <c r="C543" s="90" t="str">
        <f>IFERROR(__xludf.DUMMYFUNCTION("""COMPUTED_VALUE"""),"It essentials")</f>
        <v>It essentials</v>
      </c>
      <c r="D543" s="74" t="str">
        <f>IFERROR(__xludf.DUMMYFUNCTION("""COMPUTED_VALUE"""),"Cisco")</f>
        <v>Cisco</v>
      </c>
      <c r="E543" s="74" t="str">
        <f>IFERROR(__xludf.DUMMYFUNCTION("""COMPUTED_VALUE"""),"2 months")</f>
        <v>2 months</v>
      </c>
      <c r="F543" s="91">
        <f>IFERROR(__xludf.DUMMYFUNCTION("""COMPUTED_VALUE"""),44353.0)</f>
        <v>44353</v>
      </c>
      <c r="G543" s="91">
        <f>IFERROR(__xludf.DUMMYFUNCTION("""COMPUTED_VALUE"""),44414.0)</f>
        <v>44414</v>
      </c>
      <c r="H543" s="79">
        <f>IFERROR(__xludf.DUMMYFUNCTION("""COMPUTED_VALUE"""),44414.0)</f>
        <v>44414</v>
      </c>
      <c r="I543" s="92">
        <f>IFERROR(__xludf.DUMMYFUNCTION("""COMPUTED_VALUE"""),96.0)</f>
        <v>96</v>
      </c>
      <c r="J543" s="74" t="str">
        <f>IFERROR(__xludf.DUMMYFUNCTION("""COMPUTED_VALUE"""),"K. V. Subbaraju")</f>
        <v>K. V. Subbaraju</v>
      </c>
      <c r="K543" s="80" t="str">
        <f>IFERROR(__xludf.DUMMYFUNCTION("""COMPUTED_VALUE"""),"https://drive.google.com/open?id=161gAY9xCIyUZGV70Ss5tKQa6hhdg7zkq")</f>
        <v>https://drive.google.com/open?id=161gAY9xCIyUZGV70Ss5tKQa6hhdg7zkq</v>
      </c>
      <c r="L543" s="74" t="str">
        <f>IFERROR(__xludf.DUMMYFUNCTION("""COMPUTED_VALUE"""),"2020-2024")</f>
        <v>2020-2024</v>
      </c>
      <c r="M543" s="74" t="str">
        <f>IFERROR(__xludf.DUMMYFUNCTION("""COMPUTED_VALUE"""),"S4: Student Certifications")</f>
        <v>S4: Student Certifications</v>
      </c>
      <c r="N543" s="74" t="str">
        <f>IFERROR(__xludf.DUMMYFUNCTION("""COMPUTED_VALUE"""),"tejaswikarthiknistala@gmail.com")</f>
        <v>tejaswikarthiknistala@gmail.com</v>
      </c>
      <c r="O543" s="74" t="str">
        <f>IFERROR(__xludf.DUMMYFUNCTION("""COMPUTED_VALUE"""),"SEM-4")</f>
        <v>SEM-4</v>
      </c>
      <c r="P543" s="74"/>
      <c r="Q543" s="74"/>
      <c r="R543" s="74"/>
      <c r="S543" s="74"/>
      <c r="T543" s="74"/>
      <c r="U543" s="74"/>
      <c r="V543" s="74"/>
      <c r="W543" s="74"/>
      <c r="X543" s="74"/>
      <c r="Y543" s="74"/>
    </row>
    <row r="544" ht="26.25" customHeight="1">
      <c r="A544" s="74" t="str">
        <f>IFERROR(__xludf.DUMMYFUNCTION("""COMPUTED_VALUE"""),"BHAVANI GUDE")</f>
        <v>BHAVANI GUDE</v>
      </c>
      <c r="B544" s="74" t="str">
        <f>IFERROR(__xludf.DUMMYFUNCTION("""COMPUTED_VALUE"""),"20331A0566")</f>
        <v>20331A0566</v>
      </c>
      <c r="C544" s="90" t="str">
        <f>IFERROR(__xludf.DUMMYFUNCTION("""COMPUTED_VALUE"""),"IT ESSENTIALS")</f>
        <v>IT ESSENTIALS</v>
      </c>
      <c r="D544" s="74" t="str">
        <f>IFERROR(__xludf.DUMMYFUNCTION("""COMPUTED_VALUE"""),"CISCO")</f>
        <v>CISCO</v>
      </c>
      <c r="E544" s="74" t="str">
        <f>IFERROR(__xludf.DUMMYFUNCTION("""COMPUTED_VALUE"""),"2 MONTHS")</f>
        <v>2 MONTHS</v>
      </c>
      <c r="F544" s="91">
        <f>IFERROR(__xludf.DUMMYFUNCTION("""COMPUTED_VALUE"""),44378.0)</f>
        <v>44378</v>
      </c>
      <c r="G544" s="91">
        <f>IFERROR(__xludf.DUMMYFUNCTION("""COMPUTED_VALUE"""),44440.0)</f>
        <v>44440</v>
      </c>
      <c r="H544" s="79">
        <f>IFERROR(__xludf.DUMMYFUNCTION("""COMPUTED_VALUE"""),44440.0)</f>
        <v>44440</v>
      </c>
      <c r="I544" s="92">
        <f>IFERROR(__xludf.DUMMYFUNCTION("""COMPUTED_VALUE"""),95.0)</f>
        <v>95</v>
      </c>
      <c r="J544" s="74" t="str">
        <f>IFERROR(__xludf.DUMMYFUNCTION("""COMPUTED_VALUE"""),"MR K.SUBBARAJU")</f>
        <v>MR K.SUBBARAJU</v>
      </c>
      <c r="K544" s="80" t="str">
        <f>IFERROR(__xludf.DUMMYFUNCTION("""COMPUTED_VALUE"""),"https://drive.google.com/open?id=1xkg2nR2j_Anot_YEWevxyZVOJDL07W8H")</f>
        <v>https://drive.google.com/open?id=1xkg2nR2j_Anot_YEWevxyZVOJDL07W8H</v>
      </c>
      <c r="L544" s="74" t="str">
        <f>IFERROR(__xludf.DUMMYFUNCTION("""COMPUTED_VALUE"""),"2020-2024")</f>
        <v>2020-2024</v>
      </c>
      <c r="M544" s="74" t="str">
        <f>IFERROR(__xludf.DUMMYFUNCTION("""COMPUTED_VALUE"""),"S4: Student Certifications")</f>
        <v>S4: Student Certifications</v>
      </c>
      <c r="N544" s="74" t="str">
        <f>IFERROR(__xludf.DUMMYFUNCTION("""COMPUTED_VALUE"""),"gudebhavani9@gmail.com")</f>
        <v>gudebhavani9@gmail.com</v>
      </c>
      <c r="O544" s="74" t="str">
        <f>IFERROR(__xludf.DUMMYFUNCTION("""COMPUTED_VALUE"""),"SEM-4")</f>
        <v>SEM-4</v>
      </c>
      <c r="P544" s="74"/>
      <c r="Q544" s="74"/>
      <c r="R544" s="74"/>
      <c r="S544" s="74"/>
      <c r="T544" s="74"/>
      <c r="U544" s="74"/>
      <c r="V544" s="74"/>
      <c r="W544" s="74"/>
      <c r="X544" s="74"/>
      <c r="Y544" s="74"/>
    </row>
    <row r="545" ht="26.25" customHeight="1">
      <c r="A545" s="74" t="str">
        <f>IFERROR(__xludf.DUMMYFUNCTION("""COMPUTED_VALUE"""),"Nukarapu Sai Surya Harshith ")</f>
        <v>Nukarapu Sai Surya Harshith </v>
      </c>
      <c r="B545" s="74" t="str">
        <f>IFERROR(__xludf.DUMMYFUNCTION("""COMPUTED_VALUE"""),"20331A05C8")</f>
        <v>20331A05C8</v>
      </c>
      <c r="C545" s="90" t="str">
        <f>IFERROR(__xludf.DUMMYFUNCTION("""COMPUTED_VALUE"""),"NDG linux")</f>
        <v>NDG linux</v>
      </c>
      <c r="D545" s="74" t="str">
        <f>IFERROR(__xludf.DUMMYFUNCTION("""COMPUTED_VALUE"""),"Cisco networking academy ")</f>
        <v>Cisco networking academy </v>
      </c>
      <c r="E545" s="74" t="str">
        <f>IFERROR(__xludf.DUMMYFUNCTION("""COMPUTED_VALUE"""),"2 months ")</f>
        <v>2 months </v>
      </c>
      <c r="F545" s="91">
        <f>IFERROR(__xludf.DUMMYFUNCTION("""COMPUTED_VALUE"""),44596.0)</f>
        <v>44596</v>
      </c>
      <c r="G545" s="91">
        <f>IFERROR(__xludf.DUMMYFUNCTION("""COMPUTED_VALUE"""),44655.0)</f>
        <v>44655</v>
      </c>
      <c r="H545" s="79">
        <f>IFERROR(__xludf.DUMMYFUNCTION("""COMPUTED_VALUE"""),44654.0)</f>
        <v>44654</v>
      </c>
      <c r="I545" s="92"/>
      <c r="J545" s="74" t="str">
        <f>IFERROR(__xludf.DUMMYFUNCTION("""COMPUTED_VALUE"""),"K V Subha Raju ")</f>
        <v>K V Subha Raju </v>
      </c>
      <c r="K545" s="80" t="str">
        <f>IFERROR(__xludf.DUMMYFUNCTION("""COMPUTED_VALUE"""),"https://drive.google.com/open?id=1oFxnyj1h9VS2-8ETGMPGTcUZGcAYN4ZL")</f>
        <v>https://drive.google.com/open?id=1oFxnyj1h9VS2-8ETGMPGTcUZGcAYN4ZL</v>
      </c>
      <c r="L545" s="74" t="str">
        <f>IFERROR(__xludf.DUMMYFUNCTION("""COMPUTED_VALUE"""),"2020-2024")</f>
        <v>2020-2024</v>
      </c>
      <c r="M545" s="74" t="str">
        <f>IFERROR(__xludf.DUMMYFUNCTION("""COMPUTED_VALUE"""),"S4: Student Certifications")</f>
        <v>S4: Student Certifications</v>
      </c>
      <c r="N545" s="74" t="str">
        <f>IFERROR(__xludf.DUMMYFUNCTION("""COMPUTED_VALUE"""),"suryaharshith210@gmail.com")</f>
        <v>suryaharshith210@gmail.com</v>
      </c>
      <c r="O545" s="74" t="str">
        <f>IFERROR(__xludf.DUMMYFUNCTION("""COMPUTED_VALUE"""),"SEM-3")</f>
        <v>SEM-3</v>
      </c>
      <c r="P545" s="74"/>
      <c r="Q545" s="74"/>
      <c r="R545" s="74"/>
      <c r="S545" s="74"/>
      <c r="T545" s="74"/>
      <c r="U545" s="74"/>
      <c r="V545" s="74"/>
      <c r="W545" s="74"/>
      <c r="X545" s="74"/>
      <c r="Y545" s="74"/>
    </row>
    <row r="546" ht="26.25" customHeight="1">
      <c r="A546" s="74" t="str">
        <f>IFERROR(__xludf.DUMMYFUNCTION("""COMPUTED_VALUE"""),"Preetam Kurella")</f>
        <v>Preetam Kurella</v>
      </c>
      <c r="B546" s="74" t="str">
        <f>IFERROR(__xludf.DUMMYFUNCTION("""COMPUTED_VALUE"""),"20331A0596")</f>
        <v>20331A0596</v>
      </c>
      <c r="C546" s="90" t="str">
        <f>IFERROR(__xludf.DUMMYFUNCTION("""COMPUTED_VALUE"""),"It essentials")</f>
        <v>It essentials</v>
      </c>
      <c r="D546" s="74" t="str">
        <f>IFERROR(__xludf.DUMMYFUNCTION("""COMPUTED_VALUE"""),"Cisco networking academy")</f>
        <v>Cisco networking academy</v>
      </c>
      <c r="E546" s="74" t="str">
        <f>IFERROR(__xludf.DUMMYFUNCTION("""COMPUTED_VALUE"""),"2months")</f>
        <v>2months</v>
      </c>
      <c r="F546" s="91">
        <f>IFERROR(__xludf.DUMMYFUNCTION("""COMPUTED_VALUE"""),44353.0)</f>
        <v>44353</v>
      </c>
      <c r="G546" s="91">
        <f>IFERROR(__xludf.DUMMYFUNCTION("""COMPUTED_VALUE"""),44414.0)</f>
        <v>44414</v>
      </c>
      <c r="H546" s="79">
        <f>IFERROR(__xludf.DUMMYFUNCTION("""COMPUTED_VALUE"""),44414.0)</f>
        <v>44414</v>
      </c>
      <c r="I546" s="92">
        <f>IFERROR(__xludf.DUMMYFUNCTION("""COMPUTED_VALUE"""),95.0)</f>
        <v>95</v>
      </c>
      <c r="J546" s="74" t="str">
        <f>IFERROR(__xludf.DUMMYFUNCTION("""COMPUTED_VALUE"""),"K.V Subbaraju")</f>
        <v>K.V Subbaraju</v>
      </c>
      <c r="K546" s="80" t="str">
        <f>IFERROR(__xludf.DUMMYFUNCTION("""COMPUTED_VALUE"""),"https://drive.google.com/open?id=1kD3Hcy00znGez18lUtVsEhAYtW5COimF")</f>
        <v>https://drive.google.com/open?id=1kD3Hcy00znGez18lUtVsEhAYtW5COimF</v>
      </c>
      <c r="L546" s="74" t="str">
        <f>IFERROR(__xludf.DUMMYFUNCTION("""COMPUTED_VALUE"""),"2020-2024")</f>
        <v>2020-2024</v>
      </c>
      <c r="M546" s="74" t="str">
        <f>IFERROR(__xludf.DUMMYFUNCTION("""COMPUTED_VALUE"""),"S4: Student Certifications")</f>
        <v>S4: Student Certifications</v>
      </c>
      <c r="N546" s="74" t="str">
        <f>IFERROR(__xludf.DUMMYFUNCTION("""COMPUTED_VALUE"""),"preetamkurella@gmail.com")</f>
        <v>preetamkurella@gmail.com</v>
      </c>
      <c r="O546" s="74" t="str">
        <f>IFERROR(__xludf.DUMMYFUNCTION("""COMPUTED_VALUE"""),"SEM-2")</f>
        <v>SEM-2</v>
      </c>
      <c r="P546" s="74"/>
      <c r="Q546" s="74"/>
      <c r="R546" s="74"/>
      <c r="S546" s="74"/>
      <c r="T546" s="74"/>
      <c r="U546" s="74"/>
      <c r="V546" s="74"/>
      <c r="W546" s="74"/>
      <c r="X546" s="74"/>
      <c r="Y546" s="74"/>
    </row>
    <row r="547" ht="26.25" customHeight="1">
      <c r="A547" s="96" t="str">
        <f>IFERROR(__xludf.DUMMYFUNCTION("""COMPUTED_VALUE"""),"KURELLA AMAR SAI PREETAM")</f>
        <v>KURELLA AMAR SAI PREETAM</v>
      </c>
      <c r="B547" s="96" t="str">
        <f>IFERROR(__xludf.DUMMYFUNCTION("""COMPUTED_VALUE"""),"20331A0596")</f>
        <v>20331A0596</v>
      </c>
      <c r="C547" s="97" t="str">
        <f>IFERROR(__xludf.DUMMYFUNCTION("""COMPUTED_VALUE"""),"Redhat linux (RH-124)")</f>
        <v>Redhat linux (RH-124)</v>
      </c>
      <c r="D547" s="96" t="str">
        <f>IFERROR(__xludf.DUMMYFUNCTION("""COMPUTED_VALUE"""),"Redhat system administration")</f>
        <v>Redhat system administration</v>
      </c>
      <c r="E547" s="96" t="str">
        <f>IFERROR(__xludf.DUMMYFUNCTION("""COMPUTED_VALUE"""),"2 months")</f>
        <v>2 months</v>
      </c>
      <c r="F547" s="98">
        <f>IFERROR(__xludf.DUMMYFUNCTION("""COMPUTED_VALUE"""),44494.0)</f>
        <v>44494</v>
      </c>
      <c r="G547" s="98">
        <f>IFERROR(__xludf.DUMMYFUNCTION("""COMPUTED_VALUE"""),44555.0)</f>
        <v>44555</v>
      </c>
      <c r="H547" s="99">
        <f>IFERROR(__xludf.DUMMYFUNCTION("""COMPUTED_VALUE"""),44555.0)</f>
        <v>44555</v>
      </c>
      <c r="I547" s="100"/>
      <c r="J547" s="96" t="str">
        <f>IFERROR(__xludf.DUMMYFUNCTION("""COMPUTED_VALUE"""),"K.V. Subbaraju")</f>
        <v>K.V. Subbaraju</v>
      </c>
      <c r="K547" s="101" t="str">
        <f>IFERROR(__xludf.DUMMYFUNCTION("""COMPUTED_VALUE"""),"https://drive.google.com/open?id=1i_ODEw_dzDJaiYVMOS22Ce2GY3djlGfQ")</f>
        <v>https://drive.google.com/open?id=1i_ODEw_dzDJaiYVMOS22Ce2GY3djlGfQ</v>
      </c>
      <c r="L547" s="96" t="str">
        <f>IFERROR(__xludf.DUMMYFUNCTION("""COMPUTED_VALUE"""),"2020-2024")</f>
        <v>2020-2024</v>
      </c>
      <c r="M547" s="96" t="str">
        <f>IFERROR(__xludf.DUMMYFUNCTION("""COMPUTED_VALUE"""),"S4: Student Certifications")</f>
        <v>S4: Student Certifications</v>
      </c>
      <c r="N547" s="96" t="str">
        <f>IFERROR(__xludf.DUMMYFUNCTION("""COMPUTED_VALUE"""),"preetamkurella@gmail.com")</f>
        <v>preetamkurella@gmail.com</v>
      </c>
      <c r="O547" s="96" t="str">
        <f>IFERROR(__xludf.DUMMYFUNCTION("""COMPUTED_VALUE"""),"SEM-3")</f>
        <v>SEM-3</v>
      </c>
      <c r="P547" s="96"/>
      <c r="Q547" s="96"/>
      <c r="R547" s="96"/>
      <c r="S547" s="96"/>
      <c r="T547" s="96"/>
      <c r="U547" s="96"/>
      <c r="V547" s="96"/>
      <c r="W547" s="96"/>
      <c r="X547" s="96"/>
      <c r="Y547" s="96"/>
    </row>
    <row r="548" ht="26.25" customHeight="1">
      <c r="A548" s="96" t="str">
        <f>IFERROR(__xludf.DUMMYFUNCTION("""COMPUTED_VALUE"""),"BOCHA MANYA SAI RAMA AKSHAYA")</f>
        <v>BOCHA MANYA SAI RAMA AKSHAYA</v>
      </c>
      <c r="B548" s="96" t="str">
        <f>IFERROR(__xludf.DUMMYFUNCTION("""COMPUTED_VALUE"""),"20331A0519")</f>
        <v>20331A0519</v>
      </c>
      <c r="C548" s="97" t="str">
        <f>IFERROR(__xludf.DUMMYFUNCTION("""COMPUTED_VALUE"""),"IT Essentials ")</f>
        <v>IT Essentials </v>
      </c>
      <c r="D548" s="96" t="str">
        <f>IFERROR(__xludf.DUMMYFUNCTION("""COMPUTED_VALUE"""),"CISCO")</f>
        <v>CISCO</v>
      </c>
      <c r="E548" s="96" t="str">
        <f>IFERROR(__xludf.DUMMYFUNCTION("""COMPUTED_VALUE"""),"2 Months")</f>
        <v>2 Months</v>
      </c>
      <c r="F548" s="98">
        <f>IFERROR(__xludf.DUMMYFUNCTION("""COMPUTED_VALUE"""),44470.0)</f>
        <v>44470</v>
      </c>
      <c r="G548" s="98">
        <f>IFERROR(__xludf.DUMMYFUNCTION("""COMPUTED_VALUE"""),44530.0)</f>
        <v>44530</v>
      </c>
      <c r="H548" s="99">
        <f>IFERROR(__xludf.DUMMYFUNCTION("""COMPUTED_VALUE"""),44555.0)</f>
        <v>44555</v>
      </c>
      <c r="I548" s="100">
        <f>IFERROR(__xludf.DUMMYFUNCTION("""COMPUTED_VALUE"""),94.0)</f>
        <v>94</v>
      </c>
      <c r="J548" s="96" t="str">
        <f>IFERROR(__xludf.DUMMYFUNCTION("""COMPUTED_VALUE"""),"K.Subbaraju ")</f>
        <v>K.Subbaraju </v>
      </c>
      <c r="K548" s="101" t="str">
        <f>IFERROR(__xludf.DUMMYFUNCTION("""COMPUTED_VALUE"""),"https://drive.google.com/open?id=1fnmAoSjTrUozP-Ro7MU303VLcipK9HKc")</f>
        <v>https://drive.google.com/open?id=1fnmAoSjTrUozP-Ro7MU303VLcipK9HKc</v>
      </c>
      <c r="L548" s="96" t="str">
        <f>IFERROR(__xludf.DUMMYFUNCTION("""COMPUTED_VALUE"""),"2020-2024")</f>
        <v>2020-2024</v>
      </c>
      <c r="M548" s="96" t="str">
        <f>IFERROR(__xludf.DUMMYFUNCTION("""COMPUTED_VALUE"""),"S4: Student Certifications")</f>
        <v>S4: Student Certifications</v>
      </c>
      <c r="N548" s="96" t="str">
        <f>IFERROR(__xludf.DUMMYFUNCTION("""COMPUTED_VALUE"""),"bochamsrakshaya@gmail.com")</f>
        <v>bochamsrakshaya@gmail.com</v>
      </c>
      <c r="O548" s="96" t="str">
        <f>IFERROR(__xludf.DUMMYFUNCTION("""COMPUTED_VALUE"""),"SEM-4")</f>
        <v>SEM-4</v>
      </c>
      <c r="P548" s="96"/>
      <c r="Q548" s="96"/>
      <c r="R548" s="96"/>
      <c r="S548" s="96"/>
      <c r="T548" s="96"/>
      <c r="U548" s="96"/>
      <c r="V548" s="96"/>
      <c r="W548" s="96"/>
      <c r="X548" s="96"/>
      <c r="Y548" s="96"/>
    </row>
    <row r="549" ht="26.25" customHeight="1">
      <c r="A549" s="74" t="str">
        <f>IFERROR(__xludf.DUMMYFUNCTION("""COMPUTED_VALUE"""),"Tejaswikarthik Nistala")</f>
        <v>Tejaswikarthik Nistala</v>
      </c>
      <c r="B549" s="74" t="str">
        <f>IFERROR(__xludf.DUMMYFUNCTION("""COMPUTED_VALUE"""),"20331A05C7")</f>
        <v>20331A05C7</v>
      </c>
      <c r="C549" s="90" t="str">
        <f>IFERROR(__xludf.DUMMYFUNCTION("""COMPUTED_VALUE"""),"Redhatlinux(RH-124) ")</f>
        <v>Redhatlinux(RH-124) </v>
      </c>
      <c r="D549" s="74" t="str">
        <f>IFERROR(__xludf.DUMMYFUNCTION("""COMPUTED_VALUE"""),"Redhatsystem administration")</f>
        <v>Redhatsystem administration</v>
      </c>
      <c r="E549" s="74" t="str">
        <f>IFERROR(__xludf.DUMMYFUNCTION("""COMPUTED_VALUE"""),"2 months")</f>
        <v>2 months</v>
      </c>
      <c r="F549" s="91">
        <f>IFERROR(__xludf.DUMMYFUNCTION("""COMPUTED_VALUE"""),44494.0)</f>
        <v>44494</v>
      </c>
      <c r="G549" s="91">
        <f>IFERROR(__xludf.DUMMYFUNCTION("""COMPUTED_VALUE"""),44555.0)</f>
        <v>44555</v>
      </c>
      <c r="H549" s="79">
        <f>IFERROR(__xludf.DUMMYFUNCTION("""COMPUTED_VALUE"""),44555.0)</f>
        <v>44555</v>
      </c>
      <c r="I549" s="92"/>
      <c r="J549" s="74" t="str">
        <f>IFERROR(__xludf.DUMMYFUNCTION("""COMPUTED_VALUE"""),"K. V. Subbaraju")</f>
        <v>K. V. Subbaraju</v>
      </c>
      <c r="K549" s="80" t="str">
        <f>IFERROR(__xludf.DUMMYFUNCTION("""COMPUTED_VALUE"""),"https://drive.google.com/open?id=1pCYnpmlYoFMaw-kdno5tsj-86aWCShCa")</f>
        <v>https://drive.google.com/open?id=1pCYnpmlYoFMaw-kdno5tsj-86aWCShCa</v>
      </c>
      <c r="L549" s="74" t="str">
        <f>IFERROR(__xludf.DUMMYFUNCTION("""COMPUTED_VALUE"""),"2020-2024")</f>
        <v>2020-2024</v>
      </c>
      <c r="M549" s="74" t="str">
        <f>IFERROR(__xludf.DUMMYFUNCTION("""COMPUTED_VALUE"""),"S4: Student Certifications")</f>
        <v>S4: Student Certifications</v>
      </c>
      <c r="N549" s="74" t="str">
        <f>IFERROR(__xludf.DUMMYFUNCTION("""COMPUTED_VALUE"""),"tejaswikarthiknistala@gmail.com")</f>
        <v>tejaswikarthiknistala@gmail.com</v>
      </c>
      <c r="O549" s="74" t="str">
        <f>IFERROR(__xludf.DUMMYFUNCTION("""COMPUTED_VALUE"""),"SEM-3")</f>
        <v>SEM-3</v>
      </c>
      <c r="P549" s="74"/>
      <c r="Q549" s="74"/>
      <c r="R549" s="74"/>
      <c r="S549" s="74"/>
      <c r="T549" s="74"/>
      <c r="U549" s="74"/>
      <c r="V549" s="74"/>
      <c r="W549" s="74"/>
      <c r="X549" s="74"/>
      <c r="Y549" s="74"/>
    </row>
    <row r="550" ht="26.25" customHeight="1">
      <c r="A550" s="74" t="str">
        <f>IFERROR(__xludf.DUMMYFUNCTION("""COMPUTED_VALUE"""),"Nukarapu Sai Surya Harshith ")</f>
        <v>Nukarapu Sai Surya Harshith </v>
      </c>
      <c r="B550" s="74" t="str">
        <f>IFERROR(__xludf.DUMMYFUNCTION("""COMPUTED_VALUE"""),"20331A05C8")</f>
        <v>20331A05C8</v>
      </c>
      <c r="C550" s="90" t="str">
        <f>IFERROR(__xludf.DUMMYFUNCTION("""COMPUTED_VALUE"""),"Redhat Linux (124)")</f>
        <v>Redhat Linux (124)</v>
      </c>
      <c r="D550" s="74" t="str">
        <f>IFERROR(__xludf.DUMMYFUNCTION("""COMPUTED_VALUE"""),"Redhat System Administration ")</f>
        <v>Redhat System Administration </v>
      </c>
      <c r="E550" s="74" t="str">
        <f>IFERROR(__xludf.DUMMYFUNCTION("""COMPUTED_VALUE"""),"2 months")</f>
        <v>2 months</v>
      </c>
      <c r="F550" s="91">
        <f>IFERROR(__xludf.DUMMYFUNCTION("""COMPUTED_VALUE"""),44494.0)</f>
        <v>44494</v>
      </c>
      <c r="G550" s="91">
        <f>IFERROR(__xludf.DUMMYFUNCTION("""COMPUTED_VALUE"""),44555.0)</f>
        <v>44555</v>
      </c>
      <c r="H550" s="79">
        <f>IFERROR(__xludf.DUMMYFUNCTION("""COMPUTED_VALUE"""),44555.0)</f>
        <v>44555</v>
      </c>
      <c r="I550" s="92"/>
      <c r="J550" s="74" t="str">
        <f>IFERROR(__xludf.DUMMYFUNCTION("""COMPUTED_VALUE"""),"K.V . Subbaraju")</f>
        <v>K.V . Subbaraju</v>
      </c>
      <c r="K550" s="80" t="str">
        <f>IFERROR(__xludf.DUMMYFUNCTION("""COMPUTED_VALUE"""),"https://drive.google.com/open?id=1-gdyTvGMF5N5gPtaMIfHkTXB0qOBPXGF")</f>
        <v>https://drive.google.com/open?id=1-gdyTvGMF5N5gPtaMIfHkTXB0qOBPXGF</v>
      </c>
      <c r="L550" s="74" t="str">
        <f>IFERROR(__xludf.DUMMYFUNCTION("""COMPUTED_VALUE"""),"2020-2024")</f>
        <v>2020-2024</v>
      </c>
      <c r="M550" s="74" t="str">
        <f>IFERROR(__xludf.DUMMYFUNCTION("""COMPUTED_VALUE"""),"S4: Student Certifications")</f>
        <v>S4: Student Certifications</v>
      </c>
      <c r="N550" s="74" t="str">
        <f>IFERROR(__xludf.DUMMYFUNCTION("""COMPUTED_VALUE"""),"suryaharshith210@gmail.com")</f>
        <v>suryaharshith210@gmail.com</v>
      </c>
      <c r="O550" s="74" t="str">
        <f>IFERROR(__xludf.DUMMYFUNCTION("""COMPUTED_VALUE"""),"SEM-3")</f>
        <v>SEM-3</v>
      </c>
      <c r="P550" s="74"/>
      <c r="Q550" s="74"/>
      <c r="R550" s="74"/>
      <c r="S550" s="74"/>
      <c r="T550" s="74"/>
      <c r="U550" s="74"/>
      <c r="V550" s="74"/>
      <c r="W550" s="74"/>
      <c r="X550" s="74"/>
      <c r="Y550" s="74"/>
    </row>
    <row r="551" ht="26.25" customHeight="1">
      <c r="A551" s="74" t="str">
        <f>IFERROR(__xludf.DUMMYFUNCTION("""COMPUTED_VALUE"""),"Tejaswikarthik Nistala")</f>
        <v>Tejaswikarthik Nistala</v>
      </c>
      <c r="B551" s="74" t="str">
        <f>IFERROR(__xludf.DUMMYFUNCTION("""COMPUTED_VALUE"""),"20331A05C7")</f>
        <v>20331A05C7</v>
      </c>
      <c r="C551" s="90" t="str">
        <f>IFERROR(__xludf.DUMMYFUNCTION("""COMPUTED_VALUE"""),"Redhat linux(RH-134) ")</f>
        <v>Redhat linux(RH-134) </v>
      </c>
      <c r="D551" s="74" t="str">
        <f>IFERROR(__xludf.DUMMYFUNCTION("""COMPUTED_VALUE"""),"Redhatsystem administration")</f>
        <v>Redhatsystem administration</v>
      </c>
      <c r="E551" s="74" t="str">
        <f>IFERROR(__xludf.DUMMYFUNCTION("""COMPUTED_VALUE"""),"2 months")</f>
        <v>2 months</v>
      </c>
      <c r="F551" s="91">
        <f>IFERROR(__xludf.DUMMYFUNCTION("""COMPUTED_VALUE"""),44494.0)</f>
        <v>44494</v>
      </c>
      <c r="G551" s="91">
        <f>IFERROR(__xludf.DUMMYFUNCTION("""COMPUTED_VALUE"""),44555.0)</f>
        <v>44555</v>
      </c>
      <c r="H551" s="79">
        <f>IFERROR(__xludf.DUMMYFUNCTION("""COMPUTED_VALUE"""),44555.0)</f>
        <v>44555</v>
      </c>
      <c r="I551" s="92"/>
      <c r="J551" s="74" t="str">
        <f>IFERROR(__xludf.DUMMYFUNCTION("""COMPUTED_VALUE"""),"K. V. Subbaraju")</f>
        <v>K. V. Subbaraju</v>
      </c>
      <c r="K551" s="80" t="str">
        <f>IFERROR(__xludf.DUMMYFUNCTION("""COMPUTED_VALUE"""),"https://drive.google.com/open?id=1_IwNi8vxw7ykR1mhqexmx1rJV-IOttVY")</f>
        <v>https://drive.google.com/open?id=1_IwNi8vxw7ykR1mhqexmx1rJV-IOttVY</v>
      </c>
      <c r="L551" s="74" t="str">
        <f>IFERROR(__xludf.DUMMYFUNCTION("""COMPUTED_VALUE"""),"2020-2024")</f>
        <v>2020-2024</v>
      </c>
      <c r="M551" s="74" t="str">
        <f>IFERROR(__xludf.DUMMYFUNCTION("""COMPUTED_VALUE"""),"S4: Student Certifications")</f>
        <v>S4: Student Certifications</v>
      </c>
      <c r="N551" s="74" t="str">
        <f>IFERROR(__xludf.DUMMYFUNCTION("""COMPUTED_VALUE"""),"tejaswikarthiknistala@gmail.com")</f>
        <v>tejaswikarthiknistala@gmail.com</v>
      </c>
      <c r="O551" s="74" t="str">
        <f>IFERROR(__xludf.DUMMYFUNCTION("""COMPUTED_VALUE"""),"SEM-3")</f>
        <v>SEM-3</v>
      </c>
      <c r="P551" s="74"/>
      <c r="Q551" s="74"/>
      <c r="R551" s="74"/>
      <c r="S551" s="74"/>
      <c r="T551" s="74"/>
      <c r="U551" s="74"/>
      <c r="V551" s="74"/>
      <c r="W551" s="74"/>
      <c r="X551" s="74"/>
      <c r="Y551" s="74"/>
    </row>
    <row r="552" ht="26.25" customHeight="1">
      <c r="A552" s="96" t="str">
        <f>IFERROR(__xludf.DUMMYFUNCTION("""COMPUTED_VALUE"""),"KURELLA AMAR SAI PREETAM")</f>
        <v>KURELLA AMAR SAI PREETAM</v>
      </c>
      <c r="B552" s="96" t="str">
        <f>IFERROR(__xludf.DUMMYFUNCTION("""COMPUTED_VALUE"""),"20331A0596")</f>
        <v>20331A0596</v>
      </c>
      <c r="C552" s="97" t="str">
        <f>IFERROR(__xludf.DUMMYFUNCTION("""COMPUTED_VALUE"""),"Redhat linux (RH-134)")</f>
        <v>Redhat linux (RH-134)</v>
      </c>
      <c r="D552" s="96" t="str">
        <f>IFERROR(__xludf.DUMMYFUNCTION("""COMPUTED_VALUE"""),"Redhat system administration")</f>
        <v>Redhat system administration</v>
      </c>
      <c r="E552" s="96" t="str">
        <f>IFERROR(__xludf.DUMMYFUNCTION("""COMPUTED_VALUE"""),"2 months")</f>
        <v>2 months</v>
      </c>
      <c r="F552" s="98">
        <f>IFERROR(__xludf.DUMMYFUNCTION("""COMPUTED_VALUE"""),44494.0)</f>
        <v>44494</v>
      </c>
      <c r="G552" s="98">
        <f>IFERROR(__xludf.DUMMYFUNCTION("""COMPUTED_VALUE"""),44555.0)</f>
        <v>44555</v>
      </c>
      <c r="H552" s="99">
        <f>IFERROR(__xludf.DUMMYFUNCTION("""COMPUTED_VALUE"""),44555.0)</f>
        <v>44555</v>
      </c>
      <c r="I552" s="100"/>
      <c r="J552" s="96" t="str">
        <f>IFERROR(__xludf.DUMMYFUNCTION("""COMPUTED_VALUE"""),"K.V. Subbaraju")</f>
        <v>K.V. Subbaraju</v>
      </c>
      <c r="K552" s="101" t="str">
        <f>IFERROR(__xludf.DUMMYFUNCTION("""COMPUTED_VALUE"""),"https://drive.google.com/open?id=1EKvphQSKtq5f-ziSqUg4ooo8NU3Fu-42")</f>
        <v>https://drive.google.com/open?id=1EKvphQSKtq5f-ziSqUg4ooo8NU3Fu-42</v>
      </c>
      <c r="L552" s="96" t="str">
        <f>IFERROR(__xludf.DUMMYFUNCTION("""COMPUTED_VALUE"""),"2020-2024")</f>
        <v>2020-2024</v>
      </c>
      <c r="M552" s="96" t="str">
        <f>IFERROR(__xludf.DUMMYFUNCTION("""COMPUTED_VALUE"""),"S4: Student Certifications")</f>
        <v>S4: Student Certifications</v>
      </c>
      <c r="N552" s="96" t="str">
        <f>IFERROR(__xludf.DUMMYFUNCTION("""COMPUTED_VALUE"""),"preetamkurella@gmail.com")</f>
        <v>preetamkurella@gmail.com</v>
      </c>
      <c r="O552" s="96" t="str">
        <f>IFERROR(__xludf.DUMMYFUNCTION("""COMPUTED_VALUE"""),"SEM-3")</f>
        <v>SEM-3</v>
      </c>
      <c r="P552" s="96"/>
      <c r="Q552" s="96"/>
      <c r="R552" s="96"/>
      <c r="S552" s="96"/>
      <c r="T552" s="96"/>
      <c r="U552" s="96"/>
      <c r="V552" s="96"/>
      <c r="W552" s="96"/>
      <c r="X552" s="96"/>
      <c r="Y552" s="96"/>
    </row>
    <row r="553" ht="26.25" customHeight="1">
      <c r="A553" s="74" t="str">
        <f>IFERROR(__xludf.DUMMYFUNCTION("""COMPUTED_VALUE"""),"Tejaswikarthik Nistala")</f>
        <v>Tejaswikarthik Nistala</v>
      </c>
      <c r="B553" s="74" t="str">
        <f>IFERROR(__xludf.DUMMYFUNCTION("""COMPUTED_VALUE"""),"20331A05C7")</f>
        <v>20331A05C7</v>
      </c>
      <c r="C553" s="90" t="str">
        <f>IFERROR(__xludf.DUMMYFUNCTION("""COMPUTED_VALUE"""),"It essentials")</f>
        <v>It essentials</v>
      </c>
      <c r="D553" s="74" t="str">
        <f>IFERROR(__xludf.DUMMYFUNCTION("""COMPUTED_VALUE"""),"Cisco")</f>
        <v>Cisco</v>
      </c>
      <c r="E553" s="74" t="str">
        <f>IFERROR(__xludf.DUMMYFUNCTION("""COMPUTED_VALUE"""),"2 months")</f>
        <v>2 months</v>
      </c>
      <c r="F553" s="91">
        <f>IFERROR(__xludf.DUMMYFUNCTION("""COMPUTED_VALUE"""),44353.0)</f>
        <v>44353</v>
      </c>
      <c r="G553" s="91">
        <f>IFERROR(__xludf.DUMMYFUNCTION("""COMPUTED_VALUE"""),44414.0)</f>
        <v>44414</v>
      </c>
      <c r="H553" s="79">
        <f>IFERROR(__xludf.DUMMYFUNCTION("""COMPUTED_VALUE"""),44414.0)</f>
        <v>44414</v>
      </c>
      <c r="I553" s="92">
        <f>IFERROR(__xludf.DUMMYFUNCTION("""COMPUTED_VALUE"""),96.0)</f>
        <v>96</v>
      </c>
      <c r="J553" s="74" t="str">
        <f>IFERROR(__xludf.DUMMYFUNCTION("""COMPUTED_VALUE"""),"K. V. Subbaraju")</f>
        <v>K. V. Subbaraju</v>
      </c>
      <c r="K553" s="80" t="str">
        <f>IFERROR(__xludf.DUMMYFUNCTION("""COMPUTED_VALUE"""),"https://drive.google.com/open?id=1oDdwHExZvZNkf4-RZUZoekLUWPiO_iWN")</f>
        <v>https://drive.google.com/open?id=1oDdwHExZvZNkf4-RZUZoekLUWPiO_iWN</v>
      </c>
      <c r="L553" s="74" t="str">
        <f>IFERROR(__xludf.DUMMYFUNCTION("""COMPUTED_VALUE"""),"2020-2024")</f>
        <v>2020-2024</v>
      </c>
      <c r="M553" s="74" t="str">
        <f>IFERROR(__xludf.DUMMYFUNCTION("""COMPUTED_VALUE"""),"S4: Student Certifications")</f>
        <v>S4: Student Certifications</v>
      </c>
      <c r="N553" s="74" t="str">
        <f>IFERROR(__xludf.DUMMYFUNCTION("""COMPUTED_VALUE"""),"tejaswikarthiknistala@gmail.com")</f>
        <v>tejaswikarthiknistala@gmail.com</v>
      </c>
      <c r="O553" s="74" t="str">
        <f>IFERROR(__xludf.DUMMYFUNCTION("""COMPUTED_VALUE"""),"SEM-2")</f>
        <v>SEM-2</v>
      </c>
      <c r="P553" s="74"/>
      <c r="Q553" s="74"/>
      <c r="R553" s="74"/>
      <c r="S553" s="74"/>
      <c r="T553" s="74"/>
      <c r="U553" s="74"/>
      <c r="V553" s="74"/>
      <c r="W553" s="74"/>
      <c r="X553" s="74"/>
      <c r="Y553" s="74"/>
    </row>
    <row r="554" ht="26.25" customHeight="1">
      <c r="A554" s="74" t="str">
        <f>IFERROR(__xludf.DUMMYFUNCTION("""COMPUTED_VALUE"""),"K. Charan Teja")</f>
        <v>K. Charan Teja</v>
      </c>
      <c r="B554" s="74" t="str">
        <f>IFERROR(__xludf.DUMMYFUNCTION("""COMPUTED_VALUE"""),"20331A0587")</f>
        <v>20331A0587</v>
      </c>
      <c r="C554" s="90" t="str">
        <f>IFERROR(__xludf.DUMMYFUNCTION("""COMPUTED_VALUE"""),"IT essentials")</f>
        <v>IT essentials</v>
      </c>
      <c r="D554" s="74" t="str">
        <f>IFERROR(__xludf.DUMMYFUNCTION("""COMPUTED_VALUE"""),"Cisco")</f>
        <v>Cisco</v>
      </c>
      <c r="E554" s="74" t="str">
        <f>IFERROR(__xludf.DUMMYFUNCTION("""COMPUTED_VALUE"""),"2 months ")</f>
        <v>2 months </v>
      </c>
      <c r="F554" s="91">
        <f>IFERROR(__xludf.DUMMYFUNCTION("""COMPUTED_VALUE"""),44353.0)</f>
        <v>44353</v>
      </c>
      <c r="G554" s="91">
        <f>IFERROR(__xludf.DUMMYFUNCTION("""COMPUTED_VALUE"""),44414.0)</f>
        <v>44414</v>
      </c>
      <c r="H554" s="79">
        <f>IFERROR(__xludf.DUMMYFUNCTION("""COMPUTED_VALUE"""),44414.0)</f>
        <v>44414</v>
      </c>
      <c r="I554" s="92">
        <f>IFERROR(__xludf.DUMMYFUNCTION("""COMPUTED_VALUE"""),90.0)</f>
        <v>90</v>
      </c>
      <c r="J554" s="74" t="str">
        <f>IFERROR(__xludf.DUMMYFUNCTION("""COMPUTED_VALUE"""),"K.V.Subbaraju sir")</f>
        <v>K.V.Subbaraju sir</v>
      </c>
      <c r="K554" s="80" t="str">
        <f>IFERROR(__xludf.DUMMYFUNCTION("""COMPUTED_VALUE"""),"https://drive.google.com/open?id=15firB2U7LSHc09kBS6Z0FyxPPWcjqaVm")</f>
        <v>https://drive.google.com/open?id=15firB2U7LSHc09kBS6Z0FyxPPWcjqaVm</v>
      </c>
      <c r="L554" s="74" t="str">
        <f>IFERROR(__xludf.DUMMYFUNCTION("""COMPUTED_VALUE"""),"2020-2024")</f>
        <v>2020-2024</v>
      </c>
      <c r="M554" s="74" t="str">
        <f>IFERROR(__xludf.DUMMYFUNCTION("""COMPUTED_VALUE"""),"S4: Student Certifications")</f>
        <v>S4: Student Certifications</v>
      </c>
      <c r="N554" s="74" t="str">
        <f>IFERROR(__xludf.DUMMYFUNCTION("""COMPUTED_VALUE"""),"devadeepkolla211@gmail.com")</f>
        <v>devadeepkolla211@gmail.com</v>
      </c>
      <c r="O554" s="74" t="str">
        <f>IFERROR(__xludf.DUMMYFUNCTION("""COMPUTED_VALUE"""),"SEM-2")</f>
        <v>SEM-2</v>
      </c>
      <c r="P554" s="74"/>
      <c r="Q554" s="74"/>
      <c r="R554" s="74"/>
      <c r="S554" s="74"/>
      <c r="T554" s="74"/>
      <c r="U554" s="74"/>
      <c r="V554" s="74"/>
      <c r="W554" s="74"/>
      <c r="X554" s="74"/>
      <c r="Y554" s="74"/>
    </row>
    <row r="555" ht="26.25" customHeight="1">
      <c r="A555" s="74" t="str">
        <f>IFERROR(__xludf.DUMMYFUNCTION("""COMPUTED_VALUE"""),"Nukarapu Sai Surya Harshith ")</f>
        <v>Nukarapu Sai Surya Harshith </v>
      </c>
      <c r="B555" s="74" t="str">
        <f>IFERROR(__xludf.DUMMYFUNCTION("""COMPUTED_VALUE"""),"20331A05C8")</f>
        <v>20331A05C8</v>
      </c>
      <c r="C555" s="90" t="str">
        <f>IFERROR(__xludf.DUMMYFUNCTION("""COMPUTED_VALUE"""),"Redhat Linux (134)")</f>
        <v>Redhat Linux (134)</v>
      </c>
      <c r="D555" s="74" t="str">
        <f>IFERROR(__xludf.DUMMYFUNCTION("""COMPUTED_VALUE"""),"Redhat System Administration ")</f>
        <v>Redhat System Administration </v>
      </c>
      <c r="E555" s="74" t="str">
        <f>IFERROR(__xludf.DUMMYFUNCTION("""COMPUTED_VALUE"""),"2 months ")</f>
        <v>2 months </v>
      </c>
      <c r="F555" s="91">
        <f>IFERROR(__xludf.DUMMYFUNCTION("""COMPUTED_VALUE"""),44494.0)</f>
        <v>44494</v>
      </c>
      <c r="G555" s="91">
        <f>IFERROR(__xludf.DUMMYFUNCTION("""COMPUTED_VALUE"""),44555.0)</f>
        <v>44555</v>
      </c>
      <c r="H555" s="79">
        <f>IFERROR(__xludf.DUMMYFUNCTION("""COMPUTED_VALUE"""),44555.0)</f>
        <v>44555</v>
      </c>
      <c r="I555" s="92"/>
      <c r="J555" s="74" t="str">
        <f>IFERROR(__xludf.DUMMYFUNCTION("""COMPUTED_VALUE"""),"K.V. Subbaraju")</f>
        <v>K.V. Subbaraju</v>
      </c>
      <c r="K555" s="80" t="str">
        <f>IFERROR(__xludf.DUMMYFUNCTION("""COMPUTED_VALUE"""),"https://drive.google.com/open?id=1ePKgLP0s2vCDChjGVBCeA6ZJpzBik2bC")</f>
        <v>https://drive.google.com/open?id=1ePKgLP0s2vCDChjGVBCeA6ZJpzBik2bC</v>
      </c>
      <c r="L555" s="74" t="str">
        <f>IFERROR(__xludf.DUMMYFUNCTION("""COMPUTED_VALUE"""),"2020-2024")</f>
        <v>2020-2024</v>
      </c>
      <c r="M555" s="74" t="str">
        <f>IFERROR(__xludf.DUMMYFUNCTION("""COMPUTED_VALUE"""),"S4: Student Certifications")</f>
        <v>S4: Student Certifications</v>
      </c>
      <c r="N555" s="74" t="str">
        <f>IFERROR(__xludf.DUMMYFUNCTION("""COMPUTED_VALUE"""),"harshithnukarapu210@yahoo.com")</f>
        <v>harshithnukarapu210@yahoo.com</v>
      </c>
      <c r="O555" s="74" t="str">
        <f>IFERROR(__xludf.DUMMYFUNCTION("""COMPUTED_VALUE"""),"SEM-3")</f>
        <v>SEM-3</v>
      </c>
      <c r="P555" s="74"/>
      <c r="Q555" s="74"/>
      <c r="R555" s="74"/>
      <c r="S555" s="74"/>
      <c r="T555" s="74"/>
      <c r="U555" s="74"/>
      <c r="V555" s="74"/>
      <c r="W555" s="74"/>
      <c r="X555" s="74"/>
      <c r="Y555" s="74"/>
    </row>
    <row r="556" ht="26.25" customHeight="1">
      <c r="A556" s="74" t="str">
        <f>IFERROR(__xludf.DUMMYFUNCTION("""COMPUTED_VALUE"""),"K.Charan Teja")</f>
        <v>K.Charan Teja</v>
      </c>
      <c r="B556" s="74" t="str">
        <f>IFERROR(__xludf.DUMMYFUNCTION("""COMPUTED_VALUE"""),"20331A0587")</f>
        <v>20331A0587</v>
      </c>
      <c r="C556" s="90" t="str">
        <f>IFERROR(__xludf.DUMMYFUNCTION("""COMPUTED_VALUE"""),"Red Hat organization ")</f>
        <v>Red Hat organization </v>
      </c>
      <c r="D556" s="74" t="str">
        <f>IFERROR(__xludf.DUMMYFUNCTION("""COMPUTED_VALUE"""),"Red Hat System Administration ")</f>
        <v>Red Hat System Administration </v>
      </c>
      <c r="E556" s="74" t="str">
        <f>IFERROR(__xludf.DUMMYFUNCTION("""COMPUTED_VALUE"""),"2 months")</f>
        <v>2 months</v>
      </c>
      <c r="F556" s="91">
        <f>IFERROR(__xludf.DUMMYFUNCTION("""COMPUTED_VALUE"""),44494.0)</f>
        <v>44494</v>
      </c>
      <c r="G556" s="91">
        <f>IFERROR(__xludf.DUMMYFUNCTION("""COMPUTED_VALUE"""),44555.0)</f>
        <v>44555</v>
      </c>
      <c r="H556" s="79">
        <f>IFERROR(__xludf.DUMMYFUNCTION("""COMPUTED_VALUE"""),44555.0)</f>
        <v>44555</v>
      </c>
      <c r="I556" s="92"/>
      <c r="J556" s="74" t="str">
        <f>IFERROR(__xludf.DUMMYFUNCTION("""COMPUTED_VALUE"""),"K.V.Subbaraj sir")</f>
        <v>K.V.Subbaraj sir</v>
      </c>
      <c r="K556" s="80" t="str">
        <f>IFERROR(__xludf.DUMMYFUNCTION("""COMPUTED_VALUE"""),"https://drive.google.com/open?id=1A-N-7jEjlW6kHxSpgtnAohojK6S_jEE3")</f>
        <v>https://drive.google.com/open?id=1A-N-7jEjlW6kHxSpgtnAohojK6S_jEE3</v>
      </c>
      <c r="L556" s="74" t="str">
        <f>IFERROR(__xludf.DUMMYFUNCTION("""COMPUTED_VALUE"""),"2020-2024")</f>
        <v>2020-2024</v>
      </c>
      <c r="M556" s="74" t="str">
        <f>IFERROR(__xludf.DUMMYFUNCTION("""COMPUTED_VALUE"""),"S4: Student Certifications")</f>
        <v>S4: Student Certifications</v>
      </c>
      <c r="N556" s="74" t="str">
        <f>IFERROR(__xludf.DUMMYFUNCTION("""COMPUTED_VALUE"""),"devadeepkolla211@gmail.com")</f>
        <v>devadeepkolla211@gmail.com</v>
      </c>
      <c r="O556" s="74" t="str">
        <f>IFERROR(__xludf.DUMMYFUNCTION("""COMPUTED_VALUE"""),"SEM-3")</f>
        <v>SEM-3</v>
      </c>
      <c r="P556" s="74"/>
      <c r="Q556" s="74"/>
      <c r="R556" s="74"/>
      <c r="S556" s="74"/>
      <c r="T556" s="74"/>
      <c r="U556" s="74"/>
      <c r="V556" s="74"/>
      <c r="W556" s="74"/>
      <c r="X556" s="74"/>
      <c r="Y556" s="74"/>
    </row>
    <row r="557" ht="26.25" customHeight="1">
      <c r="A557" s="74" t="str">
        <f>IFERROR(__xludf.DUMMYFUNCTION("""COMPUTED_VALUE"""),"Madabathula Padma Praharshitha")</f>
        <v>Madabathula Padma Praharshitha</v>
      </c>
      <c r="B557" s="74" t="str">
        <f>IFERROR(__xludf.DUMMYFUNCTION("""COMPUTED_VALUE"""),"20331A05A3")</f>
        <v>20331A05A3</v>
      </c>
      <c r="C557" s="90" t="str">
        <f>IFERROR(__xludf.DUMMYFUNCTION("""COMPUTED_VALUE"""),"Redhat linux(RH 124)")</f>
        <v>Redhat linux(RH 124)</v>
      </c>
      <c r="D557" s="74" t="str">
        <f>IFERROR(__xludf.DUMMYFUNCTION("""COMPUTED_VALUE"""),"Redhat System Administration")</f>
        <v>Redhat System Administration</v>
      </c>
      <c r="E557" s="74" t="str">
        <f>IFERROR(__xludf.DUMMYFUNCTION("""COMPUTED_VALUE"""),"2 months")</f>
        <v>2 months</v>
      </c>
      <c r="F557" s="91">
        <f>IFERROR(__xludf.DUMMYFUNCTION("""COMPUTED_VALUE"""),44494.0)</f>
        <v>44494</v>
      </c>
      <c r="G557" s="91">
        <f>IFERROR(__xludf.DUMMYFUNCTION("""COMPUTED_VALUE"""),44555.0)</f>
        <v>44555</v>
      </c>
      <c r="H557" s="79">
        <f>IFERROR(__xludf.DUMMYFUNCTION("""COMPUTED_VALUE"""),44555.0)</f>
        <v>44555</v>
      </c>
      <c r="I557" s="92"/>
      <c r="J557" s="74" t="str">
        <f>IFERROR(__xludf.DUMMYFUNCTION("""COMPUTED_VALUE"""),"K.V.SubhaRaju")</f>
        <v>K.V.SubhaRaju</v>
      </c>
      <c r="K557" s="80" t="str">
        <f>IFERROR(__xludf.DUMMYFUNCTION("""COMPUTED_VALUE"""),"https://drive.google.com/open?id=1oyxRrs_mpa1Wr7ea1u-YP_v0wp8XFQ7X")</f>
        <v>https://drive.google.com/open?id=1oyxRrs_mpa1Wr7ea1u-YP_v0wp8XFQ7X</v>
      </c>
      <c r="L557" s="74" t="str">
        <f>IFERROR(__xludf.DUMMYFUNCTION("""COMPUTED_VALUE"""),"2020-2024")</f>
        <v>2020-2024</v>
      </c>
      <c r="M557" s="74" t="str">
        <f>IFERROR(__xludf.DUMMYFUNCTION("""COMPUTED_VALUE"""),"S4: Student Certifications")</f>
        <v>S4: Student Certifications</v>
      </c>
      <c r="N557" s="74" t="str">
        <f>IFERROR(__xludf.DUMMYFUNCTION("""COMPUTED_VALUE"""),"praharshitha210@gmail.com")</f>
        <v>praharshitha210@gmail.com</v>
      </c>
      <c r="O557" s="74" t="str">
        <f>IFERROR(__xludf.DUMMYFUNCTION("""COMPUTED_VALUE"""),"SEM-2")</f>
        <v>SEM-2</v>
      </c>
      <c r="P557" s="74"/>
      <c r="Q557" s="74"/>
      <c r="R557" s="74"/>
      <c r="S557" s="74"/>
      <c r="T557" s="74"/>
      <c r="U557" s="74"/>
      <c r="V557" s="74"/>
      <c r="W557" s="74"/>
      <c r="X557" s="74"/>
      <c r="Y557" s="74"/>
    </row>
    <row r="558" ht="26.25" customHeight="1">
      <c r="A558" s="78" t="str">
        <f>IFERROR(__xludf.DUMMYFUNCTION("""COMPUTED_VALUE"""),"K.Charan Teja")</f>
        <v>K.Charan Teja</v>
      </c>
      <c r="B558" s="78" t="str">
        <f>IFERROR(__xludf.DUMMYFUNCTION("""COMPUTED_VALUE"""),"20331A0587")</f>
        <v>20331A0587</v>
      </c>
      <c r="C558" s="93" t="str">
        <f>IFERROR(__xludf.DUMMYFUNCTION("""COMPUTED_VALUE"""),"ITYUKTHA-2K22")</f>
        <v>ITYUKTHA-2K22</v>
      </c>
      <c r="D558" s="78" t="str">
        <f>IFERROR(__xludf.DUMMYFUNCTION("""COMPUTED_VALUE"""),"JNTUGV")</f>
        <v>JNTUGV</v>
      </c>
      <c r="E558" s="78" t="str">
        <f>IFERROR(__xludf.DUMMYFUNCTION("""COMPUTED_VALUE"""),"2 days")</f>
        <v>2 days</v>
      </c>
      <c r="F558" s="94">
        <f>IFERROR(__xludf.DUMMYFUNCTION("""COMPUTED_VALUE"""),44650.0)</f>
        <v>44650</v>
      </c>
      <c r="G558" s="94">
        <f>IFERROR(__xludf.DUMMYFUNCTION("""COMPUTED_VALUE"""),44651.0)</f>
        <v>44651</v>
      </c>
      <c r="H558" s="84">
        <f>IFERROR(__xludf.DUMMYFUNCTION("""COMPUTED_VALUE"""),44651.0)</f>
        <v>44651</v>
      </c>
      <c r="I558" s="95"/>
      <c r="J558" s="78" t="str">
        <f>IFERROR(__xludf.DUMMYFUNCTION("""COMPUTED_VALUE"""),"G.jayasuma")</f>
        <v>G.jayasuma</v>
      </c>
      <c r="K558" s="85" t="str">
        <f>IFERROR(__xludf.DUMMYFUNCTION("""COMPUTED_VALUE"""),"https://drive.google.com/open?id=1lMJZ3oZCH0qJpBElyfqLRPrXbwiJjMEP")</f>
        <v>https://drive.google.com/open?id=1lMJZ3oZCH0qJpBElyfqLRPrXbwiJjMEP</v>
      </c>
      <c r="L558" s="78" t="str">
        <f>IFERROR(__xludf.DUMMYFUNCTION("""COMPUTED_VALUE"""),"2020-2024")</f>
        <v>2020-2024</v>
      </c>
      <c r="M558" s="78" t="str">
        <f>IFERROR(__xludf.DUMMYFUNCTION("""COMPUTED_VALUE"""),"S4: Student Certifications")</f>
        <v>S4: Student Certifications</v>
      </c>
      <c r="N558" s="78" t="str">
        <f>IFERROR(__xludf.DUMMYFUNCTION("""COMPUTED_VALUE"""),"devadeepkolla211@gmail.com")</f>
        <v>devadeepkolla211@gmail.com</v>
      </c>
      <c r="O558" s="78" t="str">
        <f>IFERROR(__xludf.DUMMYFUNCTION("""COMPUTED_VALUE"""),"SEM-4")</f>
        <v>SEM-4</v>
      </c>
      <c r="P558" s="78"/>
      <c r="Q558" s="78"/>
      <c r="R558" s="78"/>
      <c r="S558" s="78"/>
      <c r="T558" s="78"/>
      <c r="U558" s="78"/>
      <c r="V558" s="78"/>
      <c r="W558" s="78"/>
      <c r="X558" s="78"/>
      <c r="Y558" s="78"/>
    </row>
    <row r="559" ht="26.25" customHeight="1">
      <c r="A559" s="96" t="str">
        <f>IFERROR(__xludf.DUMMYFUNCTION("""COMPUTED_VALUE"""),"BOMMI HARSHITGA")</f>
        <v>BOMMI HARSHITGA</v>
      </c>
      <c r="B559" s="96" t="str">
        <f>IFERROR(__xludf.DUMMYFUNCTION("""COMPUTED_VALUE"""),"20331A0524")</f>
        <v>20331A0524</v>
      </c>
      <c r="C559" s="97" t="str">
        <f>IFERROR(__xludf.DUMMYFUNCTION("""COMPUTED_VALUE"""),"IT ESSENTIALS")</f>
        <v>IT ESSENTIALS</v>
      </c>
      <c r="D559" s="96" t="str">
        <f>IFERROR(__xludf.DUMMYFUNCTION("""COMPUTED_VALUE"""),"CISCO")</f>
        <v>CISCO</v>
      </c>
      <c r="E559" s="96" t="str">
        <f>IFERROR(__xludf.DUMMYFUNCTION("""COMPUTED_VALUE"""),"2 months")</f>
        <v>2 months</v>
      </c>
      <c r="F559" s="98">
        <f>IFERROR(__xludf.DUMMYFUNCTION("""COMPUTED_VALUE"""),44378.0)</f>
        <v>44378</v>
      </c>
      <c r="G559" s="98">
        <f>IFERROR(__xludf.DUMMYFUNCTION("""COMPUTED_VALUE"""),44440.0)</f>
        <v>44440</v>
      </c>
      <c r="H559" s="99">
        <f>IFERROR(__xludf.DUMMYFUNCTION("""COMPUTED_VALUE"""),44464.0)</f>
        <v>44464</v>
      </c>
      <c r="I559" s="100">
        <f>IFERROR(__xludf.DUMMYFUNCTION("""COMPUTED_VALUE"""),95.0)</f>
        <v>95</v>
      </c>
      <c r="J559" s="96" t="str">
        <f>IFERROR(__xludf.DUMMYFUNCTION("""COMPUTED_VALUE"""),"K.SUBBARAJU ")</f>
        <v>K.SUBBARAJU </v>
      </c>
      <c r="K559" s="101" t="str">
        <f>IFERROR(__xludf.DUMMYFUNCTION("""COMPUTED_VALUE"""),"https://drive.google.com/open?id=1LiMEyuEmNEP-JyQwa4-lr4x0Z7NOQKKZ")</f>
        <v>https://drive.google.com/open?id=1LiMEyuEmNEP-JyQwa4-lr4x0Z7NOQKKZ</v>
      </c>
      <c r="L559" s="96" t="str">
        <f>IFERROR(__xludf.DUMMYFUNCTION("""COMPUTED_VALUE"""),"2020-2024")</f>
        <v>2020-2024</v>
      </c>
      <c r="M559" s="96" t="str">
        <f>IFERROR(__xludf.DUMMYFUNCTION("""COMPUTED_VALUE"""),"S4: Student Certifications")</f>
        <v>S4: Student Certifications</v>
      </c>
      <c r="N559" s="96" t="str">
        <f>IFERROR(__xludf.DUMMYFUNCTION("""COMPUTED_VALUE"""),"bommiharshitha0603@gmail.com")</f>
        <v>bommiharshitha0603@gmail.com</v>
      </c>
      <c r="O559" s="96" t="str">
        <f>IFERROR(__xludf.DUMMYFUNCTION("""COMPUTED_VALUE"""),"SEM-4")</f>
        <v>SEM-4</v>
      </c>
      <c r="P559" s="96"/>
      <c r="Q559" s="96"/>
      <c r="R559" s="96"/>
      <c r="S559" s="96"/>
      <c r="T559" s="96"/>
      <c r="U559" s="96"/>
      <c r="V559" s="96"/>
      <c r="W559" s="96"/>
      <c r="X559" s="96"/>
      <c r="Y559" s="96"/>
    </row>
    <row r="560" ht="26.25" customHeight="1">
      <c r="A560" s="74" t="str">
        <f>IFERROR(__xludf.DUMMYFUNCTION("""COMPUTED_VALUE"""),"Madabathula Padma Praharshitha")</f>
        <v>Madabathula Padma Praharshitha</v>
      </c>
      <c r="B560" s="74" t="str">
        <f>IFERROR(__xludf.DUMMYFUNCTION("""COMPUTED_VALUE"""),"20331A05A3")</f>
        <v>20331A05A3</v>
      </c>
      <c r="C560" s="90" t="str">
        <f>IFERROR(__xludf.DUMMYFUNCTION("""COMPUTED_VALUE"""),"Redhat linux(RH134)")</f>
        <v>Redhat linux(RH134)</v>
      </c>
      <c r="D560" s="74" t="str">
        <f>IFERROR(__xludf.DUMMYFUNCTION("""COMPUTED_VALUE"""),"Redhat system Administration")</f>
        <v>Redhat system Administration</v>
      </c>
      <c r="E560" s="74" t="str">
        <f>IFERROR(__xludf.DUMMYFUNCTION("""COMPUTED_VALUE"""),"2 months")</f>
        <v>2 months</v>
      </c>
      <c r="F560" s="91">
        <f>IFERROR(__xludf.DUMMYFUNCTION("""COMPUTED_VALUE"""),44494.0)</f>
        <v>44494</v>
      </c>
      <c r="G560" s="91">
        <f>IFERROR(__xludf.DUMMYFUNCTION("""COMPUTED_VALUE"""),44555.0)</f>
        <v>44555</v>
      </c>
      <c r="H560" s="79">
        <f>IFERROR(__xludf.DUMMYFUNCTION("""COMPUTED_VALUE"""),44555.0)</f>
        <v>44555</v>
      </c>
      <c r="I560" s="92"/>
      <c r="J560" s="74" t="str">
        <f>IFERROR(__xludf.DUMMYFUNCTION("""COMPUTED_VALUE"""),"K.V.SubhaRaju")</f>
        <v>K.V.SubhaRaju</v>
      </c>
      <c r="K560" s="80" t="str">
        <f>IFERROR(__xludf.DUMMYFUNCTION("""COMPUTED_VALUE"""),"https://drive.google.com/open?id=1d9vD1QBmDfwIF3W6hIiCWW4h5GHAugI0")</f>
        <v>https://drive.google.com/open?id=1d9vD1QBmDfwIF3W6hIiCWW4h5GHAugI0</v>
      </c>
      <c r="L560" s="74" t="str">
        <f>IFERROR(__xludf.DUMMYFUNCTION("""COMPUTED_VALUE"""),"2020-2024")</f>
        <v>2020-2024</v>
      </c>
      <c r="M560" s="74" t="str">
        <f>IFERROR(__xludf.DUMMYFUNCTION("""COMPUTED_VALUE"""),"S4: Student Certifications")</f>
        <v>S4: Student Certifications</v>
      </c>
      <c r="N560" s="74" t="str">
        <f>IFERROR(__xludf.DUMMYFUNCTION("""COMPUTED_VALUE"""),"praharshitha210@gmail.com")</f>
        <v>praharshitha210@gmail.com</v>
      </c>
      <c r="O560" s="74" t="str">
        <f>IFERROR(__xludf.DUMMYFUNCTION("""COMPUTED_VALUE"""),"SEM-3")</f>
        <v>SEM-3</v>
      </c>
      <c r="P560" s="74"/>
      <c r="Q560" s="74"/>
      <c r="R560" s="74"/>
      <c r="S560" s="74"/>
      <c r="T560" s="74"/>
      <c r="U560" s="74"/>
      <c r="V560" s="74"/>
      <c r="W560" s="74"/>
      <c r="X560" s="74"/>
      <c r="Y560" s="74"/>
    </row>
    <row r="561" ht="26.25" customHeight="1">
      <c r="A561" s="78" t="str">
        <f>IFERROR(__xludf.DUMMYFUNCTION("""COMPUTED_VALUE"""),"Nukarapu Sai Surya Harshith ")</f>
        <v>Nukarapu Sai Surya Harshith </v>
      </c>
      <c r="B561" s="78" t="str">
        <f>IFERROR(__xludf.DUMMYFUNCTION("""COMPUTED_VALUE"""),"20331A05C8")</f>
        <v>20331A05C8</v>
      </c>
      <c r="C561" s="93" t="str">
        <f>IFERROR(__xludf.DUMMYFUNCTION("""COMPUTED_VALUE"""),"Linux Automation Virtual Internship")</f>
        <v>Linux Automation Virtual Internship</v>
      </c>
      <c r="D561" s="78" t="str">
        <f>IFERROR(__xludf.DUMMYFUNCTION("""COMPUTED_VALUE"""),"Redhat Academy ")</f>
        <v>Redhat Academy </v>
      </c>
      <c r="E561" s="78" t="str">
        <f>IFERROR(__xludf.DUMMYFUNCTION("""COMPUTED_VALUE"""),"2 Months")</f>
        <v>2 Months</v>
      </c>
      <c r="F561" s="94">
        <f>IFERROR(__xludf.DUMMYFUNCTION("""COMPUTED_VALUE"""),44478.0)</f>
        <v>44478</v>
      </c>
      <c r="G561" s="94">
        <f>IFERROR(__xludf.DUMMYFUNCTION("""COMPUTED_VALUE"""),44494.0)</f>
        <v>44494</v>
      </c>
      <c r="H561" s="84">
        <f>IFERROR(__xludf.DUMMYFUNCTION("""COMPUTED_VALUE"""),44555.0)</f>
        <v>44555</v>
      </c>
      <c r="I561" s="95"/>
      <c r="J561" s="78" t="str">
        <f>IFERROR(__xludf.DUMMYFUNCTION("""COMPUTED_VALUE"""),"K. V. Subbaraju ")</f>
        <v>K. V. Subbaraju </v>
      </c>
      <c r="K561" s="85" t="str">
        <f>IFERROR(__xludf.DUMMYFUNCTION("""COMPUTED_VALUE"""),"https://drive.google.com/open?id=1TeCR4HLMsWqwveJIj2vvFhZjbq9PpGSV")</f>
        <v>https://drive.google.com/open?id=1TeCR4HLMsWqwveJIj2vvFhZjbq9PpGSV</v>
      </c>
      <c r="L561" s="78" t="str">
        <f>IFERROR(__xludf.DUMMYFUNCTION("""COMPUTED_VALUE"""),"2020-2024")</f>
        <v>2020-2024</v>
      </c>
      <c r="M561" s="78" t="str">
        <f>IFERROR(__xludf.DUMMYFUNCTION("""COMPUTED_VALUE"""),"S4: Student Certifications")</f>
        <v>S4: Student Certifications</v>
      </c>
      <c r="N561" s="78" t="str">
        <f>IFERROR(__xludf.DUMMYFUNCTION("""COMPUTED_VALUE"""),"harshithnukarapu210@yahoo.com")</f>
        <v>harshithnukarapu210@yahoo.com</v>
      </c>
      <c r="O561" s="78" t="str">
        <f>IFERROR(__xludf.DUMMYFUNCTION("""COMPUTED_VALUE"""),"SEM-3")</f>
        <v>SEM-3</v>
      </c>
      <c r="P561" s="78"/>
      <c r="Q561" s="78"/>
      <c r="R561" s="78"/>
      <c r="S561" s="78"/>
      <c r="T561" s="78"/>
      <c r="U561" s="78"/>
      <c r="V561" s="78"/>
      <c r="W561" s="78"/>
      <c r="X561" s="78"/>
      <c r="Y561" s="78"/>
    </row>
    <row r="562" ht="26.25" customHeight="1">
      <c r="A562" s="78" t="str">
        <f>IFERROR(__xludf.DUMMYFUNCTION("""COMPUTED_VALUE"""),"Tejaswikarthik Nistala")</f>
        <v>Tejaswikarthik Nistala</v>
      </c>
      <c r="B562" s="78" t="str">
        <f>IFERROR(__xludf.DUMMYFUNCTION("""COMPUTED_VALUE"""),"20331A05C7")</f>
        <v>20331A05C7</v>
      </c>
      <c r="C562" s="93" t="str">
        <f>IFERROR(__xludf.DUMMYFUNCTION("""COMPUTED_VALUE"""),"Linux Automation virtual internship")</f>
        <v>Linux Automation virtual internship</v>
      </c>
      <c r="D562" s="78" t="str">
        <f>IFERROR(__xludf.DUMMYFUNCTION("""COMPUTED_VALUE"""),"Red hat academy")</f>
        <v>Red hat academy</v>
      </c>
      <c r="E562" s="78" t="str">
        <f>IFERROR(__xludf.DUMMYFUNCTION("""COMPUTED_VALUE"""),"2 months")</f>
        <v>2 months</v>
      </c>
      <c r="F562" s="94">
        <f>IFERROR(__xludf.DUMMYFUNCTION("""COMPUTED_VALUE"""),44494.0)</f>
        <v>44494</v>
      </c>
      <c r="G562" s="94">
        <f>IFERROR(__xludf.DUMMYFUNCTION("""COMPUTED_VALUE"""),44555.0)</f>
        <v>44555</v>
      </c>
      <c r="H562" s="84">
        <f>IFERROR(__xludf.DUMMYFUNCTION("""COMPUTED_VALUE"""),44555.0)</f>
        <v>44555</v>
      </c>
      <c r="I562" s="95"/>
      <c r="J562" s="78" t="str">
        <f>IFERROR(__xludf.DUMMYFUNCTION("""COMPUTED_VALUE"""),"K. V. Subbaraju")</f>
        <v>K. V. Subbaraju</v>
      </c>
      <c r="K562" s="85" t="str">
        <f>IFERROR(__xludf.DUMMYFUNCTION("""COMPUTED_VALUE"""),"https://drive.google.com/open?id=1zx7EtsWxcpgDi3bY2U3OCgWVposD6Bov")</f>
        <v>https://drive.google.com/open?id=1zx7EtsWxcpgDi3bY2U3OCgWVposD6Bov</v>
      </c>
      <c r="L562" s="78" t="str">
        <f>IFERROR(__xludf.DUMMYFUNCTION("""COMPUTED_VALUE"""),"2020-2024")</f>
        <v>2020-2024</v>
      </c>
      <c r="M562" s="78" t="str">
        <f>IFERROR(__xludf.DUMMYFUNCTION("""COMPUTED_VALUE"""),"S4: Student Certifications")</f>
        <v>S4: Student Certifications</v>
      </c>
      <c r="N562" s="78" t="str">
        <f>IFERROR(__xludf.DUMMYFUNCTION("""COMPUTED_VALUE"""),"tejaswikarthiknistala@gmail.com")</f>
        <v>tejaswikarthiknistala@gmail.com</v>
      </c>
      <c r="O562" s="78" t="str">
        <f>IFERROR(__xludf.DUMMYFUNCTION("""COMPUTED_VALUE"""),"SEM-3")</f>
        <v>SEM-3</v>
      </c>
      <c r="P562" s="78"/>
      <c r="Q562" s="78"/>
      <c r="R562" s="78"/>
      <c r="S562" s="78"/>
      <c r="T562" s="78"/>
      <c r="U562" s="78"/>
      <c r="V562" s="78"/>
      <c r="W562" s="78"/>
      <c r="X562" s="78"/>
      <c r="Y562" s="78"/>
    </row>
    <row r="563" ht="26.25" customHeight="1">
      <c r="A563" s="74" t="str">
        <f>IFERROR(__xludf.DUMMYFUNCTION("""COMPUTED_VALUE"""),"Tejaswikarthik Nistala")</f>
        <v>Tejaswikarthik Nistala</v>
      </c>
      <c r="B563" s="74" t="str">
        <f>IFERROR(__xludf.DUMMYFUNCTION("""COMPUTED_VALUE"""),"20331A05C7")</f>
        <v>20331A05C7</v>
      </c>
      <c r="C563" s="90" t="str">
        <f>IFERROR(__xludf.DUMMYFUNCTION("""COMPUTED_VALUE"""),"NDG linux essentials")</f>
        <v>NDG linux essentials</v>
      </c>
      <c r="D563" s="74" t="str">
        <f>IFERROR(__xludf.DUMMYFUNCTION("""COMPUTED_VALUE"""),"Cisco networking academy")</f>
        <v>Cisco networking academy</v>
      </c>
      <c r="E563" s="74" t="str">
        <f>IFERROR(__xludf.DUMMYFUNCTION("""COMPUTED_VALUE"""),"3 months")</f>
        <v>3 months</v>
      </c>
      <c r="F563" s="91">
        <f>IFERROR(__xludf.DUMMYFUNCTION("""COMPUTED_VALUE"""),44562.0)</f>
        <v>44562</v>
      </c>
      <c r="G563" s="91">
        <f>IFERROR(__xludf.DUMMYFUNCTION("""COMPUTED_VALUE"""),44651.0)</f>
        <v>44651</v>
      </c>
      <c r="H563" s="79">
        <f>IFERROR(__xludf.DUMMYFUNCTION("""COMPUTED_VALUE"""),44651.0)</f>
        <v>44651</v>
      </c>
      <c r="I563" s="92"/>
      <c r="J563" s="74" t="str">
        <f>IFERROR(__xludf.DUMMYFUNCTION("""COMPUTED_VALUE"""),"K. V. Subbaraju")</f>
        <v>K. V. Subbaraju</v>
      </c>
      <c r="K563" s="80" t="str">
        <f>IFERROR(__xludf.DUMMYFUNCTION("""COMPUTED_VALUE"""),"https://drive.google.com/open?id=1aTxFzkWMJR1cFhAQbVY1S978LynkQJJF")</f>
        <v>https://drive.google.com/open?id=1aTxFzkWMJR1cFhAQbVY1S978LynkQJJF</v>
      </c>
      <c r="L563" s="74" t="str">
        <f>IFERROR(__xludf.DUMMYFUNCTION("""COMPUTED_VALUE"""),"2020-2024")</f>
        <v>2020-2024</v>
      </c>
      <c r="M563" s="74" t="str">
        <f>IFERROR(__xludf.DUMMYFUNCTION("""COMPUTED_VALUE"""),"S4: Student Certifications")</f>
        <v>S4: Student Certifications</v>
      </c>
      <c r="N563" s="74" t="str">
        <f>IFERROR(__xludf.DUMMYFUNCTION("""COMPUTED_VALUE"""),"tejaswikarthiknistala@gmail.com")</f>
        <v>tejaswikarthiknistala@gmail.com</v>
      </c>
      <c r="O563" s="74" t="str">
        <f>IFERROR(__xludf.DUMMYFUNCTION("""COMPUTED_VALUE"""),"SEM-3")</f>
        <v>SEM-3</v>
      </c>
      <c r="P563" s="74"/>
      <c r="Q563" s="74"/>
      <c r="R563" s="74"/>
      <c r="S563" s="74"/>
      <c r="T563" s="74"/>
      <c r="U563" s="74"/>
      <c r="V563" s="74"/>
      <c r="W563" s="74"/>
      <c r="X563" s="74"/>
      <c r="Y563" s="74"/>
    </row>
    <row r="564" ht="26.25" customHeight="1">
      <c r="A564" s="74" t="str">
        <f>IFERROR(__xludf.DUMMYFUNCTION("""COMPUTED_VALUE"""),"Madabathula Padma Praharshitha")</f>
        <v>Madabathula Padma Praharshitha</v>
      </c>
      <c r="B564" s="74" t="str">
        <f>IFERROR(__xludf.DUMMYFUNCTION("""COMPUTED_VALUE"""),"20331A05A3")</f>
        <v>20331A05A3</v>
      </c>
      <c r="C564" s="90" t="str">
        <f>IFERROR(__xludf.DUMMYFUNCTION("""COMPUTED_VALUE"""),"NDG linux essentials")</f>
        <v>NDG linux essentials</v>
      </c>
      <c r="D564" s="74" t="str">
        <f>IFERROR(__xludf.DUMMYFUNCTION("""COMPUTED_VALUE"""),"Cisco Networking Academy")</f>
        <v>Cisco Networking Academy</v>
      </c>
      <c r="E564" s="74" t="str">
        <f>IFERROR(__xludf.DUMMYFUNCTION("""COMPUTED_VALUE"""),"3 months")</f>
        <v>3 months</v>
      </c>
      <c r="F564" s="91">
        <f>IFERROR(__xludf.DUMMYFUNCTION("""COMPUTED_VALUE"""),44562.0)</f>
        <v>44562</v>
      </c>
      <c r="G564" s="91">
        <f>IFERROR(__xludf.DUMMYFUNCTION("""COMPUTED_VALUE"""),44651.0)</f>
        <v>44651</v>
      </c>
      <c r="H564" s="79">
        <f>IFERROR(__xludf.DUMMYFUNCTION("""COMPUTED_VALUE"""),44651.0)</f>
        <v>44651</v>
      </c>
      <c r="I564" s="92"/>
      <c r="J564" s="74" t="str">
        <f>IFERROR(__xludf.DUMMYFUNCTION("""COMPUTED_VALUE"""),"K.V.Subharaju")</f>
        <v>K.V.Subharaju</v>
      </c>
      <c r="K564" s="80" t="str">
        <f>IFERROR(__xludf.DUMMYFUNCTION("""COMPUTED_VALUE"""),"https://drive.google.com/open?id=1z9FKsD6U7nTC-TQYyGawgWr7RdiTZSd6")</f>
        <v>https://drive.google.com/open?id=1z9FKsD6U7nTC-TQYyGawgWr7RdiTZSd6</v>
      </c>
      <c r="L564" s="74" t="str">
        <f>IFERROR(__xludf.DUMMYFUNCTION("""COMPUTED_VALUE"""),"2020-2024")</f>
        <v>2020-2024</v>
      </c>
      <c r="M564" s="74" t="str">
        <f>IFERROR(__xludf.DUMMYFUNCTION("""COMPUTED_VALUE"""),"S4: Student Certifications")</f>
        <v>S4: Student Certifications</v>
      </c>
      <c r="N564" s="74" t="str">
        <f>IFERROR(__xludf.DUMMYFUNCTION("""COMPUTED_VALUE"""),"praharshitha210@gmail.com")</f>
        <v>praharshitha210@gmail.com</v>
      </c>
      <c r="O564" s="74" t="str">
        <f>IFERROR(__xludf.DUMMYFUNCTION("""COMPUTED_VALUE"""),"SEM-3")</f>
        <v>SEM-3</v>
      </c>
      <c r="P564" s="74"/>
      <c r="Q564" s="74"/>
      <c r="R564" s="74"/>
      <c r="S564" s="74"/>
      <c r="T564" s="74"/>
      <c r="U564" s="74"/>
      <c r="V564" s="74"/>
      <c r="W564" s="74"/>
      <c r="X564" s="74"/>
      <c r="Y564" s="74"/>
    </row>
    <row r="565" ht="26.25" customHeight="1">
      <c r="A565" s="74" t="str">
        <f>IFERROR(__xludf.DUMMYFUNCTION("""COMPUTED_VALUE"""),"Nukarapu Sai Surya Harshith ")</f>
        <v>Nukarapu Sai Surya Harshith </v>
      </c>
      <c r="B565" s="74" t="str">
        <f>IFERROR(__xludf.DUMMYFUNCTION("""COMPUTED_VALUE"""),"20331A05C8")</f>
        <v>20331A05C8</v>
      </c>
      <c r="C565" s="90" t="str">
        <f>IFERROR(__xludf.DUMMYFUNCTION("""COMPUTED_VALUE"""),"NDG Linux Essentials ")</f>
        <v>NDG Linux Essentials </v>
      </c>
      <c r="D565" s="74" t="str">
        <f>IFERROR(__xludf.DUMMYFUNCTION("""COMPUTED_VALUE"""),"Cisco Networking academy ")</f>
        <v>Cisco Networking academy </v>
      </c>
      <c r="E565" s="74" t="str">
        <f>IFERROR(__xludf.DUMMYFUNCTION("""COMPUTED_VALUE"""),"3 months ")</f>
        <v>3 months </v>
      </c>
      <c r="F565" s="91">
        <f>IFERROR(__xludf.DUMMYFUNCTION("""COMPUTED_VALUE"""),44562.0)</f>
        <v>44562</v>
      </c>
      <c r="G565" s="91">
        <f>IFERROR(__xludf.DUMMYFUNCTION("""COMPUTED_VALUE"""),44651.0)</f>
        <v>44651</v>
      </c>
      <c r="H565" s="79">
        <f>IFERROR(__xludf.DUMMYFUNCTION("""COMPUTED_VALUE"""),44651.0)</f>
        <v>44651</v>
      </c>
      <c r="I565" s="92"/>
      <c r="J565" s="74" t="str">
        <f>IFERROR(__xludf.DUMMYFUNCTION("""COMPUTED_VALUE"""),"K. V. Subbaraju ")</f>
        <v>K. V. Subbaraju </v>
      </c>
      <c r="K565" s="80" t="str">
        <f>IFERROR(__xludf.DUMMYFUNCTION("""COMPUTED_VALUE"""),"https://drive.google.com/open?id=1TKvjyjGK_LYjM1Pe4Vg6-icNLcx8xeHU")</f>
        <v>https://drive.google.com/open?id=1TKvjyjGK_LYjM1Pe4Vg6-icNLcx8xeHU</v>
      </c>
      <c r="L565" s="74" t="str">
        <f>IFERROR(__xludf.DUMMYFUNCTION("""COMPUTED_VALUE"""),"2020-2024")</f>
        <v>2020-2024</v>
      </c>
      <c r="M565" s="74" t="str">
        <f>IFERROR(__xludf.DUMMYFUNCTION("""COMPUTED_VALUE"""),"S4: Student Certifications")</f>
        <v>S4: Student Certifications</v>
      </c>
      <c r="N565" s="74" t="str">
        <f>IFERROR(__xludf.DUMMYFUNCTION("""COMPUTED_VALUE"""),"harshithnukarapu210@yahoo.com")</f>
        <v>harshithnukarapu210@yahoo.com</v>
      </c>
      <c r="O565" s="74" t="str">
        <f>IFERROR(__xludf.DUMMYFUNCTION("""COMPUTED_VALUE"""),"SEM-3")</f>
        <v>SEM-3</v>
      </c>
      <c r="P565" s="74"/>
      <c r="Q565" s="74"/>
      <c r="R565" s="74"/>
      <c r="S565" s="74"/>
      <c r="T565" s="74"/>
      <c r="U565" s="74"/>
      <c r="V565" s="74"/>
      <c r="W565" s="74"/>
      <c r="X565" s="74"/>
      <c r="Y565" s="74"/>
    </row>
    <row r="566" ht="26.25" customHeight="1">
      <c r="A566" s="74" t="str">
        <f>IFERROR(__xludf.DUMMYFUNCTION("""COMPUTED_VALUE"""),"MOHAMMED ANJUMUL HAQUE")</f>
        <v>MOHAMMED ANJUMUL HAQUE</v>
      </c>
      <c r="B566" s="74" t="str">
        <f>IFERROR(__xludf.DUMMYFUNCTION("""COMPUTED_VALUE"""),"20331A05B2")</f>
        <v>20331A05B2</v>
      </c>
      <c r="C566" s="90" t="str">
        <f>IFERROR(__xludf.DUMMYFUNCTION("""COMPUTED_VALUE"""),"IT ESSENTIALS")</f>
        <v>IT ESSENTIALS</v>
      </c>
      <c r="D566" s="74" t="str">
        <f>IFERROR(__xludf.DUMMYFUNCTION("""COMPUTED_VALUE"""),"CISCO NETWORKING ACADEMY")</f>
        <v>CISCO NETWORKING ACADEMY</v>
      </c>
      <c r="E566" s="74" t="str">
        <f>IFERROR(__xludf.DUMMYFUNCTION("""COMPUTED_VALUE"""),"2 MONTHS")</f>
        <v>2 MONTHS</v>
      </c>
      <c r="F566" s="91">
        <f>IFERROR(__xludf.DUMMYFUNCTION("""COMPUTED_VALUE"""),44333.0)</f>
        <v>44333</v>
      </c>
      <c r="G566" s="91">
        <f>IFERROR(__xludf.DUMMYFUNCTION("""COMPUTED_VALUE"""),44394.0)</f>
        <v>44394</v>
      </c>
      <c r="H566" s="79">
        <f>IFERROR(__xludf.DUMMYFUNCTION("""COMPUTED_VALUE"""),44394.0)</f>
        <v>44394</v>
      </c>
      <c r="I566" s="92">
        <f>IFERROR(__xludf.DUMMYFUNCTION("""COMPUTED_VALUE"""),94.0)</f>
        <v>94</v>
      </c>
      <c r="J566" s="74" t="str">
        <f>IFERROR(__xludf.DUMMYFUNCTION("""COMPUTED_VALUE"""),"K SUBBA RAJU")</f>
        <v>K SUBBA RAJU</v>
      </c>
      <c r="K566" s="80" t="str">
        <f>IFERROR(__xludf.DUMMYFUNCTION("""COMPUTED_VALUE"""),"https://drive.google.com/open?id=1Lpp02xPGgkuz4gglZkiLOpSnHOGr7ch_")</f>
        <v>https://drive.google.com/open?id=1Lpp02xPGgkuz4gglZkiLOpSnHOGr7ch_</v>
      </c>
      <c r="L566" s="74" t="str">
        <f>IFERROR(__xludf.DUMMYFUNCTION("""COMPUTED_VALUE"""),"2020-2024")</f>
        <v>2020-2024</v>
      </c>
      <c r="M566" s="74" t="str">
        <f>IFERROR(__xludf.DUMMYFUNCTION("""COMPUTED_VALUE"""),"S4: Student Certifications")</f>
        <v>S4: Student Certifications</v>
      </c>
      <c r="N566" s="74" t="str">
        <f>IFERROR(__xludf.DUMMYFUNCTION("""COMPUTED_VALUE"""),"mdh9390646952@gmail.com")</f>
        <v>mdh9390646952@gmail.com</v>
      </c>
      <c r="O566" s="74" t="str">
        <f>IFERROR(__xludf.DUMMYFUNCTION("""COMPUTED_VALUE"""),"SEM-2")</f>
        <v>SEM-2</v>
      </c>
      <c r="P566" s="74"/>
      <c r="Q566" s="74"/>
      <c r="R566" s="74"/>
      <c r="S566" s="74"/>
      <c r="T566" s="74"/>
      <c r="U566" s="74"/>
      <c r="V566" s="74"/>
      <c r="W566" s="74"/>
      <c r="X566" s="74"/>
      <c r="Y566" s="74"/>
    </row>
    <row r="567" ht="26.25" customHeight="1">
      <c r="A567" s="74" t="str">
        <f>IFERROR(__xludf.DUMMYFUNCTION("""COMPUTED_VALUE"""),"Nimishakavi V S R Srujan ")</f>
        <v>Nimishakavi V S R Srujan </v>
      </c>
      <c r="B567" s="74" t="str">
        <f>IFERROR(__xludf.DUMMYFUNCTION("""COMPUTED_VALUE"""),"20331A05C6")</f>
        <v>20331A05C6</v>
      </c>
      <c r="C567" s="90" t="str">
        <f>IFERROR(__xludf.DUMMYFUNCTION("""COMPUTED_VALUE"""),"NDG Linux Essentials")</f>
        <v>NDG Linux Essentials</v>
      </c>
      <c r="D567" s="74" t="str">
        <f>IFERROR(__xludf.DUMMYFUNCTION("""COMPUTED_VALUE"""),"Cisco Networking Academy ")</f>
        <v>Cisco Networking Academy </v>
      </c>
      <c r="E567" s="74" t="str">
        <f>IFERROR(__xludf.DUMMYFUNCTION("""COMPUTED_VALUE"""),"2 months")</f>
        <v>2 months</v>
      </c>
      <c r="F567" s="91">
        <f>IFERROR(__xludf.DUMMYFUNCTION("""COMPUTED_VALUE"""),44524.0)</f>
        <v>44524</v>
      </c>
      <c r="G567" s="91">
        <f>IFERROR(__xludf.DUMMYFUNCTION("""COMPUTED_VALUE"""),44585.0)</f>
        <v>44585</v>
      </c>
      <c r="H567" s="79">
        <f>IFERROR(__xludf.DUMMYFUNCTION("""COMPUTED_VALUE"""),44585.0)</f>
        <v>44585</v>
      </c>
      <c r="I567" s="92">
        <f>IFERROR(__xludf.DUMMYFUNCTION("""COMPUTED_VALUE"""),0.95)</f>
        <v>0.95</v>
      </c>
      <c r="J567" s="74" t="str">
        <f>IFERROR(__xludf.DUMMYFUNCTION("""COMPUTED_VALUE"""),"K Subbu Raju")</f>
        <v>K Subbu Raju</v>
      </c>
      <c r="K567" s="80" t="str">
        <f>IFERROR(__xludf.DUMMYFUNCTION("""COMPUTED_VALUE"""),"https://drive.google.com/open?id=1asfdN6lSuj55iV4vkzAY9juwk-RRH0uu")</f>
        <v>https://drive.google.com/open?id=1asfdN6lSuj55iV4vkzAY9juwk-RRH0uu</v>
      </c>
      <c r="L567" s="74" t="str">
        <f>IFERROR(__xludf.DUMMYFUNCTION("""COMPUTED_VALUE"""),"2020-2024")</f>
        <v>2020-2024</v>
      </c>
      <c r="M567" s="74" t="str">
        <f>IFERROR(__xludf.DUMMYFUNCTION("""COMPUTED_VALUE"""),"S4: Student Certifications")</f>
        <v>S4: Student Certifications</v>
      </c>
      <c r="N567" s="74" t="str">
        <f>IFERROR(__xludf.DUMMYFUNCTION("""COMPUTED_VALUE"""),"srujanraghc@gmail.com")</f>
        <v>srujanraghc@gmail.com</v>
      </c>
      <c r="O567" s="74" t="str">
        <f>IFERROR(__xludf.DUMMYFUNCTION("""COMPUTED_VALUE"""),"SEM-3")</f>
        <v>SEM-3</v>
      </c>
      <c r="P567" s="74"/>
      <c r="Q567" s="74"/>
      <c r="R567" s="74"/>
      <c r="S567" s="74"/>
      <c r="T567" s="74"/>
      <c r="U567" s="74"/>
      <c r="V567" s="74"/>
      <c r="W567" s="74"/>
      <c r="X567" s="74"/>
      <c r="Y567" s="74"/>
    </row>
    <row r="568" ht="26.25" customHeight="1">
      <c r="A568" s="74" t="str">
        <f>IFERROR(__xludf.DUMMYFUNCTION("""COMPUTED_VALUE"""),"GUNTREDDI UDAYCHANDU")</f>
        <v>GUNTREDDI UDAYCHANDU</v>
      </c>
      <c r="B568" s="74" t="str">
        <f>IFERROR(__xludf.DUMMYFUNCTION("""COMPUTED_VALUE"""),"20331A0569")</f>
        <v>20331A0569</v>
      </c>
      <c r="C568" s="90" t="str">
        <f>IFERROR(__xludf.DUMMYFUNCTION("""COMPUTED_VALUE"""),"NDG LINUX ESSENTIALS")</f>
        <v>NDG LINUX ESSENTIALS</v>
      </c>
      <c r="D568" s="74" t="str">
        <f>IFERROR(__xludf.DUMMYFUNCTION("""COMPUTED_VALUE"""),"CISCO NETWORKING ACADEMY")</f>
        <v>CISCO NETWORKING ACADEMY</v>
      </c>
      <c r="E568" s="74" t="str">
        <f>IFERROR(__xludf.DUMMYFUNCTION("""COMPUTED_VALUE"""),"2months")</f>
        <v>2months</v>
      </c>
      <c r="F568" s="91">
        <f>IFERROR(__xludf.DUMMYFUNCTION("""COMPUTED_VALUE"""),44524.0)</f>
        <v>44524</v>
      </c>
      <c r="G568" s="91">
        <f>IFERROR(__xludf.DUMMYFUNCTION("""COMPUTED_VALUE"""),44585.0)</f>
        <v>44585</v>
      </c>
      <c r="H568" s="79">
        <f>IFERROR(__xludf.DUMMYFUNCTION("""COMPUTED_VALUE"""),44585.0)</f>
        <v>44585</v>
      </c>
      <c r="I568" s="92">
        <f>IFERROR(__xludf.DUMMYFUNCTION("""COMPUTED_VALUE"""),0.92)</f>
        <v>0.92</v>
      </c>
      <c r="J568" s="74" t="str">
        <f>IFERROR(__xludf.DUMMYFUNCTION("""COMPUTED_VALUE"""),"K subharaju")</f>
        <v>K subharaju</v>
      </c>
      <c r="K568" s="80" t="str">
        <f>IFERROR(__xludf.DUMMYFUNCTION("""COMPUTED_VALUE"""),"https://drive.google.com/open?id=1NufJUKEeVtUmXpXptTvkpK5zq_97wpre")</f>
        <v>https://drive.google.com/open?id=1NufJUKEeVtUmXpXptTvkpK5zq_97wpre</v>
      </c>
      <c r="L568" s="74" t="str">
        <f>IFERROR(__xludf.DUMMYFUNCTION("""COMPUTED_VALUE"""),"2020-2024")</f>
        <v>2020-2024</v>
      </c>
      <c r="M568" s="74" t="str">
        <f>IFERROR(__xludf.DUMMYFUNCTION("""COMPUTED_VALUE"""),"S4: Student Certifications")</f>
        <v>S4: Student Certifications</v>
      </c>
      <c r="N568" s="74" t="str">
        <f>IFERROR(__xludf.DUMMYFUNCTION("""COMPUTED_VALUE"""),"udaychandu2001@gmail.com")</f>
        <v>udaychandu2001@gmail.com</v>
      </c>
      <c r="O568" s="74" t="str">
        <f>IFERROR(__xludf.DUMMYFUNCTION("""COMPUTED_VALUE"""),"SEM-3")</f>
        <v>SEM-3</v>
      </c>
      <c r="P568" s="74"/>
      <c r="Q568" s="74"/>
      <c r="R568" s="74"/>
      <c r="S568" s="74"/>
      <c r="T568" s="74"/>
      <c r="U568" s="74"/>
      <c r="V568" s="74"/>
      <c r="W568" s="74"/>
      <c r="X568" s="74"/>
      <c r="Y568" s="74"/>
    </row>
    <row r="569" ht="26.25" customHeight="1">
      <c r="A569" s="78" t="str">
        <f>IFERROR(__xludf.DUMMYFUNCTION("""COMPUTED_VALUE"""),"Madabathula Padma Praharshitha ")</f>
        <v>Madabathula Padma Praharshitha </v>
      </c>
      <c r="B569" s="78" t="str">
        <f>IFERROR(__xludf.DUMMYFUNCTION("""COMPUTED_VALUE"""),"20331A05A3")</f>
        <v>20331A05A3</v>
      </c>
      <c r="C569" s="93" t="str">
        <f>IFERROR(__xludf.DUMMYFUNCTION("""COMPUTED_VALUE"""),"Linux Automation Virtual Internship ")</f>
        <v>Linux Automation Virtual Internship </v>
      </c>
      <c r="D569" s="78" t="str">
        <f>IFERROR(__xludf.DUMMYFUNCTION("""COMPUTED_VALUE"""),"Redhat Academy ")</f>
        <v>Redhat Academy </v>
      </c>
      <c r="E569" s="78" t="str">
        <f>IFERROR(__xludf.DUMMYFUNCTION("""COMPUTED_VALUE"""),"2 months ")</f>
        <v>2 months </v>
      </c>
      <c r="F569" s="94">
        <f>IFERROR(__xludf.DUMMYFUNCTION("""COMPUTED_VALUE"""),44494.0)</f>
        <v>44494</v>
      </c>
      <c r="G569" s="94">
        <f>IFERROR(__xludf.DUMMYFUNCTION("""COMPUTED_VALUE"""),44555.0)</f>
        <v>44555</v>
      </c>
      <c r="H569" s="84">
        <f>IFERROR(__xludf.DUMMYFUNCTION("""COMPUTED_VALUE"""),44555.0)</f>
        <v>44555</v>
      </c>
      <c r="I569" s="95"/>
      <c r="J569" s="78" t="str">
        <f>IFERROR(__xludf.DUMMYFUNCTION("""COMPUTED_VALUE"""),"K.V.Subharaju")</f>
        <v>K.V.Subharaju</v>
      </c>
      <c r="K569" s="85" t="str">
        <f>IFERROR(__xludf.DUMMYFUNCTION("""COMPUTED_VALUE"""),"https://drive.google.com/open?id=1U_VxK33JE_p7E3AnkwGdPKTxmcdgNasc")</f>
        <v>https://drive.google.com/open?id=1U_VxK33JE_p7E3AnkwGdPKTxmcdgNasc</v>
      </c>
      <c r="L569" s="78" t="str">
        <f>IFERROR(__xludf.DUMMYFUNCTION("""COMPUTED_VALUE"""),"2020-2024")</f>
        <v>2020-2024</v>
      </c>
      <c r="M569" s="78" t="str">
        <f>IFERROR(__xludf.DUMMYFUNCTION("""COMPUTED_VALUE"""),"S4: Student Certifications")</f>
        <v>S4: Student Certifications</v>
      </c>
      <c r="N569" s="78" t="str">
        <f>IFERROR(__xludf.DUMMYFUNCTION("""COMPUTED_VALUE"""),"praharshitha210@gmail.com")</f>
        <v>praharshitha210@gmail.com</v>
      </c>
      <c r="O569" s="78" t="str">
        <f>IFERROR(__xludf.DUMMYFUNCTION("""COMPUTED_VALUE"""),"SEM-3")</f>
        <v>SEM-3</v>
      </c>
      <c r="P569" s="78"/>
      <c r="Q569" s="78"/>
      <c r="R569" s="78"/>
      <c r="S569" s="78"/>
      <c r="T569" s="78"/>
      <c r="U569" s="78"/>
      <c r="V569" s="78"/>
      <c r="W569" s="78"/>
      <c r="X569" s="78"/>
      <c r="Y569" s="78"/>
    </row>
    <row r="570" ht="26.25" customHeight="1">
      <c r="A570" s="74" t="str">
        <f>IFERROR(__xludf.DUMMYFUNCTION("""COMPUTED_VALUE"""),"DEVARAJU")</f>
        <v>DEVARAJU</v>
      </c>
      <c r="B570" s="74" t="str">
        <f>IFERROR(__xludf.DUMMYFUNCTION("""COMPUTED_VALUE"""),"20331A0592")</f>
        <v>20331A0592</v>
      </c>
      <c r="C570" s="90" t="str">
        <f>IFERROR(__xludf.DUMMYFUNCTION("""COMPUTED_VALUE"""),"IT essentials")</f>
        <v>IT essentials</v>
      </c>
      <c r="D570" s="74" t="str">
        <f>IFERROR(__xludf.DUMMYFUNCTION("""COMPUTED_VALUE"""),"Cisco")</f>
        <v>Cisco</v>
      </c>
      <c r="E570" s="74" t="str">
        <f>IFERROR(__xludf.DUMMYFUNCTION("""COMPUTED_VALUE"""),"10 weeks")</f>
        <v>10 weeks</v>
      </c>
      <c r="F570" s="91">
        <f>IFERROR(__xludf.DUMMYFUNCTION("""COMPUTED_VALUE"""),44298.0)</f>
        <v>44298</v>
      </c>
      <c r="G570" s="91">
        <f>IFERROR(__xludf.DUMMYFUNCTION("""COMPUTED_VALUE"""),44387.0)</f>
        <v>44387</v>
      </c>
      <c r="H570" s="79">
        <f>IFERROR(__xludf.DUMMYFUNCTION("""COMPUTED_VALUE"""),44387.0)</f>
        <v>44387</v>
      </c>
      <c r="I570" s="92">
        <f>IFERROR(__xludf.DUMMYFUNCTION("""COMPUTED_VALUE"""),0.9)</f>
        <v>0.9</v>
      </c>
      <c r="J570" s="74" t="str">
        <f>IFERROR(__xludf.DUMMYFUNCTION("""COMPUTED_VALUE"""),"K V.SubbaRaju")</f>
        <v>K V.SubbaRaju</v>
      </c>
      <c r="K570" s="80" t="str">
        <f>IFERROR(__xludf.DUMMYFUNCTION("""COMPUTED_VALUE"""),"https://drive.google.com/open?id=1jFahULrBJExN0gHP4_RddGjUIpadqYGs")</f>
        <v>https://drive.google.com/open?id=1jFahULrBJExN0gHP4_RddGjUIpadqYGs</v>
      </c>
      <c r="L570" s="74" t="str">
        <f>IFERROR(__xludf.DUMMYFUNCTION("""COMPUTED_VALUE"""),"2020-2024")</f>
        <v>2020-2024</v>
      </c>
      <c r="M570" s="74" t="str">
        <f>IFERROR(__xludf.DUMMYFUNCTION("""COMPUTED_VALUE"""),"S4: Student Certifications")</f>
        <v>S4: Student Certifications</v>
      </c>
      <c r="N570" s="74" t="str">
        <f>IFERROR(__xludf.DUMMYFUNCTION("""COMPUTED_VALUE"""),"devaraj20112002@gmail.com")</f>
        <v>devaraj20112002@gmail.com</v>
      </c>
      <c r="O570" s="74" t="str">
        <f>IFERROR(__xludf.DUMMYFUNCTION("""COMPUTED_VALUE"""),"SEM-4")</f>
        <v>SEM-4</v>
      </c>
      <c r="P570" s="74"/>
      <c r="Q570" s="74"/>
      <c r="R570" s="74"/>
      <c r="S570" s="74"/>
      <c r="T570" s="74"/>
      <c r="U570" s="74"/>
      <c r="V570" s="74"/>
      <c r="W570" s="74"/>
      <c r="X570" s="74"/>
      <c r="Y570" s="74"/>
    </row>
    <row r="571" ht="26.25" customHeight="1">
      <c r="A571" s="96" t="str">
        <f>IFERROR(__xludf.DUMMYFUNCTION("""COMPUTED_VALUE"""),"KURELLA AMAR SAI PREETAM")</f>
        <v>KURELLA AMAR SAI PREETAM</v>
      </c>
      <c r="B571" s="96" t="str">
        <f>IFERROR(__xludf.DUMMYFUNCTION("""COMPUTED_VALUE"""),"20331A0596")</f>
        <v>20331A0596</v>
      </c>
      <c r="C571" s="97" t="str">
        <f>IFERROR(__xludf.DUMMYFUNCTION("""COMPUTED_VALUE"""),"Linux automation virtual internships")</f>
        <v>Linux automation virtual internships</v>
      </c>
      <c r="D571" s="96" t="str">
        <f>IFERROR(__xludf.DUMMYFUNCTION("""COMPUTED_VALUE"""),"Redhat academy")</f>
        <v>Redhat academy</v>
      </c>
      <c r="E571" s="96" t="str">
        <f>IFERROR(__xludf.DUMMYFUNCTION("""COMPUTED_VALUE"""),"2 months")</f>
        <v>2 months</v>
      </c>
      <c r="F571" s="98">
        <f>IFERROR(__xludf.DUMMYFUNCTION("""COMPUTED_VALUE"""),44494.0)</f>
        <v>44494</v>
      </c>
      <c r="G571" s="98">
        <f>IFERROR(__xludf.DUMMYFUNCTION("""COMPUTED_VALUE"""),44555.0)</f>
        <v>44555</v>
      </c>
      <c r="H571" s="99">
        <f>IFERROR(__xludf.DUMMYFUNCTION("""COMPUTED_VALUE"""),44555.0)</f>
        <v>44555</v>
      </c>
      <c r="I571" s="100"/>
      <c r="J571" s="96" t="str">
        <f>IFERROR(__xludf.DUMMYFUNCTION("""COMPUTED_VALUE"""),"K.V. Subbaraju")</f>
        <v>K.V. Subbaraju</v>
      </c>
      <c r="K571" s="101" t="str">
        <f>IFERROR(__xludf.DUMMYFUNCTION("""COMPUTED_VALUE"""),"https://drive.google.com/open?id=16ASI1cuPXrKt31VDEX93KvQ581UNata8")</f>
        <v>https://drive.google.com/open?id=16ASI1cuPXrKt31VDEX93KvQ581UNata8</v>
      </c>
      <c r="L571" s="96" t="str">
        <f>IFERROR(__xludf.DUMMYFUNCTION("""COMPUTED_VALUE"""),"2020-2024")</f>
        <v>2020-2024</v>
      </c>
      <c r="M571" s="96" t="str">
        <f>IFERROR(__xludf.DUMMYFUNCTION("""COMPUTED_VALUE"""),"S4: Student Certifications")</f>
        <v>S4: Student Certifications</v>
      </c>
      <c r="N571" s="96" t="str">
        <f>IFERROR(__xludf.DUMMYFUNCTION("""COMPUTED_VALUE"""),"preetamkurella@gmail.com")</f>
        <v>preetamkurella@gmail.com</v>
      </c>
      <c r="O571" s="96" t="str">
        <f>IFERROR(__xludf.DUMMYFUNCTION("""COMPUTED_VALUE"""),"SEM-3")</f>
        <v>SEM-3</v>
      </c>
      <c r="P571" s="96"/>
      <c r="Q571" s="96"/>
      <c r="R571" s="96"/>
      <c r="S571" s="96"/>
      <c r="T571" s="96"/>
      <c r="U571" s="96"/>
      <c r="V571" s="96"/>
      <c r="W571" s="96"/>
      <c r="X571" s="96"/>
      <c r="Y571" s="96"/>
    </row>
    <row r="572" ht="26.25" customHeight="1">
      <c r="A572" s="96" t="str">
        <f>IFERROR(__xludf.DUMMYFUNCTION("""COMPUTED_VALUE"""),"GUNTREDDI UDAYCHANDU ")</f>
        <v>GUNTREDDI UDAYCHANDU </v>
      </c>
      <c r="B572" s="96" t="str">
        <f>IFERROR(__xludf.DUMMYFUNCTION("""COMPUTED_VALUE"""),"20331A0659")</f>
        <v>20331A0659</v>
      </c>
      <c r="C572" s="97" t="str">
        <f>IFERROR(__xludf.DUMMYFUNCTION("""COMPUTED_VALUE"""),"IT Essentials")</f>
        <v>IT Essentials</v>
      </c>
      <c r="D572" s="96" t="str">
        <f>IFERROR(__xludf.DUMMYFUNCTION("""COMPUTED_VALUE"""),"CISCO NETWORKING ACADEMY")</f>
        <v>CISCO NETWORKING ACADEMY</v>
      </c>
      <c r="E572" s="96" t="str">
        <f>IFERROR(__xludf.DUMMYFUNCTION("""COMPUTED_VALUE"""),"2 months")</f>
        <v>2 months</v>
      </c>
      <c r="F572" s="98">
        <f>IFERROR(__xludf.DUMMYFUNCTION("""COMPUTED_VALUE"""),44333.0)</f>
        <v>44333</v>
      </c>
      <c r="G572" s="98">
        <f>IFERROR(__xludf.DUMMYFUNCTION("""COMPUTED_VALUE"""),44394.0)</f>
        <v>44394</v>
      </c>
      <c r="H572" s="99">
        <f>IFERROR(__xludf.DUMMYFUNCTION("""COMPUTED_VALUE"""),44394.0)</f>
        <v>44394</v>
      </c>
      <c r="I572" s="100">
        <f>IFERROR(__xludf.DUMMYFUNCTION("""COMPUTED_VALUE"""),0.92)</f>
        <v>0.92</v>
      </c>
      <c r="J572" s="96" t="str">
        <f>IFERROR(__xludf.DUMMYFUNCTION("""COMPUTED_VALUE"""),"K.subharaju")</f>
        <v>K.subharaju</v>
      </c>
      <c r="K572" s="101" t="str">
        <f>IFERROR(__xludf.DUMMYFUNCTION("""COMPUTED_VALUE"""),"https://drive.google.com/open?id=1J1uudxn4EbQFRAxanIm_1_diR2O7kAb6")</f>
        <v>https://drive.google.com/open?id=1J1uudxn4EbQFRAxanIm_1_diR2O7kAb6</v>
      </c>
      <c r="L572" s="96" t="str">
        <f>IFERROR(__xludf.DUMMYFUNCTION("""COMPUTED_VALUE"""),"2020-2024")</f>
        <v>2020-2024</v>
      </c>
      <c r="M572" s="96" t="str">
        <f>IFERROR(__xludf.DUMMYFUNCTION("""COMPUTED_VALUE"""),"S4: Student Certifications")</f>
        <v>S4: Student Certifications</v>
      </c>
      <c r="N572" s="96" t="str">
        <f>IFERROR(__xludf.DUMMYFUNCTION("""COMPUTED_VALUE"""),"udaychandu2001@gmail.com")</f>
        <v>udaychandu2001@gmail.com</v>
      </c>
      <c r="O572" s="96" t="str">
        <f>IFERROR(__xludf.DUMMYFUNCTION("""COMPUTED_VALUE"""),"SEM-2")</f>
        <v>SEM-2</v>
      </c>
      <c r="P572" s="96"/>
      <c r="Q572" s="96"/>
      <c r="R572" s="96"/>
      <c r="S572" s="96"/>
      <c r="T572" s="96"/>
      <c r="U572" s="96"/>
      <c r="V572" s="96"/>
      <c r="W572" s="96"/>
      <c r="X572" s="96"/>
      <c r="Y572" s="96"/>
    </row>
    <row r="573" ht="26.25" customHeight="1">
      <c r="A573" s="74" t="str">
        <f>IFERROR(__xludf.DUMMYFUNCTION("""COMPUTED_VALUE"""),"MOHAMMED ANJUMUL HAQUE")</f>
        <v>MOHAMMED ANJUMUL HAQUE</v>
      </c>
      <c r="B573" s="74" t="str">
        <f>IFERROR(__xludf.DUMMYFUNCTION("""COMPUTED_VALUE"""),"20331A05B2")</f>
        <v>20331A05B2</v>
      </c>
      <c r="C573" s="90" t="str">
        <f>IFERROR(__xludf.DUMMYFUNCTION("""COMPUTED_VALUE"""),"NDG LINUX ESSENTIALS")</f>
        <v>NDG LINUX ESSENTIALS</v>
      </c>
      <c r="D573" s="74" t="str">
        <f>IFERROR(__xludf.DUMMYFUNCTION("""COMPUTED_VALUE"""),"CISCO NETWORKING ACADEMY")</f>
        <v>CISCO NETWORKING ACADEMY</v>
      </c>
      <c r="E573" s="74" t="str">
        <f>IFERROR(__xludf.DUMMYFUNCTION("""COMPUTED_VALUE"""),"2 months")</f>
        <v>2 months</v>
      </c>
      <c r="F573" s="91">
        <f>IFERROR(__xludf.DUMMYFUNCTION("""COMPUTED_VALUE"""),44514.0)</f>
        <v>44514</v>
      </c>
      <c r="G573" s="91">
        <f>IFERROR(__xludf.DUMMYFUNCTION("""COMPUTED_VALUE"""),44575.0)</f>
        <v>44575</v>
      </c>
      <c r="H573" s="79">
        <f>IFERROR(__xludf.DUMMYFUNCTION("""COMPUTED_VALUE"""),44575.0)</f>
        <v>44575</v>
      </c>
      <c r="I573" s="92">
        <f>IFERROR(__xludf.DUMMYFUNCTION("""COMPUTED_VALUE"""),94.0)</f>
        <v>94</v>
      </c>
      <c r="J573" s="74" t="str">
        <f>IFERROR(__xludf.DUMMYFUNCTION("""COMPUTED_VALUE"""),"K SUBBA RAJU")</f>
        <v>K SUBBA RAJU</v>
      </c>
      <c r="K573" s="80" t="str">
        <f>IFERROR(__xludf.DUMMYFUNCTION("""COMPUTED_VALUE"""),"https://drive.google.com/open?id=1O9IChSxdXxCNQaVY-oWkutdb5PWmDKzV")</f>
        <v>https://drive.google.com/open?id=1O9IChSxdXxCNQaVY-oWkutdb5PWmDKzV</v>
      </c>
      <c r="L573" s="74" t="str">
        <f>IFERROR(__xludf.DUMMYFUNCTION("""COMPUTED_VALUE"""),"2020-2024")</f>
        <v>2020-2024</v>
      </c>
      <c r="M573" s="74" t="str">
        <f>IFERROR(__xludf.DUMMYFUNCTION("""COMPUTED_VALUE"""),"S4: Student Certifications")</f>
        <v>S4: Student Certifications</v>
      </c>
      <c r="N573" s="74" t="str">
        <f>IFERROR(__xludf.DUMMYFUNCTION("""COMPUTED_VALUE"""),"mdh9390646952@gmail.com")</f>
        <v>mdh9390646952@gmail.com</v>
      </c>
      <c r="O573" s="74" t="str">
        <f>IFERROR(__xludf.DUMMYFUNCTION("""COMPUTED_VALUE"""),"SEM-3")</f>
        <v>SEM-3</v>
      </c>
      <c r="P573" s="74"/>
      <c r="Q573" s="74"/>
      <c r="R573" s="74"/>
      <c r="S573" s="74"/>
      <c r="T573" s="74"/>
      <c r="U573" s="74"/>
      <c r="V573" s="74"/>
      <c r="W573" s="74"/>
      <c r="X573" s="74"/>
      <c r="Y573" s="74"/>
    </row>
    <row r="574" ht="26.25" customHeight="1">
      <c r="A574" s="74" t="str">
        <f>IFERROR(__xludf.DUMMYFUNCTION("""COMPUTED_VALUE"""),"Sumanth Varma Dandu")</f>
        <v>Sumanth Varma Dandu</v>
      </c>
      <c r="B574" s="74" t="str">
        <f>IFERROR(__xludf.DUMMYFUNCTION("""COMPUTED_VALUE"""),"18331A0530")</f>
        <v>18331A0530</v>
      </c>
      <c r="C574" s="90" t="str">
        <f>IFERROR(__xludf.DUMMYFUNCTION("""COMPUTED_VALUE"""),"C programming")</f>
        <v>C programming</v>
      </c>
      <c r="D574" s="74" t="str">
        <f>IFERROR(__xludf.DUMMYFUNCTION("""COMPUTED_VALUE"""),"APEC")</f>
        <v>APEC</v>
      </c>
      <c r="E574" s="74" t="str">
        <f>IFERROR(__xludf.DUMMYFUNCTION("""COMPUTED_VALUE"""),"1 month")</f>
        <v>1 month</v>
      </c>
      <c r="F574" s="91">
        <f>IFERROR(__xludf.DUMMYFUNCTION("""COMPUTED_VALUE"""),43586.0)</f>
        <v>43586</v>
      </c>
      <c r="G574" s="91">
        <f>IFERROR(__xludf.DUMMYFUNCTION("""COMPUTED_VALUE"""),43617.0)</f>
        <v>43617</v>
      </c>
      <c r="H574" s="79">
        <f>IFERROR(__xludf.DUMMYFUNCTION("""COMPUTED_VALUE"""),43617.0)</f>
        <v>43617</v>
      </c>
      <c r="I574" s="92">
        <f>IFERROR(__xludf.DUMMYFUNCTION("""COMPUTED_VALUE"""),79.0)</f>
        <v>79</v>
      </c>
      <c r="J574" s="74" t="str">
        <f>IFERROR(__xludf.DUMMYFUNCTION("""COMPUTED_VALUE"""),"Satish")</f>
        <v>Satish</v>
      </c>
      <c r="K574" s="80" t="str">
        <f>IFERROR(__xludf.DUMMYFUNCTION("""COMPUTED_VALUE"""),"https://drive.google.com/open?id=1YYUrz4lf5EsBXTEPXNdUQAuk65vmtV5M")</f>
        <v>https://drive.google.com/open?id=1YYUrz4lf5EsBXTEPXNdUQAuk65vmtV5M</v>
      </c>
      <c r="L574" s="74" t="str">
        <f>IFERROR(__xludf.DUMMYFUNCTION("""COMPUTED_VALUE"""),"2018-2022")</f>
        <v>2018-2022</v>
      </c>
      <c r="M574" s="74" t="str">
        <f>IFERROR(__xludf.DUMMYFUNCTION("""COMPUTED_VALUE"""),"S4: Student Certifications")</f>
        <v>S4: Student Certifications</v>
      </c>
      <c r="N574" s="74" t="str">
        <f>IFERROR(__xludf.DUMMYFUNCTION("""COMPUTED_VALUE"""),"dsumanthvarma6@gmail.com")</f>
        <v>dsumanthvarma6@gmail.com</v>
      </c>
      <c r="O574" s="74" t="str">
        <f>IFERROR(__xludf.DUMMYFUNCTION("""COMPUTED_VALUE"""),"SEM-8")</f>
        <v>SEM-8</v>
      </c>
      <c r="P574" s="74"/>
      <c r="Q574" s="74"/>
      <c r="R574" s="74"/>
      <c r="S574" s="74"/>
      <c r="T574" s="74"/>
      <c r="U574" s="74"/>
      <c r="V574" s="74"/>
      <c r="W574" s="74"/>
      <c r="X574" s="74"/>
      <c r="Y574" s="74"/>
    </row>
    <row r="575" ht="26.25" customHeight="1">
      <c r="A575" s="74" t="str">
        <f>IFERROR(__xludf.DUMMYFUNCTION("""COMPUTED_VALUE"""),"Kavala jyothsna")</f>
        <v>Kavala jyothsna</v>
      </c>
      <c r="B575" s="74" t="str">
        <f>IFERROR(__xludf.DUMMYFUNCTION("""COMPUTED_VALUE"""),"20331A0582")</f>
        <v>20331A0582</v>
      </c>
      <c r="C575" s="90" t="str">
        <f>IFERROR(__xludf.DUMMYFUNCTION("""COMPUTED_VALUE"""),"IT essentials")</f>
        <v>IT essentials</v>
      </c>
      <c r="D575" s="74" t="str">
        <f>IFERROR(__xludf.DUMMYFUNCTION("""COMPUTED_VALUE"""),"Cisco networking academy")</f>
        <v>Cisco networking academy</v>
      </c>
      <c r="E575" s="74" t="str">
        <f>IFERROR(__xludf.DUMMYFUNCTION("""COMPUTED_VALUE"""),"2months")</f>
        <v>2months</v>
      </c>
      <c r="F575" s="91">
        <f>IFERROR(__xludf.DUMMYFUNCTION("""COMPUTED_VALUE"""),44378.0)</f>
        <v>44378</v>
      </c>
      <c r="G575" s="91">
        <f>IFERROR(__xludf.DUMMYFUNCTION("""COMPUTED_VALUE"""),44440.0)</f>
        <v>44440</v>
      </c>
      <c r="H575" s="79">
        <f>IFERROR(__xludf.DUMMYFUNCTION("""COMPUTED_VALUE"""),44440.0)</f>
        <v>44440</v>
      </c>
      <c r="I575" s="92">
        <f>IFERROR(__xludf.DUMMYFUNCTION("""COMPUTED_VALUE"""),95.0)</f>
        <v>95</v>
      </c>
      <c r="J575" s="74" t="str">
        <f>IFERROR(__xludf.DUMMYFUNCTION("""COMPUTED_VALUE"""),"MR.K.Subbaraju")</f>
        <v>MR.K.Subbaraju</v>
      </c>
      <c r="K575" s="80" t="str">
        <f>IFERROR(__xludf.DUMMYFUNCTION("""COMPUTED_VALUE"""),"https://drive.google.com/open?id=1rqDh4c8AZe0pallC8_DxVS483RzSNSns")</f>
        <v>https://drive.google.com/open?id=1rqDh4c8AZe0pallC8_DxVS483RzSNSns</v>
      </c>
      <c r="L575" s="74" t="str">
        <f>IFERROR(__xludf.DUMMYFUNCTION("""COMPUTED_VALUE"""),"2020-2024")</f>
        <v>2020-2024</v>
      </c>
      <c r="M575" s="74" t="str">
        <f>IFERROR(__xludf.DUMMYFUNCTION("""COMPUTED_VALUE"""),"S4: Student Certifications")</f>
        <v>S4: Student Certifications</v>
      </c>
      <c r="N575" s="74" t="str">
        <f>IFERROR(__xludf.DUMMYFUNCTION("""COMPUTED_VALUE"""),"jyothsnakavala2003@gmail.com")</f>
        <v>jyothsnakavala2003@gmail.com</v>
      </c>
      <c r="O575" s="74" t="str">
        <f>IFERROR(__xludf.DUMMYFUNCTION("""COMPUTED_VALUE"""),"SEM-4")</f>
        <v>SEM-4</v>
      </c>
      <c r="P575" s="74"/>
      <c r="Q575" s="74"/>
      <c r="R575" s="74"/>
      <c r="S575" s="74"/>
      <c r="T575" s="74"/>
      <c r="U575" s="74"/>
      <c r="V575" s="74"/>
      <c r="W575" s="74"/>
      <c r="X575" s="74"/>
      <c r="Y575" s="74"/>
    </row>
    <row r="576" ht="26.25" customHeight="1">
      <c r="A576" s="78" t="str">
        <f>IFERROR(__xludf.DUMMYFUNCTION("""COMPUTED_VALUE"""),"Sumanth Varma Dandu")</f>
        <v>Sumanth Varma Dandu</v>
      </c>
      <c r="B576" s="78" t="str">
        <f>IFERROR(__xludf.DUMMYFUNCTION("""COMPUTED_VALUE"""),"18331A0530")</f>
        <v>18331A0530</v>
      </c>
      <c r="C576" s="93" t="str">
        <f>IFERROR(__xludf.DUMMYFUNCTION("""COMPUTED_VALUE"""),"AWS Virtual Internship")</f>
        <v>AWS Virtual Internship</v>
      </c>
      <c r="D576" s="78" t="str">
        <f>IFERROR(__xludf.DUMMYFUNCTION("""COMPUTED_VALUE"""),"AWS")</f>
        <v>AWS</v>
      </c>
      <c r="E576" s="78" t="str">
        <f>IFERROR(__xludf.DUMMYFUNCTION("""COMPUTED_VALUE"""),"3 months")</f>
        <v>3 months</v>
      </c>
      <c r="F576" s="94">
        <f>IFERROR(__xludf.DUMMYFUNCTION("""COMPUTED_VALUE"""),44470.0)</f>
        <v>44470</v>
      </c>
      <c r="G576" s="94">
        <f>IFERROR(__xludf.DUMMYFUNCTION("""COMPUTED_VALUE"""),44561.0)</f>
        <v>44561</v>
      </c>
      <c r="H576" s="84">
        <f>IFERROR(__xludf.DUMMYFUNCTION("""COMPUTED_VALUE"""),44297.0)</f>
        <v>44297</v>
      </c>
      <c r="I576" s="95">
        <f>IFERROR(__xludf.DUMMYFUNCTION("""COMPUTED_VALUE"""),100.0)</f>
        <v>100</v>
      </c>
      <c r="J576" s="78" t="str">
        <f>IFERROR(__xludf.DUMMYFUNCTION("""COMPUTED_VALUE"""),"Dr. Ravi kiran Varma")</f>
        <v>Dr. Ravi kiran Varma</v>
      </c>
      <c r="K576" s="85" t="str">
        <f>IFERROR(__xludf.DUMMYFUNCTION("""COMPUTED_VALUE"""),"https://drive.google.com/open?id=19W1fVIBN315pgzRxfk00KUIixkX4M8-K")</f>
        <v>https://drive.google.com/open?id=19W1fVIBN315pgzRxfk00KUIixkX4M8-K</v>
      </c>
      <c r="L576" s="78" t="str">
        <f>IFERROR(__xludf.DUMMYFUNCTION("""COMPUTED_VALUE"""),"2018-2022")</f>
        <v>2018-2022</v>
      </c>
      <c r="M576" s="78" t="str">
        <f>IFERROR(__xludf.DUMMYFUNCTION("""COMPUTED_VALUE"""),"S4: Student Certifications")</f>
        <v>S4: Student Certifications</v>
      </c>
      <c r="N576" s="78" t="str">
        <f>IFERROR(__xludf.DUMMYFUNCTION("""COMPUTED_VALUE"""),"dsumanthvarma6@gmail.com")</f>
        <v>dsumanthvarma6@gmail.com</v>
      </c>
      <c r="O576" s="78" t="str">
        <f>IFERROR(__xludf.DUMMYFUNCTION("""COMPUTED_VALUE"""),"SEM-8")</f>
        <v>SEM-8</v>
      </c>
      <c r="P576" s="78"/>
      <c r="Q576" s="78"/>
      <c r="R576" s="78"/>
      <c r="S576" s="78"/>
      <c r="T576" s="78"/>
      <c r="U576" s="78"/>
      <c r="V576" s="78"/>
      <c r="W576" s="78"/>
      <c r="X576" s="78"/>
      <c r="Y576" s="78"/>
    </row>
    <row r="577" ht="26.25" customHeight="1">
      <c r="A577" s="74" t="str">
        <f>IFERROR(__xludf.DUMMYFUNCTION("""COMPUTED_VALUE"""),"B Prasad")</f>
        <v>B Prasad</v>
      </c>
      <c r="B577" s="74" t="str">
        <f>IFERROR(__xludf.DUMMYFUNCTION("""COMPUTED_VALUE"""),"18331A0514")</f>
        <v>18331A0514</v>
      </c>
      <c r="C577" s="90" t="str">
        <f>IFERROR(__xludf.DUMMYFUNCTION("""COMPUTED_VALUE"""),"PCAP PYTHON ESSENTIALS")</f>
        <v>PCAP PYTHON ESSENTIALS</v>
      </c>
      <c r="D577" s="74" t="str">
        <f>IFERROR(__xludf.DUMMYFUNCTION("""COMPUTED_VALUE"""),"Cisco")</f>
        <v>Cisco</v>
      </c>
      <c r="E577" s="74" t="str">
        <f>IFERROR(__xludf.DUMMYFUNCTION("""COMPUTED_VALUE"""),"2 months")</f>
        <v>2 months</v>
      </c>
      <c r="F577" s="91">
        <f>IFERROR(__xludf.DUMMYFUNCTION("""COMPUTED_VALUE"""),43993.0)</f>
        <v>43993</v>
      </c>
      <c r="G577" s="91">
        <f>IFERROR(__xludf.DUMMYFUNCTION("""COMPUTED_VALUE"""),44054.0)</f>
        <v>44054</v>
      </c>
      <c r="H577" s="79">
        <f>IFERROR(__xludf.DUMMYFUNCTION("""COMPUTED_VALUE"""),44057.0)</f>
        <v>44057</v>
      </c>
      <c r="I577" s="92">
        <f>IFERROR(__xludf.DUMMYFUNCTION("""COMPUTED_VALUE"""),0.85)</f>
        <v>0.85</v>
      </c>
      <c r="J577" s="74" t="str">
        <f>IFERROR(__xludf.DUMMYFUNCTION("""COMPUTED_VALUE"""),"Dr. Ravi kiran varma")</f>
        <v>Dr. Ravi kiran varma</v>
      </c>
      <c r="K577" s="80" t="str">
        <f>IFERROR(__xludf.DUMMYFUNCTION("""COMPUTED_VALUE"""),"https://drive.google.com/open?id=1k94jScnUdPRAllKESfy-MISeNFGATh6u")</f>
        <v>https://drive.google.com/open?id=1k94jScnUdPRAllKESfy-MISeNFGATh6u</v>
      </c>
      <c r="L577" s="74" t="str">
        <f>IFERROR(__xludf.DUMMYFUNCTION("""COMPUTED_VALUE"""),"2018-2022")</f>
        <v>2018-2022</v>
      </c>
      <c r="M577" s="74" t="str">
        <f>IFERROR(__xludf.DUMMYFUNCTION("""COMPUTED_VALUE"""),"S4: Student Certifications")</f>
        <v>S4: Student Certifications</v>
      </c>
      <c r="N577" s="74" t="str">
        <f>IFERROR(__xludf.DUMMYFUNCTION("""COMPUTED_VALUE"""),"nani.bhogapurapu1106@gmail.com")</f>
        <v>nani.bhogapurapu1106@gmail.com</v>
      </c>
      <c r="O577" s="74" t="str">
        <f>IFERROR(__xludf.DUMMYFUNCTION("""COMPUTED_VALUE"""),"SEM-6")</f>
        <v>SEM-6</v>
      </c>
      <c r="P577" s="74"/>
      <c r="Q577" s="74"/>
      <c r="R577" s="74"/>
      <c r="S577" s="74"/>
      <c r="T577" s="74"/>
      <c r="U577" s="74"/>
      <c r="V577" s="74"/>
      <c r="W577" s="74"/>
      <c r="X577" s="74"/>
      <c r="Y577" s="74"/>
    </row>
    <row r="578" ht="26.25" customHeight="1">
      <c r="A578" s="74" t="str">
        <f>IFERROR(__xludf.DUMMYFUNCTION("""COMPUTED_VALUE"""),"A TEJESWARA RAO ")</f>
        <v>A TEJESWARA RAO </v>
      </c>
      <c r="B578" s="74" t="str">
        <f>IFERROR(__xludf.DUMMYFUNCTION("""COMPUTED_VALUE"""),"18331A0505")</f>
        <v>18331A0505</v>
      </c>
      <c r="C578" s="90" t="str">
        <f>IFERROR(__xludf.DUMMYFUNCTION("""COMPUTED_VALUE"""),"Java and C++ and phython programming in complete course")</f>
        <v>Java and C++ and phython programming in complete course</v>
      </c>
      <c r="D578" s="74" t="str">
        <f>IFERROR(__xludf.DUMMYFUNCTION("""COMPUTED_VALUE"""),"Global code institute")</f>
        <v>Global code institute</v>
      </c>
      <c r="E578" s="74" t="str">
        <f>IFERROR(__xludf.DUMMYFUNCTION("""COMPUTED_VALUE"""),"2 days")</f>
        <v>2 days</v>
      </c>
      <c r="F578" s="91">
        <f>IFERROR(__xludf.DUMMYFUNCTION("""COMPUTED_VALUE"""),44658.0)</f>
        <v>44658</v>
      </c>
      <c r="G578" s="91">
        <f>IFERROR(__xludf.DUMMYFUNCTION("""COMPUTED_VALUE"""),44661.0)</f>
        <v>44661</v>
      </c>
      <c r="H578" s="79">
        <f>IFERROR(__xludf.DUMMYFUNCTION("""COMPUTED_VALUE"""),44661.0)</f>
        <v>44661</v>
      </c>
      <c r="I578" s="92">
        <f>IFERROR(__xludf.DUMMYFUNCTION("""COMPUTED_VALUE"""),0.75)</f>
        <v>0.75</v>
      </c>
      <c r="J578" s="74" t="str">
        <f>IFERROR(__xludf.DUMMYFUNCTION("""COMPUTED_VALUE"""),"Kalyana Chakravarthy ")</f>
        <v>Kalyana Chakravarthy </v>
      </c>
      <c r="K578" s="80" t="str">
        <f>IFERROR(__xludf.DUMMYFUNCTION("""COMPUTED_VALUE"""),"https://drive.google.com/open?id=107vLh-tHpLz0JFCbzy4bv8VfAWSobwvQ")</f>
        <v>https://drive.google.com/open?id=107vLh-tHpLz0JFCbzy4bv8VfAWSobwvQ</v>
      </c>
      <c r="L578" s="74" t="str">
        <f>IFERROR(__xludf.DUMMYFUNCTION("""COMPUTED_VALUE"""),"2018-2022")</f>
        <v>2018-2022</v>
      </c>
      <c r="M578" s="74" t="str">
        <f>IFERROR(__xludf.DUMMYFUNCTION("""COMPUTED_VALUE"""),"S4: Student Certifications")</f>
        <v>S4: Student Certifications</v>
      </c>
      <c r="N578" s="74" t="str">
        <f>IFERROR(__xludf.DUMMYFUNCTION("""COMPUTED_VALUE"""),"anakapallitejeswararao2000@gmail.com")</f>
        <v>anakapallitejeswararao2000@gmail.com</v>
      </c>
      <c r="O578" s="74" t="str">
        <f>IFERROR(__xludf.DUMMYFUNCTION("""COMPUTED_VALUE"""),"SEM-8")</f>
        <v>SEM-8</v>
      </c>
      <c r="P578" s="74"/>
      <c r="Q578" s="74"/>
      <c r="R578" s="74"/>
      <c r="S578" s="74"/>
      <c r="T578" s="74"/>
      <c r="U578" s="74"/>
      <c r="V578" s="74"/>
      <c r="W578" s="74"/>
      <c r="X578" s="74"/>
      <c r="Y578" s="74"/>
    </row>
    <row r="579" ht="26.25" customHeight="1">
      <c r="A579" s="78" t="str">
        <f>IFERROR(__xludf.DUMMYFUNCTION("""COMPUTED_VALUE"""),"Rithvik Reddy Chantigari")</f>
        <v>Rithvik Reddy Chantigari</v>
      </c>
      <c r="B579" s="78" t="str">
        <f>IFERROR(__xludf.DUMMYFUNCTION("""COMPUTED_VALUE"""),"18331A0525")</f>
        <v>18331A0525</v>
      </c>
      <c r="C579" s="93" t="str">
        <f>IFERROR(__xludf.DUMMYFUNCTION("""COMPUTED_VALUE"""),"Artifical Intelligence")</f>
        <v>Artifical Intelligence</v>
      </c>
      <c r="D579" s="78" t="str">
        <f>IFERROR(__xludf.DUMMYFUNCTION("""COMPUTED_VALUE"""),"IIT Hyderabad")</f>
        <v>IIT Hyderabad</v>
      </c>
      <c r="E579" s="78" t="str">
        <f>IFERROR(__xludf.DUMMYFUNCTION("""COMPUTED_VALUE"""),"2 days")</f>
        <v>2 days</v>
      </c>
      <c r="F579" s="94">
        <f>IFERROR(__xludf.DUMMYFUNCTION("""COMPUTED_VALUE"""),43715.0)</f>
        <v>43715</v>
      </c>
      <c r="G579" s="94">
        <f>IFERROR(__xludf.DUMMYFUNCTION("""COMPUTED_VALUE"""),43716.0)</f>
        <v>43716</v>
      </c>
      <c r="H579" s="84">
        <f>IFERROR(__xludf.DUMMYFUNCTION("""COMPUTED_VALUE"""),43716.0)</f>
        <v>43716</v>
      </c>
      <c r="I579" s="95">
        <f>IFERROR(__xludf.DUMMYFUNCTION("""COMPUTED_VALUE"""),100.0)</f>
        <v>100</v>
      </c>
      <c r="J579" s="78" t="str">
        <f>IFERROR(__xludf.DUMMYFUNCTION("""COMPUTED_VALUE"""),"Rishabh Mehta")</f>
        <v>Rishabh Mehta</v>
      </c>
      <c r="K579" s="85" t="str">
        <f>IFERROR(__xludf.DUMMYFUNCTION("""COMPUTED_VALUE"""),"https://drive.google.com/open?id=1TxqaqLjacyv5BFLhT_3QiJotOsS_nRQa")</f>
        <v>https://drive.google.com/open?id=1TxqaqLjacyv5BFLhT_3QiJotOsS_nRQa</v>
      </c>
      <c r="L579" s="78" t="str">
        <f>IFERROR(__xludf.DUMMYFUNCTION("""COMPUTED_VALUE"""),"2018-2022")</f>
        <v>2018-2022</v>
      </c>
      <c r="M579" s="78" t="str">
        <f>IFERROR(__xludf.DUMMYFUNCTION("""COMPUTED_VALUE"""),"S4: Student Certifications")</f>
        <v>S4: Student Certifications</v>
      </c>
      <c r="N579" s="78" t="str">
        <f>IFERROR(__xludf.DUMMYFUNCTION("""COMPUTED_VALUE"""),"rithvikreddychantigari@gmail.com")</f>
        <v>rithvikreddychantigari@gmail.com</v>
      </c>
      <c r="O579" s="78" t="str">
        <f>IFERROR(__xludf.DUMMYFUNCTION("""COMPUTED_VALUE"""),"SEM-8")</f>
        <v>SEM-8</v>
      </c>
      <c r="P579" s="78"/>
      <c r="Q579" s="78"/>
      <c r="R579" s="78"/>
      <c r="S579" s="78"/>
      <c r="T579" s="78"/>
      <c r="U579" s="78"/>
      <c r="V579" s="78"/>
      <c r="W579" s="78"/>
      <c r="X579" s="78"/>
      <c r="Y579" s="78"/>
    </row>
    <row r="580" ht="26.25" customHeight="1">
      <c r="A580" s="74" t="str">
        <f>IFERROR(__xludf.DUMMYFUNCTION("""COMPUTED_VALUE"""),"LOHITH VENKAT ANNAM ")</f>
        <v>LOHITH VENKAT ANNAM </v>
      </c>
      <c r="B580" s="74" t="str">
        <f>IFERROR(__xludf.DUMMYFUNCTION("""COMPUTED_VALUE"""),"18331A0506")</f>
        <v>18331A0506</v>
      </c>
      <c r="C580" s="90" t="str">
        <f>IFERROR(__xludf.DUMMYFUNCTION("""COMPUTED_VALUE"""),"Cyber security ")</f>
        <v>Cyber security </v>
      </c>
      <c r="D580" s="74" t="str">
        <f>IFERROR(__xludf.DUMMYFUNCTION("""COMPUTED_VALUE"""),"Palo Alto networks ")</f>
        <v>Palo Alto networks </v>
      </c>
      <c r="E580" s="74" t="str">
        <f>IFERROR(__xludf.DUMMYFUNCTION("""COMPUTED_VALUE"""),"4 weeks")</f>
        <v>4 weeks</v>
      </c>
      <c r="F580" s="91">
        <f>IFERROR(__xludf.DUMMYFUNCTION("""COMPUTED_VALUE"""),44357.0)</f>
        <v>44357</v>
      </c>
      <c r="G580" s="91">
        <f>IFERROR(__xludf.DUMMYFUNCTION("""COMPUTED_VALUE"""),44037.0)</f>
        <v>44037</v>
      </c>
      <c r="H580" s="79">
        <f>IFERROR(__xludf.DUMMYFUNCTION("""COMPUTED_VALUE"""),44767.0)</f>
        <v>44767</v>
      </c>
      <c r="I580" s="92">
        <f>IFERROR(__xludf.DUMMYFUNCTION("""COMPUTED_VALUE"""),100.0)</f>
        <v>100</v>
      </c>
      <c r="J580" s="74" t="str">
        <f>IFERROR(__xludf.DUMMYFUNCTION("""COMPUTED_VALUE"""),"Ravikiran varama ")</f>
        <v>Ravikiran varama </v>
      </c>
      <c r="K580" s="80" t="str">
        <f>IFERROR(__xludf.DUMMYFUNCTION("""COMPUTED_VALUE"""),"https://drive.google.com/open?id=1Nf0dS9oKIfRUR7U6PeBNEFsfkp5dW3Sh")</f>
        <v>https://drive.google.com/open?id=1Nf0dS9oKIfRUR7U6PeBNEFsfkp5dW3Sh</v>
      </c>
      <c r="L580" s="74" t="str">
        <f>IFERROR(__xludf.DUMMYFUNCTION("""COMPUTED_VALUE"""),"2018-2022")</f>
        <v>2018-2022</v>
      </c>
      <c r="M580" s="74" t="str">
        <f>IFERROR(__xludf.DUMMYFUNCTION("""COMPUTED_VALUE"""),"S4: Student Certifications")</f>
        <v>S4: Student Certifications</v>
      </c>
      <c r="N580" s="74" t="str">
        <f>IFERROR(__xludf.DUMMYFUNCTION("""COMPUTED_VALUE"""),"annam.venkat24a@gmail.com")</f>
        <v>annam.venkat24a@gmail.com</v>
      </c>
      <c r="O580" s="74" t="str">
        <f>IFERROR(__xludf.DUMMYFUNCTION("""COMPUTED_VALUE"""),"SEM-8")</f>
        <v>SEM-8</v>
      </c>
      <c r="P580" s="74"/>
      <c r="Q580" s="74"/>
      <c r="R580" s="74"/>
      <c r="S580" s="74"/>
      <c r="T580" s="74"/>
      <c r="U580" s="74"/>
      <c r="V580" s="74"/>
      <c r="W580" s="74"/>
      <c r="X580" s="74"/>
      <c r="Y580" s="74"/>
    </row>
    <row r="581" ht="26.25" customHeight="1">
      <c r="A581" s="74" t="str">
        <f>IFERROR(__xludf.DUMMYFUNCTION("""COMPUTED_VALUE"""),"A TEJESWARA RAO ")</f>
        <v>A TEJESWARA RAO </v>
      </c>
      <c r="B581" s="74" t="str">
        <f>IFERROR(__xludf.DUMMYFUNCTION("""COMPUTED_VALUE"""),"18331A0505")</f>
        <v>18331A0505</v>
      </c>
      <c r="C581" s="90" t="str">
        <f>IFERROR(__xludf.DUMMYFUNCTION("""COMPUTED_VALUE"""),"Graphic design certification legendary edition")</f>
        <v>Graphic design certification legendary edition</v>
      </c>
      <c r="D581" s="74" t="str">
        <f>IFERROR(__xludf.DUMMYFUNCTION("""COMPUTED_VALUE"""),"First look digital marketing solutions pvt.ltd")</f>
        <v>First look digital marketing solutions pvt.ltd</v>
      </c>
      <c r="E581" s="74" t="str">
        <f>IFERROR(__xludf.DUMMYFUNCTION("""COMPUTED_VALUE"""),"2")</f>
        <v>2</v>
      </c>
      <c r="F581" s="91">
        <f>IFERROR(__xludf.DUMMYFUNCTION("""COMPUTED_VALUE"""),44657.0)</f>
        <v>44657</v>
      </c>
      <c r="G581" s="91">
        <f>IFERROR(__xludf.DUMMYFUNCTION("""COMPUTED_VALUE"""),44659.0)</f>
        <v>44659</v>
      </c>
      <c r="H581" s="79">
        <f>IFERROR(__xludf.DUMMYFUNCTION("""COMPUTED_VALUE"""),44659.0)</f>
        <v>44659</v>
      </c>
      <c r="I581" s="92">
        <f>IFERROR(__xludf.DUMMYFUNCTION("""COMPUTED_VALUE"""),0.75)</f>
        <v>0.75</v>
      </c>
      <c r="J581" s="74" t="str">
        <f>IFERROR(__xludf.DUMMYFUNCTION("""COMPUTED_VALUE"""),"Kalyan chakravarthy ")</f>
        <v>Kalyan chakravarthy </v>
      </c>
      <c r="K581" s="80" t="str">
        <f>IFERROR(__xludf.DUMMYFUNCTION("""COMPUTED_VALUE"""),"https://drive.google.com/open?id=15KlORbmmEYat07-YtUl0ZAjbTM255VC9")</f>
        <v>https://drive.google.com/open?id=15KlORbmmEYat07-YtUl0ZAjbTM255VC9</v>
      </c>
      <c r="L581" s="74" t="str">
        <f>IFERROR(__xludf.DUMMYFUNCTION("""COMPUTED_VALUE"""),"2018-2022")</f>
        <v>2018-2022</v>
      </c>
      <c r="M581" s="74" t="str">
        <f>IFERROR(__xludf.DUMMYFUNCTION("""COMPUTED_VALUE"""),"S4: Student Certifications")</f>
        <v>S4: Student Certifications</v>
      </c>
      <c r="N581" s="74" t="str">
        <f>IFERROR(__xludf.DUMMYFUNCTION("""COMPUTED_VALUE"""),"anakapallitejeswararao2000@gmail.com")</f>
        <v>anakapallitejeswararao2000@gmail.com</v>
      </c>
      <c r="O581" s="74" t="str">
        <f>IFERROR(__xludf.DUMMYFUNCTION("""COMPUTED_VALUE"""),"SEM-8")</f>
        <v>SEM-8</v>
      </c>
      <c r="P581" s="74"/>
      <c r="Q581" s="74"/>
      <c r="R581" s="74"/>
      <c r="S581" s="74"/>
      <c r="T581" s="74"/>
      <c r="U581" s="74"/>
      <c r="V581" s="74"/>
      <c r="W581" s="74"/>
      <c r="X581" s="74"/>
      <c r="Y581" s="74"/>
    </row>
    <row r="582" ht="26.25" customHeight="1">
      <c r="A582" s="96" t="str">
        <f>IFERROR(__xludf.DUMMYFUNCTION("""COMPUTED_VALUE"""),"chandra sekhar naidu")</f>
        <v>chandra sekhar naidu</v>
      </c>
      <c r="B582" s="96" t="str">
        <f>IFERROR(__xludf.DUMMYFUNCTION("""COMPUTED_VALUE"""),"20331A05A8")</f>
        <v>20331A05A8</v>
      </c>
      <c r="C582" s="97" t="str">
        <f>IFERROR(__xludf.DUMMYFUNCTION("""COMPUTED_VALUE"""),"IT ESSENTIALS")</f>
        <v>IT ESSENTIALS</v>
      </c>
      <c r="D582" s="96" t="str">
        <f>IFERROR(__xludf.DUMMYFUNCTION("""COMPUTED_VALUE"""),"CISCO")</f>
        <v>CISCO</v>
      </c>
      <c r="E582" s="96" t="str">
        <f>IFERROR(__xludf.DUMMYFUNCTION("""COMPUTED_VALUE"""),"3 months")</f>
        <v>3 months</v>
      </c>
      <c r="F582" s="98">
        <f>IFERROR(__xludf.DUMMYFUNCTION("""COMPUTED_VALUE"""),44296.0)</f>
        <v>44296</v>
      </c>
      <c r="G582" s="98">
        <f>IFERROR(__xludf.DUMMYFUNCTION("""COMPUTED_VALUE"""),44387.0)</f>
        <v>44387</v>
      </c>
      <c r="H582" s="99">
        <f>IFERROR(__xludf.DUMMYFUNCTION("""COMPUTED_VALUE"""),44296.0)</f>
        <v>44296</v>
      </c>
      <c r="I582" s="100">
        <f>IFERROR(__xludf.DUMMYFUNCTION("""COMPUTED_VALUE"""),90.0)</f>
        <v>90</v>
      </c>
      <c r="J582" s="96" t="str">
        <f>IFERROR(__xludf.DUMMYFUNCTION("""COMPUTED_VALUE"""),"subba raju")</f>
        <v>subba raju</v>
      </c>
      <c r="K582" s="101" t="str">
        <f>IFERROR(__xludf.DUMMYFUNCTION("""COMPUTED_VALUE"""),"https://drive.google.com/open?id=10iRRL6oYzg9D17zZeW0XqU0pOWWcmdi0")</f>
        <v>https://drive.google.com/open?id=10iRRL6oYzg9D17zZeW0XqU0pOWWcmdi0</v>
      </c>
      <c r="L582" s="96" t="str">
        <f>IFERROR(__xludf.DUMMYFUNCTION("""COMPUTED_VALUE"""),"2020-2024")</f>
        <v>2020-2024</v>
      </c>
      <c r="M582" s="96" t="str">
        <f>IFERROR(__xludf.DUMMYFUNCTION("""COMPUTED_VALUE"""),"S4: Student Certifications")</f>
        <v>S4: Student Certifications</v>
      </c>
      <c r="N582" s="96" t="str">
        <f>IFERROR(__xludf.DUMMYFUNCTION("""COMPUTED_VALUE"""),"naiduchandrasekhar23@gmail.com")</f>
        <v>naiduchandrasekhar23@gmail.com</v>
      </c>
      <c r="O582" s="96" t="str">
        <f>IFERROR(__xludf.DUMMYFUNCTION("""COMPUTED_VALUE"""),"SEM-1")</f>
        <v>SEM-1</v>
      </c>
      <c r="P582" s="96"/>
      <c r="Q582" s="96"/>
      <c r="R582" s="96"/>
      <c r="S582" s="96"/>
      <c r="T582" s="96"/>
      <c r="U582" s="96"/>
      <c r="V582" s="96"/>
      <c r="W582" s="96"/>
      <c r="X582" s="96"/>
      <c r="Y582" s="96"/>
    </row>
    <row r="583" ht="26.25" customHeight="1">
      <c r="A583" s="96" t="str">
        <f>IFERROR(__xludf.DUMMYFUNCTION("""COMPUTED_VALUE"""),"chandra sekhar naidu")</f>
        <v>chandra sekhar naidu</v>
      </c>
      <c r="B583" s="96" t="str">
        <f>IFERROR(__xludf.DUMMYFUNCTION("""COMPUTED_VALUE"""),"20331A05A8")</f>
        <v>20331A05A8</v>
      </c>
      <c r="C583" s="97" t="str">
        <f>IFERROR(__xludf.DUMMYFUNCTION("""COMPUTED_VALUE"""),"NDG LINUX Essentials")</f>
        <v>NDG LINUX Essentials</v>
      </c>
      <c r="D583" s="96" t="str">
        <f>IFERROR(__xludf.DUMMYFUNCTION("""COMPUTED_VALUE"""),"CISCO")</f>
        <v>CISCO</v>
      </c>
      <c r="E583" s="96" t="str">
        <f>IFERROR(__xludf.DUMMYFUNCTION("""COMPUTED_VALUE"""),"4 MONTHS")</f>
        <v>4 MONTHS</v>
      </c>
      <c r="F583" s="98">
        <f>IFERROR(__xludf.DUMMYFUNCTION("""COMPUTED_VALUE"""),44479.0)</f>
        <v>44479</v>
      </c>
      <c r="G583" s="98">
        <f>IFERROR(__xludf.DUMMYFUNCTION("""COMPUTED_VALUE"""),44594.0)</f>
        <v>44594</v>
      </c>
      <c r="H583" s="99">
        <f>IFERROR(__xludf.DUMMYFUNCTION("""COMPUTED_VALUE"""),44594.0)</f>
        <v>44594</v>
      </c>
      <c r="I583" s="100">
        <f>IFERROR(__xludf.DUMMYFUNCTION("""COMPUTED_VALUE"""),90.0)</f>
        <v>90</v>
      </c>
      <c r="J583" s="96" t="str">
        <f>IFERROR(__xludf.DUMMYFUNCTION("""COMPUTED_VALUE"""),"SUBBA RAJU")</f>
        <v>SUBBA RAJU</v>
      </c>
      <c r="K583" s="101" t="str">
        <f>IFERROR(__xludf.DUMMYFUNCTION("""COMPUTED_VALUE"""),"https://drive.google.com/open?id=1p7w2l3SFw28Eb0ibzDAddGFhdRzJjgy2")</f>
        <v>https://drive.google.com/open?id=1p7w2l3SFw28Eb0ibzDAddGFhdRzJjgy2</v>
      </c>
      <c r="L583" s="96" t="str">
        <f>IFERROR(__xludf.DUMMYFUNCTION("""COMPUTED_VALUE"""),"2020-2024")</f>
        <v>2020-2024</v>
      </c>
      <c r="M583" s="96" t="str">
        <f>IFERROR(__xludf.DUMMYFUNCTION("""COMPUTED_VALUE"""),"S4: Student Certifications")</f>
        <v>S4: Student Certifications</v>
      </c>
      <c r="N583" s="96" t="str">
        <f>IFERROR(__xludf.DUMMYFUNCTION("""COMPUTED_VALUE"""),"naiduchandrasekhar23@gmail.com")</f>
        <v>naiduchandrasekhar23@gmail.com</v>
      </c>
      <c r="O583" s="96" t="str">
        <f>IFERROR(__xludf.DUMMYFUNCTION("""COMPUTED_VALUE"""),"SEM-2")</f>
        <v>SEM-2</v>
      </c>
      <c r="P583" s="96"/>
      <c r="Q583" s="96"/>
      <c r="R583" s="96"/>
      <c r="S583" s="96"/>
      <c r="T583" s="96"/>
      <c r="U583" s="96"/>
      <c r="V583" s="96"/>
      <c r="W583" s="96"/>
      <c r="X583" s="96"/>
      <c r="Y583" s="96"/>
    </row>
    <row r="584" ht="26.25" customHeight="1">
      <c r="A584" s="96" t="str">
        <f>IFERROR(__xludf.DUMMYFUNCTION("""COMPUTED_VALUE"""),"chandra sekhar naidu")</f>
        <v>chandra sekhar naidu</v>
      </c>
      <c r="B584" s="96" t="str">
        <f>IFERROR(__xludf.DUMMYFUNCTION("""COMPUTED_VALUE"""),"20331A05A8")</f>
        <v>20331A05A8</v>
      </c>
      <c r="C584" s="97" t="str">
        <f>IFERROR(__xludf.DUMMYFUNCTION("""COMPUTED_VALUE"""),"linux automation virtual program")</f>
        <v>linux automation virtual program</v>
      </c>
      <c r="D584" s="96" t="str">
        <f>IFERROR(__xludf.DUMMYFUNCTION("""COMPUTED_VALUE"""),"AICTE- red hat academy")</f>
        <v>AICTE- red hat academy</v>
      </c>
      <c r="E584" s="96" t="str">
        <f>IFERROR(__xludf.DUMMYFUNCTION("""COMPUTED_VALUE"""),"3 months")</f>
        <v>3 months</v>
      </c>
      <c r="F584" s="98">
        <f>IFERROR(__xludf.DUMMYFUNCTION("""COMPUTED_VALUE"""),44479.0)</f>
        <v>44479</v>
      </c>
      <c r="G584" s="98">
        <f>IFERROR(__xludf.DUMMYFUNCTION("""COMPUTED_VALUE"""),44540.0)</f>
        <v>44540</v>
      </c>
      <c r="H584" s="99">
        <f>IFERROR(__xludf.DUMMYFUNCTION("""COMPUTED_VALUE"""),44540.0)</f>
        <v>44540</v>
      </c>
      <c r="I584" s="100">
        <f>IFERROR(__xludf.DUMMYFUNCTION("""COMPUTED_VALUE"""),90.0)</f>
        <v>90</v>
      </c>
      <c r="J584" s="96" t="str">
        <f>IFERROR(__xludf.DUMMYFUNCTION("""COMPUTED_VALUE"""),"subba raju")</f>
        <v>subba raju</v>
      </c>
      <c r="K584" s="101" t="str">
        <f>IFERROR(__xludf.DUMMYFUNCTION("""COMPUTED_VALUE"""),"https://drive.google.com/open?id=1T4gMGUJ4XFABiYSCEBCvvtmcUDdii7k5")</f>
        <v>https://drive.google.com/open?id=1T4gMGUJ4XFABiYSCEBCvvtmcUDdii7k5</v>
      </c>
      <c r="L584" s="96" t="str">
        <f>IFERROR(__xludf.DUMMYFUNCTION("""COMPUTED_VALUE"""),"2020-2024")</f>
        <v>2020-2024</v>
      </c>
      <c r="M584" s="96" t="str">
        <f>IFERROR(__xludf.DUMMYFUNCTION("""COMPUTED_VALUE"""),"S4: Student Certifications")</f>
        <v>S4: Student Certifications</v>
      </c>
      <c r="N584" s="96" t="str">
        <f>IFERROR(__xludf.DUMMYFUNCTION("""COMPUTED_VALUE"""),"naiduchandrasekhar23@gmail.com")</f>
        <v>naiduchandrasekhar23@gmail.com</v>
      </c>
      <c r="O584" s="96" t="str">
        <f>IFERROR(__xludf.DUMMYFUNCTION("""COMPUTED_VALUE"""),"SEM-3")</f>
        <v>SEM-3</v>
      </c>
      <c r="P584" s="96"/>
      <c r="Q584" s="96"/>
      <c r="R584" s="96"/>
      <c r="S584" s="96"/>
      <c r="T584" s="96"/>
      <c r="U584" s="96"/>
      <c r="V584" s="96"/>
      <c r="W584" s="96"/>
      <c r="X584" s="96"/>
      <c r="Y584" s="96"/>
    </row>
    <row r="585" ht="26.25" customHeight="1">
      <c r="A585" s="78" t="str">
        <f>IFERROR(__xludf.DUMMYFUNCTION("""COMPUTED_VALUE"""),"TAMMINANA YASHWANTH")</f>
        <v>TAMMINANA YASHWANTH</v>
      </c>
      <c r="B585" s="78" t="str">
        <f>IFERROR(__xludf.DUMMYFUNCTION("""COMPUTED_VALUE"""),"18331A05F2")</f>
        <v>18331A05F2</v>
      </c>
      <c r="C585" s="93" t="str">
        <f>IFERROR(__xludf.DUMMYFUNCTION("""COMPUTED_VALUE""")," CCNA")</f>
        <v> CCNA</v>
      </c>
      <c r="D585" s="78" t="str">
        <f>IFERROR(__xludf.DUMMYFUNCTION("""COMPUTED_VALUE"""),"CISCO")</f>
        <v>CISCO</v>
      </c>
      <c r="E585" s="78" t="str">
        <f>IFERROR(__xludf.DUMMYFUNCTION("""COMPUTED_VALUE"""),"2 Months")</f>
        <v>2 Months</v>
      </c>
      <c r="F585" s="94">
        <f>IFERROR(__xludf.DUMMYFUNCTION("""COMPUTED_VALUE"""),43871.0)</f>
        <v>43871</v>
      </c>
      <c r="G585" s="94">
        <f>IFERROR(__xludf.DUMMYFUNCTION("""COMPUTED_VALUE"""),43873.0)</f>
        <v>43873</v>
      </c>
      <c r="H585" s="84">
        <f>IFERROR(__xludf.DUMMYFUNCTION("""COMPUTED_VALUE"""),44242.0)</f>
        <v>44242</v>
      </c>
      <c r="I585" s="95">
        <f>IFERROR(__xludf.DUMMYFUNCTION("""COMPUTED_VALUE"""),100.0)</f>
        <v>100</v>
      </c>
      <c r="J585" s="78" t="str">
        <f>IFERROR(__xludf.DUMMYFUNCTION("""COMPUTED_VALUE"""),"SUBBA RAJU")</f>
        <v>SUBBA RAJU</v>
      </c>
      <c r="K585" s="85" t="str">
        <f>IFERROR(__xludf.DUMMYFUNCTION("""COMPUTED_VALUE"""),"https://drive.google.com/open?id=1wjZLp-d60u1u4pMLRVmZviNunuo4_dWL")</f>
        <v>https://drive.google.com/open?id=1wjZLp-d60u1u4pMLRVmZviNunuo4_dWL</v>
      </c>
      <c r="L585" s="78" t="str">
        <f>IFERROR(__xludf.DUMMYFUNCTION("""COMPUTED_VALUE"""),"2018-2022")</f>
        <v>2018-2022</v>
      </c>
      <c r="M585" s="78" t="str">
        <f>IFERROR(__xludf.DUMMYFUNCTION("""COMPUTED_VALUE"""),"S4: Student Certifications")</f>
        <v>S4: Student Certifications</v>
      </c>
      <c r="N585" s="78" t="str">
        <f>IFERROR(__xludf.DUMMYFUNCTION("""COMPUTED_VALUE"""),"tammineniyashwanth@gmail.com")</f>
        <v>tammineniyashwanth@gmail.com</v>
      </c>
      <c r="O585" s="78" t="str">
        <f>IFERROR(__xludf.DUMMYFUNCTION("""COMPUTED_VALUE"""),"SEM-8")</f>
        <v>SEM-8</v>
      </c>
      <c r="P585" s="78"/>
      <c r="Q585" s="78"/>
      <c r="R585" s="78"/>
      <c r="S585" s="78"/>
      <c r="T585" s="78"/>
      <c r="U585" s="78"/>
      <c r="V585" s="78"/>
      <c r="W585" s="78"/>
      <c r="X585" s="78"/>
      <c r="Y585" s="78"/>
    </row>
    <row r="586" ht="26.25" customHeight="1">
      <c r="A586" s="96" t="str">
        <f>IFERROR(__xludf.DUMMYFUNCTION("""COMPUTED_VALUE"""),"N Manikanta Sai Kumar ")</f>
        <v>N Manikanta Sai Kumar </v>
      </c>
      <c r="B586" s="96" t="str">
        <f>IFERROR(__xludf.DUMMYFUNCTION("""COMPUTED_VALUE"""),"20331A05C2")</f>
        <v>20331A05C2</v>
      </c>
      <c r="C586" s="97" t="str">
        <f>IFERROR(__xludf.DUMMYFUNCTION("""COMPUTED_VALUE"""),"IT Essentials")</f>
        <v>IT Essentials</v>
      </c>
      <c r="D586" s="96" t="str">
        <f>IFERROR(__xludf.DUMMYFUNCTION("""COMPUTED_VALUE"""),"Cisco Networking Academy ")</f>
        <v>Cisco Networking Academy </v>
      </c>
      <c r="E586" s="96" t="str">
        <f>IFERROR(__xludf.DUMMYFUNCTION("""COMPUTED_VALUE"""),"2 months")</f>
        <v>2 months</v>
      </c>
      <c r="F586" s="98">
        <f>IFERROR(__xludf.DUMMYFUNCTION("""COMPUTED_VALUE"""),44353.0)</f>
        <v>44353</v>
      </c>
      <c r="G586" s="98">
        <f>IFERROR(__xludf.DUMMYFUNCTION("""COMPUTED_VALUE"""),44414.0)</f>
        <v>44414</v>
      </c>
      <c r="H586" s="99">
        <f>IFERROR(__xludf.DUMMYFUNCTION("""COMPUTED_VALUE"""),44414.0)</f>
        <v>44414</v>
      </c>
      <c r="I586" s="100">
        <f>IFERROR(__xludf.DUMMYFUNCTION("""COMPUTED_VALUE"""),95.0)</f>
        <v>95</v>
      </c>
      <c r="J586" s="96" t="str">
        <f>IFERROR(__xludf.DUMMYFUNCTION("""COMPUTED_VALUE"""),"K.V.Subbaraju")</f>
        <v>K.V.Subbaraju</v>
      </c>
      <c r="K586" s="101" t="str">
        <f>IFERROR(__xludf.DUMMYFUNCTION("""COMPUTED_VALUE"""),"https://drive.google.com/open?id=1NBVg10eIJsd6sM7PNq1K_ESwEvl-1Z9j")</f>
        <v>https://drive.google.com/open?id=1NBVg10eIJsd6sM7PNq1K_ESwEvl-1Z9j</v>
      </c>
      <c r="L586" s="96" t="str">
        <f>IFERROR(__xludf.DUMMYFUNCTION("""COMPUTED_VALUE"""),"2020-2024")</f>
        <v>2020-2024</v>
      </c>
      <c r="M586" s="96" t="str">
        <f>IFERROR(__xludf.DUMMYFUNCTION("""COMPUTED_VALUE"""),"S4: Student Certifications")</f>
        <v>S4: Student Certifications</v>
      </c>
      <c r="N586" s="96" t="str">
        <f>IFERROR(__xludf.DUMMYFUNCTION("""COMPUTED_VALUE"""),"manikanta202nmk@gmail.com")</f>
        <v>manikanta202nmk@gmail.com</v>
      </c>
      <c r="O586" s="96" t="str">
        <f>IFERROR(__xludf.DUMMYFUNCTION("""COMPUTED_VALUE"""),"SEM-2")</f>
        <v>SEM-2</v>
      </c>
      <c r="P586" s="96"/>
      <c r="Q586" s="96"/>
      <c r="R586" s="96"/>
      <c r="S586" s="96"/>
      <c r="T586" s="96"/>
      <c r="U586" s="96"/>
      <c r="V586" s="96"/>
      <c r="W586" s="96"/>
      <c r="X586" s="96"/>
      <c r="Y586" s="96"/>
    </row>
    <row r="587" ht="26.25" customHeight="1">
      <c r="A587" s="96" t="str">
        <f>IFERROR(__xludf.DUMMYFUNCTION("""COMPUTED_VALUE"""),"Jammi Sri Sai Yeshwanth ")</f>
        <v>Jammi Sri Sai Yeshwanth </v>
      </c>
      <c r="B587" s="96" t="str">
        <f>IFERROR(__xludf.DUMMYFUNCTION("""COMPUTED_VALUE"""),"20331A0574")</f>
        <v>20331A0574</v>
      </c>
      <c r="C587" s="97" t="str">
        <f>IFERROR(__xludf.DUMMYFUNCTION("""COMPUTED_VALUE"""),"IT Essentials ")</f>
        <v>IT Essentials </v>
      </c>
      <c r="D587" s="96" t="str">
        <f>IFERROR(__xludf.DUMMYFUNCTION("""COMPUTED_VALUE"""),"Cisco Networking ")</f>
        <v>Cisco Networking </v>
      </c>
      <c r="E587" s="96" t="str">
        <f>IFERROR(__xludf.DUMMYFUNCTION("""COMPUTED_VALUE"""),"12 weeks")</f>
        <v>12 weeks</v>
      </c>
      <c r="F587" s="98">
        <f>IFERROR(__xludf.DUMMYFUNCTION("""COMPUTED_VALUE"""),44333.0)</f>
        <v>44333</v>
      </c>
      <c r="G587" s="98">
        <f>IFERROR(__xludf.DUMMYFUNCTION("""COMPUTED_VALUE"""),44754.0)</f>
        <v>44754</v>
      </c>
      <c r="H587" s="99">
        <f>IFERROR(__xludf.DUMMYFUNCTION("""COMPUTED_VALUE"""),44754.0)</f>
        <v>44754</v>
      </c>
      <c r="I587" s="100">
        <f>IFERROR(__xludf.DUMMYFUNCTION("""COMPUTED_VALUE"""),90.0)</f>
        <v>90</v>
      </c>
      <c r="J587" s="96" t="str">
        <f>IFERROR(__xludf.DUMMYFUNCTION("""COMPUTED_VALUE"""),"Dr KV Subba Raju")</f>
        <v>Dr KV Subba Raju</v>
      </c>
      <c r="K587" s="101" t="str">
        <f>IFERROR(__xludf.DUMMYFUNCTION("""COMPUTED_VALUE"""),"https://drive.google.com/open?id=13O7D2koIVXmXkx9n66CbjBhzklX6JNwE")</f>
        <v>https://drive.google.com/open?id=13O7D2koIVXmXkx9n66CbjBhzklX6JNwE</v>
      </c>
      <c r="L587" s="96" t="str">
        <f>IFERROR(__xludf.DUMMYFUNCTION("""COMPUTED_VALUE"""),"2020-2024")</f>
        <v>2020-2024</v>
      </c>
      <c r="M587" s="96" t="str">
        <f>IFERROR(__xludf.DUMMYFUNCTION("""COMPUTED_VALUE"""),"S4: Student Certifications")</f>
        <v>S4: Student Certifications</v>
      </c>
      <c r="N587" s="96" t="str">
        <f>IFERROR(__xludf.DUMMYFUNCTION("""COMPUTED_VALUE"""),"yeswanthjammi@gmail.com")</f>
        <v>yeswanthjammi@gmail.com</v>
      </c>
      <c r="O587" s="96" t="str">
        <f>IFERROR(__xludf.DUMMYFUNCTION("""COMPUTED_VALUE"""),"SEM-4")</f>
        <v>SEM-4</v>
      </c>
      <c r="P587" s="96"/>
      <c r="Q587" s="96"/>
      <c r="R587" s="96"/>
      <c r="S587" s="96"/>
      <c r="T587" s="96"/>
      <c r="U587" s="96"/>
      <c r="V587" s="96"/>
      <c r="W587" s="96"/>
      <c r="X587" s="96"/>
      <c r="Y587" s="96"/>
    </row>
    <row r="588" ht="26.25" customHeight="1">
      <c r="A588" s="74" t="str">
        <f>IFERROR(__xludf.DUMMYFUNCTION("""COMPUTED_VALUE"""),"Tadi Satish Reddy")</f>
        <v>Tadi Satish Reddy</v>
      </c>
      <c r="B588" s="74" t="str">
        <f>IFERROR(__xludf.DUMMYFUNCTION("""COMPUTED_VALUE"""),"18332A05F0")</f>
        <v>18332A05F0</v>
      </c>
      <c r="C588" s="90" t="str">
        <f>IFERROR(__xludf.DUMMYFUNCTION("""COMPUTED_VALUE"""),"C")</f>
        <v>C</v>
      </c>
      <c r="D588" s="74" t="str">
        <f>IFERROR(__xludf.DUMMYFUNCTION("""COMPUTED_VALUE"""),"Cisco")</f>
        <v>Cisco</v>
      </c>
      <c r="E588" s="74" t="str">
        <f>IFERROR(__xludf.DUMMYFUNCTION("""COMPUTED_VALUE"""),"1 month")</f>
        <v>1 month</v>
      </c>
      <c r="F588" s="91">
        <f>IFERROR(__xludf.DUMMYFUNCTION("""COMPUTED_VALUE"""),44550.0)</f>
        <v>44550</v>
      </c>
      <c r="G588" s="91">
        <f>IFERROR(__xludf.DUMMYFUNCTION("""COMPUTED_VALUE"""),44576.0)</f>
        <v>44576</v>
      </c>
      <c r="H588" s="79">
        <f>IFERROR(__xludf.DUMMYFUNCTION("""COMPUTED_VALUE"""),44573.0)</f>
        <v>44573</v>
      </c>
      <c r="I588" s="92">
        <f>IFERROR(__xludf.DUMMYFUNCTION("""COMPUTED_VALUE"""),95.0)</f>
        <v>95</v>
      </c>
      <c r="J588" s="74" t="str">
        <f>IFERROR(__xludf.DUMMYFUNCTION("""COMPUTED_VALUE"""),"Dr Ravi Kiran varma")</f>
        <v>Dr Ravi Kiran varma</v>
      </c>
      <c r="K588" s="80" t="str">
        <f>IFERROR(__xludf.DUMMYFUNCTION("""COMPUTED_VALUE"""),"https://drive.google.com/open?id=1Zb-15iaNboindLGRyqAmWXSM4jrarj4b")</f>
        <v>https://drive.google.com/open?id=1Zb-15iaNboindLGRyqAmWXSM4jrarj4b</v>
      </c>
      <c r="L588" s="74" t="str">
        <f>IFERROR(__xludf.DUMMYFUNCTION("""COMPUTED_VALUE"""),"2018-2022")</f>
        <v>2018-2022</v>
      </c>
      <c r="M588" s="74" t="str">
        <f>IFERROR(__xludf.DUMMYFUNCTION("""COMPUTED_VALUE"""),"S4: Student Certifications")</f>
        <v>S4: Student Certifications</v>
      </c>
      <c r="N588" s="74" t="str">
        <f>IFERROR(__xludf.DUMMYFUNCTION("""COMPUTED_VALUE"""),"tadisatishreddy2000@gmail.com")</f>
        <v>tadisatishreddy2000@gmail.com</v>
      </c>
      <c r="O588" s="74" t="str">
        <f>IFERROR(__xludf.DUMMYFUNCTION("""COMPUTED_VALUE"""),"SEM-8")</f>
        <v>SEM-8</v>
      </c>
      <c r="P588" s="74"/>
      <c r="Q588" s="74"/>
      <c r="R588" s="74"/>
      <c r="S588" s="74"/>
      <c r="T588" s="74"/>
      <c r="U588" s="74"/>
      <c r="V588" s="74"/>
      <c r="W588" s="74"/>
      <c r="X588" s="74"/>
      <c r="Y588" s="74"/>
    </row>
    <row r="589" ht="26.25" customHeight="1">
      <c r="A589" s="74" t="str">
        <f>IFERROR(__xludf.DUMMYFUNCTION("""COMPUTED_VALUE"""),"Tadi Satish Reddy")</f>
        <v>Tadi Satish Reddy</v>
      </c>
      <c r="B589" s="74" t="str">
        <f>IFERROR(__xludf.DUMMYFUNCTION("""COMPUTED_VALUE"""),"18331A05F0")</f>
        <v>18331A05F0</v>
      </c>
      <c r="C589" s="90" t="str">
        <f>IFERROR(__xludf.DUMMYFUNCTION("""COMPUTED_VALUE"""),"CCNA")</f>
        <v>CCNA</v>
      </c>
      <c r="D589" s="74" t="str">
        <f>IFERROR(__xludf.DUMMYFUNCTION("""COMPUTED_VALUE"""),"Cisco")</f>
        <v>Cisco</v>
      </c>
      <c r="E589" s="74" t="str">
        <f>IFERROR(__xludf.DUMMYFUNCTION("""COMPUTED_VALUE"""),"1 month")</f>
        <v>1 month</v>
      </c>
      <c r="F589" s="91">
        <f>IFERROR(__xludf.DUMMYFUNCTION("""COMPUTED_VALUE"""),44577.0)</f>
        <v>44577</v>
      </c>
      <c r="G589" s="91">
        <f>IFERROR(__xludf.DUMMYFUNCTION("""COMPUTED_VALUE"""),44607.0)</f>
        <v>44607</v>
      </c>
      <c r="H589" s="79">
        <f>IFERROR(__xludf.DUMMYFUNCTION("""COMPUTED_VALUE"""),44604.0)</f>
        <v>44604</v>
      </c>
      <c r="I589" s="92">
        <f>IFERROR(__xludf.DUMMYFUNCTION("""COMPUTED_VALUE"""),95.0)</f>
        <v>95</v>
      </c>
      <c r="J589" s="74" t="str">
        <f>IFERROR(__xludf.DUMMYFUNCTION("""COMPUTED_VALUE"""),"Dr. Ravi Kiran Verma")</f>
        <v>Dr. Ravi Kiran Verma</v>
      </c>
      <c r="K589" s="80" t="str">
        <f>IFERROR(__xludf.DUMMYFUNCTION("""COMPUTED_VALUE"""),"https://drive.google.com/open?id=1DhSnZ69qVniIEuIV6Sj5XL01lXVYCBSB")</f>
        <v>https://drive.google.com/open?id=1DhSnZ69qVniIEuIV6Sj5XL01lXVYCBSB</v>
      </c>
      <c r="L589" s="74" t="str">
        <f>IFERROR(__xludf.DUMMYFUNCTION("""COMPUTED_VALUE"""),"2018-2022")</f>
        <v>2018-2022</v>
      </c>
      <c r="M589" s="74" t="str">
        <f>IFERROR(__xludf.DUMMYFUNCTION("""COMPUTED_VALUE"""),"S4: Student Certifications")</f>
        <v>S4: Student Certifications</v>
      </c>
      <c r="N589" s="74" t="str">
        <f>IFERROR(__xludf.DUMMYFUNCTION("""COMPUTED_VALUE"""),"tadisatishreddy2000@gmail.com")</f>
        <v>tadisatishreddy2000@gmail.com</v>
      </c>
      <c r="O589" s="74" t="str">
        <f>IFERROR(__xludf.DUMMYFUNCTION("""COMPUTED_VALUE"""),"SEM-8")</f>
        <v>SEM-8</v>
      </c>
      <c r="P589" s="74"/>
      <c r="Q589" s="74"/>
      <c r="R589" s="74"/>
      <c r="S589" s="74"/>
      <c r="T589" s="74"/>
      <c r="U589" s="74"/>
      <c r="V589" s="74"/>
      <c r="W589" s="74"/>
      <c r="X589" s="74"/>
      <c r="Y589" s="74"/>
    </row>
    <row r="590" ht="26.25" customHeight="1">
      <c r="A590" s="74" t="str">
        <f>IFERROR(__xludf.DUMMYFUNCTION("""COMPUTED_VALUE"""),"Tadi Satish Reddy")</f>
        <v>Tadi Satish Reddy</v>
      </c>
      <c r="B590" s="74" t="str">
        <f>IFERROR(__xludf.DUMMYFUNCTION("""COMPUTED_VALUE"""),"18331A05F0")</f>
        <v>18331A05F0</v>
      </c>
      <c r="C590" s="90" t="str">
        <f>IFERROR(__xludf.DUMMYFUNCTION("""COMPUTED_VALUE"""),"CCNA")</f>
        <v>CCNA</v>
      </c>
      <c r="D590" s="74" t="str">
        <f>IFERROR(__xludf.DUMMYFUNCTION("""COMPUTED_VALUE"""),"Cisco")</f>
        <v>Cisco</v>
      </c>
      <c r="E590" s="74" t="str">
        <f>IFERROR(__xludf.DUMMYFUNCTION("""COMPUTED_VALUE"""),"1 month")</f>
        <v>1 month</v>
      </c>
      <c r="F590" s="91">
        <f>IFERROR(__xludf.DUMMYFUNCTION("""COMPUTED_VALUE"""),44608.0)</f>
        <v>44608</v>
      </c>
      <c r="G590" s="91">
        <f>IFERROR(__xludf.DUMMYFUNCTION("""COMPUTED_VALUE"""),44635.0)</f>
        <v>44635</v>
      </c>
      <c r="H590" s="79">
        <f>IFERROR(__xludf.DUMMYFUNCTION("""COMPUTED_VALUE"""),44632.0)</f>
        <v>44632</v>
      </c>
      <c r="I590" s="92">
        <f>IFERROR(__xludf.DUMMYFUNCTION("""COMPUTED_VALUE"""),95.0)</f>
        <v>95</v>
      </c>
      <c r="J590" s="74" t="str">
        <f>IFERROR(__xludf.DUMMYFUNCTION("""COMPUTED_VALUE"""),"Dr Ravi Kiran verma")</f>
        <v>Dr Ravi Kiran verma</v>
      </c>
      <c r="K590" s="80" t="str">
        <f>IFERROR(__xludf.DUMMYFUNCTION("""COMPUTED_VALUE"""),"https://drive.google.com/open?id=13lGdItF7uLb_QJuHbKFSTIT2NCFM2qOI")</f>
        <v>https://drive.google.com/open?id=13lGdItF7uLb_QJuHbKFSTIT2NCFM2qOI</v>
      </c>
      <c r="L590" s="74" t="str">
        <f>IFERROR(__xludf.DUMMYFUNCTION("""COMPUTED_VALUE"""),"2018-2022")</f>
        <v>2018-2022</v>
      </c>
      <c r="M590" s="74" t="str">
        <f>IFERROR(__xludf.DUMMYFUNCTION("""COMPUTED_VALUE"""),"S4: Student Certifications")</f>
        <v>S4: Student Certifications</v>
      </c>
      <c r="N590" s="74" t="str">
        <f>IFERROR(__xludf.DUMMYFUNCTION("""COMPUTED_VALUE"""),"tadisatishreddy2000@gmail.com")</f>
        <v>tadisatishreddy2000@gmail.com</v>
      </c>
      <c r="O590" s="74" t="str">
        <f>IFERROR(__xludf.DUMMYFUNCTION("""COMPUTED_VALUE"""),"SEM-8")</f>
        <v>SEM-8</v>
      </c>
      <c r="P590" s="74"/>
      <c r="Q590" s="74"/>
      <c r="R590" s="74"/>
      <c r="S590" s="74"/>
      <c r="T590" s="74"/>
      <c r="U590" s="74"/>
      <c r="V590" s="74"/>
      <c r="W590" s="74"/>
      <c r="X590" s="74"/>
      <c r="Y590" s="74"/>
    </row>
    <row r="591" ht="26.25" customHeight="1">
      <c r="A591" s="74" t="str">
        <f>IFERROR(__xludf.DUMMYFUNCTION("""COMPUTED_VALUE"""),"Tadi Satish Reddy")</f>
        <v>Tadi Satish Reddy</v>
      </c>
      <c r="B591" s="74" t="str">
        <f>IFERROR(__xludf.DUMMYFUNCTION("""COMPUTED_VALUE"""),"18331A05F0")</f>
        <v>18331A05F0</v>
      </c>
      <c r="C591" s="90" t="str">
        <f>IFERROR(__xludf.DUMMYFUNCTION("""COMPUTED_VALUE"""),"C")</f>
        <v>C</v>
      </c>
      <c r="D591" s="74" t="str">
        <f>IFERROR(__xludf.DUMMYFUNCTION("""COMPUTED_VALUE"""),"Cisco")</f>
        <v>Cisco</v>
      </c>
      <c r="E591" s="74" t="str">
        <f>IFERROR(__xludf.DUMMYFUNCTION("""COMPUTED_VALUE"""),"2 months")</f>
        <v>2 months</v>
      </c>
      <c r="F591" s="91">
        <f>IFERROR(__xludf.DUMMYFUNCTION("""COMPUTED_VALUE"""),44378.0)</f>
        <v>44378</v>
      </c>
      <c r="G591" s="91">
        <f>IFERROR(__xludf.DUMMYFUNCTION("""COMPUTED_VALUE"""),44439.0)</f>
        <v>44439</v>
      </c>
      <c r="H591" s="79">
        <f>IFERROR(__xludf.DUMMYFUNCTION("""COMPUTED_VALUE"""),44438.0)</f>
        <v>44438</v>
      </c>
      <c r="I591" s="92">
        <f>IFERROR(__xludf.DUMMYFUNCTION("""COMPUTED_VALUE"""),90.0)</f>
        <v>90</v>
      </c>
      <c r="J591" s="74" t="str">
        <f>IFERROR(__xludf.DUMMYFUNCTION("""COMPUTED_VALUE"""),"Dr Ravi Kiran Verma")</f>
        <v>Dr Ravi Kiran Verma</v>
      </c>
      <c r="K591" s="80" t="str">
        <f>IFERROR(__xludf.DUMMYFUNCTION("""COMPUTED_VALUE"""),"https://drive.google.com/open?id=1tXo0HN5OLkUMNJa9xtUoZ2zzgNTuxps5")</f>
        <v>https://drive.google.com/open?id=1tXo0HN5OLkUMNJa9xtUoZ2zzgNTuxps5</v>
      </c>
      <c r="L591" s="74" t="str">
        <f>IFERROR(__xludf.DUMMYFUNCTION("""COMPUTED_VALUE"""),"2018-2022")</f>
        <v>2018-2022</v>
      </c>
      <c r="M591" s="74" t="str">
        <f>IFERROR(__xludf.DUMMYFUNCTION("""COMPUTED_VALUE"""),"S4: Student Certifications")</f>
        <v>S4: Student Certifications</v>
      </c>
      <c r="N591" s="74" t="str">
        <f>IFERROR(__xludf.DUMMYFUNCTION("""COMPUTED_VALUE"""),"tadisatishreddy2000@gmail.com")</f>
        <v>tadisatishreddy2000@gmail.com</v>
      </c>
      <c r="O591" s="74" t="str">
        <f>IFERROR(__xludf.DUMMYFUNCTION("""COMPUTED_VALUE"""),"SEM-8")</f>
        <v>SEM-8</v>
      </c>
      <c r="P591" s="74"/>
      <c r="Q591" s="74"/>
      <c r="R591" s="74"/>
      <c r="S591" s="74"/>
      <c r="T591" s="74"/>
      <c r="U591" s="74"/>
      <c r="V591" s="74"/>
      <c r="W591" s="74"/>
      <c r="X591" s="74"/>
      <c r="Y591" s="74"/>
    </row>
    <row r="592" ht="26.25" customHeight="1">
      <c r="A592" s="74" t="str">
        <f>IFERROR(__xludf.DUMMYFUNCTION("""COMPUTED_VALUE"""),"Tadi Satish Reddy")</f>
        <v>Tadi Satish Reddy</v>
      </c>
      <c r="B592" s="74" t="str">
        <f>IFERROR(__xludf.DUMMYFUNCTION("""COMPUTED_VALUE"""),"18331A05F0")</f>
        <v>18331A05F0</v>
      </c>
      <c r="C592" s="90" t="str">
        <f>IFERROR(__xludf.DUMMYFUNCTION("""COMPUTED_VALUE"""),"C++")</f>
        <v>C++</v>
      </c>
      <c r="D592" s="74" t="str">
        <f>IFERROR(__xludf.DUMMYFUNCTION("""COMPUTED_VALUE"""),"Cisco")</f>
        <v>Cisco</v>
      </c>
      <c r="E592" s="74" t="str">
        <f>IFERROR(__xludf.DUMMYFUNCTION("""COMPUTED_VALUE"""),"2 months")</f>
        <v>2 months</v>
      </c>
      <c r="F592" s="91">
        <f>IFERROR(__xludf.DUMMYFUNCTION("""COMPUTED_VALUE"""),44440.0)</f>
        <v>44440</v>
      </c>
      <c r="G592" s="91">
        <f>IFERROR(__xludf.DUMMYFUNCTION("""COMPUTED_VALUE"""),44500.0)</f>
        <v>44500</v>
      </c>
      <c r="H592" s="79">
        <f>IFERROR(__xludf.DUMMYFUNCTION("""COMPUTED_VALUE"""),44499.0)</f>
        <v>44499</v>
      </c>
      <c r="I592" s="92">
        <f>IFERROR(__xludf.DUMMYFUNCTION("""COMPUTED_VALUE"""),90.0)</f>
        <v>90</v>
      </c>
      <c r="J592" s="74" t="str">
        <f>IFERROR(__xludf.DUMMYFUNCTION("""COMPUTED_VALUE"""),"Dr Ravi Kiran Verma")</f>
        <v>Dr Ravi Kiran Verma</v>
      </c>
      <c r="K592" s="80" t="str">
        <f>IFERROR(__xludf.DUMMYFUNCTION("""COMPUTED_VALUE"""),"https://drive.google.com/open?id=1X6ppzp2_RQtZH-sMapbdVUJFv8cshZ_0")</f>
        <v>https://drive.google.com/open?id=1X6ppzp2_RQtZH-sMapbdVUJFv8cshZ_0</v>
      </c>
      <c r="L592" s="74" t="str">
        <f>IFERROR(__xludf.DUMMYFUNCTION("""COMPUTED_VALUE"""),"2018-2022")</f>
        <v>2018-2022</v>
      </c>
      <c r="M592" s="74" t="str">
        <f>IFERROR(__xludf.DUMMYFUNCTION("""COMPUTED_VALUE"""),"S4: Student Certifications")</f>
        <v>S4: Student Certifications</v>
      </c>
      <c r="N592" s="74" t="str">
        <f>IFERROR(__xludf.DUMMYFUNCTION("""COMPUTED_VALUE"""),"tadisatishreddy2000@gmail.com")</f>
        <v>tadisatishreddy2000@gmail.com</v>
      </c>
      <c r="O592" s="74" t="str">
        <f>IFERROR(__xludf.DUMMYFUNCTION("""COMPUTED_VALUE"""),"SEM-8")</f>
        <v>SEM-8</v>
      </c>
      <c r="P592" s="74"/>
      <c r="Q592" s="74"/>
      <c r="R592" s="74"/>
      <c r="S592" s="74"/>
      <c r="T592" s="74"/>
      <c r="U592" s="74"/>
      <c r="V592" s="74"/>
      <c r="W592" s="74"/>
      <c r="X592" s="74"/>
      <c r="Y592" s="74"/>
    </row>
    <row r="593" ht="26.25" customHeight="1">
      <c r="A593" s="74" t="str">
        <f>IFERROR(__xludf.DUMMYFUNCTION("""COMPUTED_VALUE"""),"Tadi Satish Reddy")</f>
        <v>Tadi Satish Reddy</v>
      </c>
      <c r="B593" s="74" t="str">
        <f>IFERROR(__xludf.DUMMYFUNCTION("""COMPUTED_VALUE"""),"18331A05F0")</f>
        <v>18331A05F0</v>
      </c>
      <c r="C593" s="90" t="str">
        <f>IFERROR(__xludf.DUMMYFUNCTION("""COMPUTED_VALUE"""),"Python")</f>
        <v>Python</v>
      </c>
      <c r="D593" s="74" t="str">
        <f>IFERROR(__xludf.DUMMYFUNCTION("""COMPUTED_VALUE"""),"Cisco")</f>
        <v>Cisco</v>
      </c>
      <c r="E593" s="74" t="str">
        <f>IFERROR(__xludf.DUMMYFUNCTION("""COMPUTED_VALUE"""),"1 month")</f>
        <v>1 month</v>
      </c>
      <c r="F593" s="91">
        <f>IFERROR(__xludf.DUMMYFUNCTION("""COMPUTED_VALUE"""),44501.0)</f>
        <v>44501</v>
      </c>
      <c r="G593" s="91">
        <f>IFERROR(__xludf.DUMMYFUNCTION("""COMPUTED_VALUE"""),44530.0)</f>
        <v>44530</v>
      </c>
      <c r="H593" s="79">
        <f>IFERROR(__xludf.DUMMYFUNCTION("""COMPUTED_VALUE"""),44529.0)</f>
        <v>44529</v>
      </c>
      <c r="I593" s="92">
        <f>IFERROR(__xludf.DUMMYFUNCTION("""COMPUTED_VALUE"""),95.0)</f>
        <v>95</v>
      </c>
      <c r="J593" s="74" t="str">
        <f>IFERROR(__xludf.DUMMYFUNCTION("""COMPUTED_VALUE"""),"Dr Ravi Kiran Verma")</f>
        <v>Dr Ravi Kiran Verma</v>
      </c>
      <c r="K593" s="80" t="str">
        <f>IFERROR(__xludf.DUMMYFUNCTION("""COMPUTED_VALUE"""),"https://drive.google.com/open?id=1TTKuv1PMBM3byrFdrOA4RuavOgVPs5_j")</f>
        <v>https://drive.google.com/open?id=1TTKuv1PMBM3byrFdrOA4RuavOgVPs5_j</v>
      </c>
      <c r="L593" s="74" t="str">
        <f>IFERROR(__xludf.DUMMYFUNCTION("""COMPUTED_VALUE"""),"2018-2022")</f>
        <v>2018-2022</v>
      </c>
      <c r="M593" s="74" t="str">
        <f>IFERROR(__xludf.DUMMYFUNCTION("""COMPUTED_VALUE"""),"S4: Student Certifications")</f>
        <v>S4: Student Certifications</v>
      </c>
      <c r="N593" s="74" t="str">
        <f>IFERROR(__xludf.DUMMYFUNCTION("""COMPUTED_VALUE"""),"tadisatishreddy2000@gmail.com")</f>
        <v>tadisatishreddy2000@gmail.com</v>
      </c>
      <c r="O593" s="74" t="str">
        <f>IFERROR(__xludf.DUMMYFUNCTION("""COMPUTED_VALUE"""),"SEM-8")</f>
        <v>SEM-8</v>
      </c>
      <c r="P593" s="74"/>
      <c r="Q593" s="74"/>
      <c r="R593" s="74"/>
      <c r="S593" s="74"/>
      <c r="T593" s="74"/>
      <c r="U593" s="74"/>
      <c r="V593" s="74"/>
      <c r="W593" s="74"/>
      <c r="X593" s="74"/>
      <c r="Y593" s="74"/>
    </row>
    <row r="594" ht="26.25" customHeight="1">
      <c r="A594" s="74" t="str">
        <f>IFERROR(__xludf.DUMMYFUNCTION("""COMPUTED_VALUE"""),"Tadi Satish Reddy")</f>
        <v>Tadi Satish Reddy</v>
      </c>
      <c r="B594" s="74" t="str">
        <f>IFERROR(__xludf.DUMMYFUNCTION("""COMPUTED_VALUE"""),"18331A05F0")</f>
        <v>18331A05F0</v>
      </c>
      <c r="C594" s="90" t="str">
        <f>IFERROR(__xludf.DUMMYFUNCTION("""COMPUTED_VALUE"""),"Linux essentials")</f>
        <v>Linux essentials</v>
      </c>
      <c r="D594" s="74" t="str">
        <f>IFERROR(__xludf.DUMMYFUNCTION("""COMPUTED_VALUE"""),"Cisco")</f>
        <v>Cisco</v>
      </c>
      <c r="E594" s="74" t="str">
        <f>IFERROR(__xludf.DUMMYFUNCTION("""COMPUTED_VALUE"""),"2 months")</f>
        <v>2 months</v>
      </c>
      <c r="F594" s="91">
        <f>IFERROR(__xludf.DUMMYFUNCTION("""COMPUTED_VALUE"""),44440.0)</f>
        <v>44440</v>
      </c>
      <c r="G594" s="91">
        <f>IFERROR(__xludf.DUMMYFUNCTION("""COMPUTED_VALUE"""),44500.0)</f>
        <v>44500</v>
      </c>
      <c r="H594" s="79">
        <f>IFERROR(__xludf.DUMMYFUNCTION("""COMPUTED_VALUE"""),44499.0)</f>
        <v>44499</v>
      </c>
      <c r="I594" s="92">
        <f>IFERROR(__xludf.DUMMYFUNCTION("""COMPUTED_VALUE"""),90.0)</f>
        <v>90</v>
      </c>
      <c r="J594" s="74" t="str">
        <f>IFERROR(__xludf.DUMMYFUNCTION("""COMPUTED_VALUE"""),"Dr Ravi Kiran Verma")</f>
        <v>Dr Ravi Kiran Verma</v>
      </c>
      <c r="K594" s="80" t="str">
        <f>IFERROR(__xludf.DUMMYFUNCTION("""COMPUTED_VALUE"""),"https://drive.google.com/open?id=1yEpNi0SHGl5qQOLJpWfFDSVrtUwOq4Cb")</f>
        <v>https://drive.google.com/open?id=1yEpNi0SHGl5qQOLJpWfFDSVrtUwOq4Cb</v>
      </c>
      <c r="L594" s="74" t="str">
        <f>IFERROR(__xludf.DUMMYFUNCTION("""COMPUTED_VALUE"""),"2018-2022")</f>
        <v>2018-2022</v>
      </c>
      <c r="M594" s="74" t="str">
        <f>IFERROR(__xludf.DUMMYFUNCTION("""COMPUTED_VALUE"""),"S4: Student Certifications")</f>
        <v>S4: Student Certifications</v>
      </c>
      <c r="N594" s="74" t="str">
        <f>IFERROR(__xludf.DUMMYFUNCTION("""COMPUTED_VALUE"""),"tadisatishreddy2000@gmail.com")</f>
        <v>tadisatishreddy2000@gmail.com</v>
      </c>
      <c r="O594" s="74" t="str">
        <f>IFERROR(__xludf.DUMMYFUNCTION("""COMPUTED_VALUE"""),"SEM-8")</f>
        <v>SEM-8</v>
      </c>
      <c r="P594" s="74"/>
      <c r="Q594" s="74"/>
      <c r="R594" s="74"/>
      <c r="S594" s="74"/>
      <c r="T594" s="74"/>
      <c r="U594" s="74"/>
      <c r="V594" s="74"/>
      <c r="W594" s="74"/>
      <c r="X594" s="74"/>
      <c r="Y594" s="74"/>
    </row>
    <row r="595" ht="26.25" customHeight="1">
      <c r="A595" s="74" t="str">
        <f>IFERROR(__xludf.DUMMYFUNCTION("""COMPUTED_VALUE"""),"Tadi Satish Reddy")</f>
        <v>Tadi Satish Reddy</v>
      </c>
      <c r="B595" s="74" t="str">
        <f>IFERROR(__xludf.DUMMYFUNCTION("""COMPUTED_VALUE"""),"18331A05F0")</f>
        <v>18331A05F0</v>
      </c>
      <c r="C595" s="90" t="str">
        <f>IFERROR(__xludf.DUMMYFUNCTION("""COMPUTED_VALUE"""),"Iot")</f>
        <v>Iot</v>
      </c>
      <c r="D595" s="74" t="str">
        <f>IFERROR(__xludf.DUMMYFUNCTION("""COMPUTED_VALUE"""),"Cisco")</f>
        <v>Cisco</v>
      </c>
      <c r="E595" s="74" t="str">
        <f>IFERROR(__xludf.DUMMYFUNCTION("""COMPUTED_VALUE"""),"1 month")</f>
        <v>1 month</v>
      </c>
      <c r="F595" s="91">
        <f>IFERROR(__xludf.DUMMYFUNCTION("""COMPUTED_VALUE"""),44531.0)</f>
        <v>44531</v>
      </c>
      <c r="G595" s="91">
        <f>IFERROR(__xludf.DUMMYFUNCTION("""COMPUTED_VALUE"""),44561.0)</f>
        <v>44561</v>
      </c>
      <c r="H595" s="79">
        <f>IFERROR(__xludf.DUMMYFUNCTION("""COMPUTED_VALUE"""),44560.0)</f>
        <v>44560</v>
      </c>
      <c r="I595" s="92">
        <f>IFERROR(__xludf.DUMMYFUNCTION("""COMPUTED_VALUE"""),90.0)</f>
        <v>90</v>
      </c>
      <c r="J595" s="74" t="str">
        <f>IFERROR(__xludf.DUMMYFUNCTION("""COMPUTED_VALUE"""),"Dr Ravi Kiran Verma")</f>
        <v>Dr Ravi Kiran Verma</v>
      </c>
      <c r="K595" s="80" t="str">
        <f>IFERROR(__xludf.DUMMYFUNCTION("""COMPUTED_VALUE"""),"https://drive.google.com/open?id=1QKPXuKgvVlA0gZbYZnTSSi7gWTbDZr8t")</f>
        <v>https://drive.google.com/open?id=1QKPXuKgvVlA0gZbYZnTSSi7gWTbDZr8t</v>
      </c>
      <c r="L595" s="74" t="str">
        <f>IFERROR(__xludf.DUMMYFUNCTION("""COMPUTED_VALUE"""),"2018-2022")</f>
        <v>2018-2022</v>
      </c>
      <c r="M595" s="74" t="str">
        <f>IFERROR(__xludf.DUMMYFUNCTION("""COMPUTED_VALUE"""),"S4: Student Certifications")</f>
        <v>S4: Student Certifications</v>
      </c>
      <c r="N595" s="74" t="str">
        <f>IFERROR(__xludf.DUMMYFUNCTION("""COMPUTED_VALUE"""),"tadisatishreddy2000@gmail.com")</f>
        <v>tadisatishreddy2000@gmail.com</v>
      </c>
      <c r="O595" s="74" t="str">
        <f>IFERROR(__xludf.DUMMYFUNCTION("""COMPUTED_VALUE"""),"SEM-8")</f>
        <v>SEM-8</v>
      </c>
      <c r="P595" s="74"/>
      <c r="Q595" s="74"/>
      <c r="R595" s="74"/>
      <c r="S595" s="74"/>
      <c r="T595" s="74"/>
      <c r="U595" s="74"/>
      <c r="V595" s="74"/>
      <c r="W595" s="74"/>
      <c r="X595" s="74"/>
      <c r="Y595" s="74"/>
    </row>
    <row r="596" ht="26.25" customHeight="1">
      <c r="A596" s="74" t="str">
        <f>IFERROR(__xludf.DUMMYFUNCTION("""COMPUTED_VALUE"""),"Jaswanth Vajrapu")</f>
        <v>Jaswanth Vajrapu</v>
      </c>
      <c r="B596" s="74" t="str">
        <f>IFERROR(__xludf.DUMMYFUNCTION("""COMPUTED_VALUE"""),"1833A05G5")</f>
        <v>1833A05G5</v>
      </c>
      <c r="C596" s="90" t="str">
        <f>IFERROR(__xludf.DUMMYFUNCTION("""COMPUTED_VALUE"""),"Programming for Everybody (Getting Started with Python)")</f>
        <v>Programming for Everybody (Getting Started with Python)</v>
      </c>
      <c r="D596" s="74" t="str">
        <f>IFERROR(__xludf.DUMMYFUNCTION("""COMPUTED_VALUE"""),"Coursera")</f>
        <v>Coursera</v>
      </c>
      <c r="E596" s="74" t="str">
        <f>IFERROR(__xludf.DUMMYFUNCTION("""COMPUTED_VALUE"""),"4 weeks")</f>
        <v>4 weeks</v>
      </c>
      <c r="F596" s="91">
        <f>IFERROR(__xludf.DUMMYFUNCTION("""COMPUTED_VALUE"""),43925.0)</f>
        <v>43925</v>
      </c>
      <c r="G596" s="91">
        <f>IFERROR(__xludf.DUMMYFUNCTION("""COMPUTED_VALUE"""),43946.0)</f>
        <v>43946</v>
      </c>
      <c r="H596" s="79">
        <f>IFERROR(__xludf.DUMMYFUNCTION("""COMPUTED_VALUE"""),43947.0)</f>
        <v>43947</v>
      </c>
      <c r="I596" s="92"/>
      <c r="J596" s="74" t="str">
        <f>IFERROR(__xludf.DUMMYFUNCTION("""COMPUTED_VALUE"""),"Charles Severance")</f>
        <v>Charles Severance</v>
      </c>
      <c r="K596" s="80" t="str">
        <f>IFERROR(__xludf.DUMMYFUNCTION("""COMPUTED_VALUE"""),"https://drive.google.com/open?id=1Pdt8aypHVSwSzDIWguiP8nWMrEdB33h0")</f>
        <v>https://drive.google.com/open?id=1Pdt8aypHVSwSzDIWguiP8nWMrEdB33h0</v>
      </c>
      <c r="L596" s="74" t="str">
        <f>IFERROR(__xludf.DUMMYFUNCTION("""COMPUTED_VALUE"""),"2018-2022")</f>
        <v>2018-2022</v>
      </c>
      <c r="M596" s="74" t="str">
        <f>IFERROR(__xludf.DUMMYFUNCTION("""COMPUTED_VALUE"""),"S4: Student Certifications")</f>
        <v>S4: Student Certifications</v>
      </c>
      <c r="N596" s="74" t="str">
        <f>IFERROR(__xludf.DUMMYFUNCTION("""COMPUTED_VALUE"""),"jaswanth.vjp13@gmail.com")</f>
        <v>jaswanth.vjp13@gmail.com</v>
      </c>
      <c r="O596" s="74" t="str">
        <f>IFERROR(__xludf.DUMMYFUNCTION("""COMPUTED_VALUE"""),"SEM-4")</f>
        <v>SEM-4</v>
      </c>
      <c r="P596" s="74"/>
      <c r="Q596" s="74"/>
      <c r="R596" s="74"/>
      <c r="S596" s="74"/>
      <c r="T596" s="74"/>
      <c r="U596" s="74"/>
      <c r="V596" s="74"/>
      <c r="W596" s="74"/>
      <c r="X596" s="74"/>
      <c r="Y596" s="74"/>
    </row>
    <row r="597" ht="26.25" customHeight="1">
      <c r="A597" s="78" t="str">
        <f>IFERROR(__xludf.DUMMYFUNCTION("""COMPUTED_VALUE"""),"Jaswanth Vajrapu")</f>
        <v>Jaswanth Vajrapu</v>
      </c>
      <c r="B597" s="78" t="str">
        <f>IFERROR(__xludf.DUMMYFUNCTION("""COMPUTED_VALUE"""),"18331A05G5")</f>
        <v>18331A05G5</v>
      </c>
      <c r="C597" s="93" t="str">
        <f>IFERROR(__xludf.DUMMYFUNCTION("""COMPUTED_VALUE"""),"Management")</f>
        <v>Management</v>
      </c>
      <c r="D597" s="78" t="str">
        <f>IFERROR(__xludf.DUMMYFUNCTION("""COMPUTED_VALUE"""),"Drona")</f>
        <v>Drona</v>
      </c>
      <c r="E597" s="78" t="str">
        <f>IFERROR(__xludf.DUMMYFUNCTION("""COMPUTED_VALUE"""),"1 Day")</f>
        <v>1 Day</v>
      </c>
      <c r="F597" s="94">
        <f>IFERROR(__xludf.DUMMYFUNCTION("""COMPUTED_VALUE"""),43401.0)</f>
        <v>43401</v>
      </c>
      <c r="G597" s="94">
        <f>IFERROR(__xludf.DUMMYFUNCTION("""COMPUTED_VALUE"""),43401.0)</f>
        <v>43401</v>
      </c>
      <c r="H597" s="84">
        <f>IFERROR(__xludf.DUMMYFUNCTION("""COMPUTED_VALUE"""),43401.0)</f>
        <v>43401</v>
      </c>
      <c r="I597" s="95"/>
      <c r="J597" s="78" t="str">
        <f>IFERROR(__xludf.DUMMYFUNCTION("""COMPUTED_VALUE"""),"SIDHARTHAN ")</f>
        <v>SIDHARTHAN </v>
      </c>
      <c r="K597" s="85" t="str">
        <f>IFERROR(__xludf.DUMMYFUNCTION("""COMPUTED_VALUE"""),"https://drive.google.com/open?id=1iabDeur9k6QrEoaHZHRARPLPCSvizNGq")</f>
        <v>https://drive.google.com/open?id=1iabDeur9k6QrEoaHZHRARPLPCSvizNGq</v>
      </c>
      <c r="L597" s="78" t="str">
        <f>IFERROR(__xludf.DUMMYFUNCTION("""COMPUTED_VALUE"""),"2018-2022")</f>
        <v>2018-2022</v>
      </c>
      <c r="M597" s="78" t="str">
        <f>IFERROR(__xludf.DUMMYFUNCTION("""COMPUTED_VALUE"""),"S4: Student Certifications")</f>
        <v>S4: Student Certifications</v>
      </c>
      <c r="N597" s="78" t="str">
        <f>IFERROR(__xludf.DUMMYFUNCTION("""COMPUTED_VALUE"""),"jaswanth.vjp13@gmail.com")</f>
        <v>jaswanth.vjp13@gmail.com</v>
      </c>
      <c r="O597" s="78" t="str">
        <f>IFERROR(__xludf.DUMMYFUNCTION("""COMPUTED_VALUE"""),"SEM-1")</f>
        <v>SEM-1</v>
      </c>
      <c r="P597" s="78"/>
      <c r="Q597" s="78"/>
      <c r="R597" s="78"/>
      <c r="S597" s="78"/>
      <c r="T597" s="78"/>
      <c r="U597" s="78"/>
      <c r="V597" s="78"/>
      <c r="W597" s="78"/>
      <c r="X597" s="78"/>
      <c r="Y597" s="78"/>
    </row>
    <row r="598" ht="26.25" customHeight="1">
      <c r="A598" s="96" t="str">
        <f>IFERROR(__xludf.DUMMYFUNCTION("""COMPUTED_VALUE"""),"N Manikanta Sai Kumar ")</f>
        <v>N Manikanta Sai Kumar </v>
      </c>
      <c r="B598" s="96" t="str">
        <f>IFERROR(__xludf.DUMMYFUNCTION("""COMPUTED_VALUE"""),"20331A05C2")</f>
        <v>20331A05C2</v>
      </c>
      <c r="C598" s="97" t="str">
        <f>IFERROR(__xludf.DUMMYFUNCTION("""COMPUTED_VALUE"""),"Redhat Linux(RH-124)")</f>
        <v>Redhat Linux(RH-124)</v>
      </c>
      <c r="D598" s="96" t="str">
        <f>IFERROR(__xludf.DUMMYFUNCTION("""COMPUTED_VALUE"""),"Redhat System Administration")</f>
        <v>Redhat System Administration</v>
      </c>
      <c r="E598" s="96" t="str">
        <f>IFERROR(__xludf.DUMMYFUNCTION("""COMPUTED_VALUE"""),"2 months ")</f>
        <v>2 months </v>
      </c>
      <c r="F598" s="98">
        <f>IFERROR(__xludf.DUMMYFUNCTION("""COMPUTED_VALUE"""),44494.0)</f>
        <v>44494</v>
      </c>
      <c r="G598" s="98">
        <f>IFERROR(__xludf.DUMMYFUNCTION("""COMPUTED_VALUE"""),44555.0)</f>
        <v>44555</v>
      </c>
      <c r="H598" s="99">
        <f>IFERROR(__xludf.DUMMYFUNCTION("""COMPUTED_VALUE"""),44555.0)</f>
        <v>44555</v>
      </c>
      <c r="I598" s="100">
        <f>IFERROR(__xludf.DUMMYFUNCTION("""COMPUTED_VALUE"""),92.0)</f>
        <v>92</v>
      </c>
      <c r="J598" s="96" t="str">
        <f>IFERROR(__xludf.DUMMYFUNCTION("""COMPUTED_VALUE"""),"K.V.Subbaraju")</f>
        <v>K.V.Subbaraju</v>
      </c>
      <c r="K598" s="101" t="str">
        <f>IFERROR(__xludf.DUMMYFUNCTION("""COMPUTED_VALUE"""),"https://drive.google.com/open?id=1j1w0c2-FZYLuHintyze78-a8_CcCaP0D")</f>
        <v>https://drive.google.com/open?id=1j1w0c2-FZYLuHintyze78-a8_CcCaP0D</v>
      </c>
      <c r="L598" s="96" t="str">
        <f>IFERROR(__xludf.DUMMYFUNCTION("""COMPUTED_VALUE"""),"2020-2024")</f>
        <v>2020-2024</v>
      </c>
      <c r="M598" s="96" t="str">
        <f>IFERROR(__xludf.DUMMYFUNCTION("""COMPUTED_VALUE"""),"S4: Student Certifications")</f>
        <v>S4: Student Certifications</v>
      </c>
      <c r="N598" s="96" t="str">
        <f>IFERROR(__xludf.DUMMYFUNCTION("""COMPUTED_VALUE"""),"manikanta202nmk@gmail.com")</f>
        <v>manikanta202nmk@gmail.com</v>
      </c>
      <c r="O598" s="96" t="str">
        <f>IFERROR(__xludf.DUMMYFUNCTION("""COMPUTED_VALUE"""),"SEM-3")</f>
        <v>SEM-3</v>
      </c>
      <c r="P598" s="96"/>
      <c r="Q598" s="96"/>
      <c r="R598" s="96"/>
      <c r="S598" s="96"/>
      <c r="T598" s="96"/>
      <c r="U598" s="96"/>
      <c r="V598" s="96"/>
      <c r="W598" s="96"/>
      <c r="X598" s="96"/>
      <c r="Y598" s="96"/>
    </row>
    <row r="599" ht="26.25" customHeight="1">
      <c r="A599" s="74" t="str">
        <f>IFERROR(__xludf.DUMMYFUNCTION("""COMPUTED_VALUE"""),"Jaswanth Vajrapu")</f>
        <v>Jaswanth Vajrapu</v>
      </c>
      <c r="B599" s="74" t="str">
        <f>IFERROR(__xludf.DUMMYFUNCTION("""COMPUTED_VALUE"""),"18331A05G5")</f>
        <v>18331A05G5</v>
      </c>
      <c r="C599" s="90" t="str">
        <f>IFERROR(__xludf.DUMMYFUNCTION("""COMPUTED_VALUE"""),"SQL")</f>
        <v>SQL</v>
      </c>
      <c r="D599" s="74" t="str">
        <f>IFERROR(__xludf.DUMMYFUNCTION("""COMPUTED_VALUE"""),"Hacker Rank")</f>
        <v>Hacker Rank</v>
      </c>
      <c r="E599" s="74" t="str">
        <f>IFERROR(__xludf.DUMMYFUNCTION("""COMPUTED_VALUE"""),"3 weeks")</f>
        <v>3 weeks</v>
      </c>
      <c r="F599" s="91">
        <f>IFERROR(__xludf.DUMMYFUNCTION("""COMPUTED_VALUE"""),44290.0)</f>
        <v>44290</v>
      </c>
      <c r="G599" s="91">
        <f>IFERROR(__xludf.DUMMYFUNCTION("""COMPUTED_VALUE"""),44311.0)</f>
        <v>44311</v>
      </c>
      <c r="H599" s="79">
        <f>IFERROR(__xludf.DUMMYFUNCTION("""COMPUTED_VALUE"""),44315.0)</f>
        <v>44315</v>
      </c>
      <c r="I599" s="92"/>
      <c r="J599" s="74" t="str">
        <f>IFERROR(__xludf.DUMMYFUNCTION("""COMPUTED_VALUE"""),"Harishankaran.K")</f>
        <v>Harishankaran.K</v>
      </c>
      <c r="K599" s="80" t="str">
        <f>IFERROR(__xludf.DUMMYFUNCTION("""COMPUTED_VALUE"""),"https://drive.google.com/open?id=15ob4XbwSyJWO_uug8fiShIJkjG616DJV")</f>
        <v>https://drive.google.com/open?id=15ob4XbwSyJWO_uug8fiShIJkjG616DJV</v>
      </c>
      <c r="L599" s="74" t="str">
        <f>IFERROR(__xludf.DUMMYFUNCTION("""COMPUTED_VALUE"""),"2018-2022")</f>
        <v>2018-2022</v>
      </c>
      <c r="M599" s="74" t="str">
        <f>IFERROR(__xludf.DUMMYFUNCTION("""COMPUTED_VALUE"""),"S4: Student Certifications")</f>
        <v>S4: Student Certifications</v>
      </c>
      <c r="N599" s="74" t="str">
        <f>IFERROR(__xludf.DUMMYFUNCTION("""COMPUTED_VALUE"""),"jaswanth.vjp13@gmail.com")</f>
        <v>jaswanth.vjp13@gmail.com</v>
      </c>
      <c r="O599" s="74" t="str">
        <f>IFERROR(__xludf.DUMMYFUNCTION("""COMPUTED_VALUE"""),"SEM-5")</f>
        <v>SEM-5</v>
      </c>
      <c r="P599" s="74"/>
      <c r="Q599" s="74"/>
      <c r="R599" s="74"/>
      <c r="S599" s="74"/>
      <c r="T599" s="74"/>
      <c r="U599" s="74"/>
      <c r="V599" s="74"/>
      <c r="W599" s="74"/>
      <c r="X599" s="74"/>
      <c r="Y599" s="74"/>
    </row>
    <row r="600" ht="26.25" customHeight="1">
      <c r="A600" s="96" t="str">
        <f>IFERROR(__xludf.DUMMYFUNCTION("""COMPUTED_VALUE"""),"N Manikanta Sai Kumar ")</f>
        <v>N Manikanta Sai Kumar </v>
      </c>
      <c r="B600" s="96" t="str">
        <f>IFERROR(__xludf.DUMMYFUNCTION("""COMPUTED_VALUE"""),"20331A05C2")</f>
        <v>20331A05C2</v>
      </c>
      <c r="C600" s="97" t="str">
        <f>IFERROR(__xludf.DUMMYFUNCTION("""COMPUTED_VALUE"""),"Redhat Linux (RH-134)")</f>
        <v>Redhat Linux (RH-134)</v>
      </c>
      <c r="D600" s="96" t="str">
        <f>IFERROR(__xludf.DUMMYFUNCTION("""COMPUTED_VALUE"""),"Redhat System Administration")</f>
        <v>Redhat System Administration</v>
      </c>
      <c r="E600" s="96" t="str">
        <f>IFERROR(__xludf.DUMMYFUNCTION("""COMPUTED_VALUE"""),"2 months ")</f>
        <v>2 months </v>
      </c>
      <c r="F600" s="98">
        <f>IFERROR(__xludf.DUMMYFUNCTION("""COMPUTED_VALUE"""),44494.0)</f>
        <v>44494</v>
      </c>
      <c r="G600" s="98">
        <f>IFERROR(__xludf.DUMMYFUNCTION("""COMPUTED_VALUE"""),44555.0)</f>
        <v>44555</v>
      </c>
      <c r="H600" s="99">
        <f>IFERROR(__xludf.DUMMYFUNCTION("""COMPUTED_VALUE"""),44555.0)</f>
        <v>44555</v>
      </c>
      <c r="I600" s="100">
        <f>IFERROR(__xludf.DUMMYFUNCTION("""COMPUTED_VALUE"""),91.0)</f>
        <v>91</v>
      </c>
      <c r="J600" s="96" t="str">
        <f>IFERROR(__xludf.DUMMYFUNCTION("""COMPUTED_VALUE"""),"K.V.Subbaraju")</f>
        <v>K.V.Subbaraju</v>
      </c>
      <c r="K600" s="101" t="str">
        <f>IFERROR(__xludf.DUMMYFUNCTION("""COMPUTED_VALUE"""),"https://drive.google.com/open?id=1mQBFKyhqohX-jOzI2tnPUxJ-CqO5aJpf")</f>
        <v>https://drive.google.com/open?id=1mQBFKyhqohX-jOzI2tnPUxJ-CqO5aJpf</v>
      </c>
      <c r="L600" s="96" t="str">
        <f>IFERROR(__xludf.DUMMYFUNCTION("""COMPUTED_VALUE"""),"2020-2024")</f>
        <v>2020-2024</v>
      </c>
      <c r="M600" s="96" t="str">
        <f>IFERROR(__xludf.DUMMYFUNCTION("""COMPUTED_VALUE"""),"S4: Student Certifications")</f>
        <v>S4: Student Certifications</v>
      </c>
      <c r="N600" s="96" t="str">
        <f>IFERROR(__xludf.DUMMYFUNCTION("""COMPUTED_VALUE"""),"manikanta202nmk@gmail.com")</f>
        <v>manikanta202nmk@gmail.com</v>
      </c>
      <c r="O600" s="96" t="str">
        <f>IFERROR(__xludf.DUMMYFUNCTION("""COMPUTED_VALUE"""),"SEM-3")</f>
        <v>SEM-3</v>
      </c>
      <c r="P600" s="96"/>
      <c r="Q600" s="96"/>
      <c r="R600" s="96"/>
      <c r="S600" s="96"/>
      <c r="T600" s="96"/>
      <c r="U600" s="96"/>
      <c r="V600" s="96"/>
      <c r="W600" s="96"/>
      <c r="X600" s="96"/>
      <c r="Y600" s="96"/>
    </row>
    <row r="601" ht="26.25" customHeight="1">
      <c r="A601" s="96" t="str">
        <f>IFERROR(__xludf.DUMMYFUNCTION("""COMPUTED_VALUE"""),"N Manikanta Sai Kumar ")</f>
        <v>N Manikanta Sai Kumar </v>
      </c>
      <c r="B601" s="96" t="str">
        <f>IFERROR(__xludf.DUMMYFUNCTION("""COMPUTED_VALUE"""),"20331A05C2")</f>
        <v>20331A05C2</v>
      </c>
      <c r="C601" s="97" t="str">
        <f>IFERROR(__xludf.DUMMYFUNCTION("""COMPUTED_VALUE"""),"NDG Linux Essentials")</f>
        <v>NDG Linux Essentials</v>
      </c>
      <c r="D601" s="96" t="str">
        <f>IFERROR(__xludf.DUMMYFUNCTION("""COMPUTED_VALUE"""),"NDG")</f>
        <v>NDG</v>
      </c>
      <c r="E601" s="96" t="str">
        <f>IFERROR(__xludf.DUMMYFUNCTION("""COMPUTED_VALUE"""),"2 months ")</f>
        <v>2 months </v>
      </c>
      <c r="F601" s="98">
        <f>IFERROR(__xludf.DUMMYFUNCTION("""COMPUTED_VALUE"""),44494.0)</f>
        <v>44494</v>
      </c>
      <c r="G601" s="98">
        <f>IFERROR(__xludf.DUMMYFUNCTION("""COMPUTED_VALUE"""),44555.0)</f>
        <v>44555</v>
      </c>
      <c r="H601" s="99">
        <f>IFERROR(__xludf.DUMMYFUNCTION("""COMPUTED_VALUE"""),44555.0)</f>
        <v>44555</v>
      </c>
      <c r="I601" s="100">
        <f>IFERROR(__xludf.DUMMYFUNCTION("""COMPUTED_VALUE"""),95.0)</f>
        <v>95</v>
      </c>
      <c r="J601" s="96" t="str">
        <f>IFERROR(__xludf.DUMMYFUNCTION("""COMPUTED_VALUE"""),"K V.Subbaraju")</f>
        <v>K V.Subbaraju</v>
      </c>
      <c r="K601" s="101" t="str">
        <f>IFERROR(__xludf.DUMMYFUNCTION("""COMPUTED_VALUE"""),"https://drive.google.com/open?id=1pSs7zzy3eJi0Z95pmNnGfABCvWGgsb_H")</f>
        <v>https://drive.google.com/open?id=1pSs7zzy3eJi0Z95pmNnGfABCvWGgsb_H</v>
      </c>
      <c r="L601" s="96" t="str">
        <f>IFERROR(__xludf.DUMMYFUNCTION("""COMPUTED_VALUE"""),"2020-2024")</f>
        <v>2020-2024</v>
      </c>
      <c r="M601" s="96" t="str">
        <f>IFERROR(__xludf.DUMMYFUNCTION("""COMPUTED_VALUE"""),"S4: Student Certifications")</f>
        <v>S4: Student Certifications</v>
      </c>
      <c r="N601" s="96" t="str">
        <f>IFERROR(__xludf.DUMMYFUNCTION("""COMPUTED_VALUE"""),"manikanta202nmk@gmail.com")</f>
        <v>manikanta202nmk@gmail.com</v>
      </c>
      <c r="O601" s="96" t="str">
        <f>IFERROR(__xludf.DUMMYFUNCTION("""COMPUTED_VALUE"""),"SEM-3")</f>
        <v>SEM-3</v>
      </c>
      <c r="P601" s="96"/>
      <c r="Q601" s="96"/>
      <c r="R601" s="96"/>
      <c r="S601" s="96"/>
      <c r="T601" s="96"/>
      <c r="U601" s="96"/>
      <c r="V601" s="96"/>
      <c r="W601" s="96"/>
      <c r="X601" s="96"/>
      <c r="Y601" s="96"/>
    </row>
    <row r="602" ht="26.25" customHeight="1">
      <c r="A602" s="74" t="str">
        <f>IFERROR(__xludf.DUMMYFUNCTION("""COMPUTED_VALUE"""),"Jaswanth Vajrapu")</f>
        <v>Jaswanth Vajrapu</v>
      </c>
      <c r="B602" s="74" t="str">
        <f>IFERROR(__xludf.DUMMYFUNCTION("""COMPUTED_VALUE"""),"18331A05G5")</f>
        <v>18331A05G5</v>
      </c>
      <c r="C602" s="90" t="str">
        <f>IFERROR(__xludf.DUMMYFUNCTION("""COMPUTED_VALUE"""),"Python")</f>
        <v>Python</v>
      </c>
      <c r="D602" s="74" t="str">
        <f>IFERROR(__xludf.DUMMYFUNCTION("""COMPUTED_VALUE"""),"Hacker Rank")</f>
        <v>Hacker Rank</v>
      </c>
      <c r="E602" s="74" t="str">
        <f>IFERROR(__xludf.DUMMYFUNCTION("""COMPUTED_VALUE"""),"3 Weeks")</f>
        <v>3 Weeks</v>
      </c>
      <c r="F602" s="91">
        <f>IFERROR(__xludf.DUMMYFUNCTION("""COMPUTED_VALUE"""),44296.0)</f>
        <v>44296</v>
      </c>
      <c r="G602" s="91">
        <f>IFERROR(__xludf.DUMMYFUNCTION("""COMPUTED_VALUE"""),44310.0)</f>
        <v>44310</v>
      </c>
      <c r="H602" s="79">
        <f>IFERROR(__xludf.DUMMYFUNCTION("""COMPUTED_VALUE"""),44317.0)</f>
        <v>44317</v>
      </c>
      <c r="I602" s="92"/>
      <c r="J602" s="74" t="str">
        <f>IFERROR(__xludf.DUMMYFUNCTION("""COMPUTED_VALUE"""),"Harishankaran.K")</f>
        <v>Harishankaran.K</v>
      </c>
      <c r="K602" s="80" t="str">
        <f>IFERROR(__xludf.DUMMYFUNCTION("""COMPUTED_VALUE"""),"https://drive.google.com/open?id=1c5Y8DsJ-mMBKjKfPeXEF0JmLY5yb9AvC")</f>
        <v>https://drive.google.com/open?id=1c5Y8DsJ-mMBKjKfPeXEF0JmLY5yb9AvC</v>
      </c>
      <c r="L602" s="74" t="str">
        <f>IFERROR(__xludf.DUMMYFUNCTION("""COMPUTED_VALUE"""),"2018-2022")</f>
        <v>2018-2022</v>
      </c>
      <c r="M602" s="74" t="str">
        <f>IFERROR(__xludf.DUMMYFUNCTION("""COMPUTED_VALUE"""),"S4: Student Certifications")</f>
        <v>S4: Student Certifications</v>
      </c>
      <c r="N602" s="74" t="str">
        <f>IFERROR(__xludf.DUMMYFUNCTION("""COMPUTED_VALUE"""),"jaswanth.vjp13@gmail.com")</f>
        <v>jaswanth.vjp13@gmail.com</v>
      </c>
      <c r="O602" s="74" t="str">
        <f>IFERROR(__xludf.DUMMYFUNCTION("""COMPUTED_VALUE"""),"SEM-5")</f>
        <v>SEM-5</v>
      </c>
      <c r="P602" s="74"/>
      <c r="Q602" s="74"/>
      <c r="R602" s="74"/>
      <c r="S602" s="74"/>
      <c r="T602" s="74"/>
      <c r="U602" s="74"/>
      <c r="V602" s="74"/>
      <c r="W602" s="74"/>
      <c r="X602" s="74"/>
      <c r="Y602" s="74"/>
    </row>
    <row r="603" ht="26.25" customHeight="1">
      <c r="A603" s="96" t="str">
        <f>IFERROR(__xludf.DUMMYFUNCTION("""COMPUTED_VALUE"""),"Siripurapu Sandhya")</f>
        <v>Siripurapu Sandhya</v>
      </c>
      <c r="B603" s="96" t="str">
        <f>IFERROR(__xludf.DUMMYFUNCTION("""COMPUTED_VALUE"""),"19331A05F9 ")</f>
        <v>19331A05F9 </v>
      </c>
      <c r="C603" s="97" t="str">
        <f>IFERROR(__xludf.DUMMYFUNCTION("""COMPUTED_VALUE"""),"RPA")</f>
        <v>RPA</v>
      </c>
      <c r="D603" s="96" t="str">
        <f>IFERROR(__xludf.DUMMYFUNCTION("""COMPUTED_VALUE"""),"MVGR college Of engineering ")</f>
        <v>MVGR college Of engineering </v>
      </c>
      <c r="E603" s="96" t="str">
        <f>IFERROR(__xludf.DUMMYFUNCTION("""COMPUTED_VALUE"""),"2 months")</f>
        <v>2 months</v>
      </c>
      <c r="F603" s="98">
        <f>IFERROR(__xludf.DUMMYFUNCTION("""COMPUTED_VALUE"""),44480.0)</f>
        <v>44480</v>
      </c>
      <c r="G603" s="98">
        <f>IFERROR(__xludf.DUMMYFUNCTION("""COMPUTED_VALUE"""),44541.0)</f>
        <v>44541</v>
      </c>
      <c r="H603" s="99">
        <f>IFERROR(__xludf.DUMMYFUNCTION("""COMPUTED_VALUE"""),44541.0)</f>
        <v>44541</v>
      </c>
      <c r="I603" s="100"/>
      <c r="J603" s="96" t="str">
        <f>IFERROR(__xludf.DUMMYFUNCTION("""COMPUTED_VALUE"""),"Mr.P.Ram Santosh Naidu")</f>
        <v>Mr.P.Ram Santosh Naidu</v>
      </c>
      <c r="K603" s="101" t="str">
        <f>IFERROR(__xludf.DUMMYFUNCTION("""COMPUTED_VALUE"""),"https://drive.google.com/open?id=1wJBg05qypWnDdgAhRK0R2uvkoJeon6rR")</f>
        <v>https://drive.google.com/open?id=1wJBg05qypWnDdgAhRK0R2uvkoJeon6rR</v>
      </c>
      <c r="L603" s="96" t="str">
        <f>IFERROR(__xludf.DUMMYFUNCTION("""COMPUTED_VALUE"""),"2019-2023")</f>
        <v>2019-2023</v>
      </c>
      <c r="M603" s="96" t="str">
        <f>IFERROR(__xludf.DUMMYFUNCTION("""COMPUTED_VALUE"""),"S4: Student Certifications")</f>
        <v>S4: Student Certifications</v>
      </c>
      <c r="N603" s="96" t="str">
        <f>IFERROR(__xludf.DUMMYFUNCTION("""COMPUTED_VALUE"""),"siripurapusandhya15@gmail.com")</f>
        <v>siripurapusandhya15@gmail.com</v>
      </c>
      <c r="O603" s="96" t="str">
        <f>IFERROR(__xludf.DUMMYFUNCTION("""COMPUTED_VALUE"""),"SEM-6")</f>
        <v>SEM-6</v>
      </c>
      <c r="P603" s="96"/>
      <c r="Q603" s="96"/>
      <c r="R603" s="96"/>
      <c r="S603" s="96"/>
      <c r="T603" s="96"/>
      <c r="U603" s="96"/>
      <c r="V603" s="96"/>
      <c r="W603" s="96"/>
      <c r="X603" s="96"/>
      <c r="Y603" s="96"/>
    </row>
    <row r="604" ht="26.25" customHeight="1">
      <c r="A604" s="78" t="str">
        <f>IFERROR(__xludf.DUMMYFUNCTION("""COMPUTED_VALUE"""),"Jaswanth Vajrapu")</f>
        <v>Jaswanth Vajrapu</v>
      </c>
      <c r="B604" s="78" t="str">
        <f>IFERROR(__xludf.DUMMYFUNCTION("""COMPUTED_VALUE"""),"18331A05G5")</f>
        <v>18331A05G5</v>
      </c>
      <c r="C604" s="93" t="str">
        <f>IFERROR(__xludf.DUMMYFUNCTION("""COMPUTED_VALUE"""),"AWS Cloud ")</f>
        <v>AWS Cloud </v>
      </c>
      <c r="D604" s="78" t="str">
        <f>IFERROR(__xludf.DUMMYFUNCTION("""COMPUTED_VALUE"""),"AWS Academy")</f>
        <v>AWS Academy</v>
      </c>
      <c r="E604" s="78" t="str">
        <f>IFERROR(__xludf.DUMMYFUNCTION("""COMPUTED_VALUE"""),"1 moth")</f>
        <v>1 moth</v>
      </c>
      <c r="F604" s="94">
        <f>IFERROR(__xludf.DUMMYFUNCTION("""COMPUTED_VALUE"""),44484.0)</f>
        <v>44484</v>
      </c>
      <c r="G604" s="94">
        <f>IFERROR(__xludf.DUMMYFUNCTION("""COMPUTED_VALUE"""),44545.0)</f>
        <v>44545</v>
      </c>
      <c r="H604" s="84">
        <f>IFERROR(__xludf.DUMMYFUNCTION("""COMPUTED_VALUE"""),44550.0)</f>
        <v>44550</v>
      </c>
      <c r="I604" s="95"/>
      <c r="J604" s="78" t="str">
        <f>IFERROR(__xludf.DUMMYFUNCTION("""COMPUTED_VALUE"""),"P.Ravi Kiran Vara")</f>
        <v>P.Ravi Kiran Vara</v>
      </c>
      <c r="K604" s="85" t="str">
        <f>IFERROR(__xludf.DUMMYFUNCTION("""COMPUTED_VALUE"""),"https://drive.google.com/open?id=1ph83XLvX3vGd4A97E5ij08uGHbidKf49")</f>
        <v>https://drive.google.com/open?id=1ph83XLvX3vGd4A97E5ij08uGHbidKf49</v>
      </c>
      <c r="L604" s="78" t="str">
        <f>IFERROR(__xludf.DUMMYFUNCTION("""COMPUTED_VALUE"""),"2018-2022")</f>
        <v>2018-2022</v>
      </c>
      <c r="M604" s="78" t="str">
        <f>IFERROR(__xludf.DUMMYFUNCTION("""COMPUTED_VALUE"""),"S4: Student Certifications")</f>
        <v>S4: Student Certifications</v>
      </c>
      <c r="N604" s="78" t="str">
        <f>IFERROR(__xludf.DUMMYFUNCTION("""COMPUTED_VALUE"""),"jaswanth.vjp13@gmail.com")</f>
        <v>jaswanth.vjp13@gmail.com</v>
      </c>
      <c r="O604" s="78" t="str">
        <f>IFERROR(__xludf.DUMMYFUNCTION("""COMPUTED_VALUE"""),"SEM-7")</f>
        <v>SEM-7</v>
      </c>
      <c r="P604" s="78"/>
      <c r="Q604" s="78"/>
      <c r="R604" s="78"/>
      <c r="S604" s="78"/>
      <c r="T604" s="78"/>
      <c r="U604" s="78"/>
      <c r="V604" s="78"/>
      <c r="W604" s="78"/>
      <c r="X604" s="78"/>
      <c r="Y604" s="78"/>
    </row>
    <row r="605" ht="26.25" customHeight="1">
      <c r="A605" s="74" t="str">
        <f>IFERROR(__xludf.DUMMYFUNCTION("""COMPUTED_VALUE"""),"Jaswanth Vajrapu")</f>
        <v>Jaswanth Vajrapu</v>
      </c>
      <c r="B605" s="74" t="str">
        <f>IFERROR(__xludf.DUMMYFUNCTION("""COMPUTED_VALUE"""),"1833A05G5")</f>
        <v>1833A05G5</v>
      </c>
      <c r="C605" s="90" t="str">
        <f>IFERROR(__xludf.DUMMYFUNCTION("""COMPUTED_VALUE"""),"Successful Presentation")</f>
        <v>Successful Presentation</v>
      </c>
      <c r="D605" s="74" t="str">
        <f>IFERROR(__xludf.DUMMYFUNCTION("""COMPUTED_VALUE"""),"Coursera")</f>
        <v>Coursera</v>
      </c>
      <c r="E605" s="74" t="str">
        <f>IFERROR(__xludf.DUMMYFUNCTION("""COMPUTED_VALUE"""),"3 weeks")</f>
        <v>3 weeks</v>
      </c>
      <c r="F605" s="91">
        <f>IFERROR(__xludf.DUMMYFUNCTION("""COMPUTED_VALUE"""),44612.0)</f>
        <v>44612</v>
      </c>
      <c r="G605" s="91">
        <f>IFERROR(__xludf.DUMMYFUNCTION("""COMPUTED_VALUE"""),44655.0)</f>
        <v>44655</v>
      </c>
      <c r="H605" s="79">
        <f>IFERROR(__xludf.DUMMYFUNCTION("""COMPUTED_VALUE"""),44661.0)</f>
        <v>44661</v>
      </c>
      <c r="I605" s="92"/>
      <c r="J605" s="74" t="str">
        <f>IFERROR(__xludf.DUMMYFUNCTION("""COMPUTED_VALUE"""),"William Kuskin")</f>
        <v>William Kuskin</v>
      </c>
      <c r="K605" s="80" t="str">
        <f>IFERROR(__xludf.DUMMYFUNCTION("""COMPUTED_VALUE"""),"https://drive.google.com/open?id=1FnC69aIhT2LBAjYSJwvd29MN09KMBmLd")</f>
        <v>https://drive.google.com/open?id=1FnC69aIhT2LBAjYSJwvd29MN09KMBmLd</v>
      </c>
      <c r="L605" s="74" t="str">
        <f>IFERROR(__xludf.DUMMYFUNCTION("""COMPUTED_VALUE"""),"2018-2022")</f>
        <v>2018-2022</v>
      </c>
      <c r="M605" s="74" t="str">
        <f>IFERROR(__xludf.DUMMYFUNCTION("""COMPUTED_VALUE"""),"S4: Student Certifications")</f>
        <v>S4: Student Certifications</v>
      </c>
      <c r="N605" s="74" t="str">
        <f>IFERROR(__xludf.DUMMYFUNCTION("""COMPUTED_VALUE"""),"jaswanth.vjp13@gmail.com")</f>
        <v>jaswanth.vjp13@gmail.com</v>
      </c>
      <c r="O605" s="74" t="str">
        <f>IFERROR(__xludf.DUMMYFUNCTION("""COMPUTED_VALUE"""),"SEM-7")</f>
        <v>SEM-7</v>
      </c>
      <c r="P605" s="74"/>
      <c r="Q605" s="74"/>
      <c r="R605" s="74"/>
      <c r="S605" s="74"/>
      <c r="T605" s="74"/>
      <c r="U605" s="74"/>
      <c r="V605" s="74"/>
      <c r="W605" s="74"/>
      <c r="X605" s="74"/>
      <c r="Y605" s="74"/>
    </row>
    <row r="606" ht="26.25" customHeight="1">
      <c r="A606" s="74" t="str">
        <f>IFERROR(__xludf.DUMMYFUNCTION("""COMPUTED_VALUE"""),"Varada Naga praneetha")</f>
        <v>Varada Naga praneetha</v>
      </c>
      <c r="B606" s="74" t="str">
        <f>IFERROR(__xludf.DUMMYFUNCTION("""COMPUTED_VALUE"""),"19331A05I1 ")</f>
        <v>19331A05I1 </v>
      </c>
      <c r="C606" s="90" t="str">
        <f>IFERROR(__xludf.DUMMYFUNCTION("""COMPUTED_VALUE"""),"PCAP")</f>
        <v>PCAP</v>
      </c>
      <c r="D606" s="74" t="str">
        <f>IFERROR(__xludf.DUMMYFUNCTION("""COMPUTED_VALUE"""),"CISCO ")</f>
        <v>CISCO </v>
      </c>
      <c r="E606" s="74" t="str">
        <f>IFERROR(__xludf.DUMMYFUNCTION("""COMPUTED_VALUE"""),"1 month")</f>
        <v>1 month</v>
      </c>
      <c r="F606" s="91">
        <f>IFERROR(__xludf.DUMMYFUNCTION("""COMPUTED_VALUE"""),44294.0)</f>
        <v>44294</v>
      </c>
      <c r="G606" s="91">
        <f>IFERROR(__xludf.DUMMYFUNCTION("""COMPUTED_VALUE"""),44322.0)</f>
        <v>44322</v>
      </c>
      <c r="H606" s="79">
        <f>IFERROR(__xludf.DUMMYFUNCTION("""COMPUTED_VALUE"""),44321.0)</f>
        <v>44321</v>
      </c>
      <c r="I606" s="92"/>
      <c r="J606" s="74" t="str">
        <f>IFERROR(__xludf.DUMMYFUNCTION("""COMPUTED_VALUE""")," DR.Ravi kiran varma")</f>
        <v> DR.Ravi kiran varma</v>
      </c>
      <c r="K606" s="80" t="str">
        <f>IFERROR(__xludf.DUMMYFUNCTION("""COMPUTED_VALUE"""),"https://drive.google.com/open?id=1u5W3xc7M36C7uqNkrMs988SSF17BWLHi")</f>
        <v>https://drive.google.com/open?id=1u5W3xc7M36C7uqNkrMs988SSF17BWLHi</v>
      </c>
      <c r="L606" s="74" t="str">
        <f>IFERROR(__xludf.DUMMYFUNCTION("""COMPUTED_VALUE"""),"2019-2023")</f>
        <v>2019-2023</v>
      </c>
      <c r="M606" s="74" t="str">
        <f>IFERROR(__xludf.DUMMYFUNCTION("""COMPUTED_VALUE"""),"S4: Student Certifications")</f>
        <v>S4: Student Certifications</v>
      </c>
      <c r="N606" s="74" t="str">
        <f>IFERROR(__xludf.DUMMYFUNCTION("""COMPUTED_VALUE"""),"praneetha.varada@gmail.com")</f>
        <v>praneetha.varada@gmail.com</v>
      </c>
      <c r="O606" s="74" t="str">
        <f>IFERROR(__xludf.DUMMYFUNCTION("""COMPUTED_VALUE"""),"SEM-6")</f>
        <v>SEM-6</v>
      </c>
      <c r="P606" s="74"/>
      <c r="Q606" s="74"/>
      <c r="R606" s="74"/>
      <c r="S606" s="74"/>
      <c r="T606" s="74"/>
      <c r="U606" s="74"/>
      <c r="V606" s="74"/>
      <c r="W606" s="74"/>
      <c r="X606" s="74"/>
      <c r="Y606" s="74"/>
    </row>
    <row r="607" ht="26.25" customHeight="1">
      <c r="A607" s="74" t="str">
        <f>IFERROR(__xludf.DUMMYFUNCTION("""COMPUTED_VALUE"""),"Varada Naga praneetha")</f>
        <v>Varada Naga praneetha</v>
      </c>
      <c r="B607" s="74" t="str">
        <f>IFERROR(__xludf.DUMMYFUNCTION("""COMPUTED_VALUE"""),"19331A05I1 ")</f>
        <v>19331A05I1 </v>
      </c>
      <c r="C607" s="90" t="str">
        <f>IFERROR(__xludf.DUMMYFUNCTION("""COMPUTED_VALUE"""),"CCNAv7 : Introduction to networks ")</f>
        <v>CCNAv7 : Introduction to networks </v>
      </c>
      <c r="D607" s="74" t="str">
        <f>IFERROR(__xludf.DUMMYFUNCTION("""COMPUTED_VALUE"""),"CISCO")</f>
        <v>CISCO</v>
      </c>
      <c r="E607" s="74" t="str">
        <f>IFERROR(__xludf.DUMMYFUNCTION("""COMPUTED_VALUE"""),"5 months")</f>
        <v>5 months</v>
      </c>
      <c r="F607" s="91">
        <f>IFERROR(__xludf.DUMMYFUNCTION("""COMPUTED_VALUE"""),44539.0)</f>
        <v>44539</v>
      </c>
      <c r="G607" s="91">
        <f>IFERROR(__xludf.DUMMYFUNCTION("""COMPUTED_VALUE"""),44372.0)</f>
        <v>44372</v>
      </c>
      <c r="H607" s="79">
        <f>IFERROR(__xludf.DUMMYFUNCTION("""COMPUTED_VALUE"""),44370.0)</f>
        <v>44370</v>
      </c>
      <c r="I607" s="92"/>
      <c r="J607" s="74" t="str">
        <f>IFERROR(__xludf.DUMMYFUNCTION("""COMPUTED_VALUE"""),"Dr. ravi kiran varma")</f>
        <v>Dr. ravi kiran varma</v>
      </c>
      <c r="K607" s="80" t="str">
        <f>IFERROR(__xludf.DUMMYFUNCTION("""COMPUTED_VALUE"""),"https://drive.google.com/open?id=1sLv63GFElaZzg0tPVD_8qw9BRyVWvQLV")</f>
        <v>https://drive.google.com/open?id=1sLv63GFElaZzg0tPVD_8qw9BRyVWvQLV</v>
      </c>
      <c r="L607" s="74" t="str">
        <f>IFERROR(__xludf.DUMMYFUNCTION("""COMPUTED_VALUE"""),"2019-2023")</f>
        <v>2019-2023</v>
      </c>
      <c r="M607" s="74" t="str">
        <f>IFERROR(__xludf.DUMMYFUNCTION("""COMPUTED_VALUE"""),"S4: Student Certifications")</f>
        <v>S4: Student Certifications</v>
      </c>
      <c r="N607" s="74" t="str">
        <f>IFERROR(__xludf.DUMMYFUNCTION("""COMPUTED_VALUE"""),"praneetha.varada@gmail.com")</f>
        <v>praneetha.varada@gmail.com</v>
      </c>
      <c r="O607" s="74" t="str">
        <f>IFERROR(__xludf.DUMMYFUNCTION("""COMPUTED_VALUE"""),"SEM-6")</f>
        <v>SEM-6</v>
      </c>
      <c r="P607" s="74"/>
      <c r="Q607" s="74"/>
      <c r="R607" s="74"/>
      <c r="S607" s="74"/>
      <c r="T607" s="74"/>
      <c r="U607" s="74"/>
      <c r="V607" s="74"/>
      <c r="W607" s="74"/>
      <c r="X607" s="74"/>
      <c r="Y607" s="74"/>
    </row>
    <row r="608" ht="26.25" customHeight="1">
      <c r="A608" s="74" t="str">
        <f>IFERROR(__xludf.DUMMYFUNCTION("""COMPUTED_VALUE"""),"Varada Naga praneetha")</f>
        <v>Varada Naga praneetha</v>
      </c>
      <c r="B608" s="74" t="str">
        <f>IFERROR(__xludf.DUMMYFUNCTION("""COMPUTED_VALUE"""),"19331A05I1 ")</f>
        <v>19331A05I1 </v>
      </c>
      <c r="C608" s="90" t="str">
        <f>IFERROR(__xludf.DUMMYFUNCTION("""COMPUTED_VALUE"""),"CCNAv7 : SRWE")</f>
        <v>CCNAv7 : SRWE</v>
      </c>
      <c r="D608" s="74" t="str">
        <f>IFERROR(__xludf.DUMMYFUNCTION("""COMPUTED_VALUE"""),"CISCO")</f>
        <v>CISCO</v>
      </c>
      <c r="E608" s="74" t="str">
        <f>IFERROR(__xludf.DUMMYFUNCTION("""COMPUTED_VALUE"""),"5 months")</f>
        <v>5 months</v>
      </c>
      <c r="F608" s="91">
        <f>IFERROR(__xludf.DUMMYFUNCTION("""COMPUTED_VALUE"""),44443.0)</f>
        <v>44443</v>
      </c>
      <c r="G608" s="91">
        <f>IFERROR(__xludf.DUMMYFUNCTION("""COMPUTED_VALUE"""),44604.0)</f>
        <v>44604</v>
      </c>
      <c r="H608" s="79">
        <f>IFERROR(__xludf.DUMMYFUNCTION("""COMPUTED_VALUE"""),44601.0)</f>
        <v>44601</v>
      </c>
      <c r="I608" s="92"/>
      <c r="J608" s="74" t="str">
        <f>IFERROR(__xludf.DUMMYFUNCTION("""COMPUTED_VALUE"""),"Dr. Ravi kiran varma")</f>
        <v>Dr. Ravi kiran varma</v>
      </c>
      <c r="K608" s="80" t="str">
        <f>IFERROR(__xludf.DUMMYFUNCTION("""COMPUTED_VALUE"""),"https://drive.google.com/open?id=1syo7UaH687D-JpxJyPvut1j1pK3BMbje")</f>
        <v>https://drive.google.com/open?id=1syo7UaH687D-JpxJyPvut1j1pK3BMbje</v>
      </c>
      <c r="L608" s="74" t="str">
        <f>IFERROR(__xludf.DUMMYFUNCTION("""COMPUTED_VALUE"""),"2019-2023")</f>
        <v>2019-2023</v>
      </c>
      <c r="M608" s="74" t="str">
        <f>IFERROR(__xludf.DUMMYFUNCTION("""COMPUTED_VALUE"""),"S4: Student Certifications")</f>
        <v>S4: Student Certifications</v>
      </c>
      <c r="N608" s="74" t="str">
        <f>IFERROR(__xludf.DUMMYFUNCTION("""COMPUTED_VALUE"""),"praneetha.varada@gmail.com")</f>
        <v>praneetha.varada@gmail.com</v>
      </c>
      <c r="O608" s="74" t="str">
        <f>IFERROR(__xludf.DUMMYFUNCTION("""COMPUTED_VALUE"""),"SEM-6")</f>
        <v>SEM-6</v>
      </c>
      <c r="P608" s="74"/>
      <c r="Q608" s="74"/>
      <c r="R608" s="74"/>
      <c r="S608" s="74"/>
      <c r="T608" s="74"/>
      <c r="U608" s="74"/>
      <c r="V608" s="74"/>
      <c r="W608" s="74"/>
      <c r="X608" s="74"/>
      <c r="Y608" s="74"/>
    </row>
    <row r="609" ht="26.25" customHeight="1">
      <c r="A609" s="74" t="str">
        <f>IFERROR(__xludf.DUMMYFUNCTION("""COMPUTED_VALUE"""),"CAROLINE CHRISTY THANDU")</f>
        <v>CAROLINE CHRISTY THANDU</v>
      </c>
      <c r="B609" s="74" t="str">
        <f>IFERROR(__xludf.DUMMYFUNCTION("""COMPUTED_VALUE"""),"18331A05F4")</f>
        <v>18331A05F4</v>
      </c>
      <c r="C609" s="90" t="str">
        <f>IFERROR(__xludf.DUMMYFUNCTION("""COMPUTED_VALUE"""),"PROGRAMMING ESSENTIALS IN PYTHON")</f>
        <v>PROGRAMMING ESSENTIALS IN PYTHON</v>
      </c>
      <c r="D609" s="74" t="str">
        <f>IFERROR(__xludf.DUMMYFUNCTION("""COMPUTED_VALUE"""),"CISCO ")</f>
        <v>CISCO </v>
      </c>
      <c r="E609" s="74" t="str">
        <f>IFERROR(__xludf.DUMMYFUNCTION("""COMPUTED_VALUE"""),"2 MONTHS")</f>
        <v>2 MONTHS</v>
      </c>
      <c r="F609" s="91">
        <f>IFERROR(__xludf.DUMMYFUNCTION("""COMPUTED_VALUE"""),44323.0)</f>
        <v>44323</v>
      </c>
      <c r="G609" s="91">
        <f>IFERROR(__xludf.DUMMYFUNCTION("""COMPUTED_VALUE"""),44376.0)</f>
        <v>44376</v>
      </c>
      <c r="H609" s="79">
        <f>IFERROR(__xludf.DUMMYFUNCTION("""COMPUTED_VALUE"""),44379.0)</f>
        <v>44379</v>
      </c>
      <c r="I609" s="92">
        <f>IFERROR(__xludf.DUMMYFUNCTION("""COMPUTED_VALUE"""),100.0)</f>
        <v>100</v>
      </c>
      <c r="J609" s="74" t="str">
        <f>IFERROR(__xludf.DUMMYFUNCTION("""COMPUTED_VALUE"""),"SUBBA RAJU K V")</f>
        <v>SUBBA RAJU K V</v>
      </c>
      <c r="K609" s="80" t="str">
        <f>IFERROR(__xludf.DUMMYFUNCTION("""COMPUTED_VALUE"""),"https://drive.google.com/open?id=1bEEb_67tfTUMaadwqxyH1kLGgXu06L-o")</f>
        <v>https://drive.google.com/open?id=1bEEb_67tfTUMaadwqxyH1kLGgXu06L-o</v>
      </c>
      <c r="L609" s="74" t="str">
        <f>IFERROR(__xludf.DUMMYFUNCTION("""COMPUTED_VALUE"""),"2018-2022")</f>
        <v>2018-2022</v>
      </c>
      <c r="M609" s="74" t="str">
        <f>IFERROR(__xludf.DUMMYFUNCTION("""COMPUTED_VALUE"""),"S4: Student Certifications")</f>
        <v>S4: Student Certifications</v>
      </c>
      <c r="N609" s="74" t="str">
        <f>IFERROR(__xludf.DUMMYFUNCTION("""COMPUTED_VALUE"""),"thanducarolinechristy@gmail.com")</f>
        <v>thanducarolinechristy@gmail.com</v>
      </c>
      <c r="O609" s="74" t="str">
        <f>IFERROR(__xludf.DUMMYFUNCTION("""COMPUTED_VALUE"""),"SEM-3")</f>
        <v>SEM-3</v>
      </c>
      <c r="P609" s="74"/>
      <c r="Q609" s="74"/>
      <c r="R609" s="74"/>
      <c r="S609" s="74"/>
      <c r="T609" s="74"/>
      <c r="U609" s="74"/>
      <c r="V609" s="74"/>
      <c r="W609" s="74"/>
      <c r="X609" s="74"/>
      <c r="Y609" s="74"/>
    </row>
    <row r="610" ht="26.25" customHeight="1">
      <c r="A610" s="74" t="str">
        <f>IFERROR(__xludf.DUMMYFUNCTION("""COMPUTED_VALUE"""),"THANDU CAROLINE CHRISTY")</f>
        <v>THANDU CAROLINE CHRISTY</v>
      </c>
      <c r="B610" s="74" t="str">
        <f>IFERROR(__xludf.DUMMYFUNCTION("""COMPUTED_VALUE"""),"18331A05F4")</f>
        <v>18331A05F4</v>
      </c>
      <c r="C610" s="90" t="str">
        <f>IFERROR(__xludf.DUMMYFUNCTION("""COMPUTED_VALUE"""),"CLA: Programming essentials with c")</f>
        <v>CLA: Programming essentials with c</v>
      </c>
      <c r="D610" s="74" t="str">
        <f>IFERROR(__xludf.DUMMYFUNCTION("""COMPUTED_VALUE"""),"CISCO")</f>
        <v>CISCO</v>
      </c>
      <c r="E610" s="74" t="str">
        <f>IFERROR(__xludf.DUMMYFUNCTION("""COMPUTED_VALUE"""),"4 MONTHS")</f>
        <v>4 MONTHS</v>
      </c>
      <c r="F610" s="91">
        <f>IFERROR(__xludf.DUMMYFUNCTION("""COMPUTED_VALUE"""),43647.0)</f>
        <v>43647</v>
      </c>
      <c r="G610" s="91">
        <f>IFERROR(__xludf.DUMMYFUNCTION("""COMPUTED_VALUE"""),43681.0)</f>
        <v>43681</v>
      </c>
      <c r="H610" s="79">
        <f>IFERROR(__xludf.DUMMYFUNCTION("""COMPUTED_VALUE"""),43803.0)</f>
        <v>43803</v>
      </c>
      <c r="I610" s="92">
        <f>IFERROR(__xludf.DUMMYFUNCTION("""COMPUTED_VALUE"""),0.84)</f>
        <v>0.84</v>
      </c>
      <c r="J610" s="74" t="str">
        <f>IFERROR(__xludf.DUMMYFUNCTION("""COMPUTED_VALUE"""),"DR. P. RAVI KIRAN VARMA")</f>
        <v>DR. P. RAVI KIRAN VARMA</v>
      </c>
      <c r="K610" s="80" t="str">
        <f>IFERROR(__xludf.DUMMYFUNCTION("""COMPUTED_VALUE"""),"https://drive.google.com/open?id=1eC1pDXpm6Na2Yw9X6EHoZDI1_VQx9eSV")</f>
        <v>https://drive.google.com/open?id=1eC1pDXpm6Na2Yw9X6EHoZDI1_VQx9eSV</v>
      </c>
      <c r="L610" s="74" t="str">
        <f>IFERROR(__xludf.DUMMYFUNCTION("""COMPUTED_VALUE"""),"2018-2022")</f>
        <v>2018-2022</v>
      </c>
      <c r="M610" s="74" t="str">
        <f>IFERROR(__xludf.DUMMYFUNCTION("""COMPUTED_VALUE"""),"S4: Student Certifications")</f>
        <v>S4: Student Certifications</v>
      </c>
      <c r="N610" s="74" t="str">
        <f>IFERROR(__xludf.DUMMYFUNCTION("""COMPUTED_VALUE"""),"thanducarolinechristy@gmail.com")</f>
        <v>thanducarolinechristy@gmail.com</v>
      </c>
      <c r="O610" s="74" t="str">
        <f>IFERROR(__xludf.DUMMYFUNCTION("""COMPUTED_VALUE"""),"SEM-1")</f>
        <v>SEM-1</v>
      </c>
      <c r="P610" s="74"/>
      <c r="Q610" s="74"/>
      <c r="R610" s="74"/>
      <c r="S610" s="74"/>
      <c r="T610" s="74"/>
      <c r="U610" s="74"/>
      <c r="V610" s="74"/>
      <c r="W610" s="74"/>
      <c r="X610" s="74"/>
      <c r="Y610" s="74"/>
    </row>
    <row r="611" ht="26.25" customHeight="1">
      <c r="A611" s="74" t="str">
        <f>IFERROR(__xludf.DUMMYFUNCTION("""COMPUTED_VALUE"""),"CAROLINE CHRISTY THANDU")</f>
        <v>CAROLINE CHRISTY THANDU</v>
      </c>
      <c r="B611" s="74" t="str">
        <f>IFERROR(__xludf.DUMMYFUNCTION("""COMPUTED_VALUE"""),"18331A05F4")</f>
        <v>18331A05F4</v>
      </c>
      <c r="C611" s="90" t="str">
        <f>IFERROR(__xludf.DUMMYFUNCTION("""COMPUTED_VALUE"""),"CYBERSECURITY ESSENTIALS")</f>
        <v>CYBERSECURITY ESSENTIALS</v>
      </c>
      <c r="D611" s="74" t="str">
        <f>IFERROR(__xludf.DUMMYFUNCTION("""COMPUTED_VALUE"""),"CISCO")</f>
        <v>CISCO</v>
      </c>
      <c r="E611" s="74" t="str">
        <f>IFERROR(__xludf.DUMMYFUNCTION("""COMPUTED_VALUE"""),"90 DAYS")</f>
        <v>90 DAYS</v>
      </c>
      <c r="F611" s="91">
        <f>IFERROR(__xludf.DUMMYFUNCTION("""COMPUTED_VALUE"""),43525.0)</f>
        <v>43525</v>
      </c>
      <c r="G611" s="91">
        <f>IFERROR(__xludf.DUMMYFUNCTION("""COMPUTED_VALUE"""),43646.0)</f>
        <v>43646</v>
      </c>
      <c r="H611" s="79">
        <f>IFERROR(__xludf.DUMMYFUNCTION("""COMPUTED_VALUE"""),43675.0)</f>
        <v>43675</v>
      </c>
      <c r="I611" s="92">
        <f>IFERROR(__xludf.DUMMYFUNCTION("""COMPUTED_VALUE"""),1.0)</f>
        <v>1</v>
      </c>
      <c r="J611" s="74" t="str">
        <f>IFERROR(__xludf.DUMMYFUNCTION("""COMPUTED_VALUE"""),"DR. P. RAVI KIRAN VARMA")</f>
        <v>DR. P. RAVI KIRAN VARMA</v>
      </c>
      <c r="K611" s="80" t="str">
        <f>IFERROR(__xludf.DUMMYFUNCTION("""COMPUTED_VALUE"""),"https://drive.google.com/open?id=1foONca1k4A6XjEfgyT-fpPpAfD8E744q")</f>
        <v>https://drive.google.com/open?id=1foONca1k4A6XjEfgyT-fpPpAfD8E744q</v>
      </c>
      <c r="L611" s="74" t="str">
        <f>IFERROR(__xludf.DUMMYFUNCTION("""COMPUTED_VALUE"""),"2018-2022")</f>
        <v>2018-2022</v>
      </c>
      <c r="M611" s="74" t="str">
        <f>IFERROR(__xludf.DUMMYFUNCTION("""COMPUTED_VALUE"""),"S4: Student Certifications")</f>
        <v>S4: Student Certifications</v>
      </c>
      <c r="N611" s="74" t="str">
        <f>IFERROR(__xludf.DUMMYFUNCTION("""COMPUTED_VALUE"""),"thanducarolinechristy@gmail.com")</f>
        <v>thanducarolinechristy@gmail.com</v>
      </c>
      <c r="O611" s="74" t="str">
        <f>IFERROR(__xludf.DUMMYFUNCTION("""COMPUTED_VALUE"""),"SEM-2")</f>
        <v>SEM-2</v>
      </c>
      <c r="P611" s="74"/>
      <c r="Q611" s="74"/>
      <c r="R611" s="74"/>
      <c r="S611" s="74"/>
      <c r="T611" s="74"/>
      <c r="U611" s="74"/>
      <c r="V611" s="74"/>
      <c r="W611" s="74"/>
      <c r="X611" s="74"/>
      <c r="Y611" s="74"/>
    </row>
    <row r="612" ht="26.25" customHeight="1">
      <c r="A612" s="74" t="str">
        <f>IFERROR(__xludf.DUMMYFUNCTION("""COMPUTED_VALUE"""),"CAROLINE CHRISTY THANDU")</f>
        <v>CAROLINE CHRISTY THANDU</v>
      </c>
      <c r="B612" s="74" t="str">
        <f>IFERROR(__xludf.DUMMYFUNCTION("""COMPUTED_VALUE"""),"18331A05F4")</f>
        <v>18331A05F4</v>
      </c>
      <c r="C612" s="90" t="str">
        <f>IFERROR(__xludf.DUMMYFUNCTION("""COMPUTED_VALUE"""),"INTRODUCTION TO NETWORKS")</f>
        <v>INTRODUCTION TO NETWORKS</v>
      </c>
      <c r="D612" s="74" t="str">
        <f>IFERROR(__xludf.DUMMYFUNCTION("""COMPUTED_VALUE"""),"CISCO")</f>
        <v>CISCO</v>
      </c>
      <c r="E612" s="74" t="str">
        <f>IFERROR(__xludf.DUMMYFUNCTION("""COMPUTED_VALUE"""),"1 MONTH")</f>
        <v>1 MONTH</v>
      </c>
      <c r="F612" s="91">
        <f>IFERROR(__xludf.DUMMYFUNCTION("""COMPUTED_VALUE"""),43933.0)</f>
        <v>43933</v>
      </c>
      <c r="G612" s="91">
        <f>IFERROR(__xludf.DUMMYFUNCTION("""COMPUTED_VALUE"""),43963.0)</f>
        <v>43963</v>
      </c>
      <c r="H612" s="79">
        <f>IFERROR(__xludf.DUMMYFUNCTION("""COMPUTED_VALUE"""),43965.0)</f>
        <v>43965</v>
      </c>
      <c r="I612" s="92">
        <f>IFERROR(__xludf.DUMMYFUNCTION("""COMPUTED_VALUE"""),0.9)</f>
        <v>0.9</v>
      </c>
      <c r="J612" s="74" t="str">
        <f>IFERROR(__xludf.DUMMYFUNCTION("""COMPUTED_VALUE"""),"DR. P. RAVI KIRAN VARMA")</f>
        <v>DR. P. RAVI KIRAN VARMA</v>
      </c>
      <c r="K612" s="80" t="str">
        <f>IFERROR(__xludf.DUMMYFUNCTION("""COMPUTED_VALUE"""),"https://drive.google.com/open?id=1UR6VzrlXN7BED6ACISPUMmROl_Ggh1qz")</f>
        <v>https://drive.google.com/open?id=1UR6VzrlXN7BED6ACISPUMmROl_Ggh1qz</v>
      </c>
      <c r="L612" s="74" t="str">
        <f>IFERROR(__xludf.DUMMYFUNCTION("""COMPUTED_VALUE"""),"2018-2022")</f>
        <v>2018-2022</v>
      </c>
      <c r="M612" s="74" t="str">
        <f>IFERROR(__xludf.DUMMYFUNCTION("""COMPUTED_VALUE"""),"S4: Student Certifications")</f>
        <v>S4: Student Certifications</v>
      </c>
      <c r="N612" s="74" t="str">
        <f>IFERROR(__xludf.DUMMYFUNCTION("""COMPUTED_VALUE"""),"thanducarolinechristy@gmail.com")</f>
        <v>thanducarolinechristy@gmail.com</v>
      </c>
      <c r="O612" s="74" t="str">
        <f>IFERROR(__xludf.DUMMYFUNCTION("""COMPUTED_VALUE"""),"SEM-4")</f>
        <v>SEM-4</v>
      </c>
      <c r="P612" s="74"/>
      <c r="Q612" s="74"/>
      <c r="R612" s="74"/>
      <c r="S612" s="74"/>
      <c r="T612" s="74"/>
      <c r="U612" s="74"/>
      <c r="V612" s="74"/>
      <c r="W612" s="74"/>
      <c r="X612" s="74"/>
      <c r="Y612" s="74"/>
    </row>
    <row r="613" ht="26.25" customHeight="1">
      <c r="A613" s="74" t="str">
        <f>IFERROR(__xludf.DUMMYFUNCTION("""COMPUTED_VALUE"""),"Jaswanth Vajrapu")</f>
        <v>Jaswanth Vajrapu</v>
      </c>
      <c r="B613" s="74" t="str">
        <f>IFERROR(__xludf.DUMMYFUNCTION("""COMPUTED_VALUE"""),"18331A05G5")</f>
        <v>18331A05G5</v>
      </c>
      <c r="C613" s="90" t="str">
        <f>IFERROR(__xludf.DUMMYFUNCTION("""COMPUTED_VALUE"""),"Introduction to Cybersecurity")</f>
        <v>Introduction to Cybersecurity</v>
      </c>
      <c r="D613" s="74" t="str">
        <f>IFERROR(__xludf.DUMMYFUNCTION("""COMPUTED_VALUE"""),"Cisco")</f>
        <v>Cisco</v>
      </c>
      <c r="E613" s="74" t="str">
        <f>IFERROR(__xludf.DUMMYFUNCTION("""COMPUTED_VALUE"""),"4 Weeks")</f>
        <v>4 Weeks</v>
      </c>
      <c r="F613" s="91">
        <f>IFERROR(__xludf.DUMMYFUNCTION("""COMPUTED_VALUE"""),43513.0)</f>
        <v>43513</v>
      </c>
      <c r="G613" s="91">
        <f>IFERROR(__xludf.DUMMYFUNCTION("""COMPUTED_VALUE"""),43649.0)</f>
        <v>43649</v>
      </c>
      <c r="H613" s="79">
        <f>IFERROR(__xludf.DUMMYFUNCTION("""COMPUTED_VALUE"""),44745.0)</f>
        <v>44745</v>
      </c>
      <c r="I613" s="92"/>
      <c r="J613" s="74" t="str">
        <f>IFERROR(__xludf.DUMMYFUNCTION("""COMPUTED_VALUE"""),"P.Ravi Kiran Varma")</f>
        <v>P.Ravi Kiran Varma</v>
      </c>
      <c r="K613" s="80" t="str">
        <f>IFERROR(__xludf.DUMMYFUNCTION("""COMPUTED_VALUE"""),"https://drive.google.com/open?id=1pe3p-2freuWa5Y6VlateFoOG8VVzNEWA")</f>
        <v>https://drive.google.com/open?id=1pe3p-2freuWa5Y6VlateFoOG8VVzNEWA</v>
      </c>
      <c r="L613" s="74" t="str">
        <f>IFERROR(__xludf.DUMMYFUNCTION("""COMPUTED_VALUE"""),"2018-2022")</f>
        <v>2018-2022</v>
      </c>
      <c r="M613" s="74" t="str">
        <f>IFERROR(__xludf.DUMMYFUNCTION("""COMPUTED_VALUE"""),"S4: Student Certifications")</f>
        <v>S4: Student Certifications</v>
      </c>
      <c r="N613" s="74" t="str">
        <f>IFERROR(__xludf.DUMMYFUNCTION("""COMPUTED_VALUE"""),"jaswanth.vjp13@gmail.com")</f>
        <v>jaswanth.vjp13@gmail.com</v>
      </c>
      <c r="O613" s="74" t="str">
        <f>IFERROR(__xludf.DUMMYFUNCTION("""COMPUTED_VALUE"""),"SEM-3")</f>
        <v>SEM-3</v>
      </c>
      <c r="P613" s="74"/>
      <c r="Q613" s="74"/>
      <c r="R613" s="74"/>
      <c r="S613" s="74"/>
      <c r="T613" s="74"/>
      <c r="U613" s="74"/>
      <c r="V613" s="74"/>
      <c r="W613" s="74"/>
      <c r="X613" s="74"/>
      <c r="Y613" s="74"/>
    </row>
    <row r="614" ht="26.25" customHeight="1">
      <c r="A614" s="74" t="str">
        <f>IFERROR(__xludf.DUMMYFUNCTION("""COMPUTED_VALUE"""),"CAROLINE CHRISTY THANDU")</f>
        <v>CAROLINE CHRISTY THANDU</v>
      </c>
      <c r="B614" s="74" t="str">
        <f>IFERROR(__xludf.DUMMYFUNCTION("""COMPUTED_VALUE"""),"18331A05F4")</f>
        <v>18331A05F4</v>
      </c>
      <c r="C614" s="90" t="str">
        <f>IFERROR(__xludf.DUMMYFUNCTION("""COMPUTED_VALUE"""),"SWITCHING ROUTING AND WIRELESS ESSENTIALS")</f>
        <v>SWITCHING ROUTING AND WIRELESS ESSENTIALS</v>
      </c>
      <c r="D614" s="74" t="str">
        <f>IFERROR(__xludf.DUMMYFUNCTION("""COMPUTED_VALUE"""),"CISCO")</f>
        <v>CISCO</v>
      </c>
      <c r="E614" s="74" t="str">
        <f>IFERROR(__xludf.DUMMYFUNCTION("""COMPUTED_VALUE"""),"1 MONTH")</f>
        <v>1 MONTH</v>
      </c>
      <c r="F614" s="91">
        <f>IFERROR(__xludf.DUMMYFUNCTION("""COMPUTED_VALUE"""),43957.0)</f>
        <v>43957</v>
      </c>
      <c r="G614" s="91">
        <f>IFERROR(__xludf.DUMMYFUNCTION("""COMPUTED_VALUE"""),43988.0)</f>
        <v>43988</v>
      </c>
      <c r="H614" s="79">
        <f>IFERROR(__xludf.DUMMYFUNCTION("""COMPUTED_VALUE"""),43989.0)</f>
        <v>43989</v>
      </c>
      <c r="I614" s="92">
        <f>IFERROR(__xludf.DUMMYFUNCTION("""COMPUTED_VALUE"""),1.0)</f>
        <v>1</v>
      </c>
      <c r="J614" s="74" t="str">
        <f>IFERROR(__xludf.DUMMYFUNCTION("""COMPUTED_VALUE"""),"DR. P. RAVI KIRAN VARMA")</f>
        <v>DR. P. RAVI KIRAN VARMA</v>
      </c>
      <c r="K614" s="80" t="str">
        <f>IFERROR(__xludf.DUMMYFUNCTION("""COMPUTED_VALUE"""),"https://drive.google.com/open?id=19pm2_Q5iWB3TaA9W5JNLMBYNbUk4cqmc")</f>
        <v>https://drive.google.com/open?id=19pm2_Q5iWB3TaA9W5JNLMBYNbUk4cqmc</v>
      </c>
      <c r="L614" s="74" t="str">
        <f>IFERROR(__xludf.DUMMYFUNCTION("""COMPUTED_VALUE"""),"2018-2022")</f>
        <v>2018-2022</v>
      </c>
      <c r="M614" s="74" t="str">
        <f>IFERROR(__xludf.DUMMYFUNCTION("""COMPUTED_VALUE"""),"S4: Student Certifications")</f>
        <v>S4: Student Certifications</v>
      </c>
      <c r="N614" s="74" t="str">
        <f>IFERROR(__xludf.DUMMYFUNCTION("""COMPUTED_VALUE"""),"thanducarolinechristy@gmail.com")</f>
        <v>thanducarolinechristy@gmail.com</v>
      </c>
      <c r="O614" s="74" t="str">
        <f>IFERROR(__xludf.DUMMYFUNCTION("""COMPUTED_VALUE"""),"SEM-4")</f>
        <v>SEM-4</v>
      </c>
      <c r="P614" s="74"/>
      <c r="Q614" s="74"/>
      <c r="R614" s="74"/>
      <c r="S614" s="74"/>
      <c r="T614" s="74"/>
      <c r="U614" s="74"/>
      <c r="V614" s="74"/>
      <c r="W614" s="74"/>
      <c r="X614" s="74"/>
      <c r="Y614" s="74"/>
    </row>
    <row r="615" ht="26.25" customHeight="1">
      <c r="A615" s="74" t="str">
        <f>IFERROR(__xludf.DUMMYFUNCTION("""COMPUTED_VALUE"""),"Kalyampudi Sravani")</f>
        <v>Kalyampudi Sravani</v>
      </c>
      <c r="B615" s="74" t="str">
        <f>IFERROR(__xludf.DUMMYFUNCTION("""COMPUTED_VALUE"""),"20331A0579")</f>
        <v>20331A0579</v>
      </c>
      <c r="C615" s="90" t="str">
        <f>IFERROR(__xludf.DUMMYFUNCTION("""COMPUTED_VALUE"""),"IT Essentials")</f>
        <v>IT Essentials</v>
      </c>
      <c r="D615" s="74" t="str">
        <f>IFERROR(__xludf.DUMMYFUNCTION("""COMPUTED_VALUE"""),"Cisco")</f>
        <v>Cisco</v>
      </c>
      <c r="E615" s="74" t="str">
        <f>IFERROR(__xludf.DUMMYFUNCTION("""COMPUTED_VALUE"""),"2 months")</f>
        <v>2 months</v>
      </c>
      <c r="F615" s="91">
        <f>IFERROR(__xludf.DUMMYFUNCTION("""COMPUTED_VALUE"""),44378.0)</f>
        <v>44378</v>
      </c>
      <c r="G615" s="91">
        <f>IFERROR(__xludf.DUMMYFUNCTION("""COMPUTED_VALUE"""),44440.0)</f>
        <v>44440</v>
      </c>
      <c r="H615" s="79">
        <f>IFERROR(__xludf.DUMMYFUNCTION("""COMPUTED_VALUE"""),44440.0)</f>
        <v>44440</v>
      </c>
      <c r="I615" s="92">
        <f>IFERROR(__xludf.DUMMYFUNCTION("""COMPUTED_VALUE"""),91.0)</f>
        <v>91</v>
      </c>
      <c r="J615" s="74" t="str">
        <f>IFERROR(__xludf.DUMMYFUNCTION("""COMPUTED_VALUE"""),"K.Subbaraju")</f>
        <v>K.Subbaraju</v>
      </c>
      <c r="K615" s="80" t="str">
        <f>IFERROR(__xludf.DUMMYFUNCTION("""COMPUTED_VALUE"""),"https://drive.google.com/open?id=1DdtP4Jce1Hzh89cx91TIYbMBw-Eoyw6i")</f>
        <v>https://drive.google.com/open?id=1DdtP4Jce1Hzh89cx91TIYbMBw-Eoyw6i</v>
      </c>
      <c r="L615" s="74" t="str">
        <f>IFERROR(__xludf.DUMMYFUNCTION("""COMPUTED_VALUE"""),"2020-2024")</f>
        <v>2020-2024</v>
      </c>
      <c r="M615" s="74" t="str">
        <f>IFERROR(__xludf.DUMMYFUNCTION("""COMPUTED_VALUE"""),"S4: Student Certifications")</f>
        <v>S4: Student Certifications</v>
      </c>
      <c r="N615" s="74" t="str">
        <f>IFERROR(__xludf.DUMMYFUNCTION("""COMPUTED_VALUE"""),"sravanikalyampudi@gmail.com")</f>
        <v>sravanikalyampudi@gmail.com</v>
      </c>
      <c r="O615" s="74" t="str">
        <f>IFERROR(__xludf.DUMMYFUNCTION("""COMPUTED_VALUE"""),"SEM-4")</f>
        <v>SEM-4</v>
      </c>
      <c r="P615" s="74"/>
      <c r="Q615" s="74"/>
      <c r="R615" s="74"/>
      <c r="S615" s="74"/>
      <c r="T615" s="74"/>
      <c r="U615" s="74"/>
      <c r="V615" s="74"/>
      <c r="W615" s="74"/>
      <c r="X615" s="74"/>
      <c r="Y615" s="74"/>
    </row>
    <row r="616" ht="26.25" customHeight="1">
      <c r="A616" s="74" t="str">
        <f>IFERROR(__xludf.DUMMYFUNCTION("""COMPUTED_VALUE"""),"Kalyampudi Sravani")</f>
        <v>Kalyampudi Sravani</v>
      </c>
      <c r="B616" s="74" t="str">
        <f>IFERROR(__xludf.DUMMYFUNCTION("""COMPUTED_VALUE"""),"20331A0579")</f>
        <v>20331A0579</v>
      </c>
      <c r="C616" s="90" t="str">
        <f>IFERROR(__xludf.DUMMYFUNCTION("""COMPUTED_VALUE"""),"NDG linux")</f>
        <v>NDG linux</v>
      </c>
      <c r="D616" s="74" t="str">
        <f>IFERROR(__xludf.DUMMYFUNCTION("""COMPUTED_VALUE"""),"Cisco")</f>
        <v>Cisco</v>
      </c>
      <c r="E616" s="74" t="str">
        <f>IFERROR(__xludf.DUMMYFUNCTION("""COMPUTED_VALUE"""),"2 months")</f>
        <v>2 months</v>
      </c>
      <c r="F616" s="91">
        <f>IFERROR(__xludf.DUMMYFUNCTION("""COMPUTED_VALUE"""),44596.0)</f>
        <v>44596</v>
      </c>
      <c r="G616" s="91">
        <f>IFERROR(__xludf.DUMMYFUNCTION("""COMPUTED_VALUE"""),44655.0)</f>
        <v>44655</v>
      </c>
      <c r="H616" s="79">
        <f>IFERROR(__xludf.DUMMYFUNCTION("""COMPUTED_VALUE"""),44655.0)</f>
        <v>44655</v>
      </c>
      <c r="I616" s="92">
        <f>IFERROR(__xludf.DUMMYFUNCTION("""COMPUTED_VALUE"""),90.0)</f>
        <v>90</v>
      </c>
      <c r="J616" s="74" t="str">
        <f>IFERROR(__xludf.DUMMYFUNCTION("""COMPUTED_VALUE"""),"K.Subbaraju")</f>
        <v>K.Subbaraju</v>
      </c>
      <c r="K616" s="80" t="str">
        <f>IFERROR(__xludf.DUMMYFUNCTION("""COMPUTED_VALUE"""),"https://drive.google.com/open?id=1Ezod3LTtx06q8Nryu-0ZbTaoweFYbeQy")</f>
        <v>https://drive.google.com/open?id=1Ezod3LTtx06q8Nryu-0ZbTaoweFYbeQy</v>
      </c>
      <c r="L616" s="74" t="str">
        <f>IFERROR(__xludf.DUMMYFUNCTION("""COMPUTED_VALUE"""),"2020-2024")</f>
        <v>2020-2024</v>
      </c>
      <c r="M616" s="74" t="str">
        <f>IFERROR(__xludf.DUMMYFUNCTION("""COMPUTED_VALUE"""),"S4: Student Certifications")</f>
        <v>S4: Student Certifications</v>
      </c>
      <c r="N616" s="74" t="str">
        <f>IFERROR(__xludf.DUMMYFUNCTION("""COMPUTED_VALUE"""),"sravanikalyampudi@gmail.com")</f>
        <v>sravanikalyampudi@gmail.com</v>
      </c>
      <c r="O616" s="74" t="str">
        <f>IFERROR(__xludf.DUMMYFUNCTION("""COMPUTED_VALUE"""),"SEM-4")</f>
        <v>SEM-4</v>
      </c>
      <c r="P616" s="74"/>
      <c r="Q616" s="74"/>
      <c r="R616" s="74"/>
      <c r="S616" s="74"/>
      <c r="T616" s="74"/>
      <c r="U616" s="74"/>
      <c r="V616" s="74"/>
      <c r="W616" s="74"/>
      <c r="X616" s="74"/>
      <c r="Y616" s="74"/>
    </row>
    <row r="617" ht="26.25" customHeight="1">
      <c r="A617" s="74" t="str">
        <f>IFERROR(__xludf.DUMMYFUNCTION("""COMPUTED_VALUE"""),"Jaswanth Vajrapu")</f>
        <v>Jaswanth Vajrapu</v>
      </c>
      <c r="B617" s="74" t="str">
        <f>IFERROR(__xludf.DUMMYFUNCTION("""COMPUTED_VALUE"""),"18331A05G5")</f>
        <v>18331A05G5</v>
      </c>
      <c r="C617" s="90" t="str">
        <f>IFERROR(__xludf.DUMMYFUNCTION("""COMPUTED_VALUE"""),"CLA: Programming Essentials in C")</f>
        <v>CLA: Programming Essentials in C</v>
      </c>
      <c r="D617" s="74" t="str">
        <f>IFERROR(__xludf.DUMMYFUNCTION("""COMPUTED_VALUE"""),"CISCO")</f>
        <v>CISCO</v>
      </c>
      <c r="E617" s="74" t="str">
        <f>IFERROR(__xludf.DUMMYFUNCTION("""COMPUTED_VALUE"""),"3 WEEKS")</f>
        <v>3 WEEKS</v>
      </c>
      <c r="F617" s="91">
        <f>IFERROR(__xludf.DUMMYFUNCTION("""COMPUTED_VALUE"""),43547.0)</f>
        <v>43547</v>
      </c>
      <c r="G617" s="91">
        <f>IFERROR(__xludf.DUMMYFUNCTION("""COMPUTED_VALUE"""),43585.0)</f>
        <v>43585</v>
      </c>
      <c r="H617" s="79">
        <f>IFERROR(__xludf.DUMMYFUNCTION("""COMPUTED_VALUE"""),43585.0)</f>
        <v>43585</v>
      </c>
      <c r="I617" s="92"/>
      <c r="J617" s="74" t="str">
        <f>IFERROR(__xludf.DUMMYFUNCTION("""COMPUTED_VALUE"""),"P.Ravi Kiran Varma")</f>
        <v>P.Ravi Kiran Varma</v>
      </c>
      <c r="K617" s="80" t="str">
        <f>IFERROR(__xludf.DUMMYFUNCTION("""COMPUTED_VALUE"""),"https://drive.google.com/open?id=1RTtyq3k-N2F7MeRaIQQUEPr2Q6jliTEQ")</f>
        <v>https://drive.google.com/open?id=1RTtyq3k-N2F7MeRaIQQUEPr2Q6jliTEQ</v>
      </c>
      <c r="L617" s="74" t="str">
        <f>IFERROR(__xludf.DUMMYFUNCTION("""COMPUTED_VALUE"""),"2018-2022")</f>
        <v>2018-2022</v>
      </c>
      <c r="M617" s="74" t="str">
        <f>IFERROR(__xludf.DUMMYFUNCTION("""COMPUTED_VALUE"""),"S4: Student Certifications")</f>
        <v>S4: Student Certifications</v>
      </c>
      <c r="N617" s="74" t="str">
        <f>IFERROR(__xludf.DUMMYFUNCTION("""COMPUTED_VALUE"""),"jaswanth.vjp13@gmail.com")</f>
        <v>jaswanth.vjp13@gmail.com</v>
      </c>
      <c r="O617" s="74" t="str">
        <f>IFERROR(__xludf.DUMMYFUNCTION("""COMPUTED_VALUE"""),"SEM-2")</f>
        <v>SEM-2</v>
      </c>
      <c r="P617" s="74"/>
      <c r="Q617" s="74"/>
      <c r="R617" s="74"/>
      <c r="S617" s="74"/>
      <c r="T617" s="74"/>
      <c r="U617" s="74"/>
      <c r="V617" s="74"/>
      <c r="W617" s="74"/>
      <c r="X617" s="74"/>
      <c r="Y617" s="74"/>
    </row>
    <row r="618" ht="26.25" customHeight="1">
      <c r="A618" s="74" t="str">
        <f>IFERROR(__xludf.DUMMYFUNCTION("""COMPUTED_VALUE"""),"chanamalla venkata sai vivek")</f>
        <v>chanamalla venkata sai vivek</v>
      </c>
      <c r="B618" s="74" t="str">
        <f>IFERROR(__xludf.DUMMYFUNCTION("""COMPUTED_VALUE"""),"18331a05h3")</f>
        <v>18331a05h3</v>
      </c>
      <c r="C618" s="90" t="str">
        <f>IFERROR(__xludf.DUMMYFUNCTION("""COMPUTED_VALUE"""),"python complete course for python beginners")</f>
        <v>python complete course for python beginners</v>
      </c>
      <c r="D618" s="74" t="str">
        <f>IFERROR(__xludf.DUMMYFUNCTION("""COMPUTED_VALUE"""),"udemy")</f>
        <v>udemy</v>
      </c>
      <c r="E618" s="74" t="str">
        <f>IFERROR(__xludf.DUMMYFUNCTION("""COMPUTED_VALUE"""),"7.5 hours")</f>
        <v>7.5 hours</v>
      </c>
      <c r="F618" s="91">
        <f>IFERROR(__xludf.DUMMYFUNCTION("""COMPUTED_VALUE"""),44654.0)</f>
        <v>44654</v>
      </c>
      <c r="G618" s="91">
        <f>IFERROR(__xludf.DUMMYFUNCTION("""COMPUTED_VALUE"""),44659.0)</f>
        <v>44659</v>
      </c>
      <c r="H618" s="79">
        <f>IFERROR(__xludf.DUMMYFUNCTION("""COMPUTED_VALUE"""),44663.0)</f>
        <v>44663</v>
      </c>
      <c r="I618" s="92">
        <f>IFERROR(__xludf.DUMMYFUNCTION("""COMPUTED_VALUE"""),90.0)</f>
        <v>90</v>
      </c>
      <c r="J618" s="74" t="str">
        <f>IFERROR(__xludf.DUMMYFUNCTION("""COMPUTED_VALUE"""),"horizon tech")</f>
        <v>horizon tech</v>
      </c>
      <c r="K618" s="80" t="str">
        <f>IFERROR(__xludf.DUMMYFUNCTION("""COMPUTED_VALUE"""),"https://drive.google.com/open?id=1ZjUgIOn4CrJjrvYAAfjeeemjC-MPDfNq")</f>
        <v>https://drive.google.com/open?id=1ZjUgIOn4CrJjrvYAAfjeeemjC-MPDfNq</v>
      </c>
      <c r="L618" s="74" t="str">
        <f>IFERROR(__xludf.DUMMYFUNCTION("""COMPUTED_VALUE"""),"2018-2022")</f>
        <v>2018-2022</v>
      </c>
      <c r="M618" s="74" t="str">
        <f>IFERROR(__xludf.DUMMYFUNCTION("""COMPUTED_VALUE"""),"S4: Student Certifications")</f>
        <v>S4: Student Certifications</v>
      </c>
      <c r="N618" s="74" t="str">
        <f>IFERROR(__xludf.DUMMYFUNCTION("""COMPUTED_VALUE"""),"venkatsaivivek007@gmail.com")</f>
        <v>venkatsaivivek007@gmail.com</v>
      </c>
      <c r="O618" s="74" t="str">
        <f>IFERROR(__xludf.DUMMYFUNCTION("""COMPUTED_VALUE"""),"SEM-8")</f>
        <v>SEM-8</v>
      </c>
      <c r="P618" s="74"/>
      <c r="Q618" s="74"/>
      <c r="R618" s="74"/>
      <c r="S618" s="74"/>
      <c r="T618" s="74"/>
      <c r="U618" s="74"/>
      <c r="V618" s="74"/>
      <c r="W618" s="74"/>
      <c r="X618" s="74"/>
      <c r="Y618" s="74"/>
    </row>
    <row r="619" ht="26.25" customHeight="1">
      <c r="A619" s="74" t="str">
        <f>IFERROR(__xludf.DUMMYFUNCTION("""COMPUTED_VALUE"""),"chanamalla venkata sai vivek")</f>
        <v>chanamalla venkata sai vivek</v>
      </c>
      <c r="B619" s="74" t="str">
        <f>IFERROR(__xludf.DUMMYFUNCTION("""COMPUTED_VALUE"""),"18331a05h3")</f>
        <v>18331a05h3</v>
      </c>
      <c r="C619" s="90" t="str">
        <f>IFERROR(__xludf.DUMMYFUNCTION("""COMPUTED_VALUE"""),"computer architecture &amp; computer organisation")</f>
        <v>computer architecture &amp; computer organisation</v>
      </c>
      <c r="D619" s="74" t="str">
        <f>IFERROR(__xludf.DUMMYFUNCTION("""COMPUTED_VALUE"""),"udemy")</f>
        <v>udemy</v>
      </c>
      <c r="E619" s="74" t="str">
        <f>IFERROR(__xludf.DUMMYFUNCTION("""COMPUTED_VALUE"""),"12.5hrs")</f>
        <v>12.5hrs</v>
      </c>
      <c r="F619" s="91">
        <f>IFERROR(__xludf.DUMMYFUNCTION("""COMPUTED_VALUE"""),44654.0)</f>
        <v>44654</v>
      </c>
      <c r="G619" s="91">
        <f>IFERROR(__xludf.DUMMYFUNCTION("""COMPUTED_VALUE"""),44663.0)</f>
        <v>44663</v>
      </c>
      <c r="H619" s="79">
        <f>IFERROR(__xludf.DUMMYFUNCTION("""COMPUTED_VALUE"""),44663.0)</f>
        <v>44663</v>
      </c>
      <c r="I619" s="92">
        <f>IFERROR(__xludf.DUMMYFUNCTION("""COMPUTED_VALUE"""),91.0)</f>
        <v>91</v>
      </c>
      <c r="J619" s="74" t="str">
        <f>IFERROR(__xludf.DUMMYFUNCTION("""COMPUTED_VALUE"""),"yasas sri wickramasinghe")</f>
        <v>yasas sri wickramasinghe</v>
      </c>
      <c r="K619" s="80" t="str">
        <f>IFERROR(__xludf.DUMMYFUNCTION("""COMPUTED_VALUE"""),"https://drive.google.com/open?id=1fOz66l3-hJZ8uJ9WTF7kYbv6x4urVCfn")</f>
        <v>https://drive.google.com/open?id=1fOz66l3-hJZ8uJ9WTF7kYbv6x4urVCfn</v>
      </c>
      <c r="L619" s="74" t="str">
        <f>IFERROR(__xludf.DUMMYFUNCTION("""COMPUTED_VALUE"""),"2018-2022")</f>
        <v>2018-2022</v>
      </c>
      <c r="M619" s="74" t="str">
        <f>IFERROR(__xludf.DUMMYFUNCTION("""COMPUTED_VALUE"""),"S4: Student Certifications")</f>
        <v>S4: Student Certifications</v>
      </c>
      <c r="N619" s="74" t="str">
        <f>IFERROR(__xludf.DUMMYFUNCTION("""COMPUTED_VALUE"""),"venkatsaivivek007@gmail.com")</f>
        <v>venkatsaivivek007@gmail.com</v>
      </c>
      <c r="O619" s="74" t="str">
        <f>IFERROR(__xludf.DUMMYFUNCTION("""COMPUTED_VALUE"""),"SEM-8")</f>
        <v>SEM-8</v>
      </c>
      <c r="P619" s="74"/>
      <c r="Q619" s="74"/>
      <c r="R619" s="74"/>
      <c r="S619" s="74"/>
      <c r="T619" s="74"/>
      <c r="U619" s="74"/>
      <c r="V619" s="74"/>
      <c r="W619" s="74"/>
      <c r="X619" s="74"/>
      <c r="Y619" s="74"/>
    </row>
    <row r="620" ht="26.25" customHeight="1">
      <c r="A620" s="74" t="str">
        <f>IFERROR(__xludf.DUMMYFUNCTION("""COMPUTED_VALUE"""),"Lekkala Pavani")</f>
        <v>Lekkala Pavani</v>
      </c>
      <c r="B620" s="74" t="str">
        <f>IFERROR(__xludf.DUMMYFUNCTION("""COMPUTED_VALUE"""),"20331A05A2 ")</f>
        <v>20331A05A2 </v>
      </c>
      <c r="C620" s="90" t="str">
        <f>IFERROR(__xludf.DUMMYFUNCTION("""COMPUTED_VALUE"""),"IT Essentials ")</f>
        <v>IT Essentials </v>
      </c>
      <c r="D620" s="74" t="str">
        <f>IFERROR(__xludf.DUMMYFUNCTION("""COMPUTED_VALUE"""),"Cisco")</f>
        <v>Cisco</v>
      </c>
      <c r="E620" s="74" t="str">
        <f>IFERROR(__xludf.DUMMYFUNCTION("""COMPUTED_VALUE"""),"2 months")</f>
        <v>2 months</v>
      </c>
      <c r="F620" s="91">
        <f>IFERROR(__xludf.DUMMYFUNCTION("""COMPUTED_VALUE"""),44378.0)</f>
        <v>44378</v>
      </c>
      <c r="G620" s="91">
        <f>IFERROR(__xludf.DUMMYFUNCTION("""COMPUTED_VALUE"""),44440.0)</f>
        <v>44440</v>
      </c>
      <c r="H620" s="79">
        <f>IFERROR(__xludf.DUMMYFUNCTION("""COMPUTED_VALUE"""),44440.0)</f>
        <v>44440</v>
      </c>
      <c r="I620" s="92">
        <f>IFERROR(__xludf.DUMMYFUNCTION("""COMPUTED_VALUE"""),95.0)</f>
        <v>95</v>
      </c>
      <c r="J620" s="74" t="str">
        <f>IFERROR(__xludf.DUMMYFUNCTION("""COMPUTED_VALUE"""),"K.Subbaraju")</f>
        <v>K.Subbaraju</v>
      </c>
      <c r="K620" s="80" t="str">
        <f>IFERROR(__xludf.DUMMYFUNCTION("""COMPUTED_VALUE"""),"https://drive.google.com/open?id=1-s6hUkyyPvazo85I9mZCbqlJIFZTi6sR")</f>
        <v>https://drive.google.com/open?id=1-s6hUkyyPvazo85I9mZCbqlJIFZTi6sR</v>
      </c>
      <c r="L620" s="74" t="str">
        <f>IFERROR(__xludf.DUMMYFUNCTION("""COMPUTED_VALUE"""),"2020-2024")</f>
        <v>2020-2024</v>
      </c>
      <c r="M620" s="74" t="str">
        <f>IFERROR(__xludf.DUMMYFUNCTION("""COMPUTED_VALUE"""),"S4: Student Certifications")</f>
        <v>S4: Student Certifications</v>
      </c>
      <c r="N620" s="74" t="str">
        <f>IFERROR(__xludf.DUMMYFUNCTION("""COMPUTED_VALUE"""),"pavani.leela15@gmail.com")</f>
        <v>pavani.leela15@gmail.com</v>
      </c>
      <c r="O620" s="74" t="str">
        <f>IFERROR(__xludf.DUMMYFUNCTION("""COMPUTED_VALUE"""),"SEM-4")</f>
        <v>SEM-4</v>
      </c>
      <c r="P620" s="74"/>
      <c r="Q620" s="74"/>
      <c r="R620" s="74"/>
      <c r="S620" s="74"/>
      <c r="T620" s="74"/>
      <c r="U620" s="74"/>
      <c r="V620" s="74"/>
      <c r="W620" s="74"/>
      <c r="X620" s="74"/>
      <c r="Y620" s="74"/>
    </row>
    <row r="621" ht="26.25" customHeight="1">
      <c r="A621" s="74" t="str">
        <f>IFERROR(__xludf.DUMMYFUNCTION("""COMPUTED_VALUE"""),"chanamalla venkata sai vivek")</f>
        <v>chanamalla venkata sai vivek</v>
      </c>
      <c r="B621" s="74" t="str">
        <f>IFERROR(__xludf.DUMMYFUNCTION("""COMPUTED_VALUE"""),"18331a05h3")</f>
        <v>18331a05h3</v>
      </c>
      <c r="C621" s="90" t="str">
        <f>IFERROR(__xludf.DUMMYFUNCTION("""COMPUTED_VALUE"""),"a complete website development tool without programming")</f>
        <v>a complete website development tool without programming</v>
      </c>
      <c r="D621" s="74" t="str">
        <f>IFERROR(__xludf.DUMMYFUNCTION("""COMPUTED_VALUE"""),"udemy")</f>
        <v>udemy</v>
      </c>
      <c r="E621" s="74" t="str">
        <f>IFERROR(__xludf.DUMMYFUNCTION("""COMPUTED_VALUE"""),"1.5 hrs")</f>
        <v>1.5 hrs</v>
      </c>
      <c r="F621" s="91">
        <f>IFERROR(__xludf.DUMMYFUNCTION("""COMPUTED_VALUE"""),44661.0)</f>
        <v>44661</v>
      </c>
      <c r="G621" s="91">
        <f>IFERROR(__xludf.DUMMYFUNCTION("""COMPUTED_VALUE"""),44663.0)</f>
        <v>44663</v>
      </c>
      <c r="H621" s="79">
        <f>IFERROR(__xludf.DUMMYFUNCTION("""COMPUTED_VALUE"""),44663.0)</f>
        <v>44663</v>
      </c>
      <c r="I621" s="92">
        <f>IFERROR(__xludf.DUMMYFUNCTION("""COMPUTED_VALUE"""),93.0)</f>
        <v>93</v>
      </c>
      <c r="J621" s="74" t="str">
        <f>IFERROR(__xludf.DUMMYFUNCTION("""COMPUTED_VALUE"""),"mahesh pratapwar")</f>
        <v>mahesh pratapwar</v>
      </c>
      <c r="K621" s="80" t="str">
        <f>IFERROR(__xludf.DUMMYFUNCTION("""COMPUTED_VALUE"""),"https://drive.google.com/open?id=1jEjFpyfV984wjTf7K6bTamn6PHOO9whM")</f>
        <v>https://drive.google.com/open?id=1jEjFpyfV984wjTf7K6bTamn6PHOO9whM</v>
      </c>
      <c r="L621" s="74" t="str">
        <f>IFERROR(__xludf.DUMMYFUNCTION("""COMPUTED_VALUE"""),"2018-2022")</f>
        <v>2018-2022</v>
      </c>
      <c r="M621" s="74" t="str">
        <f>IFERROR(__xludf.DUMMYFUNCTION("""COMPUTED_VALUE"""),"S4: Student Certifications")</f>
        <v>S4: Student Certifications</v>
      </c>
      <c r="N621" s="74" t="str">
        <f>IFERROR(__xludf.DUMMYFUNCTION("""COMPUTED_VALUE"""),"venkatsaivivek007@gmail.com")</f>
        <v>venkatsaivivek007@gmail.com</v>
      </c>
      <c r="O621" s="74" t="str">
        <f>IFERROR(__xludf.DUMMYFUNCTION("""COMPUTED_VALUE"""),"SEM-8")</f>
        <v>SEM-8</v>
      </c>
      <c r="P621" s="74"/>
      <c r="Q621" s="74"/>
      <c r="R621" s="74"/>
      <c r="S621" s="74"/>
      <c r="T621" s="74"/>
      <c r="U621" s="74"/>
      <c r="V621" s="74"/>
      <c r="W621" s="74"/>
      <c r="X621" s="74"/>
      <c r="Y621" s="74"/>
    </row>
    <row r="622" ht="26.25" customHeight="1">
      <c r="A622" s="74" t="str">
        <f>IFERROR(__xludf.DUMMYFUNCTION("""COMPUTED_VALUE"""),"Lekkala Pavani ")</f>
        <v>Lekkala Pavani </v>
      </c>
      <c r="B622" s="74" t="str">
        <f>IFERROR(__xludf.DUMMYFUNCTION("""COMPUTED_VALUE"""),"20331A05A2 ")</f>
        <v>20331A05A2 </v>
      </c>
      <c r="C622" s="90" t="str">
        <f>IFERROR(__xludf.DUMMYFUNCTION("""COMPUTED_VALUE"""),"NDG Linux")</f>
        <v>NDG Linux</v>
      </c>
      <c r="D622" s="74" t="str">
        <f>IFERROR(__xludf.DUMMYFUNCTION("""COMPUTED_VALUE"""),"Cisco")</f>
        <v>Cisco</v>
      </c>
      <c r="E622" s="74" t="str">
        <f>IFERROR(__xludf.DUMMYFUNCTION("""COMPUTED_VALUE"""),"2 months")</f>
        <v>2 months</v>
      </c>
      <c r="F622" s="91">
        <f>IFERROR(__xludf.DUMMYFUNCTION("""COMPUTED_VALUE"""),44594.0)</f>
        <v>44594</v>
      </c>
      <c r="G622" s="91">
        <f>IFERROR(__xludf.DUMMYFUNCTION("""COMPUTED_VALUE"""),44655.0)</f>
        <v>44655</v>
      </c>
      <c r="H622" s="79">
        <f>IFERROR(__xludf.DUMMYFUNCTION("""COMPUTED_VALUE"""),44655.0)</f>
        <v>44655</v>
      </c>
      <c r="I622" s="92">
        <f>IFERROR(__xludf.DUMMYFUNCTION("""COMPUTED_VALUE"""),95.0)</f>
        <v>95</v>
      </c>
      <c r="J622" s="74" t="str">
        <f>IFERROR(__xludf.DUMMYFUNCTION("""COMPUTED_VALUE"""),"K.Subbaraju")</f>
        <v>K.Subbaraju</v>
      </c>
      <c r="K622" s="80" t="str">
        <f>IFERROR(__xludf.DUMMYFUNCTION("""COMPUTED_VALUE"""),"https://drive.google.com/open?id=1eKMg0MuP3auzH31G2IsRDH1H5c5-rriI")</f>
        <v>https://drive.google.com/open?id=1eKMg0MuP3auzH31G2IsRDH1H5c5-rriI</v>
      </c>
      <c r="L622" s="74" t="str">
        <f>IFERROR(__xludf.DUMMYFUNCTION("""COMPUTED_VALUE"""),"2020-2024")</f>
        <v>2020-2024</v>
      </c>
      <c r="M622" s="74" t="str">
        <f>IFERROR(__xludf.DUMMYFUNCTION("""COMPUTED_VALUE"""),"S4: Student Certifications")</f>
        <v>S4: Student Certifications</v>
      </c>
      <c r="N622" s="74" t="str">
        <f>IFERROR(__xludf.DUMMYFUNCTION("""COMPUTED_VALUE"""),"pavani.leela15@gmail.com")</f>
        <v>pavani.leela15@gmail.com</v>
      </c>
      <c r="O622" s="74" t="str">
        <f>IFERROR(__xludf.DUMMYFUNCTION("""COMPUTED_VALUE"""),"SEM-4")</f>
        <v>SEM-4</v>
      </c>
      <c r="P622" s="74"/>
      <c r="Q622" s="74"/>
      <c r="R622" s="74"/>
      <c r="S622" s="74"/>
      <c r="T622" s="74"/>
      <c r="U622" s="74"/>
      <c r="V622" s="74"/>
      <c r="W622" s="74"/>
      <c r="X622" s="74"/>
      <c r="Y622" s="74"/>
    </row>
    <row r="623" ht="26.25" customHeight="1">
      <c r="A623" s="74" t="str">
        <f>IFERROR(__xludf.DUMMYFUNCTION("""COMPUTED_VALUE"""),"Jaswanth Vajrapu")</f>
        <v>Jaswanth Vajrapu</v>
      </c>
      <c r="B623" s="74" t="str">
        <f>IFERROR(__xludf.DUMMYFUNCTION("""COMPUTED_VALUE"""),"18331A05G5")</f>
        <v>18331A05G5</v>
      </c>
      <c r="C623" s="90" t="str">
        <f>IFERROR(__xludf.DUMMYFUNCTION("""COMPUTED_VALUE"""),"CCNAv7: Enterprise Networking, Security, and Automation")</f>
        <v>CCNAv7: Enterprise Networking, Security, and Automation</v>
      </c>
      <c r="D623" s="74" t="str">
        <f>IFERROR(__xludf.DUMMYFUNCTION("""COMPUTED_VALUE"""),"CISCO")</f>
        <v>CISCO</v>
      </c>
      <c r="E623" s="74" t="str">
        <f>IFERROR(__xludf.DUMMYFUNCTION("""COMPUTED_VALUE"""),"3 WEEKS")</f>
        <v>3 WEEKS</v>
      </c>
      <c r="F623" s="91">
        <f>IFERROR(__xludf.DUMMYFUNCTION("""COMPUTED_VALUE"""),44008.0)</f>
        <v>44008</v>
      </c>
      <c r="G623" s="91">
        <f>IFERROR(__xludf.DUMMYFUNCTION("""COMPUTED_VALUE"""),44024.0)</f>
        <v>44024</v>
      </c>
      <c r="H623" s="79">
        <f>IFERROR(__xludf.DUMMYFUNCTION("""COMPUTED_VALUE"""),44024.0)</f>
        <v>44024</v>
      </c>
      <c r="I623" s="92"/>
      <c r="J623" s="74" t="str">
        <f>IFERROR(__xludf.DUMMYFUNCTION("""COMPUTED_VALUE"""),"P.Ravi Kiran Varma")</f>
        <v>P.Ravi Kiran Varma</v>
      </c>
      <c r="K623" s="80" t="str">
        <f>IFERROR(__xludf.DUMMYFUNCTION("""COMPUTED_VALUE"""),"https://drive.google.com/open?id=1l0vq1U6sdFw3l4NRBTGo5zxgvr-9dRuI")</f>
        <v>https://drive.google.com/open?id=1l0vq1U6sdFw3l4NRBTGo5zxgvr-9dRuI</v>
      </c>
      <c r="L623" s="74" t="str">
        <f>IFERROR(__xludf.DUMMYFUNCTION("""COMPUTED_VALUE"""),"2018-2022")</f>
        <v>2018-2022</v>
      </c>
      <c r="M623" s="74" t="str">
        <f>IFERROR(__xludf.DUMMYFUNCTION("""COMPUTED_VALUE"""),"S4: Student Certifications")</f>
        <v>S4: Student Certifications</v>
      </c>
      <c r="N623" s="74" t="str">
        <f>IFERROR(__xludf.DUMMYFUNCTION("""COMPUTED_VALUE"""),"jaswanth.vjp13@gmail.com")</f>
        <v>jaswanth.vjp13@gmail.com</v>
      </c>
      <c r="O623" s="74" t="str">
        <f>IFERROR(__xludf.DUMMYFUNCTION("""COMPUTED_VALUE"""),"SEM-5")</f>
        <v>SEM-5</v>
      </c>
      <c r="P623" s="74"/>
      <c r="Q623" s="74"/>
      <c r="R623" s="74"/>
      <c r="S623" s="74"/>
      <c r="T623" s="74"/>
      <c r="U623" s="74"/>
      <c r="V623" s="74"/>
      <c r="W623" s="74"/>
      <c r="X623" s="74"/>
      <c r="Y623" s="74"/>
    </row>
    <row r="624" ht="26.25" customHeight="1">
      <c r="A624" s="74" t="str">
        <f>IFERROR(__xludf.DUMMYFUNCTION("""COMPUTED_VALUE"""),"Jaswanth Vajrapu")</f>
        <v>Jaswanth Vajrapu</v>
      </c>
      <c r="B624" s="74" t="str">
        <f>IFERROR(__xludf.DUMMYFUNCTION("""COMPUTED_VALUE"""),"18331A05G5")</f>
        <v>18331A05G5</v>
      </c>
      <c r="C624" s="90" t="str">
        <f>IFERROR(__xludf.DUMMYFUNCTION("""COMPUTED_VALUE"""),"CCNAv7: Switching, Routing, and Wireless Essentials")</f>
        <v>CCNAv7: Switching, Routing, and Wireless Essentials</v>
      </c>
      <c r="D624" s="74" t="str">
        <f>IFERROR(__xludf.DUMMYFUNCTION("""COMPUTED_VALUE"""),"CISCO")</f>
        <v>CISCO</v>
      </c>
      <c r="E624" s="74" t="str">
        <f>IFERROR(__xludf.DUMMYFUNCTION("""COMPUTED_VALUE"""),"4 WEEKS")</f>
        <v>4 WEEKS</v>
      </c>
      <c r="F624" s="91">
        <f>IFERROR(__xludf.DUMMYFUNCTION("""COMPUTED_VALUE"""),43977.0)</f>
        <v>43977</v>
      </c>
      <c r="G624" s="91">
        <f>IFERROR(__xludf.DUMMYFUNCTION("""COMPUTED_VALUE"""),43991.0)</f>
        <v>43991</v>
      </c>
      <c r="H624" s="79">
        <f>IFERROR(__xludf.DUMMYFUNCTION("""COMPUTED_VALUE"""),43991.0)</f>
        <v>43991</v>
      </c>
      <c r="I624" s="92">
        <f>IFERROR(__xludf.DUMMYFUNCTION("""COMPUTED_VALUE"""),100.0)</f>
        <v>100</v>
      </c>
      <c r="J624" s="74" t="str">
        <f>IFERROR(__xludf.DUMMYFUNCTION("""COMPUTED_VALUE"""),"P.Ravi Kiran Varma")</f>
        <v>P.Ravi Kiran Varma</v>
      </c>
      <c r="K624" s="80" t="str">
        <f>IFERROR(__xludf.DUMMYFUNCTION("""COMPUTED_VALUE"""),"https://drive.google.com/open?id=18qymJHQtd7_s6vxpDGKyC3Av6MtUIRUq")</f>
        <v>https://drive.google.com/open?id=18qymJHQtd7_s6vxpDGKyC3Av6MtUIRUq</v>
      </c>
      <c r="L624" s="74" t="str">
        <f>IFERROR(__xludf.DUMMYFUNCTION("""COMPUTED_VALUE"""),"2018-2022")</f>
        <v>2018-2022</v>
      </c>
      <c r="M624" s="74" t="str">
        <f>IFERROR(__xludf.DUMMYFUNCTION("""COMPUTED_VALUE"""),"S4: Student Certifications")</f>
        <v>S4: Student Certifications</v>
      </c>
      <c r="N624" s="74" t="str">
        <f>IFERROR(__xludf.DUMMYFUNCTION("""COMPUTED_VALUE"""),"jaswanth.vjp13@gmail.com")</f>
        <v>jaswanth.vjp13@gmail.com</v>
      </c>
      <c r="O624" s="74" t="str">
        <f>IFERROR(__xludf.DUMMYFUNCTION("""COMPUTED_VALUE"""),"SEM-5")</f>
        <v>SEM-5</v>
      </c>
      <c r="P624" s="74"/>
      <c r="Q624" s="74"/>
      <c r="R624" s="74"/>
      <c r="S624" s="74"/>
      <c r="T624" s="74"/>
      <c r="U624" s="74"/>
      <c r="V624" s="74"/>
      <c r="W624" s="74"/>
      <c r="X624" s="74"/>
      <c r="Y624" s="74"/>
    </row>
    <row r="625" ht="26.25" customHeight="1">
      <c r="A625" s="74" t="str">
        <f>IFERROR(__xludf.DUMMYFUNCTION("""COMPUTED_VALUE"""),"Jaswanth Vajrapu")</f>
        <v>Jaswanth Vajrapu</v>
      </c>
      <c r="B625" s="74" t="str">
        <f>IFERROR(__xludf.DUMMYFUNCTION("""COMPUTED_VALUE"""),"18331A05G5")</f>
        <v>18331A05G5</v>
      </c>
      <c r="C625" s="90" t="str">
        <f>IFERROR(__xludf.DUMMYFUNCTION("""COMPUTED_VALUE"""),"Introduction to Packet Tracer")</f>
        <v>Introduction to Packet Tracer</v>
      </c>
      <c r="D625" s="74" t="str">
        <f>IFERROR(__xludf.DUMMYFUNCTION("""COMPUTED_VALUE"""),"CISCO")</f>
        <v>CISCO</v>
      </c>
      <c r="E625" s="74" t="str">
        <f>IFERROR(__xludf.DUMMYFUNCTION("""COMPUTED_VALUE"""),"3 WEEKS")</f>
        <v>3 WEEKS</v>
      </c>
      <c r="F625" s="91">
        <f>IFERROR(__xludf.DUMMYFUNCTION("""COMPUTED_VALUE"""),44307.0)</f>
        <v>44307</v>
      </c>
      <c r="G625" s="91">
        <f>IFERROR(__xludf.DUMMYFUNCTION("""COMPUTED_VALUE"""),44321.0)</f>
        <v>44321</v>
      </c>
      <c r="H625" s="79">
        <f>IFERROR(__xludf.DUMMYFUNCTION("""COMPUTED_VALUE"""),44322.0)</f>
        <v>44322</v>
      </c>
      <c r="I625" s="92">
        <f>IFERROR(__xludf.DUMMYFUNCTION("""COMPUTED_VALUE"""),100.0)</f>
        <v>100</v>
      </c>
      <c r="J625" s="74" t="str">
        <f>IFERROR(__xludf.DUMMYFUNCTION("""COMPUTED_VALUE"""),"P.Ravi Kiran Varma")</f>
        <v>P.Ravi Kiran Varma</v>
      </c>
      <c r="K625" s="80" t="str">
        <f>IFERROR(__xludf.DUMMYFUNCTION("""COMPUTED_VALUE"""),"https://drive.google.com/open?id=15uViMoGjxNAkEyV4Y1Q8HhaRwq88LVNU")</f>
        <v>https://drive.google.com/open?id=15uViMoGjxNAkEyV4Y1Q8HhaRwq88LVNU</v>
      </c>
      <c r="L625" s="74" t="str">
        <f>IFERROR(__xludf.DUMMYFUNCTION("""COMPUTED_VALUE"""),"2018-2022")</f>
        <v>2018-2022</v>
      </c>
      <c r="M625" s="74" t="str">
        <f>IFERROR(__xludf.DUMMYFUNCTION("""COMPUTED_VALUE"""),"S4: Student Certifications")</f>
        <v>S4: Student Certifications</v>
      </c>
      <c r="N625" s="74" t="str">
        <f>IFERROR(__xludf.DUMMYFUNCTION("""COMPUTED_VALUE"""),"jaswanth.vjp13@gmail.com")</f>
        <v>jaswanth.vjp13@gmail.com</v>
      </c>
      <c r="O625" s="74" t="str">
        <f>IFERROR(__xludf.DUMMYFUNCTION("""COMPUTED_VALUE"""),"SEM-6")</f>
        <v>SEM-6</v>
      </c>
      <c r="P625" s="74"/>
      <c r="Q625" s="74"/>
      <c r="R625" s="74"/>
      <c r="S625" s="74"/>
      <c r="T625" s="74"/>
      <c r="U625" s="74"/>
      <c r="V625" s="74"/>
      <c r="W625" s="74"/>
      <c r="X625" s="74"/>
      <c r="Y625" s="74"/>
    </row>
    <row r="626" ht="26.25" customHeight="1">
      <c r="A626" s="74" t="str">
        <f>IFERROR(__xludf.DUMMYFUNCTION("""COMPUTED_VALUE"""),"Jaswanth Vajrapu")</f>
        <v>Jaswanth Vajrapu</v>
      </c>
      <c r="B626" s="74" t="str">
        <f>IFERROR(__xludf.DUMMYFUNCTION("""COMPUTED_VALUE"""),"18331A05G5")</f>
        <v>18331A05G5</v>
      </c>
      <c r="C626" s="90" t="str">
        <f>IFERROR(__xludf.DUMMYFUNCTION("""COMPUTED_VALUE"""),"CCNAv7: Introduction to Networks")</f>
        <v>CCNAv7: Introduction to Networks</v>
      </c>
      <c r="D626" s="74" t="str">
        <f>IFERROR(__xludf.DUMMYFUNCTION("""COMPUTED_VALUE"""),"CISCO")</f>
        <v>CISCO</v>
      </c>
      <c r="E626" s="74" t="str">
        <f>IFERROR(__xludf.DUMMYFUNCTION("""COMPUTED_VALUE"""),"4 WEEKS")</f>
        <v>4 WEEKS</v>
      </c>
      <c r="F626" s="91">
        <f>IFERROR(__xludf.DUMMYFUNCTION("""COMPUTED_VALUE"""),43954.0)</f>
        <v>43954</v>
      </c>
      <c r="G626" s="91">
        <f>IFERROR(__xludf.DUMMYFUNCTION("""COMPUTED_VALUE"""),43968.0)</f>
        <v>43968</v>
      </c>
      <c r="H626" s="79">
        <f>IFERROR(__xludf.DUMMYFUNCTION("""COMPUTED_VALUE"""),43969.0)</f>
        <v>43969</v>
      </c>
      <c r="I626" s="92">
        <f>IFERROR(__xludf.DUMMYFUNCTION("""COMPUTED_VALUE"""),100.0)</f>
        <v>100</v>
      </c>
      <c r="J626" s="74" t="str">
        <f>IFERROR(__xludf.DUMMYFUNCTION("""COMPUTED_VALUE"""),"P.Ravi Kiran Varma")</f>
        <v>P.Ravi Kiran Varma</v>
      </c>
      <c r="K626" s="80" t="str">
        <f>IFERROR(__xludf.DUMMYFUNCTION("""COMPUTED_VALUE"""),"https://drive.google.com/open?id=1FfDpT2xxMiSopeSUAR15TtLoVpZTPc4Q")</f>
        <v>https://drive.google.com/open?id=1FfDpT2xxMiSopeSUAR15TtLoVpZTPc4Q</v>
      </c>
      <c r="L626" s="74" t="str">
        <f>IFERROR(__xludf.DUMMYFUNCTION("""COMPUTED_VALUE"""),"2018-2022")</f>
        <v>2018-2022</v>
      </c>
      <c r="M626" s="74" t="str">
        <f>IFERROR(__xludf.DUMMYFUNCTION("""COMPUTED_VALUE"""),"S4: Student Certifications")</f>
        <v>S4: Student Certifications</v>
      </c>
      <c r="N626" s="74" t="str">
        <f>IFERROR(__xludf.DUMMYFUNCTION("""COMPUTED_VALUE"""),"jaswanth.vjp13@gmail.com")</f>
        <v>jaswanth.vjp13@gmail.com</v>
      </c>
      <c r="O626" s="74" t="str">
        <f>IFERROR(__xludf.DUMMYFUNCTION("""COMPUTED_VALUE"""),"SEM-5")</f>
        <v>SEM-5</v>
      </c>
      <c r="P626" s="74"/>
      <c r="Q626" s="74"/>
      <c r="R626" s="74"/>
      <c r="S626" s="74"/>
      <c r="T626" s="74"/>
      <c r="U626" s="74"/>
      <c r="V626" s="74"/>
      <c r="W626" s="74"/>
      <c r="X626" s="74"/>
      <c r="Y626" s="74"/>
    </row>
    <row r="627" ht="26.25" customHeight="1">
      <c r="A627" s="74" t="str">
        <f>IFERROR(__xludf.DUMMYFUNCTION("""COMPUTED_VALUE"""),"Jaswanth Vajrapu")</f>
        <v>Jaswanth Vajrapu</v>
      </c>
      <c r="B627" s="74" t="str">
        <f>IFERROR(__xludf.DUMMYFUNCTION("""COMPUTED_VALUE"""),"18331A05G5")</f>
        <v>18331A05G5</v>
      </c>
      <c r="C627" s="90" t="str">
        <f>IFERROR(__xludf.DUMMYFUNCTION("""COMPUTED_VALUE"""),"Cybersecurity Essentials")</f>
        <v>Cybersecurity Essentials</v>
      </c>
      <c r="D627" s="74" t="str">
        <f>IFERROR(__xludf.DUMMYFUNCTION("""COMPUTED_VALUE"""),"CISCO")</f>
        <v>CISCO</v>
      </c>
      <c r="E627" s="74" t="str">
        <f>IFERROR(__xludf.DUMMYFUNCTION("""COMPUTED_VALUE"""),"3 WEEKS")</f>
        <v>3 WEEKS</v>
      </c>
      <c r="F627" s="91">
        <f>IFERROR(__xludf.DUMMYFUNCTION("""COMPUTED_VALUE"""),43655.0)</f>
        <v>43655</v>
      </c>
      <c r="G627" s="91">
        <f>IFERROR(__xludf.DUMMYFUNCTION("""COMPUTED_VALUE"""),43675.0)</f>
        <v>43675</v>
      </c>
      <c r="H627" s="79">
        <f>IFERROR(__xludf.DUMMYFUNCTION("""COMPUTED_VALUE"""),43676.0)</f>
        <v>43676</v>
      </c>
      <c r="I627" s="92">
        <f>IFERROR(__xludf.DUMMYFUNCTION("""COMPUTED_VALUE"""),100.0)</f>
        <v>100</v>
      </c>
      <c r="J627" s="74" t="str">
        <f>IFERROR(__xludf.DUMMYFUNCTION("""COMPUTED_VALUE"""),"P.Ravi Kiran Varma")</f>
        <v>P.Ravi Kiran Varma</v>
      </c>
      <c r="K627" s="80" t="str">
        <f>IFERROR(__xludf.DUMMYFUNCTION("""COMPUTED_VALUE"""),"https://drive.google.com/open?id=1qbg09HWRvHvWMuQIuQSJ6sD4O5Mao3IC")</f>
        <v>https://drive.google.com/open?id=1qbg09HWRvHvWMuQIuQSJ6sD4O5Mao3IC</v>
      </c>
      <c r="L627" s="74" t="str">
        <f>IFERROR(__xludf.DUMMYFUNCTION("""COMPUTED_VALUE"""),"2018-2022")</f>
        <v>2018-2022</v>
      </c>
      <c r="M627" s="74" t="str">
        <f>IFERROR(__xludf.DUMMYFUNCTION("""COMPUTED_VALUE"""),"S4: Student Certifications")</f>
        <v>S4: Student Certifications</v>
      </c>
      <c r="N627" s="74" t="str">
        <f>IFERROR(__xludf.DUMMYFUNCTION("""COMPUTED_VALUE"""),"jaswanth.vjp13@gmail.com")</f>
        <v>jaswanth.vjp13@gmail.com</v>
      </c>
      <c r="O627" s="74" t="str">
        <f>IFERROR(__xludf.DUMMYFUNCTION("""COMPUTED_VALUE"""),"SEM-3")</f>
        <v>SEM-3</v>
      </c>
      <c r="P627" s="74"/>
      <c r="Q627" s="74"/>
      <c r="R627" s="74"/>
      <c r="S627" s="74"/>
      <c r="T627" s="74"/>
      <c r="U627" s="74"/>
      <c r="V627" s="74"/>
      <c r="W627" s="74"/>
      <c r="X627" s="74"/>
      <c r="Y627" s="74"/>
    </row>
    <row r="628" ht="26.25" customHeight="1">
      <c r="A628" s="74" t="str">
        <f>IFERROR(__xludf.DUMMYFUNCTION("""COMPUTED_VALUE"""),"CAROLINE CHRISTY THANDU")</f>
        <v>CAROLINE CHRISTY THANDU</v>
      </c>
      <c r="B628" s="74" t="str">
        <f>IFERROR(__xludf.DUMMYFUNCTION("""COMPUTED_VALUE"""),"18331A05F4")</f>
        <v>18331A05F4</v>
      </c>
      <c r="C628" s="90" t="str">
        <f>IFERROR(__xludf.DUMMYFUNCTION("""COMPUTED_VALUE"""),"CYBERSECURITY FOUNDATION")</f>
        <v>CYBERSECURITY FOUNDATION</v>
      </c>
      <c r="D628" s="74" t="str">
        <f>IFERROR(__xludf.DUMMYFUNCTION("""COMPUTED_VALUE"""),"PALO ALTO NETWORKING ACADEMY")</f>
        <v>PALO ALTO NETWORKING ACADEMY</v>
      </c>
      <c r="E628" s="74" t="str">
        <f>IFERROR(__xludf.DUMMYFUNCTION("""COMPUTED_VALUE"""),"90 DAYS")</f>
        <v>90 DAYS</v>
      </c>
      <c r="F628" s="91">
        <f>IFERROR(__xludf.DUMMYFUNCTION("""COMPUTED_VALUE"""),44256.0)</f>
        <v>44256</v>
      </c>
      <c r="G628" s="91">
        <f>IFERROR(__xludf.DUMMYFUNCTION("""COMPUTED_VALUE"""),44377.0)</f>
        <v>44377</v>
      </c>
      <c r="H628" s="79">
        <f>IFERROR(__xludf.DUMMYFUNCTION("""COMPUTED_VALUE"""),44402.0)</f>
        <v>44402</v>
      </c>
      <c r="I628" s="92">
        <f>IFERROR(__xludf.DUMMYFUNCTION("""COMPUTED_VALUE"""),100.0)</f>
        <v>100</v>
      </c>
      <c r="J628" s="74" t="str">
        <f>IFERROR(__xludf.DUMMYFUNCTION("""COMPUTED_VALUE"""),"DR.P. RAVI KIRAN VARMA")</f>
        <v>DR.P. RAVI KIRAN VARMA</v>
      </c>
      <c r="K628" s="80" t="str">
        <f>IFERROR(__xludf.DUMMYFUNCTION("""COMPUTED_VALUE"""),"https://drive.google.com/open?id=1EvXscih3t8GNcIkdo5_8G4zI0SWazPz8")</f>
        <v>https://drive.google.com/open?id=1EvXscih3t8GNcIkdo5_8G4zI0SWazPz8</v>
      </c>
      <c r="L628" s="74" t="str">
        <f>IFERROR(__xludf.DUMMYFUNCTION("""COMPUTED_VALUE"""),"2018-2022")</f>
        <v>2018-2022</v>
      </c>
      <c r="M628" s="74" t="str">
        <f>IFERROR(__xludf.DUMMYFUNCTION("""COMPUTED_VALUE"""),"S4: Student Certifications")</f>
        <v>S4: Student Certifications</v>
      </c>
      <c r="N628" s="74" t="str">
        <f>IFERROR(__xludf.DUMMYFUNCTION("""COMPUTED_VALUE"""),"thanducarolinechristy@gmail.com")</f>
        <v>thanducarolinechristy@gmail.com</v>
      </c>
      <c r="O628" s="74" t="str">
        <f>IFERROR(__xludf.DUMMYFUNCTION("""COMPUTED_VALUE"""),"SEM-5")</f>
        <v>SEM-5</v>
      </c>
      <c r="P628" s="74"/>
      <c r="Q628" s="74"/>
      <c r="R628" s="74"/>
      <c r="S628" s="74"/>
      <c r="T628" s="74"/>
      <c r="U628" s="74"/>
      <c r="V628" s="74"/>
      <c r="W628" s="74"/>
      <c r="X628" s="74"/>
      <c r="Y628" s="74"/>
    </row>
    <row r="629" ht="26.25" customHeight="1">
      <c r="A629" s="74" t="str">
        <f>IFERROR(__xludf.DUMMYFUNCTION("""COMPUTED_VALUE"""),"Jaswanth Vajrapu")</f>
        <v>Jaswanth Vajrapu</v>
      </c>
      <c r="B629" s="74" t="str">
        <f>IFERROR(__xludf.DUMMYFUNCTION("""COMPUTED_VALUE"""),"18331A05G5")</f>
        <v>18331A05G5</v>
      </c>
      <c r="C629" s="90" t="str">
        <f>IFERROR(__xludf.DUMMYFUNCTION("""COMPUTED_VALUE"""),"PCAP: Programming Essentials in Python")</f>
        <v>PCAP: Programming Essentials in Python</v>
      </c>
      <c r="D629" s="74" t="str">
        <f>IFERROR(__xludf.DUMMYFUNCTION("""COMPUTED_VALUE"""),"CISCO")</f>
        <v>CISCO</v>
      </c>
      <c r="E629" s="74" t="str">
        <f>IFERROR(__xludf.DUMMYFUNCTION("""COMPUTED_VALUE"""),"4 WEEKS")</f>
        <v>4 WEEKS</v>
      </c>
      <c r="F629" s="91">
        <f>IFERROR(__xludf.DUMMYFUNCTION("""COMPUTED_VALUE"""),43927.0)</f>
        <v>43927</v>
      </c>
      <c r="G629" s="91">
        <f>IFERROR(__xludf.DUMMYFUNCTION("""COMPUTED_VALUE"""),43948.0)</f>
        <v>43948</v>
      </c>
      <c r="H629" s="79">
        <f>IFERROR(__xludf.DUMMYFUNCTION("""COMPUTED_VALUE"""),43949.0)</f>
        <v>43949</v>
      </c>
      <c r="I629" s="92">
        <f>IFERROR(__xludf.DUMMYFUNCTION("""COMPUTED_VALUE"""),100.0)</f>
        <v>100</v>
      </c>
      <c r="J629" s="74" t="str">
        <f>IFERROR(__xludf.DUMMYFUNCTION("""COMPUTED_VALUE"""),"P.Ravi Kiran Varma")</f>
        <v>P.Ravi Kiran Varma</v>
      </c>
      <c r="K629" s="80" t="str">
        <f>IFERROR(__xludf.DUMMYFUNCTION("""COMPUTED_VALUE"""),"https://drive.google.com/open?id=1RZJGkxLxMIWCLo4siZnkp-f5pBgLSxfj")</f>
        <v>https://drive.google.com/open?id=1RZJGkxLxMIWCLo4siZnkp-f5pBgLSxfj</v>
      </c>
      <c r="L629" s="74" t="str">
        <f>IFERROR(__xludf.DUMMYFUNCTION("""COMPUTED_VALUE"""),"2018-2022")</f>
        <v>2018-2022</v>
      </c>
      <c r="M629" s="74" t="str">
        <f>IFERROR(__xludf.DUMMYFUNCTION("""COMPUTED_VALUE"""),"S4: Student Certifications")</f>
        <v>S4: Student Certifications</v>
      </c>
      <c r="N629" s="74" t="str">
        <f>IFERROR(__xludf.DUMMYFUNCTION("""COMPUTED_VALUE"""),"jaswanth.vjp13@gmail.com")</f>
        <v>jaswanth.vjp13@gmail.com</v>
      </c>
      <c r="O629" s="74" t="str">
        <f>IFERROR(__xludf.DUMMYFUNCTION("""COMPUTED_VALUE"""),"SEM-4")</f>
        <v>SEM-4</v>
      </c>
      <c r="P629" s="74"/>
      <c r="Q629" s="74"/>
      <c r="R629" s="74"/>
      <c r="S629" s="74"/>
      <c r="T629" s="74"/>
      <c r="U629" s="74"/>
      <c r="V629" s="74"/>
      <c r="W629" s="74"/>
      <c r="X629" s="74"/>
      <c r="Y629" s="74"/>
    </row>
    <row r="630" ht="26.25" customHeight="1">
      <c r="A630" s="74" t="str">
        <f>IFERROR(__xludf.DUMMYFUNCTION("""COMPUTED_VALUE"""),"CAROLINE CHRISTY THANDU")</f>
        <v>CAROLINE CHRISTY THANDU</v>
      </c>
      <c r="B630" s="74" t="str">
        <f>IFERROR(__xludf.DUMMYFUNCTION("""COMPUTED_VALUE"""),"18331A05F4")</f>
        <v>18331A05F4</v>
      </c>
      <c r="C630" s="90" t="str">
        <f>IFERROR(__xludf.DUMMYFUNCTION("""COMPUTED_VALUE"""),"AWS CLOUD FOUNDATIONS")</f>
        <v>AWS CLOUD FOUNDATIONS</v>
      </c>
      <c r="D630" s="74" t="str">
        <f>IFERROR(__xludf.DUMMYFUNCTION("""COMPUTED_VALUE"""),"AICTE")</f>
        <v>AICTE</v>
      </c>
      <c r="E630" s="74" t="str">
        <f>IFERROR(__xludf.DUMMYFUNCTION("""COMPUTED_VALUE"""),"2 MONTHS")</f>
        <v>2 MONTHS</v>
      </c>
      <c r="F630" s="91">
        <f>IFERROR(__xludf.DUMMYFUNCTION("""COMPUTED_VALUE"""),44482.0)</f>
        <v>44482</v>
      </c>
      <c r="G630" s="91">
        <f>IFERROR(__xludf.DUMMYFUNCTION("""COMPUTED_VALUE"""),44554.0)</f>
        <v>44554</v>
      </c>
      <c r="H630" s="79">
        <f>IFERROR(__xludf.DUMMYFUNCTION("""COMPUTED_VALUE"""),44554.0)</f>
        <v>44554</v>
      </c>
      <c r="I630" s="92">
        <f>IFERROR(__xludf.DUMMYFUNCTION("""COMPUTED_VALUE"""),90.0)</f>
        <v>90</v>
      </c>
      <c r="J630" s="74" t="str">
        <f>IFERROR(__xludf.DUMMYFUNCTION("""COMPUTED_VALUE"""),"DR. P. RAVI KIFRA VARMA")</f>
        <v>DR. P. RAVI KIFRA VARMA</v>
      </c>
      <c r="K630" s="80" t="str">
        <f>IFERROR(__xludf.DUMMYFUNCTION("""COMPUTED_VALUE"""),"https://drive.google.com/open?id=1CDQp-PBZmfOaWRAP94IsgsbraIKHtdWL")</f>
        <v>https://drive.google.com/open?id=1CDQp-PBZmfOaWRAP94IsgsbraIKHtdWL</v>
      </c>
      <c r="L630" s="74" t="str">
        <f>IFERROR(__xludf.DUMMYFUNCTION("""COMPUTED_VALUE"""),"2018-2022")</f>
        <v>2018-2022</v>
      </c>
      <c r="M630" s="74" t="str">
        <f>IFERROR(__xludf.DUMMYFUNCTION("""COMPUTED_VALUE"""),"S4: Student Certifications")</f>
        <v>S4: Student Certifications</v>
      </c>
      <c r="N630" s="74" t="str">
        <f>IFERROR(__xludf.DUMMYFUNCTION("""COMPUTED_VALUE"""),"thanducarolinechristy@gmail.com")</f>
        <v>thanducarolinechristy@gmail.com</v>
      </c>
      <c r="O630" s="74" t="str">
        <f>IFERROR(__xludf.DUMMYFUNCTION("""COMPUTED_VALUE"""),"SEM-7")</f>
        <v>SEM-7</v>
      </c>
      <c r="P630" s="74"/>
      <c r="Q630" s="74"/>
      <c r="R630" s="74"/>
      <c r="S630" s="74"/>
      <c r="T630" s="74"/>
      <c r="U630" s="74"/>
      <c r="V630" s="74"/>
      <c r="W630" s="74"/>
      <c r="X630" s="74"/>
      <c r="Y630" s="74"/>
    </row>
    <row r="631" ht="26.25" customHeight="1">
      <c r="A631" s="96" t="str">
        <f>IFERROR(__xludf.DUMMYFUNCTION("""COMPUTED_VALUE"""),"Harshit Dhanuka")</f>
        <v>Harshit Dhanuka</v>
      </c>
      <c r="B631" s="96" t="str">
        <f>IFERROR(__xludf.DUMMYFUNCTION("""COMPUTED_VALUE"""),"20331A0571")</f>
        <v>20331A0571</v>
      </c>
      <c r="C631" s="97" t="str">
        <f>IFERROR(__xludf.DUMMYFUNCTION("""COMPUTED_VALUE"""),"It Essentials")</f>
        <v>It Essentials</v>
      </c>
      <c r="D631" s="96" t="str">
        <f>IFERROR(__xludf.DUMMYFUNCTION("""COMPUTED_VALUE"""),"Cisco Networking Academy")</f>
        <v>Cisco Networking Academy</v>
      </c>
      <c r="E631" s="96" t="str">
        <f>IFERROR(__xludf.DUMMYFUNCTION("""COMPUTED_VALUE"""),"2months 2weeks")</f>
        <v>2months 2weeks</v>
      </c>
      <c r="F631" s="98">
        <f>IFERROR(__xludf.DUMMYFUNCTION("""COMPUTED_VALUE"""),44321.0)</f>
        <v>44321</v>
      </c>
      <c r="G631" s="98">
        <f>IFERROR(__xludf.DUMMYFUNCTION("""COMPUTED_VALUE"""),44393.0)</f>
        <v>44393</v>
      </c>
      <c r="H631" s="99">
        <f>IFERROR(__xludf.DUMMYFUNCTION("""COMPUTED_VALUE"""),44393.0)</f>
        <v>44393</v>
      </c>
      <c r="I631" s="100">
        <f>IFERROR(__xludf.DUMMYFUNCTION("""COMPUTED_VALUE"""),90.0)</f>
        <v>90</v>
      </c>
      <c r="J631" s="96" t="str">
        <f>IFERROR(__xludf.DUMMYFUNCTION("""COMPUTED_VALUE"""),"K V Subbaraju")</f>
        <v>K V Subbaraju</v>
      </c>
      <c r="K631" s="101" t="str">
        <f>IFERROR(__xludf.DUMMYFUNCTION("""COMPUTED_VALUE"""),"https://drive.google.com/open?id=1V0NQc24We23LH8EhxU-DoWWBxbWP-qw8")</f>
        <v>https://drive.google.com/open?id=1V0NQc24We23LH8EhxU-DoWWBxbWP-qw8</v>
      </c>
      <c r="L631" s="96" t="str">
        <f>IFERROR(__xludf.DUMMYFUNCTION("""COMPUTED_VALUE"""),"2020-2024")</f>
        <v>2020-2024</v>
      </c>
      <c r="M631" s="96" t="str">
        <f>IFERROR(__xludf.DUMMYFUNCTION("""COMPUTED_VALUE"""),"S4: Student Certifications")</f>
        <v>S4: Student Certifications</v>
      </c>
      <c r="N631" s="96" t="str">
        <f>IFERROR(__xludf.DUMMYFUNCTION("""COMPUTED_VALUE"""),"harshitdhanuka92@gmail.com")</f>
        <v>harshitdhanuka92@gmail.com</v>
      </c>
      <c r="O631" s="96" t="str">
        <f>IFERROR(__xludf.DUMMYFUNCTION("""COMPUTED_VALUE"""),"SEM-4")</f>
        <v>SEM-4</v>
      </c>
      <c r="P631" s="96"/>
      <c r="Q631" s="96"/>
      <c r="R631" s="96"/>
      <c r="S631" s="96"/>
      <c r="T631" s="96"/>
      <c r="U631" s="96"/>
      <c r="V631" s="96"/>
      <c r="W631" s="96"/>
      <c r="X631" s="96"/>
      <c r="Y631" s="96"/>
    </row>
    <row r="632" ht="26.25" customHeight="1">
      <c r="A632" s="96" t="str">
        <f>IFERROR(__xludf.DUMMYFUNCTION("""COMPUTED_VALUE"""),"Gayathri Gondi")</f>
        <v>Gayathri Gondi</v>
      </c>
      <c r="B632" s="96" t="str">
        <f>IFERROR(__xludf.DUMMYFUNCTION("""COMPUTED_VALUE"""),"19331A0553")</f>
        <v>19331A0553</v>
      </c>
      <c r="C632" s="97" t="str">
        <f>IFERROR(__xludf.DUMMYFUNCTION("""COMPUTED_VALUE"""),"CLA - Programming Essentials in C")</f>
        <v>CLA - Programming Essentials in C</v>
      </c>
      <c r="D632" s="96" t="str">
        <f>IFERROR(__xludf.DUMMYFUNCTION("""COMPUTED_VALUE"""),"Cisco Networking Academy")</f>
        <v>Cisco Networking Academy</v>
      </c>
      <c r="E632" s="96" t="str">
        <f>IFERROR(__xludf.DUMMYFUNCTION("""COMPUTED_VALUE"""),"70 hours")</f>
        <v>70 hours</v>
      </c>
      <c r="F632" s="98">
        <f>IFERROR(__xludf.DUMMYFUNCTION("""COMPUTED_VALUE"""),43931.0)</f>
        <v>43931</v>
      </c>
      <c r="G632" s="98">
        <f>IFERROR(__xludf.DUMMYFUNCTION("""COMPUTED_VALUE"""),43981.0)</f>
        <v>43981</v>
      </c>
      <c r="H632" s="99">
        <f>IFERROR(__xludf.DUMMYFUNCTION("""COMPUTED_VALUE"""),43981.0)</f>
        <v>43981</v>
      </c>
      <c r="I632" s="100"/>
      <c r="J632" s="96" t="str">
        <f>IFERROR(__xludf.DUMMYFUNCTION("""COMPUTED_VALUE"""),"Subba Raju K V")</f>
        <v>Subba Raju K V</v>
      </c>
      <c r="K632" s="101" t="str">
        <f>IFERROR(__xludf.DUMMYFUNCTION("""COMPUTED_VALUE"""),"https://drive.google.com/open?id=1L9EdbAfI7EPrI4X-M6NqXT4KXwvZicpg")</f>
        <v>https://drive.google.com/open?id=1L9EdbAfI7EPrI4X-M6NqXT4KXwvZicpg</v>
      </c>
      <c r="L632" s="96" t="str">
        <f>IFERROR(__xludf.DUMMYFUNCTION("""COMPUTED_VALUE"""),"2019-2023")</f>
        <v>2019-2023</v>
      </c>
      <c r="M632" s="96" t="str">
        <f>IFERROR(__xludf.DUMMYFUNCTION("""COMPUTED_VALUE"""),"S4: Student Certifications")</f>
        <v>S4: Student Certifications</v>
      </c>
      <c r="N632" s="96" t="str">
        <f>IFERROR(__xludf.DUMMYFUNCTION("""COMPUTED_VALUE"""),"gayathrigondi2204@gmail.com")</f>
        <v>gayathrigondi2204@gmail.com</v>
      </c>
      <c r="O632" s="96" t="str">
        <f>IFERROR(__xludf.DUMMYFUNCTION("""COMPUTED_VALUE"""),"SEM-6")</f>
        <v>SEM-6</v>
      </c>
      <c r="P632" s="96"/>
      <c r="Q632" s="96"/>
      <c r="R632" s="96"/>
      <c r="S632" s="96"/>
      <c r="T632" s="96"/>
      <c r="U632" s="96"/>
      <c r="V632" s="96"/>
      <c r="W632" s="96"/>
      <c r="X632" s="96"/>
      <c r="Y632" s="96"/>
    </row>
    <row r="633" ht="26.25" customHeight="1">
      <c r="A633" s="96" t="str">
        <f>IFERROR(__xludf.DUMMYFUNCTION("""COMPUTED_VALUE"""),"Gayathri Gondi")</f>
        <v>Gayathri Gondi</v>
      </c>
      <c r="B633" s="96" t="str">
        <f>IFERROR(__xludf.DUMMYFUNCTION("""COMPUTED_VALUE"""),"19331a0553")</f>
        <v>19331a0553</v>
      </c>
      <c r="C633" s="97" t="str">
        <f>IFERROR(__xludf.DUMMYFUNCTION("""COMPUTED_VALUE"""),"T Essentials: PC Hardware and Software")</f>
        <v>T Essentials: PC Hardware and Software</v>
      </c>
      <c r="D633" s="96" t="str">
        <f>IFERROR(__xludf.DUMMYFUNCTION("""COMPUTED_VALUE"""),"Cisco Networking Academy")</f>
        <v>Cisco Networking Academy</v>
      </c>
      <c r="E633" s="96" t="str">
        <f>IFERROR(__xludf.DUMMYFUNCTION("""COMPUTED_VALUE"""),"70 hours")</f>
        <v>70 hours</v>
      </c>
      <c r="F633" s="98">
        <f>IFERROR(__xludf.DUMMYFUNCTION("""COMPUTED_VALUE"""),44036.0)</f>
        <v>44036</v>
      </c>
      <c r="G633" s="98">
        <f>IFERROR(__xludf.DUMMYFUNCTION("""COMPUTED_VALUE"""),44072.0)</f>
        <v>44072</v>
      </c>
      <c r="H633" s="99">
        <f>IFERROR(__xludf.DUMMYFUNCTION("""COMPUTED_VALUE"""),44072.0)</f>
        <v>44072</v>
      </c>
      <c r="I633" s="100"/>
      <c r="J633" s="96" t="str">
        <f>IFERROR(__xludf.DUMMYFUNCTION("""COMPUTED_VALUE"""),"Dr. Suvarna Kumar Gogula")</f>
        <v>Dr. Suvarna Kumar Gogula</v>
      </c>
      <c r="K633" s="101" t="str">
        <f>IFERROR(__xludf.DUMMYFUNCTION("""COMPUTED_VALUE"""),"https://drive.google.com/open?id=1jZqgHUFv77c-1WLKoijFh6ALBy9Ux1It")</f>
        <v>https://drive.google.com/open?id=1jZqgHUFv77c-1WLKoijFh6ALBy9Ux1It</v>
      </c>
      <c r="L633" s="96" t="str">
        <f>IFERROR(__xludf.DUMMYFUNCTION("""COMPUTED_VALUE"""),"2019-2023")</f>
        <v>2019-2023</v>
      </c>
      <c r="M633" s="96" t="str">
        <f>IFERROR(__xludf.DUMMYFUNCTION("""COMPUTED_VALUE"""),"S4: Student Certifications")</f>
        <v>S4: Student Certifications</v>
      </c>
      <c r="N633" s="96" t="str">
        <f>IFERROR(__xludf.DUMMYFUNCTION("""COMPUTED_VALUE"""),"gayathrigondi2204@gmail.com")</f>
        <v>gayathrigondi2204@gmail.com</v>
      </c>
      <c r="O633" s="96" t="str">
        <f>IFERROR(__xludf.DUMMYFUNCTION("""COMPUTED_VALUE"""),"SEM-6")</f>
        <v>SEM-6</v>
      </c>
      <c r="P633" s="96"/>
      <c r="Q633" s="96"/>
      <c r="R633" s="96"/>
      <c r="S633" s="96"/>
      <c r="T633" s="96"/>
      <c r="U633" s="96"/>
      <c r="V633" s="96"/>
      <c r="W633" s="96"/>
      <c r="X633" s="96"/>
      <c r="Y633" s="96"/>
    </row>
    <row r="634" ht="26.25" customHeight="1">
      <c r="A634" s="96" t="str">
        <f>IFERROR(__xludf.DUMMYFUNCTION("""COMPUTED_VALUE"""),"Gayathri Gondi")</f>
        <v>Gayathri Gondi</v>
      </c>
      <c r="B634" s="96" t="str">
        <f>IFERROR(__xludf.DUMMYFUNCTION("""COMPUTED_VALUE"""),"19331a0553")</f>
        <v>19331a0553</v>
      </c>
      <c r="C634" s="97" t="str">
        <f>IFERROR(__xludf.DUMMYFUNCTION("""COMPUTED_VALUE"""),"Python 2019-23 III Sem CSE Sec A")</f>
        <v>Python 2019-23 III Sem CSE Sec A</v>
      </c>
      <c r="D634" s="96" t="str">
        <f>IFERROR(__xludf.DUMMYFUNCTION("""COMPUTED_VALUE"""),"Cisco Networking Academy")</f>
        <v>Cisco Networking Academy</v>
      </c>
      <c r="E634" s="96" t="str">
        <f>IFERROR(__xludf.DUMMYFUNCTION("""COMPUTED_VALUE"""),"75 hours")</f>
        <v>75 hours</v>
      </c>
      <c r="F634" s="98">
        <f>IFERROR(__xludf.DUMMYFUNCTION("""COMPUTED_VALUE"""),44270.0)</f>
        <v>44270</v>
      </c>
      <c r="G634" s="98">
        <f>IFERROR(__xludf.DUMMYFUNCTION("""COMPUTED_VALUE"""),44308.0)</f>
        <v>44308</v>
      </c>
      <c r="H634" s="99">
        <f>IFERROR(__xludf.DUMMYFUNCTION("""COMPUTED_VALUE"""),44308.0)</f>
        <v>44308</v>
      </c>
      <c r="I634" s="100"/>
      <c r="J634" s="96" t="str">
        <f>IFERROR(__xludf.DUMMYFUNCTION("""COMPUTED_VALUE""")," JAYASRI SAI VENKATA ANGARA")</f>
        <v> JAYASRI SAI VENKATA ANGARA</v>
      </c>
      <c r="K634" s="101" t="str">
        <f>IFERROR(__xludf.DUMMYFUNCTION("""COMPUTED_VALUE"""),"https://drive.google.com/open?id=1FE0_HvNkyx3uHLZDuU658DZshp-63E4t")</f>
        <v>https://drive.google.com/open?id=1FE0_HvNkyx3uHLZDuU658DZshp-63E4t</v>
      </c>
      <c r="L634" s="96" t="str">
        <f>IFERROR(__xludf.DUMMYFUNCTION("""COMPUTED_VALUE"""),"2019-2023")</f>
        <v>2019-2023</v>
      </c>
      <c r="M634" s="96" t="str">
        <f>IFERROR(__xludf.DUMMYFUNCTION("""COMPUTED_VALUE"""),"S4: Student Certifications")</f>
        <v>S4: Student Certifications</v>
      </c>
      <c r="N634" s="96" t="str">
        <f>IFERROR(__xludf.DUMMYFUNCTION("""COMPUTED_VALUE"""),"gayathrigondi2204@gmail.com")</f>
        <v>gayathrigondi2204@gmail.com</v>
      </c>
      <c r="O634" s="96" t="str">
        <f>IFERROR(__xludf.DUMMYFUNCTION("""COMPUTED_VALUE"""),"SEM-6")</f>
        <v>SEM-6</v>
      </c>
      <c r="P634" s="96"/>
      <c r="Q634" s="96"/>
      <c r="R634" s="96"/>
      <c r="S634" s="96"/>
      <c r="T634" s="96"/>
      <c r="U634" s="96"/>
      <c r="V634" s="96"/>
      <c r="W634" s="96"/>
      <c r="X634" s="96"/>
      <c r="Y634" s="96"/>
    </row>
    <row r="635" ht="26.25" customHeight="1">
      <c r="A635" s="96" t="str">
        <f>IFERROR(__xludf.DUMMYFUNCTION("""COMPUTED_VALUE"""),"KADAMANTI SRAVAN")</f>
        <v>KADAMANTI SRAVAN</v>
      </c>
      <c r="B635" s="96" t="str">
        <f>IFERROR(__xludf.DUMMYFUNCTION("""COMPUTED_VALUE"""),"20331A0577")</f>
        <v>20331A0577</v>
      </c>
      <c r="C635" s="97" t="str">
        <f>IFERROR(__xludf.DUMMYFUNCTION("""COMPUTED_VALUE"""),"IT ESSENTIALS")</f>
        <v>IT ESSENTIALS</v>
      </c>
      <c r="D635" s="96" t="str">
        <f>IFERROR(__xludf.DUMMYFUNCTION("""COMPUTED_VALUE"""),"CISCO NETWORKING ACADEMY")</f>
        <v>CISCO NETWORKING ACADEMY</v>
      </c>
      <c r="E635" s="96" t="str">
        <f>IFERROR(__xludf.DUMMYFUNCTION("""COMPUTED_VALUE"""),"2 MONTHS")</f>
        <v>2 MONTHS</v>
      </c>
      <c r="F635" s="98">
        <f>IFERROR(__xludf.DUMMYFUNCTION("""COMPUTED_VALUE"""),44334.0)</f>
        <v>44334</v>
      </c>
      <c r="G635" s="98">
        <f>IFERROR(__xludf.DUMMYFUNCTION("""COMPUTED_VALUE"""),44395.0)</f>
        <v>44395</v>
      </c>
      <c r="H635" s="99">
        <f>IFERROR(__xludf.DUMMYFUNCTION("""COMPUTED_VALUE"""),44394.0)</f>
        <v>44394</v>
      </c>
      <c r="I635" s="100">
        <f>IFERROR(__xludf.DUMMYFUNCTION("""COMPUTED_VALUE"""),94.0)</f>
        <v>94</v>
      </c>
      <c r="J635" s="96" t="str">
        <f>IFERROR(__xludf.DUMMYFUNCTION("""COMPUTED_VALUE"""),"KV SUBBA RAJU ")</f>
        <v>KV SUBBA RAJU </v>
      </c>
      <c r="K635" s="101" t="str">
        <f>IFERROR(__xludf.DUMMYFUNCTION("""COMPUTED_VALUE"""),"https://drive.google.com/open?id=1m23VxHdX4Zs3AvCLywt75uFllkTGKKTd")</f>
        <v>https://drive.google.com/open?id=1m23VxHdX4Zs3AvCLywt75uFllkTGKKTd</v>
      </c>
      <c r="L635" s="96" t="str">
        <f>IFERROR(__xludf.DUMMYFUNCTION("""COMPUTED_VALUE"""),"2020-2024")</f>
        <v>2020-2024</v>
      </c>
      <c r="M635" s="96" t="str">
        <f>IFERROR(__xludf.DUMMYFUNCTION("""COMPUTED_VALUE"""),"S4: Student Certifications")</f>
        <v>S4: Student Certifications</v>
      </c>
      <c r="N635" s="96" t="str">
        <f>IFERROR(__xludf.DUMMYFUNCTION("""COMPUTED_VALUE"""),"kadamantisravan10@gmail.com")</f>
        <v>kadamantisravan10@gmail.com</v>
      </c>
      <c r="O635" s="96" t="str">
        <f>IFERROR(__xludf.DUMMYFUNCTION("""COMPUTED_VALUE"""),"SEM-4")</f>
        <v>SEM-4</v>
      </c>
      <c r="P635" s="96"/>
      <c r="Q635" s="96"/>
      <c r="R635" s="96"/>
      <c r="S635" s="96"/>
      <c r="T635" s="96"/>
      <c r="U635" s="96"/>
      <c r="V635" s="96"/>
      <c r="W635" s="96"/>
      <c r="X635" s="96"/>
      <c r="Y635" s="96"/>
    </row>
    <row r="636" ht="26.25" customHeight="1">
      <c r="A636" s="96" t="str">
        <f>IFERROR(__xludf.DUMMYFUNCTION("""COMPUTED_VALUE"""),"KADAMANTI SRAVAN")</f>
        <v>KADAMANTI SRAVAN</v>
      </c>
      <c r="B636" s="96" t="str">
        <f>IFERROR(__xludf.DUMMYFUNCTION("""COMPUTED_VALUE"""),"20331A0577")</f>
        <v>20331A0577</v>
      </c>
      <c r="C636" s="97" t="str">
        <f>IFERROR(__xludf.DUMMYFUNCTION("""COMPUTED_VALUE"""),"RED HAT LINUX ADMINSTRATION (RH134)")</f>
        <v>RED HAT LINUX ADMINSTRATION (RH134)</v>
      </c>
      <c r="D636" s="96" t="str">
        <f>IFERROR(__xludf.DUMMYFUNCTION("""COMPUTED_VALUE"""),"AICT ")</f>
        <v>AICT </v>
      </c>
      <c r="E636" s="96" t="str">
        <f>IFERROR(__xludf.DUMMYFUNCTION("""COMPUTED_VALUE"""),"2MONTHS")</f>
        <v>2MONTHS</v>
      </c>
      <c r="F636" s="98">
        <f>IFERROR(__xludf.DUMMYFUNCTION("""COMPUTED_VALUE"""),44603.0)</f>
        <v>44603</v>
      </c>
      <c r="G636" s="98">
        <f>IFERROR(__xludf.DUMMYFUNCTION("""COMPUTED_VALUE"""),44662.0)</f>
        <v>44662</v>
      </c>
      <c r="H636" s="99">
        <f>IFERROR(__xludf.DUMMYFUNCTION("""COMPUTED_VALUE"""),44652.0)</f>
        <v>44652</v>
      </c>
      <c r="I636" s="100">
        <f>IFERROR(__xludf.DUMMYFUNCTION("""COMPUTED_VALUE"""),94.0)</f>
        <v>94</v>
      </c>
      <c r="J636" s="96" t="str">
        <f>IFERROR(__xludf.DUMMYFUNCTION("""COMPUTED_VALUE"""),"KV SUBBA RAJU")</f>
        <v>KV SUBBA RAJU</v>
      </c>
      <c r="K636" s="101" t="str">
        <f>IFERROR(__xludf.DUMMYFUNCTION("""COMPUTED_VALUE"""),"https://drive.google.com/open?id=18UCOVjctEmUkeWvKSK3EwxxqYBTuhM8l")</f>
        <v>https://drive.google.com/open?id=18UCOVjctEmUkeWvKSK3EwxxqYBTuhM8l</v>
      </c>
      <c r="L636" s="96" t="str">
        <f>IFERROR(__xludf.DUMMYFUNCTION("""COMPUTED_VALUE"""),"2020-2024")</f>
        <v>2020-2024</v>
      </c>
      <c r="M636" s="96" t="str">
        <f>IFERROR(__xludf.DUMMYFUNCTION("""COMPUTED_VALUE"""),"S4: Student Certifications")</f>
        <v>S4: Student Certifications</v>
      </c>
      <c r="N636" s="96" t="str">
        <f>IFERROR(__xludf.DUMMYFUNCTION("""COMPUTED_VALUE"""),"kadamantisravan10@gmail.com")</f>
        <v>kadamantisravan10@gmail.com</v>
      </c>
      <c r="O636" s="96" t="str">
        <f>IFERROR(__xludf.DUMMYFUNCTION("""COMPUTED_VALUE"""),"SEM-4")</f>
        <v>SEM-4</v>
      </c>
      <c r="P636" s="96"/>
      <c r="Q636" s="96"/>
      <c r="R636" s="96"/>
      <c r="S636" s="96"/>
      <c r="T636" s="96"/>
      <c r="U636" s="96"/>
      <c r="V636" s="96"/>
      <c r="W636" s="96"/>
      <c r="X636" s="96"/>
      <c r="Y636" s="96"/>
    </row>
    <row r="637" ht="26.25" customHeight="1">
      <c r="A637" s="96" t="str">
        <f>IFERROR(__xludf.DUMMYFUNCTION("""COMPUTED_VALUE"""),"KADAMANTI SRAVAN")</f>
        <v>KADAMANTI SRAVAN</v>
      </c>
      <c r="B637" s="96" t="str">
        <f>IFERROR(__xludf.DUMMYFUNCTION("""COMPUTED_VALUE"""),"20331A0577")</f>
        <v>20331A0577</v>
      </c>
      <c r="C637" s="97" t="str">
        <f>IFERROR(__xludf.DUMMYFUNCTION("""COMPUTED_VALUE"""),"RED HAT LINUX ADMINSTRATION (RH124)")</f>
        <v>RED HAT LINUX ADMINSTRATION (RH124)</v>
      </c>
      <c r="D637" s="96" t="str">
        <f>IFERROR(__xludf.DUMMYFUNCTION("""COMPUTED_VALUE"""),"AICT")</f>
        <v>AICT</v>
      </c>
      <c r="E637" s="96" t="str">
        <f>IFERROR(__xludf.DUMMYFUNCTION("""COMPUTED_VALUE"""),"2MONTHS")</f>
        <v>2MONTHS</v>
      </c>
      <c r="F637" s="98">
        <f>IFERROR(__xludf.DUMMYFUNCTION("""COMPUTED_VALUE"""),44603.0)</f>
        <v>44603</v>
      </c>
      <c r="G637" s="98">
        <f>IFERROR(__xludf.DUMMYFUNCTION("""COMPUTED_VALUE"""),44662.0)</f>
        <v>44662</v>
      </c>
      <c r="H637" s="99">
        <f>IFERROR(__xludf.DUMMYFUNCTION("""COMPUTED_VALUE"""),44652.0)</f>
        <v>44652</v>
      </c>
      <c r="I637" s="100">
        <f>IFERROR(__xludf.DUMMYFUNCTION("""COMPUTED_VALUE"""),94.0)</f>
        <v>94</v>
      </c>
      <c r="J637" s="96" t="str">
        <f>IFERROR(__xludf.DUMMYFUNCTION("""COMPUTED_VALUE"""),"KV SUBBA RAJU ")</f>
        <v>KV SUBBA RAJU </v>
      </c>
      <c r="K637" s="101" t="str">
        <f>IFERROR(__xludf.DUMMYFUNCTION("""COMPUTED_VALUE"""),"https://drive.google.com/open?id=1Br9osdp4Z29Y2syRxU08Ud0JMlMK7QRZ")</f>
        <v>https://drive.google.com/open?id=1Br9osdp4Z29Y2syRxU08Ud0JMlMK7QRZ</v>
      </c>
      <c r="L637" s="96" t="str">
        <f>IFERROR(__xludf.DUMMYFUNCTION("""COMPUTED_VALUE"""),"2020-2024")</f>
        <v>2020-2024</v>
      </c>
      <c r="M637" s="96" t="str">
        <f>IFERROR(__xludf.DUMMYFUNCTION("""COMPUTED_VALUE"""),"S4: Student Certifications")</f>
        <v>S4: Student Certifications</v>
      </c>
      <c r="N637" s="96" t="str">
        <f>IFERROR(__xludf.DUMMYFUNCTION("""COMPUTED_VALUE"""),"kadamantisravan10@gmail.com")</f>
        <v>kadamantisravan10@gmail.com</v>
      </c>
      <c r="O637" s="96" t="str">
        <f>IFERROR(__xludf.DUMMYFUNCTION("""COMPUTED_VALUE"""),"SEM-4")</f>
        <v>SEM-4</v>
      </c>
      <c r="P637" s="96"/>
      <c r="Q637" s="96"/>
      <c r="R637" s="96"/>
      <c r="S637" s="96"/>
      <c r="T637" s="96"/>
      <c r="U637" s="96"/>
      <c r="V637" s="96"/>
      <c r="W637" s="96"/>
      <c r="X637" s="96"/>
      <c r="Y637" s="96"/>
    </row>
    <row r="638" ht="26.25" customHeight="1">
      <c r="A638" s="74" t="str">
        <f>IFERROR(__xludf.DUMMYFUNCTION("""COMPUTED_VALUE"""),"Nakkina Visrutha")</f>
        <v>Nakkina Visrutha</v>
      </c>
      <c r="B638" s="74" t="str">
        <f>IFERROR(__xludf.DUMMYFUNCTION("""COMPUTED_VALUE"""),"18331A05A6")</f>
        <v>18331A05A6</v>
      </c>
      <c r="C638" s="90" t="str">
        <f>IFERROR(__xludf.DUMMYFUNCTION("""COMPUTED_VALUE"""),"Cybersecurity Essentials")</f>
        <v>Cybersecurity Essentials</v>
      </c>
      <c r="D638" s="74" t="str">
        <f>IFERROR(__xludf.DUMMYFUNCTION("""COMPUTED_VALUE"""),"Cisco")</f>
        <v>Cisco</v>
      </c>
      <c r="E638" s="74" t="str">
        <f>IFERROR(__xludf.DUMMYFUNCTION("""COMPUTED_VALUE"""),"2 months")</f>
        <v>2 months</v>
      </c>
      <c r="F638" s="91">
        <f>IFERROR(__xludf.DUMMYFUNCTION("""COMPUTED_VALUE"""),43611.0)</f>
        <v>43611</v>
      </c>
      <c r="G638" s="91">
        <f>IFERROR(__xludf.DUMMYFUNCTION("""COMPUTED_VALUE"""),43674.0)</f>
        <v>43674</v>
      </c>
      <c r="H638" s="79">
        <f>IFERROR(__xludf.DUMMYFUNCTION("""COMPUTED_VALUE"""),43675.0)</f>
        <v>43675</v>
      </c>
      <c r="I638" s="92">
        <f>IFERROR(__xludf.DUMMYFUNCTION("""COMPUTED_VALUE"""),0.74)</f>
        <v>0.74</v>
      </c>
      <c r="J638" s="74" t="str">
        <f>IFERROR(__xludf.DUMMYFUNCTION("""COMPUTED_VALUE"""),"Ravi Kiran Varma")</f>
        <v>Ravi Kiran Varma</v>
      </c>
      <c r="K638" s="80" t="str">
        <f>IFERROR(__xludf.DUMMYFUNCTION("""COMPUTED_VALUE"""),"https://drive.google.com/open?id=1j4dQCVh65KHXq89qFXkKzrxq4tCfzD-j")</f>
        <v>https://drive.google.com/open?id=1j4dQCVh65KHXq89qFXkKzrxq4tCfzD-j</v>
      </c>
      <c r="L638" s="74" t="str">
        <f>IFERROR(__xludf.DUMMYFUNCTION("""COMPUTED_VALUE"""),"2018-2022")</f>
        <v>2018-2022</v>
      </c>
      <c r="M638" s="74" t="str">
        <f>IFERROR(__xludf.DUMMYFUNCTION("""COMPUTED_VALUE"""),"S4: Student Certifications")</f>
        <v>S4: Student Certifications</v>
      </c>
      <c r="N638" s="74" t="str">
        <f>IFERROR(__xludf.DUMMYFUNCTION("""COMPUTED_VALUE"""),"visrutha2001@gmail.com")</f>
        <v>visrutha2001@gmail.com</v>
      </c>
      <c r="O638" s="74" t="str">
        <f>IFERROR(__xludf.DUMMYFUNCTION("""COMPUTED_VALUE"""),"SEM-3")</f>
        <v>SEM-3</v>
      </c>
      <c r="P638" s="74"/>
      <c r="Q638" s="74"/>
      <c r="R638" s="74"/>
      <c r="S638" s="74"/>
      <c r="T638" s="74"/>
      <c r="U638" s="74"/>
      <c r="V638" s="74"/>
      <c r="W638" s="74"/>
      <c r="X638" s="74"/>
      <c r="Y638" s="74"/>
    </row>
    <row r="639" ht="26.25" customHeight="1">
      <c r="A639" s="74" t="str">
        <f>IFERROR(__xludf.DUMMYFUNCTION("""COMPUTED_VALUE"""),"Nakkina Visrutha")</f>
        <v>Nakkina Visrutha</v>
      </c>
      <c r="B639" s="74" t="str">
        <f>IFERROR(__xludf.DUMMYFUNCTION("""COMPUTED_VALUE"""),"18331A05A6")</f>
        <v>18331A05A6</v>
      </c>
      <c r="C639" s="90" t="str">
        <f>IFERROR(__xludf.DUMMYFUNCTION("""COMPUTED_VALUE"""),"CPA - Programming Essentials in C++")</f>
        <v>CPA - Programming Essentials in C++</v>
      </c>
      <c r="D639" s="74" t="str">
        <f>IFERROR(__xludf.DUMMYFUNCTION("""COMPUTED_VALUE"""),"Cisco")</f>
        <v>Cisco</v>
      </c>
      <c r="E639" s="74" t="str">
        <f>IFERROR(__xludf.DUMMYFUNCTION("""COMPUTED_VALUE"""),"1 month")</f>
        <v>1 month</v>
      </c>
      <c r="F639" s="91">
        <f>IFERROR(__xludf.DUMMYFUNCTION("""COMPUTED_VALUE"""),43910.0)</f>
        <v>43910</v>
      </c>
      <c r="G639" s="91">
        <f>IFERROR(__xludf.DUMMYFUNCTION("""COMPUTED_VALUE"""),43942.0)</f>
        <v>43942</v>
      </c>
      <c r="H639" s="79">
        <f>IFERROR(__xludf.DUMMYFUNCTION("""COMPUTED_VALUE"""),43943.0)</f>
        <v>43943</v>
      </c>
      <c r="I639" s="92">
        <f>IFERROR(__xludf.DUMMYFUNCTION("""COMPUTED_VALUE"""),0.87)</f>
        <v>0.87</v>
      </c>
      <c r="J639" s="74" t="str">
        <f>IFERROR(__xludf.DUMMYFUNCTION("""COMPUTED_VALUE"""),"Subba Raju K V")</f>
        <v>Subba Raju K V</v>
      </c>
      <c r="K639" s="80" t="str">
        <f>IFERROR(__xludf.DUMMYFUNCTION("""COMPUTED_VALUE"""),"https://drive.google.com/open?id=1Gk5FuNyOEn3ZKyId4GWfgMUKEX9yMALO")</f>
        <v>https://drive.google.com/open?id=1Gk5FuNyOEn3ZKyId4GWfgMUKEX9yMALO</v>
      </c>
      <c r="L639" s="74" t="str">
        <f>IFERROR(__xludf.DUMMYFUNCTION("""COMPUTED_VALUE"""),"2018-2022")</f>
        <v>2018-2022</v>
      </c>
      <c r="M639" s="74" t="str">
        <f>IFERROR(__xludf.DUMMYFUNCTION("""COMPUTED_VALUE"""),"S4: Student Certifications")</f>
        <v>S4: Student Certifications</v>
      </c>
      <c r="N639" s="74" t="str">
        <f>IFERROR(__xludf.DUMMYFUNCTION("""COMPUTED_VALUE"""),"visrutha2001@gmail.com")</f>
        <v>visrutha2001@gmail.com</v>
      </c>
      <c r="O639" s="74" t="str">
        <f>IFERROR(__xludf.DUMMYFUNCTION("""COMPUTED_VALUE"""),"SEM-4")</f>
        <v>SEM-4</v>
      </c>
      <c r="P639" s="74"/>
      <c r="Q639" s="74"/>
      <c r="R639" s="74"/>
      <c r="S639" s="74"/>
      <c r="T639" s="74"/>
      <c r="U639" s="74"/>
      <c r="V639" s="74"/>
      <c r="W639" s="74"/>
      <c r="X639" s="74"/>
      <c r="Y639" s="74"/>
    </row>
    <row r="640" ht="26.25" customHeight="1">
      <c r="A640" s="74" t="str">
        <f>IFERROR(__xludf.DUMMYFUNCTION("""COMPUTED_VALUE"""),"Nakkina Visrutha")</f>
        <v>Nakkina Visrutha</v>
      </c>
      <c r="B640" s="74" t="str">
        <f>IFERROR(__xludf.DUMMYFUNCTION("""COMPUTED_VALUE"""),"18331A05A6")</f>
        <v>18331A05A6</v>
      </c>
      <c r="C640" s="90" t="str">
        <f>IFERROR(__xludf.DUMMYFUNCTION("""COMPUTED_VALUE"""),"Linux Essentials")</f>
        <v>Linux Essentials</v>
      </c>
      <c r="D640" s="74" t="str">
        <f>IFERROR(__xludf.DUMMYFUNCTION("""COMPUTED_VALUE"""),"Cisco")</f>
        <v>Cisco</v>
      </c>
      <c r="E640" s="74" t="str">
        <f>IFERROR(__xludf.DUMMYFUNCTION("""COMPUTED_VALUE"""),"1 month")</f>
        <v>1 month</v>
      </c>
      <c r="F640" s="91">
        <f>IFERROR(__xludf.DUMMYFUNCTION("""COMPUTED_VALUE"""),43917.0)</f>
        <v>43917</v>
      </c>
      <c r="G640" s="91">
        <f>IFERROR(__xludf.DUMMYFUNCTION("""COMPUTED_VALUE"""),43949.0)</f>
        <v>43949</v>
      </c>
      <c r="H640" s="79">
        <f>IFERROR(__xludf.DUMMYFUNCTION("""COMPUTED_VALUE"""),43950.0)</f>
        <v>43950</v>
      </c>
      <c r="I640" s="92">
        <f>IFERROR(__xludf.DUMMYFUNCTION("""COMPUTED_VALUE"""),0.93)</f>
        <v>0.93</v>
      </c>
      <c r="J640" s="74" t="str">
        <f>IFERROR(__xludf.DUMMYFUNCTION("""COMPUTED_VALUE"""),"Ravi Kiran Varma")</f>
        <v>Ravi Kiran Varma</v>
      </c>
      <c r="K640" s="80" t="str">
        <f>IFERROR(__xludf.DUMMYFUNCTION("""COMPUTED_VALUE"""),"https://drive.google.com/open?id=16FQHEBK1Sq5igP7cNRw9fRLyPnYvM-ms")</f>
        <v>https://drive.google.com/open?id=16FQHEBK1Sq5igP7cNRw9fRLyPnYvM-ms</v>
      </c>
      <c r="L640" s="74" t="str">
        <f>IFERROR(__xludf.DUMMYFUNCTION("""COMPUTED_VALUE"""),"2018-2022")</f>
        <v>2018-2022</v>
      </c>
      <c r="M640" s="74" t="str">
        <f>IFERROR(__xludf.DUMMYFUNCTION("""COMPUTED_VALUE"""),"S4: Student Certifications")</f>
        <v>S4: Student Certifications</v>
      </c>
      <c r="N640" s="74" t="str">
        <f>IFERROR(__xludf.DUMMYFUNCTION("""COMPUTED_VALUE"""),"visrutha2001@gmail.com")</f>
        <v>visrutha2001@gmail.com</v>
      </c>
      <c r="O640" s="74" t="str">
        <f>IFERROR(__xludf.DUMMYFUNCTION("""COMPUTED_VALUE"""),"SEM-4")</f>
        <v>SEM-4</v>
      </c>
      <c r="P640" s="74"/>
      <c r="Q640" s="74"/>
      <c r="R640" s="74"/>
      <c r="S640" s="74"/>
      <c r="T640" s="74"/>
      <c r="U640" s="74"/>
      <c r="V640" s="74"/>
      <c r="W640" s="74"/>
      <c r="X640" s="74"/>
      <c r="Y640" s="74"/>
    </row>
    <row r="641" ht="26.25" customHeight="1">
      <c r="A641" s="74" t="str">
        <f>IFERROR(__xludf.DUMMYFUNCTION("""COMPUTED_VALUE"""),"Nakkina Visrutha")</f>
        <v>Nakkina Visrutha</v>
      </c>
      <c r="B641" s="74" t="str">
        <f>IFERROR(__xludf.DUMMYFUNCTION("""COMPUTED_VALUE"""),"18331A05A6")</f>
        <v>18331A05A6</v>
      </c>
      <c r="C641" s="90" t="str">
        <f>IFERROR(__xludf.DUMMYFUNCTION("""COMPUTED_VALUE"""),"Introduction to Cybersecurity")</f>
        <v>Introduction to Cybersecurity</v>
      </c>
      <c r="D641" s="74" t="str">
        <f>IFERROR(__xludf.DUMMYFUNCTION("""COMPUTED_VALUE"""),"Cisco")</f>
        <v>Cisco</v>
      </c>
      <c r="E641" s="74" t="str">
        <f>IFERROR(__xludf.DUMMYFUNCTION("""COMPUTED_VALUE"""),"1 month")</f>
        <v>1 month</v>
      </c>
      <c r="F641" s="91">
        <f>IFERROR(__xludf.DUMMYFUNCTION("""COMPUTED_VALUE"""),44289.0)</f>
        <v>44289</v>
      </c>
      <c r="G641" s="91">
        <f>IFERROR(__xludf.DUMMYFUNCTION("""COMPUTED_VALUE"""),44320.0)</f>
        <v>44320</v>
      </c>
      <c r="H641" s="79">
        <f>IFERROR(__xludf.DUMMYFUNCTION("""COMPUTED_VALUE"""),44321.0)</f>
        <v>44321</v>
      </c>
      <c r="I641" s="92">
        <f>IFERROR(__xludf.DUMMYFUNCTION("""COMPUTED_VALUE"""),0.93)</f>
        <v>0.93</v>
      </c>
      <c r="J641" s="74" t="str">
        <f>IFERROR(__xludf.DUMMYFUNCTION("""COMPUTED_VALUE"""),"Subba Raju K V")</f>
        <v>Subba Raju K V</v>
      </c>
      <c r="K641" s="80" t="str">
        <f>IFERROR(__xludf.DUMMYFUNCTION("""COMPUTED_VALUE"""),"https://drive.google.com/open?id=1TUdexaEHNdOiYPHV3Cha4uQbX5XqPZhW")</f>
        <v>https://drive.google.com/open?id=1TUdexaEHNdOiYPHV3Cha4uQbX5XqPZhW</v>
      </c>
      <c r="L641" s="74" t="str">
        <f>IFERROR(__xludf.DUMMYFUNCTION("""COMPUTED_VALUE"""),"2018-2022")</f>
        <v>2018-2022</v>
      </c>
      <c r="M641" s="74" t="str">
        <f>IFERROR(__xludf.DUMMYFUNCTION("""COMPUTED_VALUE"""),"S4: Student Certifications")</f>
        <v>S4: Student Certifications</v>
      </c>
      <c r="N641" s="74" t="str">
        <f>IFERROR(__xludf.DUMMYFUNCTION("""COMPUTED_VALUE"""),"visrutha2001@gmail.com")</f>
        <v>visrutha2001@gmail.com</v>
      </c>
      <c r="O641" s="74" t="str">
        <f>IFERROR(__xludf.DUMMYFUNCTION("""COMPUTED_VALUE"""),"SEM-5")</f>
        <v>SEM-5</v>
      </c>
      <c r="P641" s="74"/>
      <c r="Q641" s="74"/>
      <c r="R641" s="74"/>
      <c r="S641" s="74"/>
      <c r="T641" s="74"/>
      <c r="U641" s="74"/>
      <c r="V641" s="74"/>
      <c r="W641" s="74"/>
      <c r="X641" s="74"/>
      <c r="Y641" s="74"/>
    </row>
    <row r="642" ht="26.25" customHeight="1">
      <c r="A642" s="74" t="str">
        <f>IFERROR(__xludf.DUMMYFUNCTION("""COMPUTED_VALUE"""),"Nakkina Visrutha")</f>
        <v>Nakkina Visrutha</v>
      </c>
      <c r="B642" s="74" t="str">
        <f>IFERROR(__xludf.DUMMYFUNCTION("""COMPUTED_VALUE"""),"18331A05A6")</f>
        <v>18331A05A6</v>
      </c>
      <c r="C642" s="90" t="str">
        <f>IFERROR(__xludf.DUMMYFUNCTION("""COMPUTED_VALUE"""),"Introduction to Packet Tracer")</f>
        <v>Introduction to Packet Tracer</v>
      </c>
      <c r="D642" s="74" t="str">
        <f>IFERROR(__xludf.DUMMYFUNCTION("""COMPUTED_VALUE"""),"Cisco")</f>
        <v>Cisco</v>
      </c>
      <c r="E642" s="74" t="str">
        <f>IFERROR(__xludf.DUMMYFUNCTION("""COMPUTED_VALUE"""),"3 weeks")</f>
        <v>3 weeks</v>
      </c>
      <c r="F642" s="91">
        <f>IFERROR(__xludf.DUMMYFUNCTION("""COMPUTED_VALUE"""),44299.0)</f>
        <v>44299</v>
      </c>
      <c r="G642" s="91">
        <f>IFERROR(__xludf.DUMMYFUNCTION("""COMPUTED_VALUE"""),44322.0)</f>
        <v>44322</v>
      </c>
      <c r="H642" s="79">
        <f>IFERROR(__xludf.DUMMYFUNCTION("""COMPUTED_VALUE"""),44323.0)</f>
        <v>44323</v>
      </c>
      <c r="I642" s="92">
        <f>IFERROR(__xludf.DUMMYFUNCTION("""COMPUTED_VALUE"""),1.0)</f>
        <v>1</v>
      </c>
      <c r="J642" s="74" t="str">
        <f>IFERROR(__xludf.DUMMYFUNCTION("""COMPUTED_VALUE"""),"Ravi Kiran Varma")</f>
        <v>Ravi Kiran Varma</v>
      </c>
      <c r="K642" s="80" t="str">
        <f>IFERROR(__xludf.DUMMYFUNCTION("""COMPUTED_VALUE"""),"https://drive.google.com/open?id=1pfY5xSV0Jpjkm30jccWxoPYm0rBdu9_6")</f>
        <v>https://drive.google.com/open?id=1pfY5xSV0Jpjkm30jccWxoPYm0rBdu9_6</v>
      </c>
      <c r="L642" s="74" t="str">
        <f>IFERROR(__xludf.DUMMYFUNCTION("""COMPUTED_VALUE"""),"2018-2022")</f>
        <v>2018-2022</v>
      </c>
      <c r="M642" s="74" t="str">
        <f>IFERROR(__xludf.DUMMYFUNCTION("""COMPUTED_VALUE"""),"S4: Student Certifications")</f>
        <v>S4: Student Certifications</v>
      </c>
      <c r="N642" s="74" t="str">
        <f>IFERROR(__xludf.DUMMYFUNCTION("""COMPUTED_VALUE"""),"visrutha2001@gmail.com")</f>
        <v>visrutha2001@gmail.com</v>
      </c>
      <c r="O642" s="74" t="str">
        <f>IFERROR(__xludf.DUMMYFUNCTION("""COMPUTED_VALUE"""),"SEM-5")</f>
        <v>SEM-5</v>
      </c>
      <c r="P642" s="74"/>
      <c r="Q642" s="74"/>
      <c r="R642" s="74"/>
      <c r="S642" s="74"/>
      <c r="T642" s="74"/>
      <c r="U642" s="74"/>
      <c r="V642" s="74"/>
      <c r="W642" s="74"/>
      <c r="X642" s="74"/>
      <c r="Y642" s="74"/>
    </row>
    <row r="643" ht="26.25" customHeight="1">
      <c r="A643" s="74" t="str">
        <f>IFERROR(__xludf.DUMMYFUNCTION("""COMPUTED_VALUE"""),"Nakkina Visrutha")</f>
        <v>Nakkina Visrutha</v>
      </c>
      <c r="B643" s="74" t="str">
        <f>IFERROR(__xludf.DUMMYFUNCTION("""COMPUTED_VALUE"""),"18331A05A6")</f>
        <v>18331A05A6</v>
      </c>
      <c r="C643" s="90" t="str">
        <f>IFERROR(__xludf.DUMMYFUNCTION("""COMPUTED_VALUE"""),"CCNA V7.02 Introduction to Networks")</f>
        <v>CCNA V7.02 Introduction to Networks</v>
      </c>
      <c r="D643" s="74" t="str">
        <f>IFERROR(__xludf.DUMMYFUNCTION("""COMPUTED_VALUE"""),"Cisco")</f>
        <v>Cisco</v>
      </c>
      <c r="E643" s="74" t="str">
        <f>IFERROR(__xludf.DUMMYFUNCTION("""COMPUTED_VALUE"""),"1 month")</f>
        <v>1 month</v>
      </c>
      <c r="F643" s="91">
        <f>IFERROR(__xludf.DUMMYFUNCTION("""COMPUTED_VALUE"""),44348.0)</f>
        <v>44348</v>
      </c>
      <c r="G643" s="91">
        <f>IFERROR(__xludf.DUMMYFUNCTION("""COMPUTED_VALUE"""),44380.0)</f>
        <v>44380</v>
      </c>
      <c r="H643" s="79">
        <f>IFERROR(__xludf.DUMMYFUNCTION("""COMPUTED_VALUE"""),44381.0)</f>
        <v>44381</v>
      </c>
      <c r="I643" s="92">
        <f>IFERROR(__xludf.DUMMYFUNCTION("""COMPUTED_VALUE"""),0.82)</f>
        <v>0.82</v>
      </c>
      <c r="J643" s="74" t="str">
        <f>IFERROR(__xludf.DUMMYFUNCTION("""COMPUTED_VALUE"""),"Ravi Kiran Varma")</f>
        <v>Ravi Kiran Varma</v>
      </c>
      <c r="K643" s="80" t="str">
        <f>IFERROR(__xludf.DUMMYFUNCTION("""COMPUTED_VALUE"""),"https://drive.google.com/open?id=1Ue1zY6fmjTuNMCQ1eMzNM_hDW5JfeMAS")</f>
        <v>https://drive.google.com/open?id=1Ue1zY6fmjTuNMCQ1eMzNM_hDW5JfeMAS</v>
      </c>
      <c r="L643" s="74" t="str">
        <f>IFERROR(__xludf.DUMMYFUNCTION("""COMPUTED_VALUE"""),"2018-2022")</f>
        <v>2018-2022</v>
      </c>
      <c r="M643" s="74" t="str">
        <f>IFERROR(__xludf.DUMMYFUNCTION("""COMPUTED_VALUE"""),"S4: Student Certifications")</f>
        <v>S4: Student Certifications</v>
      </c>
      <c r="N643" s="74" t="str">
        <f>IFERROR(__xludf.DUMMYFUNCTION("""COMPUTED_VALUE"""),"visrutha2001@gmail.com")</f>
        <v>visrutha2001@gmail.com</v>
      </c>
      <c r="O643" s="74" t="str">
        <f>IFERROR(__xludf.DUMMYFUNCTION("""COMPUTED_VALUE"""),"SEM-6")</f>
        <v>SEM-6</v>
      </c>
      <c r="P643" s="74"/>
      <c r="Q643" s="74"/>
      <c r="R643" s="74"/>
      <c r="S643" s="74"/>
      <c r="T643" s="74"/>
      <c r="U643" s="74"/>
      <c r="V643" s="74"/>
      <c r="W643" s="74"/>
      <c r="X643" s="74"/>
      <c r="Y643" s="74"/>
    </row>
    <row r="644" ht="26.25" customHeight="1">
      <c r="A644" s="74" t="str">
        <f>IFERROR(__xludf.DUMMYFUNCTION("""COMPUTED_VALUE"""),"Nakkina Visrutha")</f>
        <v>Nakkina Visrutha</v>
      </c>
      <c r="B644" s="74" t="str">
        <f>IFERROR(__xludf.DUMMYFUNCTION("""COMPUTED_VALUE"""),"18331A05A6")</f>
        <v>18331A05A6</v>
      </c>
      <c r="C644" s="90" t="str">
        <f>IFERROR(__xludf.DUMMYFUNCTION("""COMPUTED_VALUE"""),"PCAP - Programming Essentials in Python ")</f>
        <v>PCAP - Programming Essentials in Python </v>
      </c>
      <c r="D644" s="74" t="str">
        <f>IFERROR(__xludf.DUMMYFUNCTION("""COMPUTED_VALUE"""),"Cisco")</f>
        <v>Cisco</v>
      </c>
      <c r="E644" s="74" t="str">
        <f>IFERROR(__xludf.DUMMYFUNCTION("""COMPUTED_VALUE"""),"1 month")</f>
        <v>1 month</v>
      </c>
      <c r="F644" s="91">
        <f>IFERROR(__xludf.DUMMYFUNCTION("""COMPUTED_VALUE"""),44352.0)</f>
        <v>44352</v>
      </c>
      <c r="G644" s="91">
        <f>IFERROR(__xludf.DUMMYFUNCTION("""COMPUTED_VALUE"""),44385.0)</f>
        <v>44385</v>
      </c>
      <c r="H644" s="79">
        <f>IFERROR(__xludf.DUMMYFUNCTION("""COMPUTED_VALUE"""),44386.0)</f>
        <v>44386</v>
      </c>
      <c r="I644" s="92">
        <f>IFERROR(__xludf.DUMMYFUNCTION("""COMPUTED_VALUE"""),0.9)</f>
        <v>0.9</v>
      </c>
      <c r="J644" s="74" t="str">
        <f>IFERROR(__xludf.DUMMYFUNCTION("""COMPUTED_VALUE"""),"Ravi Kiran Varma")</f>
        <v>Ravi Kiran Varma</v>
      </c>
      <c r="K644" s="80" t="str">
        <f>IFERROR(__xludf.DUMMYFUNCTION("""COMPUTED_VALUE"""),"https://drive.google.com/open?id=1vIBeMPhSVPqi4P2p2StgeIVMPCBYCVJX")</f>
        <v>https://drive.google.com/open?id=1vIBeMPhSVPqi4P2p2StgeIVMPCBYCVJX</v>
      </c>
      <c r="L644" s="74" t="str">
        <f>IFERROR(__xludf.DUMMYFUNCTION("""COMPUTED_VALUE"""),"2018-2022")</f>
        <v>2018-2022</v>
      </c>
      <c r="M644" s="74" t="str">
        <f>IFERROR(__xludf.DUMMYFUNCTION("""COMPUTED_VALUE"""),"S4: Student Certifications")</f>
        <v>S4: Student Certifications</v>
      </c>
      <c r="N644" s="74" t="str">
        <f>IFERROR(__xludf.DUMMYFUNCTION("""COMPUTED_VALUE"""),"visrutha2001@gmail.com")</f>
        <v>visrutha2001@gmail.com</v>
      </c>
      <c r="O644" s="74" t="str">
        <f>IFERROR(__xludf.DUMMYFUNCTION("""COMPUTED_VALUE"""),"SEM-6")</f>
        <v>SEM-6</v>
      </c>
      <c r="P644" s="74"/>
      <c r="Q644" s="74"/>
      <c r="R644" s="74"/>
      <c r="S644" s="74"/>
      <c r="T644" s="74"/>
      <c r="U644" s="74"/>
      <c r="V644" s="74"/>
      <c r="W644" s="74"/>
      <c r="X644" s="74"/>
      <c r="Y644" s="74"/>
    </row>
    <row r="645" ht="26.25" customHeight="1">
      <c r="A645" s="74" t="str">
        <f>IFERROR(__xludf.DUMMYFUNCTION("""COMPUTED_VALUE"""),"Nakkina Visrutha")</f>
        <v>Nakkina Visrutha</v>
      </c>
      <c r="B645" s="74" t="str">
        <f>IFERROR(__xludf.DUMMYFUNCTION("""COMPUTED_VALUE"""),"18331A05A6")</f>
        <v>18331A05A6</v>
      </c>
      <c r="C645" s="90" t="str">
        <f>IFERROR(__xludf.DUMMYFUNCTION("""COMPUTED_VALUE"""),"Web Development")</f>
        <v>Web Development</v>
      </c>
      <c r="D645" s="74" t="str">
        <f>IFERROR(__xludf.DUMMYFUNCTION("""COMPUTED_VALUE"""),"Internshala")</f>
        <v>Internshala</v>
      </c>
      <c r="E645" s="74" t="str">
        <f>IFERROR(__xludf.DUMMYFUNCTION("""COMPUTED_VALUE"""),"6 weeks")</f>
        <v>6 weeks</v>
      </c>
      <c r="F645" s="91">
        <f>IFERROR(__xludf.DUMMYFUNCTION("""COMPUTED_VALUE"""),44291.0)</f>
        <v>44291</v>
      </c>
      <c r="G645" s="91">
        <f>IFERROR(__xludf.DUMMYFUNCTION("""COMPUTED_VALUE"""),44335.0)</f>
        <v>44335</v>
      </c>
      <c r="H645" s="79">
        <f>IFERROR(__xludf.DUMMYFUNCTION("""COMPUTED_VALUE"""),44336.0)</f>
        <v>44336</v>
      </c>
      <c r="I645" s="92">
        <f>IFERROR(__xludf.DUMMYFUNCTION("""COMPUTED_VALUE"""),0.54)</f>
        <v>0.54</v>
      </c>
      <c r="J645" s="74" t="str">
        <f>IFERROR(__xludf.DUMMYFUNCTION("""COMPUTED_VALUE"""),"Sarvesh Agarwal")</f>
        <v>Sarvesh Agarwal</v>
      </c>
      <c r="K645" s="80" t="str">
        <f>IFERROR(__xludf.DUMMYFUNCTION("""COMPUTED_VALUE"""),"https://drive.google.com/open?id=1c29JlK1hYarwHb69KZRXURiOigcjghFZ")</f>
        <v>https://drive.google.com/open?id=1c29JlK1hYarwHb69KZRXURiOigcjghFZ</v>
      </c>
      <c r="L645" s="74" t="str">
        <f>IFERROR(__xludf.DUMMYFUNCTION("""COMPUTED_VALUE"""),"2018-2022")</f>
        <v>2018-2022</v>
      </c>
      <c r="M645" s="74" t="str">
        <f>IFERROR(__xludf.DUMMYFUNCTION("""COMPUTED_VALUE"""),"S4: Student Certifications")</f>
        <v>S4: Student Certifications</v>
      </c>
      <c r="N645" s="74" t="str">
        <f>IFERROR(__xludf.DUMMYFUNCTION("""COMPUTED_VALUE"""),"visrutha2001@gmail.com")</f>
        <v>visrutha2001@gmail.com</v>
      </c>
      <c r="O645" s="74" t="str">
        <f>IFERROR(__xludf.DUMMYFUNCTION("""COMPUTED_VALUE"""),"SEM-6")</f>
        <v>SEM-6</v>
      </c>
      <c r="P645" s="74"/>
      <c r="Q645" s="74"/>
      <c r="R645" s="74"/>
      <c r="S645" s="74"/>
      <c r="T645" s="74"/>
      <c r="U645" s="74"/>
      <c r="V645" s="74"/>
      <c r="W645" s="74"/>
      <c r="X645" s="74"/>
      <c r="Y645" s="74"/>
    </row>
    <row r="646" ht="26.25" customHeight="1">
      <c r="A646" s="74" t="str">
        <f>IFERROR(__xludf.DUMMYFUNCTION("""COMPUTED_VALUE"""),"Gorsa Uma Mahesh")</f>
        <v>Gorsa Uma Mahesh</v>
      </c>
      <c r="B646" s="74" t="str">
        <f>IFERROR(__xludf.DUMMYFUNCTION("""COMPUTED_VALUE"""),"18331A0550")</f>
        <v>18331A0550</v>
      </c>
      <c r="C646" s="90" t="str">
        <f>IFERROR(__xludf.DUMMYFUNCTION("""COMPUTED_VALUE"""),"Cybersecurity Essentials")</f>
        <v>Cybersecurity Essentials</v>
      </c>
      <c r="D646" s="74" t="str">
        <f>IFERROR(__xludf.DUMMYFUNCTION("""COMPUTED_VALUE"""),"Cisco")</f>
        <v>Cisco</v>
      </c>
      <c r="E646" s="74" t="str">
        <f>IFERROR(__xludf.DUMMYFUNCTION("""COMPUTED_VALUE"""),"90 days")</f>
        <v>90 days</v>
      </c>
      <c r="F646" s="91">
        <f>IFERROR(__xludf.DUMMYFUNCTION("""COMPUTED_VALUE"""),43581.0)</f>
        <v>43581</v>
      </c>
      <c r="G646" s="91">
        <f>IFERROR(__xludf.DUMMYFUNCTION("""COMPUTED_VALUE"""),43672.0)</f>
        <v>43672</v>
      </c>
      <c r="H646" s="79">
        <f>IFERROR(__xludf.DUMMYFUNCTION("""COMPUTED_VALUE"""),43672.0)</f>
        <v>43672</v>
      </c>
      <c r="I646" s="92">
        <f>IFERROR(__xludf.DUMMYFUNCTION("""COMPUTED_VALUE"""),100.0)</f>
        <v>100</v>
      </c>
      <c r="J646" s="74" t="str">
        <f>IFERROR(__xludf.DUMMYFUNCTION("""COMPUTED_VALUE"""),"Dr. Ravi Kiran Varma Penmatsa")</f>
        <v>Dr. Ravi Kiran Varma Penmatsa</v>
      </c>
      <c r="K646" s="80" t="str">
        <f>IFERROR(__xludf.DUMMYFUNCTION("""COMPUTED_VALUE"""),"https://drive.google.com/open?id=1DtxFggTTAZr71CIcaovN-iBadE1uZmlF")</f>
        <v>https://drive.google.com/open?id=1DtxFggTTAZr71CIcaovN-iBadE1uZmlF</v>
      </c>
      <c r="L646" s="74" t="str">
        <f>IFERROR(__xludf.DUMMYFUNCTION("""COMPUTED_VALUE"""),"2018-2022")</f>
        <v>2018-2022</v>
      </c>
      <c r="M646" s="74" t="str">
        <f>IFERROR(__xludf.DUMMYFUNCTION("""COMPUTED_VALUE"""),"S4: Student Certifications")</f>
        <v>S4: Student Certifications</v>
      </c>
      <c r="N646" s="74" t="str">
        <f>IFERROR(__xludf.DUMMYFUNCTION("""COMPUTED_VALUE"""),"gorsaumamahesh@gmail.com")</f>
        <v>gorsaumamahesh@gmail.com</v>
      </c>
      <c r="O646" s="74" t="str">
        <f>IFERROR(__xludf.DUMMYFUNCTION("""COMPUTED_VALUE"""),"SEM-8")</f>
        <v>SEM-8</v>
      </c>
      <c r="P646" s="74"/>
      <c r="Q646" s="74"/>
      <c r="R646" s="74"/>
      <c r="S646" s="74"/>
      <c r="T646" s="74"/>
      <c r="U646" s="74"/>
      <c r="V646" s="74"/>
      <c r="W646" s="74"/>
      <c r="X646" s="74"/>
      <c r="Y646" s="74"/>
    </row>
    <row r="647" ht="26.25" customHeight="1">
      <c r="A647" s="96" t="str">
        <f>IFERROR(__xludf.DUMMYFUNCTION("""COMPUTED_VALUE"""),"Killadi.shyam")</f>
        <v>Killadi.shyam</v>
      </c>
      <c r="B647" s="96" t="str">
        <f>IFERROR(__xludf.DUMMYFUNCTION("""COMPUTED_VALUE"""),"20331A0583")</f>
        <v>20331A0583</v>
      </c>
      <c r="C647" s="97" t="str">
        <f>IFERROR(__xludf.DUMMYFUNCTION("""COMPUTED_VALUE"""),"IT essentials")</f>
        <v>IT essentials</v>
      </c>
      <c r="D647" s="96" t="str">
        <f>IFERROR(__xludf.DUMMYFUNCTION("""COMPUTED_VALUE"""),"Cisco")</f>
        <v>Cisco</v>
      </c>
      <c r="E647" s="96" t="str">
        <f>IFERROR(__xludf.DUMMYFUNCTION("""COMPUTED_VALUE"""),"3 months")</f>
        <v>3 months</v>
      </c>
      <c r="F647" s="98">
        <f>IFERROR(__xludf.DUMMYFUNCTION("""COMPUTED_VALUE"""),44265.0)</f>
        <v>44265</v>
      </c>
      <c r="G647" s="98">
        <f>IFERROR(__xludf.DUMMYFUNCTION("""COMPUTED_VALUE"""),44387.0)</f>
        <v>44387</v>
      </c>
      <c r="H647" s="99">
        <f>IFERROR(__xludf.DUMMYFUNCTION("""COMPUTED_VALUE"""),44387.0)</f>
        <v>44387</v>
      </c>
      <c r="I647" s="100">
        <f>IFERROR(__xludf.DUMMYFUNCTION("""COMPUTED_VALUE"""),90.0)</f>
        <v>90</v>
      </c>
      <c r="J647" s="96" t="str">
        <f>IFERROR(__xludf.DUMMYFUNCTION("""COMPUTED_VALUE"""),"Subba raju")</f>
        <v>Subba raju</v>
      </c>
      <c r="K647" s="101" t="str">
        <f>IFERROR(__xludf.DUMMYFUNCTION("""COMPUTED_VALUE"""),"https://drive.google.com/open?id=1og0LMMSqRPdxLyrHtf_XEsnDTBkDJ4pD")</f>
        <v>https://drive.google.com/open?id=1og0LMMSqRPdxLyrHtf_XEsnDTBkDJ4pD</v>
      </c>
      <c r="L647" s="96" t="str">
        <f>IFERROR(__xludf.DUMMYFUNCTION("""COMPUTED_VALUE"""),"2020-2024")</f>
        <v>2020-2024</v>
      </c>
      <c r="M647" s="96" t="str">
        <f>IFERROR(__xludf.DUMMYFUNCTION("""COMPUTED_VALUE"""),"S4: Student Certifications")</f>
        <v>S4: Student Certifications</v>
      </c>
      <c r="N647" s="96" t="str">
        <f>IFERROR(__xludf.DUMMYFUNCTION("""COMPUTED_VALUE"""),"shyamkiladi56@gmail.com")</f>
        <v>shyamkiladi56@gmail.com</v>
      </c>
      <c r="O647" s="96" t="str">
        <f>IFERROR(__xludf.DUMMYFUNCTION("""COMPUTED_VALUE"""),"SEM-1")</f>
        <v>SEM-1</v>
      </c>
      <c r="P647" s="96"/>
      <c r="Q647" s="96"/>
      <c r="R647" s="96"/>
      <c r="S647" s="96"/>
      <c r="T647" s="96"/>
      <c r="U647" s="96"/>
      <c r="V647" s="96"/>
      <c r="W647" s="96"/>
      <c r="X647" s="96"/>
      <c r="Y647" s="96"/>
    </row>
    <row r="648" ht="26.25" customHeight="1">
      <c r="A648" s="74" t="str">
        <f>IFERROR(__xludf.DUMMYFUNCTION("""COMPUTED_VALUE"""),"Mopada Pavithra")</f>
        <v>Mopada Pavithra</v>
      </c>
      <c r="B648" s="74" t="str">
        <f>IFERROR(__xludf.DUMMYFUNCTION("""COMPUTED_VALUE"""),"18331A0599")</f>
        <v>18331A0599</v>
      </c>
      <c r="C648" s="90" t="str">
        <f>IFERROR(__xludf.DUMMYFUNCTION("""COMPUTED_VALUE"""),"Cybersecurity")</f>
        <v>Cybersecurity</v>
      </c>
      <c r="D648" s="74" t="str">
        <f>IFERROR(__xludf.DUMMYFUNCTION("""COMPUTED_VALUE"""),"Cisco")</f>
        <v>Cisco</v>
      </c>
      <c r="E648" s="74" t="str">
        <f>IFERROR(__xludf.DUMMYFUNCTION("""COMPUTED_VALUE"""),"70 hrs")</f>
        <v>70 hrs</v>
      </c>
      <c r="F648" s="91">
        <f>IFERROR(__xludf.DUMMYFUNCTION("""COMPUTED_VALUE"""),43642.0)</f>
        <v>43642</v>
      </c>
      <c r="G648" s="91">
        <f>IFERROR(__xludf.DUMMYFUNCTION("""COMPUTED_VALUE"""),43672.0)</f>
        <v>43672</v>
      </c>
      <c r="H648" s="79">
        <f>IFERROR(__xludf.DUMMYFUNCTION("""COMPUTED_VALUE"""),43672.0)</f>
        <v>43672</v>
      </c>
      <c r="I648" s="92">
        <f>IFERROR(__xludf.DUMMYFUNCTION("""COMPUTED_VALUE"""),90.0)</f>
        <v>90</v>
      </c>
      <c r="J648" s="74" t="str">
        <f>IFERROR(__xludf.DUMMYFUNCTION("""COMPUTED_VALUE"""),"Dr.Ravi Kiran Varma penmatsa")</f>
        <v>Dr.Ravi Kiran Varma penmatsa</v>
      </c>
      <c r="K648" s="80" t="str">
        <f>IFERROR(__xludf.DUMMYFUNCTION("""COMPUTED_VALUE"""),"https://drive.google.com/open?id=1pXQ52xlKblkbSofigaUXkxIeYb6x4PYn")</f>
        <v>https://drive.google.com/open?id=1pXQ52xlKblkbSofigaUXkxIeYb6x4PYn</v>
      </c>
      <c r="L648" s="74" t="str">
        <f>IFERROR(__xludf.DUMMYFUNCTION("""COMPUTED_VALUE"""),"2018-2022")</f>
        <v>2018-2022</v>
      </c>
      <c r="M648" s="74" t="str">
        <f>IFERROR(__xludf.DUMMYFUNCTION("""COMPUTED_VALUE"""),"S4: Student Certifications")</f>
        <v>S4: Student Certifications</v>
      </c>
      <c r="N648" s="74" t="str">
        <f>IFERROR(__xludf.DUMMYFUNCTION("""COMPUTED_VALUE"""),"pavithramopada2001@gmail.com")</f>
        <v>pavithramopada2001@gmail.com</v>
      </c>
      <c r="O648" s="74" t="str">
        <f>IFERROR(__xludf.DUMMYFUNCTION("""COMPUTED_VALUE"""),"SEM-3")</f>
        <v>SEM-3</v>
      </c>
      <c r="P648" s="74"/>
      <c r="Q648" s="74"/>
      <c r="R648" s="74"/>
      <c r="S648" s="74"/>
      <c r="T648" s="74"/>
      <c r="U648" s="74"/>
      <c r="V648" s="74"/>
      <c r="W648" s="74"/>
      <c r="X648" s="74"/>
      <c r="Y648" s="74"/>
    </row>
    <row r="649" ht="26.25" customHeight="1">
      <c r="A649" s="74" t="str">
        <f>IFERROR(__xludf.DUMMYFUNCTION("""COMPUTED_VALUE"""),"Naguru Jyothsna Priya Chandrika ")</f>
        <v>Naguru Jyothsna Priya Chandrika </v>
      </c>
      <c r="B649" s="74" t="str">
        <f>IFERROR(__xludf.DUMMYFUNCTION("""COMPUTED_VALUE"""),"18331A05A5")</f>
        <v>18331A05A5</v>
      </c>
      <c r="C649" s="90" t="str">
        <f>IFERROR(__xludf.DUMMYFUNCTION("""COMPUTED_VALUE"""),"Cybersecurity ")</f>
        <v>Cybersecurity </v>
      </c>
      <c r="D649" s="74" t="str">
        <f>IFERROR(__xludf.DUMMYFUNCTION("""COMPUTED_VALUE"""),"Cisco")</f>
        <v>Cisco</v>
      </c>
      <c r="E649" s="74" t="str">
        <f>IFERROR(__xludf.DUMMYFUNCTION("""COMPUTED_VALUE"""),"10 hours")</f>
        <v>10 hours</v>
      </c>
      <c r="F649" s="91">
        <f>IFERROR(__xludf.DUMMYFUNCTION("""COMPUTED_VALUE"""),43656.0)</f>
        <v>43656</v>
      </c>
      <c r="G649" s="91">
        <f>IFERROR(__xludf.DUMMYFUNCTION("""COMPUTED_VALUE"""),43672.0)</f>
        <v>43672</v>
      </c>
      <c r="H649" s="79">
        <f>IFERROR(__xludf.DUMMYFUNCTION("""COMPUTED_VALUE"""),43672.0)</f>
        <v>43672</v>
      </c>
      <c r="I649" s="92">
        <f>IFERROR(__xludf.DUMMYFUNCTION("""COMPUTED_VALUE"""),0.78)</f>
        <v>0.78</v>
      </c>
      <c r="J649" s="74" t="str">
        <f>IFERROR(__xludf.DUMMYFUNCTION("""COMPUTED_VALUE"""),"Dr. Ravi Kiran Varma Penmatsa")</f>
        <v>Dr. Ravi Kiran Varma Penmatsa</v>
      </c>
      <c r="K649" s="80" t="str">
        <f>IFERROR(__xludf.DUMMYFUNCTION("""COMPUTED_VALUE"""),"https://drive.google.com/open?id=1G1RlYV30pCbXGPQFAePsPFOPnByNKUBj")</f>
        <v>https://drive.google.com/open?id=1G1RlYV30pCbXGPQFAePsPFOPnByNKUBj</v>
      </c>
      <c r="L649" s="74" t="str">
        <f>IFERROR(__xludf.DUMMYFUNCTION("""COMPUTED_VALUE"""),"2018-2022")</f>
        <v>2018-2022</v>
      </c>
      <c r="M649" s="74" t="str">
        <f>IFERROR(__xludf.DUMMYFUNCTION("""COMPUTED_VALUE"""),"S4: Student Certifications")</f>
        <v>S4: Student Certifications</v>
      </c>
      <c r="N649" s="74" t="str">
        <f>IFERROR(__xludf.DUMMYFUNCTION("""COMPUTED_VALUE"""),"jyothsnanaguru@gmail.com")</f>
        <v>jyothsnanaguru@gmail.com</v>
      </c>
      <c r="O649" s="74" t="str">
        <f>IFERROR(__xludf.DUMMYFUNCTION("""COMPUTED_VALUE"""),"SEM-2")</f>
        <v>SEM-2</v>
      </c>
      <c r="P649" s="74"/>
      <c r="Q649" s="74"/>
      <c r="R649" s="74"/>
      <c r="S649" s="74"/>
      <c r="T649" s="74"/>
      <c r="U649" s="74"/>
      <c r="V649" s="74"/>
      <c r="W649" s="74"/>
      <c r="X649" s="74"/>
      <c r="Y649" s="74"/>
    </row>
    <row r="650" ht="26.25" customHeight="1">
      <c r="A650" s="74" t="str">
        <f>IFERROR(__xludf.DUMMYFUNCTION("""COMPUTED_VALUE"""),"Jaswanth Kumar Nanubala")</f>
        <v>Jaswanth Kumar Nanubala</v>
      </c>
      <c r="B650" s="74" t="str">
        <f>IFERROR(__xludf.DUMMYFUNCTION("""COMPUTED_VALUE"""),"18331A05B0")</f>
        <v>18331A05B0</v>
      </c>
      <c r="C650" s="90" t="str">
        <f>IFERROR(__xludf.DUMMYFUNCTION("""COMPUTED_VALUE"""),"Nanubala Jaswanth Kumar ")</f>
        <v>Nanubala Jaswanth Kumar </v>
      </c>
      <c r="D650" s="74" t="str">
        <f>IFERROR(__xludf.DUMMYFUNCTION("""COMPUTED_VALUE"""),"CISCO")</f>
        <v>CISCO</v>
      </c>
      <c r="E650" s="74" t="str">
        <f>IFERROR(__xludf.DUMMYFUNCTION("""COMPUTED_VALUE"""),"70 hours")</f>
        <v>70 hours</v>
      </c>
      <c r="F650" s="91">
        <f>IFERROR(__xludf.DUMMYFUNCTION("""COMPUTED_VALUE"""),43641.0)</f>
        <v>43641</v>
      </c>
      <c r="G650" s="91">
        <f>IFERROR(__xludf.DUMMYFUNCTION("""COMPUTED_VALUE"""),43671.0)</f>
        <v>43671</v>
      </c>
      <c r="H650" s="79">
        <f>IFERROR(__xludf.DUMMYFUNCTION("""COMPUTED_VALUE"""),43672.0)</f>
        <v>43672</v>
      </c>
      <c r="I650" s="92">
        <f>IFERROR(__xludf.DUMMYFUNCTION("""COMPUTED_VALUE"""),0.85)</f>
        <v>0.85</v>
      </c>
      <c r="J650" s="74" t="str">
        <f>IFERROR(__xludf.DUMMYFUNCTION("""COMPUTED_VALUE"""),"DR. RAVI KUMAR KIRAN VARMA PEMMATSA")</f>
        <v>DR. RAVI KUMAR KIRAN VARMA PEMMATSA</v>
      </c>
      <c r="K650" s="80" t="str">
        <f>IFERROR(__xludf.DUMMYFUNCTION("""COMPUTED_VALUE"""),"https://drive.google.com/open?id=1iWb8zN9FhCMzxE4WZdSAZflQ-SsHEGZ3")</f>
        <v>https://drive.google.com/open?id=1iWb8zN9FhCMzxE4WZdSAZflQ-SsHEGZ3</v>
      </c>
      <c r="L650" s="74" t="str">
        <f>IFERROR(__xludf.DUMMYFUNCTION("""COMPUTED_VALUE"""),"2018-2022")</f>
        <v>2018-2022</v>
      </c>
      <c r="M650" s="74" t="str">
        <f>IFERROR(__xludf.DUMMYFUNCTION("""COMPUTED_VALUE"""),"S4: Student Certifications")</f>
        <v>S4: Student Certifications</v>
      </c>
      <c r="N650" s="74" t="str">
        <f>IFERROR(__xludf.DUMMYFUNCTION("""COMPUTED_VALUE"""),"jaswanthsaisubhkar@gmail.com")</f>
        <v>jaswanthsaisubhkar@gmail.com</v>
      </c>
      <c r="O650" s="74" t="str">
        <f>IFERROR(__xludf.DUMMYFUNCTION("""COMPUTED_VALUE"""),"SEM-3")</f>
        <v>SEM-3</v>
      </c>
      <c r="P650" s="74"/>
      <c r="Q650" s="74"/>
      <c r="R650" s="74"/>
      <c r="S650" s="74"/>
      <c r="T650" s="74"/>
      <c r="U650" s="74"/>
      <c r="V650" s="74"/>
      <c r="W650" s="74"/>
      <c r="X650" s="74"/>
      <c r="Y650" s="74"/>
    </row>
    <row r="651" ht="26.25" customHeight="1">
      <c r="A651" s="74" t="str">
        <f>IFERROR(__xludf.DUMMYFUNCTION("""COMPUTED_VALUE"""),"Pathivada Sai jahnavi")</f>
        <v>Pathivada Sai jahnavi</v>
      </c>
      <c r="B651" s="74" t="str">
        <f>IFERROR(__xludf.DUMMYFUNCTION("""COMPUTED_VALUE"""),"18331A05B5")</f>
        <v>18331A05B5</v>
      </c>
      <c r="C651" s="90" t="str">
        <f>IFERROR(__xludf.DUMMYFUNCTION("""COMPUTED_VALUE"""),"CLA: programming essentials in C")</f>
        <v>CLA: programming essentials in C</v>
      </c>
      <c r="D651" s="74" t="str">
        <f>IFERROR(__xludf.DUMMYFUNCTION("""COMPUTED_VALUE"""),"Cisco")</f>
        <v>Cisco</v>
      </c>
      <c r="E651" s="74" t="str">
        <f>IFERROR(__xludf.DUMMYFUNCTION("""COMPUTED_VALUE"""),"70 hours")</f>
        <v>70 hours</v>
      </c>
      <c r="F651" s="91">
        <f>IFERROR(__xludf.DUMMYFUNCTION("""COMPUTED_VALUE"""),43636.0)</f>
        <v>43636</v>
      </c>
      <c r="G651" s="91">
        <f>IFERROR(__xludf.DUMMYFUNCTION("""COMPUTED_VALUE"""),43676.0)</f>
        <v>43676</v>
      </c>
      <c r="H651" s="79">
        <f>IFERROR(__xludf.DUMMYFUNCTION("""COMPUTED_VALUE"""),43675.0)</f>
        <v>43675</v>
      </c>
      <c r="I651" s="92">
        <f>IFERROR(__xludf.DUMMYFUNCTION("""COMPUTED_VALUE"""),85.0)</f>
        <v>85</v>
      </c>
      <c r="J651" s="74" t="str">
        <f>IFERROR(__xludf.DUMMYFUNCTION("""COMPUTED_VALUE"""),"Subba Raju kV")</f>
        <v>Subba Raju kV</v>
      </c>
      <c r="K651" s="80" t="str">
        <f>IFERROR(__xludf.DUMMYFUNCTION("""COMPUTED_VALUE"""),"https://drive.google.com/open?id=1_837iaXdqKZSRBHMpo4hYm5uxdJYxCes")</f>
        <v>https://drive.google.com/open?id=1_837iaXdqKZSRBHMpo4hYm5uxdJYxCes</v>
      </c>
      <c r="L651" s="74" t="str">
        <f>IFERROR(__xludf.DUMMYFUNCTION("""COMPUTED_VALUE"""),"2018-2022")</f>
        <v>2018-2022</v>
      </c>
      <c r="M651" s="74" t="str">
        <f>IFERROR(__xludf.DUMMYFUNCTION("""COMPUTED_VALUE"""),"S4: Student Certifications")</f>
        <v>S4: Student Certifications</v>
      </c>
      <c r="N651" s="74" t="str">
        <f>IFERROR(__xludf.DUMMYFUNCTION("""COMPUTED_VALUE"""),"jahnavipathivada123@gmail.com")</f>
        <v>jahnavipathivada123@gmail.com</v>
      </c>
      <c r="O651" s="74" t="str">
        <f>IFERROR(__xludf.DUMMYFUNCTION("""COMPUTED_VALUE"""),"SEM-3")</f>
        <v>SEM-3</v>
      </c>
      <c r="P651" s="74"/>
      <c r="Q651" s="74"/>
      <c r="R651" s="74"/>
      <c r="S651" s="74"/>
      <c r="T651" s="74"/>
      <c r="U651" s="74"/>
      <c r="V651" s="74"/>
      <c r="W651" s="74"/>
      <c r="X651" s="74"/>
      <c r="Y651" s="74"/>
    </row>
    <row r="652" ht="26.25" customHeight="1">
      <c r="A652" s="74" t="str">
        <f>IFERROR(__xludf.DUMMYFUNCTION("""COMPUTED_VALUE"""),"Varsha Mamidipaka")</f>
        <v>Varsha Mamidipaka</v>
      </c>
      <c r="B652" s="74" t="str">
        <f>IFERROR(__xludf.DUMMYFUNCTION("""COMPUTED_VALUE"""),"18331A0592")</f>
        <v>18331A0592</v>
      </c>
      <c r="C652" s="90" t="str">
        <f>IFERROR(__xludf.DUMMYFUNCTION("""COMPUTED_VALUE"""),"CLA: Programming Essentials in C")</f>
        <v>CLA: Programming Essentials in C</v>
      </c>
      <c r="D652" s="74" t="str">
        <f>IFERROR(__xludf.DUMMYFUNCTION("""COMPUTED_VALUE"""),"Cisco")</f>
        <v>Cisco</v>
      </c>
      <c r="E652" s="74" t="str">
        <f>IFERROR(__xludf.DUMMYFUNCTION("""COMPUTED_VALUE"""),"70hours")</f>
        <v>70hours</v>
      </c>
      <c r="F652" s="91">
        <f>IFERROR(__xludf.DUMMYFUNCTION("""COMPUTED_VALUE"""),43636.0)</f>
        <v>43636</v>
      </c>
      <c r="G652" s="91">
        <f>IFERROR(__xludf.DUMMYFUNCTION("""COMPUTED_VALUE"""),43675.0)</f>
        <v>43675</v>
      </c>
      <c r="H652" s="79">
        <f>IFERROR(__xludf.DUMMYFUNCTION("""COMPUTED_VALUE"""),43675.0)</f>
        <v>43675</v>
      </c>
      <c r="I652" s="92">
        <f>IFERROR(__xludf.DUMMYFUNCTION("""COMPUTED_VALUE"""),75.0)</f>
        <v>75</v>
      </c>
      <c r="J652" s="74" t="str">
        <f>IFERROR(__xludf.DUMMYFUNCTION("""COMPUTED_VALUE"""),"Subba Raju K V")</f>
        <v>Subba Raju K V</v>
      </c>
      <c r="K652" s="80" t="str">
        <f>IFERROR(__xludf.DUMMYFUNCTION("""COMPUTED_VALUE"""),"https://drive.google.com/open?id=17S0nuZ621-AqdZ9vMxAoKdI3ofBUA95x")</f>
        <v>https://drive.google.com/open?id=17S0nuZ621-AqdZ9vMxAoKdI3ofBUA95x</v>
      </c>
      <c r="L652" s="74" t="str">
        <f>IFERROR(__xludf.DUMMYFUNCTION("""COMPUTED_VALUE"""),"2018-2022")</f>
        <v>2018-2022</v>
      </c>
      <c r="M652" s="74" t="str">
        <f>IFERROR(__xludf.DUMMYFUNCTION("""COMPUTED_VALUE"""),"S4: Student Certifications")</f>
        <v>S4: Student Certifications</v>
      </c>
      <c r="N652" s="74" t="str">
        <f>IFERROR(__xludf.DUMMYFUNCTION("""COMPUTED_VALUE"""),"bhuvanavarsha7701@gmail.com")</f>
        <v>bhuvanavarsha7701@gmail.com</v>
      </c>
      <c r="O652" s="74" t="str">
        <f>IFERROR(__xludf.DUMMYFUNCTION("""COMPUTED_VALUE"""),"SEM-3")</f>
        <v>SEM-3</v>
      </c>
      <c r="P652" s="74"/>
      <c r="Q652" s="74"/>
      <c r="R652" s="74"/>
      <c r="S652" s="74"/>
      <c r="T652" s="74"/>
      <c r="U652" s="74"/>
      <c r="V652" s="74"/>
      <c r="W652" s="74"/>
      <c r="X652" s="74"/>
      <c r="Y652" s="74"/>
    </row>
    <row r="653" ht="26.25" customHeight="1">
      <c r="A653" s="74" t="str">
        <f>IFERROR(__xludf.DUMMYFUNCTION("""COMPUTED_VALUE"""),"Nandella Pranavi Prathyusha")</f>
        <v>Nandella Pranavi Prathyusha</v>
      </c>
      <c r="B653" s="74" t="str">
        <f>IFERROR(__xludf.DUMMYFUNCTION("""COMPUTED_VALUE"""),"18331A05A8")</f>
        <v>18331A05A8</v>
      </c>
      <c r="C653" s="90" t="str">
        <f>IFERROR(__xludf.DUMMYFUNCTION("""COMPUTED_VALUE"""),"CLA: Programming Essentials in C")</f>
        <v>CLA: Programming Essentials in C</v>
      </c>
      <c r="D653" s="74" t="str">
        <f>IFERROR(__xludf.DUMMYFUNCTION("""COMPUTED_VALUE"""),"Cisco")</f>
        <v>Cisco</v>
      </c>
      <c r="E653" s="74" t="str">
        <f>IFERROR(__xludf.DUMMYFUNCTION("""COMPUTED_VALUE"""),"70 hours")</f>
        <v>70 hours</v>
      </c>
      <c r="F653" s="91">
        <f>IFERROR(__xludf.DUMMYFUNCTION("""COMPUTED_VALUE"""),43636.0)</f>
        <v>43636</v>
      </c>
      <c r="G653" s="91">
        <f>IFERROR(__xludf.DUMMYFUNCTION("""COMPUTED_VALUE"""),43675.0)</f>
        <v>43675</v>
      </c>
      <c r="H653" s="79">
        <f>IFERROR(__xludf.DUMMYFUNCTION("""COMPUTED_VALUE"""),43676.0)</f>
        <v>43676</v>
      </c>
      <c r="I653" s="92">
        <f>IFERROR(__xludf.DUMMYFUNCTION("""COMPUTED_VALUE"""),70.0)</f>
        <v>70</v>
      </c>
      <c r="J653" s="74" t="str">
        <f>IFERROR(__xludf.DUMMYFUNCTION("""COMPUTED_VALUE"""),"Subba Raju K V")</f>
        <v>Subba Raju K V</v>
      </c>
      <c r="K653" s="80" t="str">
        <f>IFERROR(__xludf.DUMMYFUNCTION("""COMPUTED_VALUE"""),"https://drive.google.com/open?id=1vJQH7fGPhFeeAZJ54BPjtBO_OabI-2vI")</f>
        <v>https://drive.google.com/open?id=1vJQH7fGPhFeeAZJ54BPjtBO_OabI-2vI</v>
      </c>
      <c r="L653" s="74" t="str">
        <f>IFERROR(__xludf.DUMMYFUNCTION("""COMPUTED_VALUE"""),"2018-2022")</f>
        <v>2018-2022</v>
      </c>
      <c r="M653" s="74" t="str">
        <f>IFERROR(__xludf.DUMMYFUNCTION("""COMPUTED_VALUE"""),"S4: Student Certifications")</f>
        <v>S4: Student Certifications</v>
      </c>
      <c r="N653" s="74" t="str">
        <f>IFERROR(__xludf.DUMMYFUNCTION("""COMPUTED_VALUE"""),"pranaviprathyusha1@gmail.com")</f>
        <v>pranaviprathyusha1@gmail.com</v>
      </c>
      <c r="O653" s="74" t="str">
        <f>IFERROR(__xludf.DUMMYFUNCTION("""COMPUTED_VALUE"""),"SEM-3")</f>
        <v>SEM-3</v>
      </c>
      <c r="P653" s="74"/>
      <c r="Q653" s="74"/>
      <c r="R653" s="74"/>
      <c r="S653" s="74"/>
      <c r="T653" s="74"/>
      <c r="U653" s="74"/>
      <c r="V653" s="74"/>
      <c r="W653" s="74"/>
      <c r="X653" s="74"/>
      <c r="Y653" s="74"/>
    </row>
    <row r="654" ht="26.25" customHeight="1">
      <c r="A654" s="78" t="str">
        <f>IFERROR(__xludf.DUMMYFUNCTION("""COMPUTED_VALUE"""),"Naguru Jyothsna Priya Chandrika")</f>
        <v>Naguru Jyothsna Priya Chandrika</v>
      </c>
      <c r="B654" s="78" t="str">
        <f>IFERROR(__xludf.DUMMYFUNCTION("""COMPUTED_VALUE"""),"18331A05A5")</f>
        <v>18331A05A5</v>
      </c>
      <c r="C654" s="93" t="str">
        <f>IFERROR(__xludf.DUMMYFUNCTION("""COMPUTED_VALUE"""),"SQL quiz")</f>
        <v>SQL quiz</v>
      </c>
      <c r="D654" s="78" t="str">
        <f>IFERROR(__xludf.DUMMYFUNCTION("""COMPUTED_VALUE"""),"Vignan's institute of engineering ")</f>
        <v>Vignan's institute of engineering </v>
      </c>
      <c r="E654" s="78" t="str">
        <f>IFERROR(__xludf.DUMMYFUNCTION("""COMPUTED_VALUE"""),"3 hours")</f>
        <v>3 hours</v>
      </c>
      <c r="F654" s="94">
        <f>IFERROR(__xludf.DUMMYFUNCTION("""COMPUTED_VALUE"""),43979.0)</f>
        <v>43979</v>
      </c>
      <c r="G654" s="94">
        <f>IFERROR(__xludf.DUMMYFUNCTION("""COMPUTED_VALUE"""),43979.0)</f>
        <v>43979</v>
      </c>
      <c r="H654" s="84">
        <f>IFERROR(__xludf.DUMMYFUNCTION("""COMPUTED_VALUE"""),43979.0)</f>
        <v>43979</v>
      </c>
      <c r="I654" s="95">
        <f>IFERROR(__xludf.DUMMYFUNCTION("""COMPUTED_VALUE"""),0.84)</f>
        <v>0.84</v>
      </c>
      <c r="J654" s="78" t="str">
        <f>IFERROR(__xludf.DUMMYFUNCTION("""COMPUTED_VALUE"""),"Aruna kumari")</f>
        <v>Aruna kumari</v>
      </c>
      <c r="K654" s="85" t="str">
        <f>IFERROR(__xludf.DUMMYFUNCTION("""COMPUTED_VALUE"""),"https://drive.google.com/open?id=1-90Ka40C2sh_JsPUKuWSPnoEThIkJSYD")</f>
        <v>https://drive.google.com/open?id=1-90Ka40C2sh_JsPUKuWSPnoEThIkJSYD</v>
      </c>
      <c r="L654" s="78" t="str">
        <f>IFERROR(__xludf.DUMMYFUNCTION("""COMPUTED_VALUE"""),"2018-2022")</f>
        <v>2018-2022</v>
      </c>
      <c r="M654" s="78" t="str">
        <f>IFERROR(__xludf.DUMMYFUNCTION("""COMPUTED_VALUE"""),"S4: Student Certifications")</f>
        <v>S4: Student Certifications</v>
      </c>
      <c r="N654" s="78" t="str">
        <f>IFERROR(__xludf.DUMMYFUNCTION("""COMPUTED_VALUE"""),"jyothsnanaguru@gmail.com")</f>
        <v>jyothsnanaguru@gmail.com</v>
      </c>
      <c r="O654" s="78" t="str">
        <f>IFERROR(__xludf.DUMMYFUNCTION("""COMPUTED_VALUE"""),"SEM-4")</f>
        <v>SEM-4</v>
      </c>
      <c r="P654" s="78"/>
      <c r="Q654" s="78"/>
      <c r="R654" s="78"/>
      <c r="S654" s="78"/>
      <c r="T654" s="78"/>
      <c r="U654" s="78"/>
      <c r="V654" s="78"/>
      <c r="W654" s="78"/>
      <c r="X654" s="78"/>
      <c r="Y654" s="78"/>
    </row>
    <row r="655" ht="26.25" customHeight="1">
      <c r="A655" s="74" t="str">
        <f>IFERROR(__xludf.DUMMYFUNCTION("""COMPUTED_VALUE"""),"Pathivada Sai Jahnavi")</f>
        <v>Pathivada Sai Jahnavi</v>
      </c>
      <c r="B655" s="74" t="str">
        <f>IFERROR(__xludf.DUMMYFUNCTION("""COMPUTED_VALUE"""),"18331A05B5")</f>
        <v>18331A05B5</v>
      </c>
      <c r="C655" s="90" t="str">
        <f>IFERROR(__xludf.DUMMYFUNCTION("""COMPUTED_VALUE"""),"Cybersecurity Essentials")</f>
        <v>Cybersecurity Essentials</v>
      </c>
      <c r="D655" s="74" t="str">
        <f>IFERROR(__xludf.DUMMYFUNCTION("""COMPUTED_VALUE"""),"Cisco")</f>
        <v>Cisco</v>
      </c>
      <c r="E655" s="74" t="str">
        <f>IFERROR(__xludf.DUMMYFUNCTION("""COMPUTED_VALUE"""),"30 hours")</f>
        <v>30 hours</v>
      </c>
      <c r="F655" s="91">
        <f>IFERROR(__xludf.DUMMYFUNCTION("""COMPUTED_VALUE"""),43647.0)</f>
        <v>43647</v>
      </c>
      <c r="G655" s="91">
        <f>IFERROR(__xludf.DUMMYFUNCTION("""COMPUTED_VALUE"""),43672.0)</f>
        <v>43672</v>
      </c>
      <c r="H655" s="79">
        <f>IFERROR(__xludf.DUMMYFUNCTION("""COMPUTED_VALUE"""),43672.0)</f>
        <v>43672</v>
      </c>
      <c r="I655" s="92">
        <f>IFERROR(__xludf.DUMMYFUNCTION("""COMPUTED_VALUE"""),85.0)</f>
        <v>85</v>
      </c>
      <c r="J655" s="74" t="str">
        <f>IFERROR(__xludf.DUMMYFUNCTION("""COMPUTED_VALUE"""),"DR. Ravi Kiran Varma Penmatsa")</f>
        <v>DR. Ravi Kiran Varma Penmatsa</v>
      </c>
      <c r="K655" s="80" t="str">
        <f>IFERROR(__xludf.DUMMYFUNCTION("""COMPUTED_VALUE"""),"https://drive.google.com/open?id=1wIkb9l78C23oE0wK1jzdByx3n-fv8k0S")</f>
        <v>https://drive.google.com/open?id=1wIkb9l78C23oE0wK1jzdByx3n-fv8k0S</v>
      </c>
      <c r="L655" s="74" t="str">
        <f>IFERROR(__xludf.DUMMYFUNCTION("""COMPUTED_VALUE"""),"2018-2022")</f>
        <v>2018-2022</v>
      </c>
      <c r="M655" s="74" t="str">
        <f>IFERROR(__xludf.DUMMYFUNCTION("""COMPUTED_VALUE"""),"S4: Student Certifications")</f>
        <v>S4: Student Certifications</v>
      </c>
      <c r="N655" s="74" t="str">
        <f>IFERROR(__xludf.DUMMYFUNCTION("""COMPUTED_VALUE"""),"jahnavipathivada123@gmail.com")</f>
        <v>jahnavipathivada123@gmail.com</v>
      </c>
      <c r="O655" s="74" t="str">
        <f>IFERROR(__xludf.DUMMYFUNCTION("""COMPUTED_VALUE"""),"SEM-3")</f>
        <v>SEM-3</v>
      </c>
      <c r="P655" s="74"/>
      <c r="Q655" s="74"/>
      <c r="R655" s="74"/>
      <c r="S655" s="74"/>
      <c r="T655" s="74"/>
      <c r="U655" s="74"/>
      <c r="V655" s="74"/>
      <c r="W655" s="74"/>
      <c r="X655" s="74"/>
      <c r="Y655" s="74"/>
    </row>
    <row r="656" ht="26.25" customHeight="1">
      <c r="A656" s="74" t="str">
        <f>IFERROR(__xludf.DUMMYFUNCTION("""COMPUTED_VALUE"""),"Varsha Mamidipaka")</f>
        <v>Varsha Mamidipaka</v>
      </c>
      <c r="B656" s="74" t="str">
        <f>IFERROR(__xludf.DUMMYFUNCTION("""COMPUTED_VALUE"""),"18331A0592")</f>
        <v>18331A0592</v>
      </c>
      <c r="C656" s="90" t="str">
        <f>IFERROR(__xludf.DUMMYFUNCTION("""COMPUTED_VALUE"""),"Cybersecurity Essentials")</f>
        <v>Cybersecurity Essentials</v>
      </c>
      <c r="D656" s="74" t="str">
        <f>IFERROR(__xludf.DUMMYFUNCTION("""COMPUTED_VALUE"""),"Cisco")</f>
        <v>Cisco</v>
      </c>
      <c r="E656" s="74" t="str">
        <f>IFERROR(__xludf.DUMMYFUNCTION("""COMPUTED_VALUE"""),"30 hours")</f>
        <v>30 hours</v>
      </c>
      <c r="F656" s="91">
        <f>IFERROR(__xludf.DUMMYFUNCTION("""COMPUTED_VALUE"""),43647.0)</f>
        <v>43647</v>
      </c>
      <c r="G656" s="91">
        <f>IFERROR(__xludf.DUMMYFUNCTION("""COMPUTED_VALUE"""),43672.0)</f>
        <v>43672</v>
      </c>
      <c r="H656" s="79">
        <f>IFERROR(__xludf.DUMMYFUNCTION("""COMPUTED_VALUE"""),43672.0)</f>
        <v>43672</v>
      </c>
      <c r="I656" s="92">
        <f>IFERROR(__xludf.DUMMYFUNCTION("""COMPUTED_VALUE"""),85.0)</f>
        <v>85</v>
      </c>
      <c r="J656" s="74" t="str">
        <f>IFERROR(__xludf.DUMMYFUNCTION("""COMPUTED_VALUE"""),"DR. Ravi Kiran Varma Penmatsa")</f>
        <v>DR. Ravi Kiran Varma Penmatsa</v>
      </c>
      <c r="K656" s="80" t="str">
        <f>IFERROR(__xludf.DUMMYFUNCTION("""COMPUTED_VALUE"""),"https://drive.google.com/open?id=14AuT_Gvb74eDAlwEuQ8_yb8X9RlK6cAF")</f>
        <v>https://drive.google.com/open?id=14AuT_Gvb74eDAlwEuQ8_yb8X9RlK6cAF</v>
      </c>
      <c r="L656" s="74" t="str">
        <f>IFERROR(__xludf.DUMMYFUNCTION("""COMPUTED_VALUE"""),"2018-2022")</f>
        <v>2018-2022</v>
      </c>
      <c r="M656" s="74" t="str">
        <f>IFERROR(__xludf.DUMMYFUNCTION("""COMPUTED_VALUE"""),"S4: Student Certifications")</f>
        <v>S4: Student Certifications</v>
      </c>
      <c r="N656" s="74" t="str">
        <f>IFERROR(__xludf.DUMMYFUNCTION("""COMPUTED_VALUE"""),"bhuvanavarsha7701@gmail.com")</f>
        <v>bhuvanavarsha7701@gmail.com</v>
      </c>
      <c r="O656" s="74" t="str">
        <f>IFERROR(__xludf.DUMMYFUNCTION("""COMPUTED_VALUE"""),"SEM-3")</f>
        <v>SEM-3</v>
      </c>
      <c r="P656" s="74"/>
      <c r="Q656" s="74"/>
      <c r="R656" s="74"/>
      <c r="S656" s="74"/>
      <c r="T656" s="74"/>
      <c r="U656" s="74"/>
      <c r="V656" s="74"/>
      <c r="W656" s="74"/>
      <c r="X656" s="74"/>
      <c r="Y656" s="74"/>
    </row>
    <row r="657" ht="26.25" customHeight="1">
      <c r="A657" s="74" t="str">
        <f>IFERROR(__xludf.DUMMYFUNCTION("""COMPUTED_VALUE"""),"Nandella pranavi prathyusha")</f>
        <v>Nandella pranavi prathyusha</v>
      </c>
      <c r="B657" s="74" t="str">
        <f>IFERROR(__xludf.DUMMYFUNCTION("""COMPUTED_VALUE"""),"18331A05A8")</f>
        <v>18331A05A8</v>
      </c>
      <c r="C657" s="90" t="str">
        <f>IFERROR(__xludf.DUMMYFUNCTION("""COMPUTED_VALUE"""),"Cybersecurity essentials")</f>
        <v>Cybersecurity essentials</v>
      </c>
      <c r="D657" s="74" t="str">
        <f>IFERROR(__xludf.DUMMYFUNCTION("""COMPUTED_VALUE"""),"Cisco")</f>
        <v>Cisco</v>
      </c>
      <c r="E657" s="74" t="str">
        <f>IFERROR(__xludf.DUMMYFUNCTION("""COMPUTED_VALUE"""),"30 hours")</f>
        <v>30 hours</v>
      </c>
      <c r="F657" s="91">
        <f>IFERROR(__xludf.DUMMYFUNCTION("""COMPUTED_VALUE"""),43647.0)</f>
        <v>43647</v>
      </c>
      <c r="G657" s="91">
        <f>IFERROR(__xludf.DUMMYFUNCTION("""COMPUTED_VALUE"""),43671.0)</f>
        <v>43671</v>
      </c>
      <c r="H657" s="79">
        <f>IFERROR(__xludf.DUMMYFUNCTION("""COMPUTED_VALUE"""),43672.0)</f>
        <v>43672</v>
      </c>
      <c r="I657" s="92">
        <f>IFERROR(__xludf.DUMMYFUNCTION("""COMPUTED_VALUE"""),70.0)</f>
        <v>70</v>
      </c>
      <c r="J657" s="74" t="str">
        <f>IFERROR(__xludf.DUMMYFUNCTION("""COMPUTED_VALUE"""),"Subba Raju K V")</f>
        <v>Subba Raju K V</v>
      </c>
      <c r="K657" s="80" t="str">
        <f>IFERROR(__xludf.DUMMYFUNCTION("""COMPUTED_VALUE"""),"https://drive.google.com/open?id=1F73gH2TnGuGRWSf3wNPieF-hlO86hBUO")</f>
        <v>https://drive.google.com/open?id=1F73gH2TnGuGRWSf3wNPieF-hlO86hBUO</v>
      </c>
      <c r="L657" s="74" t="str">
        <f>IFERROR(__xludf.DUMMYFUNCTION("""COMPUTED_VALUE"""),"2018-2022")</f>
        <v>2018-2022</v>
      </c>
      <c r="M657" s="74" t="str">
        <f>IFERROR(__xludf.DUMMYFUNCTION("""COMPUTED_VALUE"""),"S4: Student Certifications")</f>
        <v>S4: Student Certifications</v>
      </c>
      <c r="N657" s="74" t="str">
        <f>IFERROR(__xludf.DUMMYFUNCTION("""COMPUTED_VALUE"""),"pranaviprathyusha1@gmail.com")</f>
        <v>pranaviprathyusha1@gmail.com</v>
      </c>
      <c r="O657" s="74" t="str">
        <f>IFERROR(__xludf.DUMMYFUNCTION("""COMPUTED_VALUE"""),"SEM-3")</f>
        <v>SEM-3</v>
      </c>
      <c r="P657" s="74"/>
      <c r="Q657" s="74"/>
      <c r="R657" s="74"/>
      <c r="S657" s="74"/>
      <c r="T657" s="74"/>
      <c r="U657" s="74"/>
      <c r="V657" s="74"/>
      <c r="W657" s="74"/>
      <c r="X657" s="74"/>
      <c r="Y657" s="74"/>
    </row>
    <row r="658" ht="26.25" customHeight="1">
      <c r="A658" s="78" t="str">
        <f>IFERROR(__xludf.DUMMYFUNCTION("""COMPUTED_VALUE"""),"Pathivada Sai Jahnavi")</f>
        <v>Pathivada Sai Jahnavi</v>
      </c>
      <c r="B658" s="78" t="str">
        <f>IFERROR(__xludf.DUMMYFUNCTION("""COMPUTED_VALUE"""),"18331A05B5")</f>
        <v>18331A05B5</v>
      </c>
      <c r="C658" s="93" t="str">
        <f>IFERROR(__xludf.DUMMYFUNCTION("""COMPUTED_VALUE"""),"SQL Quiz ")</f>
        <v>SQL Quiz </v>
      </c>
      <c r="D658" s="78" t="str">
        <f>IFERROR(__xludf.DUMMYFUNCTION("""COMPUTED_VALUE"""),"VIGNAN'S INSTITUTE OF ENGINEERING FOR WOMEN")</f>
        <v>VIGNAN'S INSTITUTE OF ENGINEERING FOR WOMEN</v>
      </c>
      <c r="E658" s="78" t="str">
        <f>IFERROR(__xludf.DUMMYFUNCTION("""COMPUTED_VALUE"""),"1 HOUR")</f>
        <v>1 HOUR</v>
      </c>
      <c r="F658" s="94">
        <f>IFERROR(__xludf.DUMMYFUNCTION("""COMPUTED_VALUE"""),43979.0)</f>
        <v>43979</v>
      </c>
      <c r="G658" s="94">
        <f>IFERROR(__xludf.DUMMYFUNCTION("""COMPUTED_VALUE"""),43979.0)</f>
        <v>43979</v>
      </c>
      <c r="H658" s="84">
        <f>IFERROR(__xludf.DUMMYFUNCTION("""COMPUTED_VALUE"""),43979.0)</f>
        <v>43979</v>
      </c>
      <c r="I658" s="95">
        <f>IFERROR(__xludf.DUMMYFUNCTION("""COMPUTED_VALUE"""),0.8)</f>
        <v>0.8</v>
      </c>
      <c r="J658" s="78" t="str">
        <f>IFERROR(__xludf.DUMMYFUNCTION("""COMPUTED_VALUE"""),"Aruna Kumari")</f>
        <v>Aruna Kumari</v>
      </c>
      <c r="K658" s="85" t="str">
        <f>IFERROR(__xludf.DUMMYFUNCTION("""COMPUTED_VALUE"""),"https://drive.google.com/open?id=1wGDKh6_IAgs70gC199Ruzn6O_l4R_sjR")</f>
        <v>https://drive.google.com/open?id=1wGDKh6_IAgs70gC199Ruzn6O_l4R_sjR</v>
      </c>
      <c r="L658" s="78" t="str">
        <f>IFERROR(__xludf.DUMMYFUNCTION("""COMPUTED_VALUE"""),"2018-2022")</f>
        <v>2018-2022</v>
      </c>
      <c r="M658" s="78" t="str">
        <f>IFERROR(__xludf.DUMMYFUNCTION("""COMPUTED_VALUE"""),"S4: Student Certifications")</f>
        <v>S4: Student Certifications</v>
      </c>
      <c r="N658" s="78" t="str">
        <f>IFERROR(__xludf.DUMMYFUNCTION("""COMPUTED_VALUE"""),"jahnavipathivada123@gmail.com")</f>
        <v>jahnavipathivada123@gmail.com</v>
      </c>
      <c r="O658" s="78" t="str">
        <f>IFERROR(__xludf.DUMMYFUNCTION("""COMPUTED_VALUE"""),"SEM-4")</f>
        <v>SEM-4</v>
      </c>
      <c r="P658" s="78"/>
      <c r="Q658" s="78"/>
      <c r="R658" s="78"/>
      <c r="S658" s="78"/>
      <c r="T658" s="78"/>
      <c r="U658" s="78"/>
      <c r="V658" s="78"/>
      <c r="W658" s="78"/>
      <c r="X658" s="78"/>
      <c r="Y658" s="78"/>
    </row>
    <row r="659" ht="26.25" customHeight="1">
      <c r="A659" s="74" t="str">
        <f>IFERROR(__xludf.DUMMYFUNCTION("""COMPUTED_VALUE"""),"Veera pavan kumar Narla")</f>
        <v>Veera pavan kumar Narla</v>
      </c>
      <c r="B659" s="74" t="str">
        <f>IFERROR(__xludf.DUMMYFUNCTION("""COMPUTED_VALUE"""),"18331A05B1")</f>
        <v>18331A05B1</v>
      </c>
      <c r="C659" s="90" t="str">
        <f>IFERROR(__xludf.DUMMYFUNCTION("""COMPUTED_VALUE"""),"cybersecurity")</f>
        <v>cybersecurity</v>
      </c>
      <c r="D659" s="74" t="str">
        <f>IFERROR(__xludf.DUMMYFUNCTION("""COMPUTED_VALUE"""),"cisco")</f>
        <v>cisco</v>
      </c>
      <c r="E659" s="74" t="str">
        <f>IFERROR(__xludf.DUMMYFUNCTION("""COMPUTED_VALUE"""),"30 hours")</f>
        <v>30 hours</v>
      </c>
      <c r="F659" s="91">
        <f>IFERROR(__xludf.DUMMYFUNCTION("""COMPUTED_VALUE"""),43647.0)</f>
        <v>43647</v>
      </c>
      <c r="G659" s="91">
        <f>IFERROR(__xludf.DUMMYFUNCTION("""COMPUTED_VALUE"""),43672.0)</f>
        <v>43672</v>
      </c>
      <c r="H659" s="79">
        <f>IFERROR(__xludf.DUMMYFUNCTION("""COMPUTED_VALUE"""),43675.0)</f>
        <v>43675</v>
      </c>
      <c r="I659" s="92">
        <f>IFERROR(__xludf.DUMMYFUNCTION("""COMPUTED_VALUE"""),70.0)</f>
        <v>70</v>
      </c>
      <c r="J659" s="74" t="str">
        <f>IFERROR(__xludf.DUMMYFUNCTION("""COMPUTED_VALUE"""),"dr.ravi kiran varma penumatsa")</f>
        <v>dr.ravi kiran varma penumatsa</v>
      </c>
      <c r="K659" s="80" t="str">
        <f>IFERROR(__xludf.DUMMYFUNCTION("""COMPUTED_VALUE"""),"https://drive.google.com/open?id=1xHihBp9ffEgJqHIj-0yVXJ4us0-ljW7f")</f>
        <v>https://drive.google.com/open?id=1xHihBp9ffEgJqHIj-0yVXJ4us0-ljW7f</v>
      </c>
      <c r="L659" s="74" t="str">
        <f>IFERROR(__xludf.DUMMYFUNCTION("""COMPUTED_VALUE"""),"2018-2022")</f>
        <v>2018-2022</v>
      </c>
      <c r="M659" s="74" t="str">
        <f>IFERROR(__xludf.DUMMYFUNCTION("""COMPUTED_VALUE"""),"S4: Student Certifications")</f>
        <v>S4: Student Certifications</v>
      </c>
      <c r="N659" s="74" t="str">
        <f>IFERROR(__xludf.DUMMYFUNCTION("""COMPUTED_VALUE"""),"narlaveerapavankumar@gmail.com")</f>
        <v>narlaveerapavankumar@gmail.com</v>
      </c>
      <c r="O659" s="74" t="str">
        <f>IFERROR(__xludf.DUMMYFUNCTION("""COMPUTED_VALUE"""),"SEM-8")</f>
        <v>SEM-8</v>
      </c>
      <c r="P659" s="74"/>
      <c r="Q659" s="74"/>
      <c r="R659" s="74"/>
      <c r="S659" s="74"/>
      <c r="T659" s="74"/>
      <c r="U659" s="74"/>
      <c r="V659" s="74"/>
      <c r="W659" s="74"/>
      <c r="X659" s="74"/>
      <c r="Y659" s="74"/>
    </row>
    <row r="660" ht="26.25" customHeight="1">
      <c r="A660" s="78" t="str">
        <f>IFERROR(__xludf.DUMMYFUNCTION("""COMPUTED_VALUE"""),"Mopada Pavithra")</f>
        <v>Mopada Pavithra</v>
      </c>
      <c r="B660" s="78" t="str">
        <f>IFERROR(__xludf.DUMMYFUNCTION("""COMPUTED_VALUE"""),"18331A0599")</f>
        <v>18331A0599</v>
      </c>
      <c r="C660" s="93" t="str">
        <f>IFERROR(__xludf.DUMMYFUNCTION("""COMPUTED_VALUE"""),"SQL")</f>
        <v>SQL</v>
      </c>
      <c r="D660" s="78" t="str">
        <f>IFERROR(__xludf.DUMMYFUNCTION("""COMPUTED_VALUE"""),"Vignan's institute of engineering for women")</f>
        <v>Vignan's institute of engineering for women</v>
      </c>
      <c r="E660" s="78" t="str">
        <f>IFERROR(__xludf.DUMMYFUNCTION("""COMPUTED_VALUE"""),"1 hr")</f>
        <v>1 hr</v>
      </c>
      <c r="F660" s="94">
        <f>IFERROR(__xludf.DUMMYFUNCTION("""COMPUTED_VALUE"""),43979.0)</f>
        <v>43979</v>
      </c>
      <c r="G660" s="94">
        <f>IFERROR(__xludf.DUMMYFUNCTION("""COMPUTED_VALUE"""),43979.0)</f>
        <v>43979</v>
      </c>
      <c r="H660" s="84">
        <f>IFERROR(__xludf.DUMMYFUNCTION("""COMPUTED_VALUE"""),43979.0)</f>
        <v>43979</v>
      </c>
      <c r="I660" s="95">
        <f>IFERROR(__xludf.DUMMYFUNCTION("""COMPUTED_VALUE"""),0.84)</f>
        <v>0.84</v>
      </c>
      <c r="J660" s="78" t="str">
        <f>IFERROR(__xludf.DUMMYFUNCTION("""COMPUTED_VALUE"""),"B.Aruna kumari")</f>
        <v>B.Aruna kumari</v>
      </c>
      <c r="K660" s="85" t="str">
        <f>IFERROR(__xludf.DUMMYFUNCTION("""COMPUTED_VALUE"""),"https://drive.google.com/open?id=1bQZN1sdfANiS5a7TIxmGbUcEMHCKl7ad")</f>
        <v>https://drive.google.com/open?id=1bQZN1sdfANiS5a7TIxmGbUcEMHCKl7ad</v>
      </c>
      <c r="L660" s="78" t="str">
        <f>IFERROR(__xludf.DUMMYFUNCTION("""COMPUTED_VALUE"""),"2018-2022")</f>
        <v>2018-2022</v>
      </c>
      <c r="M660" s="78" t="str">
        <f>IFERROR(__xludf.DUMMYFUNCTION("""COMPUTED_VALUE"""),"S4: Student Certifications")</f>
        <v>S4: Student Certifications</v>
      </c>
      <c r="N660" s="78" t="str">
        <f>IFERROR(__xludf.DUMMYFUNCTION("""COMPUTED_VALUE"""),"pavithramopada2001@gmail.com")</f>
        <v>pavithramopada2001@gmail.com</v>
      </c>
      <c r="O660" s="78" t="str">
        <f>IFERROR(__xludf.DUMMYFUNCTION("""COMPUTED_VALUE"""),"SEM-4")</f>
        <v>SEM-4</v>
      </c>
      <c r="P660" s="78"/>
      <c r="Q660" s="78"/>
      <c r="R660" s="78"/>
      <c r="S660" s="78"/>
      <c r="T660" s="78"/>
      <c r="U660" s="78"/>
      <c r="V660" s="78"/>
      <c r="W660" s="78"/>
      <c r="X660" s="78"/>
      <c r="Y660" s="78"/>
    </row>
    <row r="661" ht="26.25" customHeight="1">
      <c r="A661" s="78" t="str">
        <f>IFERROR(__xludf.DUMMYFUNCTION("""COMPUTED_VALUE"""),"NANUBALA JASWANTH KUMAR ")</f>
        <v>NANUBALA JASWANTH KUMAR </v>
      </c>
      <c r="B661" s="78" t="str">
        <f>IFERROR(__xludf.DUMMYFUNCTION("""COMPUTED_VALUE"""),"18331A05B0")</f>
        <v>18331A05B0</v>
      </c>
      <c r="C661" s="93" t="str">
        <f>IFERROR(__xludf.DUMMYFUNCTION("""COMPUTED_VALUE"""),"Nanubala Jaswanth Kumar ")</f>
        <v>Nanubala Jaswanth Kumar </v>
      </c>
      <c r="D661" s="78" t="str">
        <f>IFERROR(__xludf.DUMMYFUNCTION("""COMPUTED_VALUE"""),"VIGNAN'S INSTITUTE OF ENGINEERING ")</f>
        <v>VIGNAN'S INSTITUTE OF ENGINEERING </v>
      </c>
      <c r="E661" s="78" t="str">
        <f>IFERROR(__xludf.DUMMYFUNCTION("""COMPUTED_VALUE"""),"10 hours ")</f>
        <v>10 hours </v>
      </c>
      <c r="F661" s="94">
        <f>IFERROR(__xludf.DUMMYFUNCTION("""COMPUTED_VALUE"""),43979.0)</f>
        <v>43979</v>
      </c>
      <c r="G661" s="94">
        <f>IFERROR(__xludf.DUMMYFUNCTION("""COMPUTED_VALUE"""),43979.0)</f>
        <v>43979</v>
      </c>
      <c r="H661" s="84">
        <f>IFERROR(__xludf.DUMMYFUNCTION("""COMPUTED_VALUE"""),43979.0)</f>
        <v>43979</v>
      </c>
      <c r="I661" s="95">
        <f>IFERROR(__xludf.DUMMYFUNCTION("""COMPUTED_VALUE"""),0.96)</f>
        <v>0.96</v>
      </c>
      <c r="J661" s="78" t="str">
        <f>IFERROR(__xludf.DUMMYFUNCTION("""COMPUTED_VALUE"""),"B. ARUNA KUMARI ")</f>
        <v>B. ARUNA KUMARI </v>
      </c>
      <c r="K661" s="85" t="str">
        <f>IFERROR(__xludf.DUMMYFUNCTION("""COMPUTED_VALUE"""),"https://drive.google.com/open?id=1benE_3z7zTx6AB3LHanz1gZmijC1bplb")</f>
        <v>https://drive.google.com/open?id=1benE_3z7zTx6AB3LHanz1gZmijC1bplb</v>
      </c>
      <c r="L661" s="78" t="str">
        <f>IFERROR(__xludf.DUMMYFUNCTION("""COMPUTED_VALUE"""),"2018-2022")</f>
        <v>2018-2022</v>
      </c>
      <c r="M661" s="78" t="str">
        <f>IFERROR(__xludf.DUMMYFUNCTION("""COMPUTED_VALUE"""),"S4: Student Certifications")</f>
        <v>S4: Student Certifications</v>
      </c>
      <c r="N661" s="78" t="str">
        <f>IFERROR(__xludf.DUMMYFUNCTION("""COMPUTED_VALUE"""),"jaswanthsaisubhkar@gmail.com")</f>
        <v>jaswanthsaisubhkar@gmail.com</v>
      </c>
      <c r="O661" s="78" t="str">
        <f>IFERROR(__xludf.DUMMYFUNCTION("""COMPUTED_VALUE"""),"SEM-4")</f>
        <v>SEM-4</v>
      </c>
      <c r="P661" s="78"/>
      <c r="Q661" s="78"/>
      <c r="R661" s="78"/>
      <c r="S661" s="78"/>
      <c r="T661" s="78"/>
      <c r="U661" s="78"/>
      <c r="V661" s="78"/>
      <c r="W661" s="78"/>
      <c r="X661" s="78"/>
      <c r="Y661" s="78"/>
    </row>
    <row r="662" ht="26.25" customHeight="1">
      <c r="A662" s="74" t="str">
        <f>IFERROR(__xludf.DUMMYFUNCTION("""COMPUTED_VALUE"""),"Varsha Mamidipaka")</f>
        <v>Varsha Mamidipaka</v>
      </c>
      <c r="B662" s="74" t="str">
        <f>IFERROR(__xludf.DUMMYFUNCTION("""COMPUTED_VALUE"""),"18331A0592")</f>
        <v>18331A0592</v>
      </c>
      <c r="C662" s="90" t="str">
        <f>IFERROR(__xludf.DUMMYFUNCTION("""COMPUTED_VALUE"""),"Introduction to Html5")</f>
        <v>Introduction to Html5</v>
      </c>
      <c r="D662" s="74" t="str">
        <f>IFERROR(__xludf.DUMMYFUNCTION("""COMPUTED_VALUE"""),"coursera")</f>
        <v>coursera</v>
      </c>
      <c r="E662" s="74" t="str">
        <f>IFERROR(__xludf.DUMMYFUNCTION("""COMPUTED_VALUE"""),"3months")</f>
        <v>3months</v>
      </c>
      <c r="F662" s="91">
        <f>IFERROR(__xludf.DUMMYFUNCTION("""COMPUTED_VALUE"""),43891.0)</f>
        <v>43891</v>
      </c>
      <c r="G662" s="91">
        <f>IFERROR(__xludf.DUMMYFUNCTION("""COMPUTED_VALUE"""),43981.0)</f>
        <v>43981</v>
      </c>
      <c r="H662" s="79">
        <f>IFERROR(__xludf.DUMMYFUNCTION("""COMPUTED_VALUE"""),43981.0)</f>
        <v>43981</v>
      </c>
      <c r="I662" s="92">
        <f>IFERROR(__xludf.DUMMYFUNCTION("""COMPUTED_VALUE"""),95.33)</f>
        <v>95.33</v>
      </c>
      <c r="J662" s="74" t="str">
        <f>IFERROR(__xludf.DUMMYFUNCTION("""COMPUTED_VALUE"""),"Self learning")</f>
        <v>Self learning</v>
      </c>
      <c r="K662" s="80" t="str">
        <f>IFERROR(__xludf.DUMMYFUNCTION("""COMPUTED_VALUE"""),"https://drive.google.com/open?id=1zdKVzFpKrRvN7sqZM-u0JVTBml7nW9-l")</f>
        <v>https://drive.google.com/open?id=1zdKVzFpKrRvN7sqZM-u0JVTBml7nW9-l</v>
      </c>
      <c r="L662" s="74" t="str">
        <f>IFERROR(__xludf.DUMMYFUNCTION("""COMPUTED_VALUE"""),"2018-2022")</f>
        <v>2018-2022</v>
      </c>
      <c r="M662" s="74" t="str">
        <f>IFERROR(__xludf.DUMMYFUNCTION("""COMPUTED_VALUE"""),"S4: Student Certifications")</f>
        <v>S4: Student Certifications</v>
      </c>
      <c r="N662" s="74" t="str">
        <f>IFERROR(__xludf.DUMMYFUNCTION("""COMPUTED_VALUE"""),"bhuvanavarsha7701@gmail.com")</f>
        <v>bhuvanavarsha7701@gmail.com</v>
      </c>
      <c r="O662" s="74" t="str">
        <f>IFERROR(__xludf.DUMMYFUNCTION("""COMPUTED_VALUE"""),"SEM-4")</f>
        <v>SEM-4</v>
      </c>
      <c r="P662" s="74"/>
      <c r="Q662" s="74"/>
      <c r="R662" s="74"/>
      <c r="S662" s="74"/>
      <c r="T662" s="74"/>
      <c r="U662" s="74"/>
      <c r="V662" s="74"/>
      <c r="W662" s="74"/>
      <c r="X662" s="74"/>
      <c r="Y662" s="74"/>
    </row>
    <row r="663" ht="26.25" customHeight="1">
      <c r="A663" s="74" t="str">
        <f>IFERROR(__xludf.DUMMYFUNCTION("""COMPUTED_VALUE"""),"Varsha Mamidipaka")</f>
        <v>Varsha Mamidipaka</v>
      </c>
      <c r="B663" s="74" t="str">
        <f>IFERROR(__xludf.DUMMYFUNCTION("""COMPUTED_VALUE"""),"18331A0592")</f>
        <v>18331A0592</v>
      </c>
      <c r="C663" s="90" t="str">
        <f>IFERROR(__xludf.DUMMYFUNCTION("""COMPUTED_VALUE"""),"AI For Everyone")</f>
        <v>AI For Everyone</v>
      </c>
      <c r="D663" s="74" t="str">
        <f>IFERROR(__xludf.DUMMYFUNCTION("""COMPUTED_VALUE"""),"Cisco")</f>
        <v>Cisco</v>
      </c>
      <c r="E663" s="74" t="str">
        <f>IFERROR(__xludf.DUMMYFUNCTION("""COMPUTED_VALUE"""),"3months")</f>
        <v>3months</v>
      </c>
      <c r="F663" s="91">
        <f>IFERROR(__xludf.DUMMYFUNCTION("""COMPUTED_VALUE"""),43922.0)</f>
        <v>43922</v>
      </c>
      <c r="G663" s="91">
        <f>IFERROR(__xludf.DUMMYFUNCTION("""COMPUTED_VALUE"""),44012.0)</f>
        <v>44012</v>
      </c>
      <c r="H663" s="79">
        <f>IFERROR(__xludf.DUMMYFUNCTION("""COMPUTED_VALUE"""),44012.0)</f>
        <v>44012</v>
      </c>
      <c r="I663" s="92">
        <f>IFERROR(__xludf.DUMMYFUNCTION("""COMPUTED_VALUE"""),92.5)</f>
        <v>92.5</v>
      </c>
      <c r="J663" s="74" t="str">
        <f>IFERROR(__xludf.DUMMYFUNCTION("""COMPUTED_VALUE"""),"Self learning")</f>
        <v>Self learning</v>
      </c>
      <c r="K663" s="80" t="str">
        <f>IFERROR(__xludf.DUMMYFUNCTION("""COMPUTED_VALUE"""),"https://drive.google.com/open?id=1IXNg6qLnKfWsK2iqSCIwl14UWLZf5Gng")</f>
        <v>https://drive.google.com/open?id=1IXNg6qLnKfWsK2iqSCIwl14UWLZf5Gng</v>
      </c>
      <c r="L663" s="74" t="str">
        <f>IFERROR(__xludf.DUMMYFUNCTION("""COMPUTED_VALUE"""),"2018-2022")</f>
        <v>2018-2022</v>
      </c>
      <c r="M663" s="74" t="str">
        <f>IFERROR(__xludf.DUMMYFUNCTION("""COMPUTED_VALUE"""),"S4: Student Certifications")</f>
        <v>S4: Student Certifications</v>
      </c>
      <c r="N663" s="74" t="str">
        <f>IFERROR(__xludf.DUMMYFUNCTION("""COMPUTED_VALUE"""),"bhuvanavarsha7701@gmail.com")</f>
        <v>bhuvanavarsha7701@gmail.com</v>
      </c>
      <c r="O663" s="74" t="str">
        <f>IFERROR(__xludf.DUMMYFUNCTION("""COMPUTED_VALUE"""),"SEM-4")</f>
        <v>SEM-4</v>
      </c>
      <c r="P663" s="74"/>
      <c r="Q663" s="74"/>
      <c r="R663" s="74"/>
      <c r="S663" s="74"/>
      <c r="T663" s="74"/>
      <c r="U663" s="74"/>
      <c r="V663" s="74"/>
      <c r="W663" s="74"/>
      <c r="X663" s="74"/>
      <c r="Y663" s="74"/>
    </row>
    <row r="664" ht="26.25" customHeight="1">
      <c r="A664" s="74" t="str">
        <f>IFERROR(__xludf.DUMMYFUNCTION("""COMPUTED_VALUE"""),"Pathivada Sai Jahnavi")</f>
        <v>Pathivada Sai Jahnavi</v>
      </c>
      <c r="B664" s="74" t="str">
        <f>IFERROR(__xludf.DUMMYFUNCTION("""COMPUTED_VALUE"""),"18331A05B5")</f>
        <v>18331A05B5</v>
      </c>
      <c r="C664" s="90" t="str">
        <f>IFERROR(__xludf.DUMMYFUNCTION("""COMPUTED_VALUE"""),"AWS Academy Cloud Foundations")</f>
        <v>AWS Academy Cloud Foundations</v>
      </c>
      <c r="D664" s="74" t="str">
        <f>IFERROR(__xludf.DUMMYFUNCTION("""COMPUTED_VALUE"""),"AWS Academy Graduate")</f>
        <v>AWS Academy Graduate</v>
      </c>
      <c r="E664" s="74" t="str">
        <f>IFERROR(__xludf.DUMMYFUNCTION("""COMPUTED_VALUE"""),"20 hours")</f>
        <v>20 hours</v>
      </c>
      <c r="F664" s="91">
        <f>IFERROR(__xludf.DUMMYFUNCTION("""COMPUTED_VALUE"""),44512.0)</f>
        <v>44512</v>
      </c>
      <c r="G664" s="91">
        <f>IFERROR(__xludf.DUMMYFUNCTION("""COMPUTED_VALUE"""),44541.0)</f>
        <v>44541</v>
      </c>
      <c r="H664" s="79">
        <f>IFERROR(__xludf.DUMMYFUNCTION("""COMPUTED_VALUE"""),44542.0)</f>
        <v>44542</v>
      </c>
      <c r="I664" s="92">
        <f>IFERROR(__xludf.DUMMYFUNCTION("""COMPUTED_VALUE"""),80.0)</f>
        <v>80</v>
      </c>
      <c r="J664" s="74" t="str">
        <f>IFERROR(__xludf.DUMMYFUNCTION("""COMPUTED_VALUE"""),"DR. Ravi KIran Varma Penmatsa")</f>
        <v>DR. Ravi KIran Varma Penmatsa</v>
      </c>
      <c r="K664" s="80" t="str">
        <f>IFERROR(__xludf.DUMMYFUNCTION("""COMPUTED_VALUE"""),"https://drive.google.com/open?id=1s4rTgaYg372hFb6Ef0SbSzDyX97adY06")</f>
        <v>https://drive.google.com/open?id=1s4rTgaYg372hFb6Ef0SbSzDyX97adY06</v>
      </c>
      <c r="L664" s="74" t="str">
        <f>IFERROR(__xludf.DUMMYFUNCTION("""COMPUTED_VALUE"""),"2018-2022")</f>
        <v>2018-2022</v>
      </c>
      <c r="M664" s="74" t="str">
        <f>IFERROR(__xludf.DUMMYFUNCTION("""COMPUTED_VALUE"""),"S4: Student Certifications")</f>
        <v>S4: Student Certifications</v>
      </c>
      <c r="N664" s="74" t="str">
        <f>IFERROR(__xludf.DUMMYFUNCTION("""COMPUTED_VALUE"""),"jahnavipathivada123@gmail.com")</f>
        <v>jahnavipathivada123@gmail.com</v>
      </c>
      <c r="O664" s="74" t="str">
        <f>IFERROR(__xludf.DUMMYFUNCTION("""COMPUTED_VALUE"""),"SEM-7")</f>
        <v>SEM-7</v>
      </c>
      <c r="P664" s="74"/>
      <c r="Q664" s="74"/>
      <c r="R664" s="74"/>
      <c r="S664" s="74"/>
      <c r="T664" s="74"/>
      <c r="U664" s="74"/>
      <c r="V664" s="74"/>
      <c r="W664" s="74"/>
      <c r="X664" s="74"/>
      <c r="Y664" s="74"/>
    </row>
    <row r="665" ht="26.25" customHeight="1">
      <c r="A665" s="78" t="str">
        <f>IFERROR(__xludf.DUMMYFUNCTION("""COMPUTED_VALUE"""),"Veera pavan kumar Narla")</f>
        <v>Veera pavan kumar Narla</v>
      </c>
      <c r="B665" s="78" t="str">
        <f>IFERROR(__xludf.DUMMYFUNCTION("""COMPUTED_VALUE"""),"18331A05B1")</f>
        <v>18331A05B1</v>
      </c>
      <c r="C665" s="93" t="str">
        <f>IFERROR(__xludf.DUMMYFUNCTION("""COMPUTED_VALUE"""),"SQL")</f>
        <v>SQL</v>
      </c>
      <c r="D665" s="78" t="str">
        <f>IFERROR(__xludf.DUMMYFUNCTION("""COMPUTED_VALUE"""),"VIGNAN INSTITUTE OF ENGINEERING FOR WOMEN")</f>
        <v>VIGNAN INSTITUTE OF ENGINEERING FOR WOMEN</v>
      </c>
      <c r="E665" s="78" t="str">
        <f>IFERROR(__xludf.DUMMYFUNCTION("""COMPUTED_VALUE"""),"1 HOUR")</f>
        <v>1 HOUR</v>
      </c>
      <c r="F665" s="94">
        <f>IFERROR(__xludf.DUMMYFUNCTION("""COMPUTED_VALUE"""),43977.0)</f>
        <v>43977</v>
      </c>
      <c r="G665" s="94">
        <f>IFERROR(__xludf.DUMMYFUNCTION("""COMPUTED_VALUE"""),43979.0)</f>
        <v>43979</v>
      </c>
      <c r="H665" s="84">
        <f>IFERROR(__xludf.DUMMYFUNCTION("""COMPUTED_VALUE"""),43979.0)</f>
        <v>43979</v>
      </c>
      <c r="I665" s="95">
        <f>IFERROR(__xludf.DUMMYFUNCTION("""COMPUTED_VALUE"""),76.0)</f>
        <v>76</v>
      </c>
      <c r="J665" s="78" t="str">
        <f>IFERROR(__xludf.DUMMYFUNCTION("""COMPUTED_VALUE"""),"ARUNA KUAMRI")</f>
        <v>ARUNA KUAMRI</v>
      </c>
      <c r="K665" s="85" t="str">
        <f>IFERROR(__xludf.DUMMYFUNCTION("""COMPUTED_VALUE"""),"https://drive.google.com/open?id=1DJ9AuQ01JXB1hfVVa6krufEJTLEmmFqF")</f>
        <v>https://drive.google.com/open?id=1DJ9AuQ01JXB1hfVVa6krufEJTLEmmFqF</v>
      </c>
      <c r="L665" s="78" t="str">
        <f>IFERROR(__xludf.DUMMYFUNCTION("""COMPUTED_VALUE"""),"2018-2022")</f>
        <v>2018-2022</v>
      </c>
      <c r="M665" s="78" t="str">
        <f>IFERROR(__xludf.DUMMYFUNCTION("""COMPUTED_VALUE"""),"S4: Student Certifications")</f>
        <v>S4: Student Certifications</v>
      </c>
      <c r="N665" s="78" t="str">
        <f>IFERROR(__xludf.DUMMYFUNCTION("""COMPUTED_VALUE"""),"narlaveerapavankumar@gmail.com")</f>
        <v>narlaveerapavankumar@gmail.com</v>
      </c>
      <c r="O665" s="78" t="str">
        <f>IFERROR(__xludf.DUMMYFUNCTION("""COMPUTED_VALUE"""),"SEM-4")</f>
        <v>SEM-4</v>
      </c>
      <c r="P665" s="78"/>
      <c r="Q665" s="78"/>
      <c r="R665" s="78"/>
      <c r="S665" s="78"/>
      <c r="T665" s="78"/>
      <c r="U665" s="78"/>
      <c r="V665" s="78"/>
      <c r="W665" s="78"/>
      <c r="X665" s="78"/>
      <c r="Y665" s="78"/>
    </row>
    <row r="666" ht="26.25" customHeight="1">
      <c r="A666" s="78" t="str">
        <f>IFERROR(__xludf.DUMMYFUNCTION("""COMPUTED_VALUE"""),"Nandella Pranavi Prathyusha")</f>
        <v>Nandella Pranavi Prathyusha</v>
      </c>
      <c r="B666" s="78" t="str">
        <f>IFERROR(__xludf.DUMMYFUNCTION("""COMPUTED_VALUE"""),"18331A05A8")</f>
        <v>18331A05A8</v>
      </c>
      <c r="C666" s="93" t="str">
        <f>IFERROR(__xludf.DUMMYFUNCTION("""COMPUTED_VALUE"""),"SQL")</f>
        <v>SQL</v>
      </c>
      <c r="D666" s="78" t="str">
        <f>IFERROR(__xludf.DUMMYFUNCTION("""COMPUTED_VALUE"""),"VIGNAN'S Institute of engineering for women")</f>
        <v>VIGNAN'S Institute of engineering for women</v>
      </c>
      <c r="E666" s="78" t="str">
        <f>IFERROR(__xludf.DUMMYFUNCTION("""COMPUTED_VALUE"""),"1 hour")</f>
        <v>1 hour</v>
      </c>
      <c r="F666" s="94">
        <f>IFERROR(__xludf.DUMMYFUNCTION("""COMPUTED_VALUE"""),43979.0)</f>
        <v>43979</v>
      </c>
      <c r="G666" s="94">
        <f>IFERROR(__xludf.DUMMYFUNCTION("""COMPUTED_VALUE"""),43979.0)</f>
        <v>43979</v>
      </c>
      <c r="H666" s="84">
        <f>IFERROR(__xludf.DUMMYFUNCTION("""COMPUTED_VALUE"""),43979.0)</f>
        <v>43979</v>
      </c>
      <c r="I666" s="95">
        <f>IFERROR(__xludf.DUMMYFUNCTION("""COMPUTED_VALUE"""),52.0)</f>
        <v>52</v>
      </c>
      <c r="J666" s="78" t="str">
        <f>IFERROR(__xludf.DUMMYFUNCTION("""COMPUTED_VALUE"""),"Aruna Kumari mam")</f>
        <v>Aruna Kumari mam</v>
      </c>
      <c r="K666" s="85" t="str">
        <f>IFERROR(__xludf.DUMMYFUNCTION("""COMPUTED_VALUE"""),"https://drive.google.com/open?id=1B9ct4MPV1Vcd-RGJ3roeiFas5NsBB8jn")</f>
        <v>https://drive.google.com/open?id=1B9ct4MPV1Vcd-RGJ3roeiFas5NsBB8jn</v>
      </c>
      <c r="L666" s="78" t="str">
        <f>IFERROR(__xludf.DUMMYFUNCTION("""COMPUTED_VALUE"""),"2018-2022")</f>
        <v>2018-2022</v>
      </c>
      <c r="M666" s="78" t="str">
        <f>IFERROR(__xludf.DUMMYFUNCTION("""COMPUTED_VALUE"""),"S4: Student Certifications")</f>
        <v>S4: Student Certifications</v>
      </c>
      <c r="N666" s="78" t="str">
        <f>IFERROR(__xludf.DUMMYFUNCTION("""COMPUTED_VALUE"""),"pranaviprathyusha1@gmail.com")</f>
        <v>pranaviprathyusha1@gmail.com</v>
      </c>
      <c r="O666" s="78" t="str">
        <f>IFERROR(__xludf.DUMMYFUNCTION("""COMPUTED_VALUE"""),"SEM-4")</f>
        <v>SEM-4</v>
      </c>
      <c r="P666" s="78"/>
      <c r="Q666" s="78"/>
      <c r="R666" s="78"/>
      <c r="S666" s="78"/>
      <c r="T666" s="78"/>
      <c r="U666" s="78"/>
      <c r="V666" s="78"/>
      <c r="W666" s="78"/>
      <c r="X666" s="78"/>
      <c r="Y666" s="78"/>
    </row>
    <row r="667" ht="26.25" customHeight="1">
      <c r="A667" s="78" t="str">
        <f>IFERROR(__xludf.DUMMYFUNCTION("""COMPUTED_VALUE"""),"varsha mamidipaka")</f>
        <v>varsha mamidipaka</v>
      </c>
      <c r="B667" s="78" t="str">
        <f>IFERROR(__xludf.DUMMYFUNCTION("""COMPUTED_VALUE"""),"18331A0592")</f>
        <v>18331A0592</v>
      </c>
      <c r="C667" s="93" t="str">
        <f>IFERROR(__xludf.DUMMYFUNCTION("""COMPUTED_VALUE"""),"SQL")</f>
        <v>SQL</v>
      </c>
      <c r="D667" s="78" t="str">
        <f>IFERROR(__xludf.DUMMYFUNCTION("""COMPUTED_VALUE"""),"Vignan  institute of engineering for women")</f>
        <v>Vignan  institute of engineering for women</v>
      </c>
      <c r="E667" s="78" t="str">
        <f>IFERROR(__xludf.DUMMYFUNCTION("""COMPUTED_VALUE"""),"1hour")</f>
        <v>1hour</v>
      </c>
      <c r="F667" s="94">
        <f>IFERROR(__xludf.DUMMYFUNCTION("""COMPUTED_VALUE"""),43979.0)</f>
        <v>43979</v>
      </c>
      <c r="G667" s="94">
        <f>IFERROR(__xludf.DUMMYFUNCTION("""COMPUTED_VALUE"""),43979.0)</f>
        <v>43979</v>
      </c>
      <c r="H667" s="84">
        <f>IFERROR(__xludf.DUMMYFUNCTION("""COMPUTED_VALUE"""),43979.0)</f>
        <v>43979</v>
      </c>
      <c r="I667" s="95">
        <f>IFERROR(__xludf.DUMMYFUNCTION("""COMPUTED_VALUE"""),92.0)</f>
        <v>92</v>
      </c>
      <c r="J667" s="78" t="str">
        <f>IFERROR(__xludf.DUMMYFUNCTION("""COMPUTED_VALUE"""),"B.Aruna Kumari")</f>
        <v>B.Aruna Kumari</v>
      </c>
      <c r="K667" s="85" t="str">
        <f>IFERROR(__xludf.DUMMYFUNCTION("""COMPUTED_VALUE"""),"https://drive.google.com/open?id=1twtW4Nmwd1QXFtq_YqRwnnhHTCc_X3wn")</f>
        <v>https://drive.google.com/open?id=1twtW4Nmwd1QXFtq_YqRwnnhHTCc_X3wn</v>
      </c>
      <c r="L667" s="78" t="str">
        <f>IFERROR(__xludf.DUMMYFUNCTION("""COMPUTED_VALUE"""),"2018-2022")</f>
        <v>2018-2022</v>
      </c>
      <c r="M667" s="78" t="str">
        <f>IFERROR(__xludf.DUMMYFUNCTION("""COMPUTED_VALUE"""),"S4: Student Certifications")</f>
        <v>S4: Student Certifications</v>
      </c>
      <c r="N667" s="78" t="str">
        <f>IFERROR(__xludf.DUMMYFUNCTION("""COMPUTED_VALUE"""),"bhuvanavarsha7701@gmail.com")</f>
        <v>bhuvanavarsha7701@gmail.com</v>
      </c>
      <c r="O667" s="78" t="str">
        <f>IFERROR(__xludf.DUMMYFUNCTION("""COMPUTED_VALUE"""),"SEM-4")</f>
        <v>SEM-4</v>
      </c>
      <c r="P667" s="78"/>
      <c r="Q667" s="78"/>
      <c r="R667" s="78"/>
      <c r="S667" s="78"/>
      <c r="T667" s="78"/>
      <c r="U667" s="78"/>
      <c r="V667" s="78"/>
      <c r="W667" s="78"/>
      <c r="X667" s="78"/>
      <c r="Y667" s="78"/>
    </row>
    <row r="668" ht="26.25" customHeight="1">
      <c r="A668" s="74" t="str">
        <f>IFERROR(__xludf.DUMMYFUNCTION("""COMPUTED_VALUE"""),"Varsha Mamidipaka")</f>
        <v>Varsha Mamidipaka</v>
      </c>
      <c r="B668" s="74" t="str">
        <f>IFERROR(__xludf.DUMMYFUNCTION("""COMPUTED_VALUE"""),"18331A0592")</f>
        <v>18331A0592</v>
      </c>
      <c r="C668" s="90" t="str">
        <f>IFERROR(__xludf.DUMMYFUNCTION("""COMPUTED_VALUE"""),"Introduction to Cloud Identity")</f>
        <v>Introduction to Cloud Identity</v>
      </c>
      <c r="D668" s="74" t="str">
        <f>IFERROR(__xludf.DUMMYFUNCTION("""COMPUTED_VALUE"""),"coursera")</f>
        <v>coursera</v>
      </c>
      <c r="E668" s="74" t="str">
        <f>IFERROR(__xludf.DUMMYFUNCTION("""COMPUTED_VALUE"""),"3months")</f>
        <v>3months</v>
      </c>
      <c r="F668" s="91">
        <f>IFERROR(__xludf.DUMMYFUNCTION("""COMPUTED_VALUE"""),43956.0)</f>
        <v>43956</v>
      </c>
      <c r="G668" s="91">
        <f>IFERROR(__xludf.DUMMYFUNCTION("""COMPUTED_VALUE"""),44016.0)</f>
        <v>44016</v>
      </c>
      <c r="H668" s="79">
        <f>IFERROR(__xludf.DUMMYFUNCTION("""COMPUTED_VALUE"""),44018.0)</f>
        <v>44018</v>
      </c>
      <c r="I668" s="92">
        <f>IFERROR(__xludf.DUMMYFUNCTION("""COMPUTED_VALUE"""),86.5)</f>
        <v>86.5</v>
      </c>
      <c r="J668" s="74" t="str">
        <f>IFERROR(__xludf.DUMMYFUNCTION("""COMPUTED_VALUE"""),"Self learning")</f>
        <v>Self learning</v>
      </c>
      <c r="K668" s="80" t="str">
        <f>IFERROR(__xludf.DUMMYFUNCTION("""COMPUTED_VALUE"""),"https://drive.google.com/open?id=1HE_sU7ihsjFY9Zn7HSqOddJpEYLzlZUs")</f>
        <v>https://drive.google.com/open?id=1HE_sU7ihsjFY9Zn7HSqOddJpEYLzlZUs</v>
      </c>
      <c r="L668" s="74" t="str">
        <f>IFERROR(__xludf.DUMMYFUNCTION("""COMPUTED_VALUE"""),"2018-2022")</f>
        <v>2018-2022</v>
      </c>
      <c r="M668" s="74" t="str">
        <f>IFERROR(__xludf.DUMMYFUNCTION("""COMPUTED_VALUE"""),"S4: Student Certifications")</f>
        <v>S4: Student Certifications</v>
      </c>
      <c r="N668" s="74" t="str">
        <f>IFERROR(__xludf.DUMMYFUNCTION("""COMPUTED_VALUE"""),"bhuvanavarsha7701@gmail.com")</f>
        <v>bhuvanavarsha7701@gmail.com</v>
      </c>
      <c r="O668" s="74" t="str">
        <f>IFERROR(__xludf.DUMMYFUNCTION("""COMPUTED_VALUE"""),"SEM-4")</f>
        <v>SEM-4</v>
      </c>
      <c r="P668" s="74"/>
      <c r="Q668" s="74"/>
      <c r="R668" s="74"/>
      <c r="S668" s="74"/>
      <c r="T668" s="74"/>
      <c r="U668" s="74"/>
      <c r="V668" s="74"/>
      <c r="W668" s="74"/>
      <c r="X668" s="74"/>
      <c r="Y668" s="74"/>
    </row>
    <row r="669" ht="26.25" customHeight="1">
      <c r="A669" s="96" t="str">
        <f>IFERROR(__xludf.DUMMYFUNCTION("""COMPUTED_VALUE"""),"KILLI SARATHKUMAR")</f>
        <v>KILLI SARATHKUMAR</v>
      </c>
      <c r="B669" s="96" t="str">
        <f>IFERROR(__xludf.DUMMYFUNCTION("""COMPUTED_VALUE"""),"20331A0584")</f>
        <v>20331A0584</v>
      </c>
      <c r="C669" s="97" t="str">
        <f>IFERROR(__xludf.DUMMYFUNCTION("""COMPUTED_VALUE"""),"IT Essentials")</f>
        <v>IT Essentials</v>
      </c>
      <c r="D669" s="96" t="str">
        <f>IFERROR(__xludf.DUMMYFUNCTION("""COMPUTED_VALUE"""),"Cisco")</f>
        <v>Cisco</v>
      </c>
      <c r="E669" s="96" t="str">
        <f>IFERROR(__xludf.DUMMYFUNCTION("""COMPUTED_VALUE"""),"10 weeks")</f>
        <v>10 weeks</v>
      </c>
      <c r="F669" s="98">
        <f>IFERROR(__xludf.DUMMYFUNCTION("""COMPUTED_VALUE"""),44321.0)</f>
        <v>44321</v>
      </c>
      <c r="G669" s="98">
        <f>IFERROR(__xludf.DUMMYFUNCTION("""COMPUTED_VALUE"""),44394.0)</f>
        <v>44394</v>
      </c>
      <c r="H669" s="99">
        <f>IFERROR(__xludf.DUMMYFUNCTION("""COMPUTED_VALUE"""),44561.0)</f>
        <v>44561</v>
      </c>
      <c r="I669" s="100">
        <f>IFERROR(__xludf.DUMMYFUNCTION("""COMPUTED_VALUE"""),90.0)</f>
        <v>90</v>
      </c>
      <c r="J669" s="96" t="str">
        <f>IFERROR(__xludf.DUMMYFUNCTION("""COMPUTED_VALUE"""),"KV SUBBARAJU")</f>
        <v>KV SUBBARAJU</v>
      </c>
      <c r="K669" s="101" t="str">
        <f>IFERROR(__xludf.DUMMYFUNCTION("""COMPUTED_VALUE"""),"https://drive.google.com/open?id=19V65fDAsmzYsKtW_7ul6jlT-GZPbdWXF")</f>
        <v>https://drive.google.com/open?id=19V65fDAsmzYsKtW_7ul6jlT-GZPbdWXF</v>
      </c>
      <c r="L669" s="96" t="str">
        <f>IFERROR(__xludf.DUMMYFUNCTION("""COMPUTED_VALUE"""),"2020-2024")</f>
        <v>2020-2024</v>
      </c>
      <c r="M669" s="96" t="str">
        <f>IFERROR(__xludf.DUMMYFUNCTION("""COMPUTED_VALUE"""),"S4: Student Certifications")</f>
        <v>S4: Student Certifications</v>
      </c>
      <c r="N669" s="96" t="str">
        <f>IFERROR(__xludf.DUMMYFUNCTION("""COMPUTED_VALUE"""),"sarathramkilli2003@gmail.com")</f>
        <v>sarathramkilli2003@gmail.com</v>
      </c>
      <c r="O669" s="96" t="str">
        <f>IFERROR(__xludf.DUMMYFUNCTION("""COMPUTED_VALUE"""),"SEM-4")</f>
        <v>SEM-4</v>
      </c>
      <c r="P669" s="96"/>
      <c r="Q669" s="96"/>
      <c r="R669" s="96"/>
      <c r="S669" s="96"/>
      <c r="T669" s="96"/>
      <c r="U669" s="96"/>
      <c r="V669" s="96"/>
      <c r="W669" s="96"/>
      <c r="X669" s="96"/>
      <c r="Y669" s="96"/>
    </row>
    <row r="670" ht="26.25" customHeight="1">
      <c r="A670" s="78" t="str">
        <f>IFERROR(__xludf.DUMMYFUNCTION("""COMPUTED_VALUE"""),"K. V. Madesh ")</f>
        <v>K. V. Madesh </v>
      </c>
      <c r="B670" s="78" t="str">
        <f>IFERROR(__xludf.DUMMYFUNCTION("""COMPUTED_VALUE"""),"18331A0581")</f>
        <v>18331A0581</v>
      </c>
      <c r="C670" s="93" t="str">
        <f>IFERROR(__xludf.DUMMYFUNCTION("""COMPUTED_VALUE"""),"SQL")</f>
        <v>SQL</v>
      </c>
      <c r="D670" s="78" t="str">
        <f>IFERROR(__xludf.DUMMYFUNCTION("""COMPUTED_VALUE"""),"Vignan's institute of engineering for women ")</f>
        <v>Vignan's institute of engineering for women </v>
      </c>
      <c r="E670" s="78" t="str">
        <f>IFERROR(__xludf.DUMMYFUNCTION("""COMPUTED_VALUE"""),"1 hour ")</f>
        <v>1 hour </v>
      </c>
      <c r="F670" s="94">
        <f>IFERROR(__xludf.DUMMYFUNCTION("""COMPUTED_VALUE"""),43977.0)</f>
        <v>43977</v>
      </c>
      <c r="G670" s="94">
        <f>IFERROR(__xludf.DUMMYFUNCTION("""COMPUTED_VALUE"""),43979.0)</f>
        <v>43979</v>
      </c>
      <c r="H670" s="84">
        <f>IFERROR(__xludf.DUMMYFUNCTION("""COMPUTED_VALUE"""),43979.0)</f>
        <v>43979</v>
      </c>
      <c r="I670" s="95">
        <f>IFERROR(__xludf.DUMMYFUNCTION("""COMPUTED_VALUE"""),56.0)</f>
        <v>56</v>
      </c>
      <c r="J670" s="78" t="str">
        <f>IFERROR(__xludf.DUMMYFUNCTION("""COMPUTED_VALUE"""),"Aruna kumari")</f>
        <v>Aruna kumari</v>
      </c>
      <c r="K670" s="85" t="str">
        <f>IFERROR(__xludf.DUMMYFUNCTION("""COMPUTED_VALUE"""),"https://drive.google.com/open?id=1djJ7yt9jsVHRgtdQVcYef5dfrx7mU5yA")</f>
        <v>https://drive.google.com/open?id=1djJ7yt9jsVHRgtdQVcYef5dfrx7mU5yA</v>
      </c>
      <c r="L670" s="78" t="str">
        <f>IFERROR(__xludf.DUMMYFUNCTION("""COMPUTED_VALUE"""),"2018-2022")</f>
        <v>2018-2022</v>
      </c>
      <c r="M670" s="78" t="str">
        <f>IFERROR(__xludf.DUMMYFUNCTION("""COMPUTED_VALUE"""),"S4: Student Certifications")</f>
        <v>S4: Student Certifications</v>
      </c>
      <c r="N670" s="78" t="str">
        <f>IFERROR(__xludf.DUMMYFUNCTION("""COMPUTED_VALUE"""),"madeshsandy75204@gmail.com")</f>
        <v>madeshsandy75204@gmail.com</v>
      </c>
      <c r="O670" s="78" t="str">
        <f>IFERROR(__xludf.DUMMYFUNCTION("""COMPUTED_VALUE"""),"SEM-4")</f>
        <v>SEM-4</v>
      </c>
      <c r="P670" s="78"/>
      <c r="Q670" s="78"/>
      <c r="R670" s="78"/>
      <c r="S670" s="78"/>
      <c r="T670" s="78"/>
      <c r="U670" s="78"/>
      <c r="V670" s="78"/>
      <c r="W670" s="78"/>
      <c r="X670" s="78"/>
      <c r="Y670" s="78"/>
    </row>
    <row r="671" ht="26.25" customHeight="1">
      <c r="A671" s="74" t="str">
        <f>IFERROR(__xludf.DUMMYFUNCTION("""COMPUTED_VALUE"""),"Sai Gayathri Latchipatula")</f>
        <v>Sai Gayathri Latchipatula</v>
      </c>
      <c r="B671" s="74" t="str">
        <f>IFERROR(__xludf.DUMMYFUNCTION("""COMPUTED_VALUE"""),"18331A0587")</f>
        <v>18331A0587</v>
      </c>
      <c r="C671" s="90" t="str">
        <f>IFERROR(__xludf.DUMMYFUNCTION("""COMPUTED_VALUE"""),"Cyber Security essentials")</f>
        <v>Cyber Security essentials</v>
      </c>
      <c r="D671" s="74" t="str">
        <f>IFERROR(__xludf.DUMMYFUNCTION("""COMPUTED_VALUE"""),"Cisco")</f>
        <v>Cisco</v>
      </c>
      <c r="E671" s="74" t="str">
        <f>IFERROR(__xludf.DUMMYFUNCTION("""COMPUTED_VALUE"""),"2 months")</f>
        <v>2 months</v>
      </c>
      <c r="F671" s="91">
        <f>IFERROR(__xludf.DUMMYFUNCTION("""COMPUTED_VALUE"""),43619.0)</f>
        <v>43619</v>
      </c>
      <c r="G671" s="91">
        <f>IFERROR(__xludf.DUMMYFUNCTION("""COMPUTED_VALUE"""),43672.0)</f>
        <v>43672</v>
      </c>
      <c r="H671" s="79">
        <f>IFERROR(__xludf.DUMMYFUNCTION("""COMPUTED_VALUE"""),43672.0)</f>
        <v>43672</v>
      </c>
      <c r="I671" s="92"/>
      <c r="J671" s="74" t="str">
        <f>IFERROR(__xludf.DUMMYFUNCTION("""COMPUTED_VALUE"""),"Ravi Kiran Varma")</f>
        <v>Ravi Kiran Varma</v>
      </c>
      <c r="K671" s="80" t="str">
        <f>IFERROR(__xludf.DUMMYFUNCTION("""COMPUTED_VALUE"""),"https://drive.google.com/open?id=1RVHBo2QHs2bB2b0WTEiVrErGkm_Wjn46")</f>
        <v>https://drive.google.com/open?id=1RVHBo2QHs2bB2b0WTEiVrErGkm_Wjn46</v>
      </c>
      <c r="L671" s="74" t="str">
        <f>IFERROR(__xludf.DUMMYFUNCTION("""COMPUTED_VALUE"""),"2018-2022")</f>
        <v>2018-2022</v>
      </c>
      <c r="M671" s="74" t="str">
        <f>IFERROR(__xludf.DUMMYFUNCTION("""COMPUTED_VALUE"""),"S4: Student Certifications")</f>
        <v>S4: Student Certifications</v>
      </c>
      <c r="N671" s="74" t="str">
        <f>IFERROR(__xludf.DUMMYFUNCTION("""COMPUTED_VALUE"""),"latchipatulasaigayathri@gmail.com")</f>
        <v>latchipatulasaigayathri@gmail.com</v>
      </c>
      <c r="O671" s="74" t="str">
        <f>IFERROR(__xludf.DUMMYFUNCTION("""COMPUTED_VALUE"""),"SEM-8")</f>
        <v>SEM-8</v>
      </c>
      <c r="P671" s="74"/>
      <c r="Q671" s="74"/>
      <c r="R671" s="74"/>
      <c r="S671" s="74"/>
      <c r="T671" s="74"/>
      <c r="U671" s="74"/>
      <c r="V671" s="74"/>
      <c r="W671" s="74"/>
      <c r="X671" s="74"/>
      <c r="Y671" s="74"/>
    </row>
    <row r="672" ht="26.25" customHeight="1">
      <c r="A672" s="74" t="str">
        <f>IFERROR(__xludf.DUMMYFUNCTION("""COMPUTED_VALUE"""),"Sai gayathri Latchipatula")</f>
        <v>Sai gayathri Latchipatula</v>
      </c>
      <c r="B672" s="74" t="str">
        <f>IFERROR(__xludf.DUMMYFUNCTION("""COMPUTED_VALUE"""),"18331A0587")</f>
        <v>18331A0587</v>
      </c>
      <c r="C672" s="90" t="str">
        <f>IFERROR(__xludf.DUMMYFUNCTION("""COMPUTED_VALUE"""),"CCNAv7 introduction to networks")</f>
        <v>CCNAv7 introduction to networks</v>
      </c>
      <c r="D672" s="74" t="str">
        <f>IFERROR(__xludf.DUMMYFUNCTION("""COMPUTED_VALUE"""),"Cisco")</f>
        <v>Cisco</v>
      </c>
      <c r="E672" s="74" t="str">
        <f>IFERROR(__xludf.DUMMYFUNCTION("""COMPUTED_VALUE"""),"3 months")</f>
        <v>3 months</v>
      </c>
      <c r="F672" s="91">
        <f>IFERROR(__xludf.DUMMYFUNCTION("""COMPUTED_VALUE"""),44287.0)</f>
        <v>44287</v>
      </c>
      <c r="G672" s="91">
        <f>IFERROR(__xludf.DUMMYFUNCTION("""COMPUTED_VALUE"""),44378.0)</f>
        <v>44378</v>
      </c>
      <c r="H672" s="79">
        <f>IFERROR(__xludf.DUMMYFUNCTION("""COMPUTED_VALUE"""),44378.0)</f>
        <v>44378</v>
      </c>
      <c r="I672" s="92"/>
      <c r="J672" s="74" t="str">
        <f>IFERROR(__xludf.DUMMYFUNCTION("""COMPUTED_VALUE"""),"ravi kiran varma ")</f>
        <v>ravi kiran varma </v>
      </c>
      <c r="K672" s="80" t="str">
        <f>IFERROR(__xludf.DUMMYFUNCTION("""COMPUTED_VALUE"""),"https://drive.google.com/open?id=14afhFOkdnB5rEsja8iGygpazUdl9FQWN")</f>
        <v>https://drive.google.com/open?id=14afhFOkdnB5rEsja8iGygpazUdl9FQWN</v>
      </c>
      <c r="L672" s="74" t="str">
        <f>IFERROR(__xludf.DUMMYFUNCTION("""COMPUTED_VALUE"""),"2018-2022")</f>
        <v>2018-2022</v>
      </c>
      <c r="M672" s="74" t="str">
        <f>IFERROR(__xludf.DUMMYFUNCTION("""COMPUTED_VALUE"""),"S4: Student Certifications")</f>
        <v>S4: Student Certifications</v>
      </c>
      <c r="N672" s="74" t="str">
        <f>IFERROR(__xludf.DUMMYFUNCTION("""COMPUTED_VALUE"""),"latchipatulasaigayathri@gmail.com")</f>
        <v>latchipatulasaigayathri@gmail.com</v>
      </c>
      <c r="O672" s="74" t="str">
        <f>IFERROR(__xludf.DUMMYFUNCTION("""COMPUTED_VALUE"""),"SEM-8")</f>
        <v>SEM-8</v>
      </c>
      <c r="P672" s="74"/>
      <c r="Q672" s="74"/>
      <c r="R672" s="74"/>
      <c r="S672" s="74"/>
      <c r="T672" s="74"/>
      <c r="U672" s="74"/>
      <c r="V672" s="74"/>
      <c r="W672" s="74"/>
      <c r="X672" s="74"/>
      <c r="Y672" s="74"/>
    </row>
    <row r="673" ht="26.25" customHeight="1">
      <c r="A673" s="74" t="str">
        <f>IFERROR(__xludf.DUMMYFUNCTION("""COMPUTED_VALUE"""),"Sai Gayathri Latchipatula")</f>
        <v>Sai Gayathri Latchipatula</v>
      </c>
      <c r="B673" s="74" t="str">
        <f>IFERROR(__xludf.DUMMYFUNCTION("""COMPUTED_VALUE"""),"18331A0587")</f>
        <v>18331A0587</v>
      </c>
      <c r="C673" s="90" t="str">
        <f>IFERROR(__xludf.DUMMYFUNCTION("""COMPUTED_VALUE"""),"CLA Programming essentials in c")</f>
        <v>CLA Programming essentials in c</v>
      </c>
      <c r="D673" s="74" t="str">
        <f>IFERROR(__xludf.DUMMYFUNCTION("""COMPUTED_VALUE"""),"Cisco")</f>
        <v>Cisco</v>
      </c>
      <c r="E673" s="74" t="str">
        <f>IFERROR(__xludf.DUMMYFUNCTION("""COMPUTED_VALUE"""),"2 months")</f>
        <v>2 months</v>
      </c>
      <c r="F673" s="91">
        <f>IFERROR(__xludf.DUMMYFUNCTION("""COMPUTED_VALUE"""),43642.0)</f>
        <v>43642</v>
      </c>
      <c r="G673" s="91">
        <f>IFERROR(__xludf.DUMMYFUNCTION("""COMPUTED_VALUE"""),43678.0)</f>
        <v>43678</v>
      </c>
      <c r="H673" s="79">
        <f>IFERROR(__xludf.DUMMYFUNCTION("""COMPUTED_VALUE"""),43678.0)</f>
        <v>43678</v>
      </c>
      <c r="I673" s="92"/>
      <c r="J673" s="74" t="str">
        <f>IFERROR(__xludf.DUMMYFUNCTION("""COMPUTED_VALUE"""),"Subba Raju K V")</f>
        <v>Subba Raju K V</v>
      </c>
      <c r="K673" s="80" t="str">
        <f>IFERROR(__xludf.DUMMYFUNCTION("""COMPUTED_VALUE"""),"https://drive.google.com/open?id=1HSQRDFFKCAxJ34V9aVB02tY8b_mh5Dh9")</f>
        <v>https://drive.google.com/open?id=1HSQRDFFKCAxJ34V9aVB02tY8b_mh5Dh9</v>
      </c>
      <c r="L673" s="74" t="str">
        <f>IFERROR(__xludf.DUMMYFUNCTION("""COMPUTED_VALUE"""),"2018-2022")</f>
        <v>2018-2022</v>
      </c>
      <c r="M673" s="74" t="str">
        <f>IFERROR(__xludf.DUMMYFUNCTION("""COMPUTED_VALUE"""),"S4: Student Certifications")</f>
        <v>S4: Student Certifications</v>
      </c>
      <c r="N673" s="74" t="str">
        <f>IFERROR(__xludf.DUMMYFUNCTION("""COMPUTED_VALUE"""),"latchipatulasaigayathri@gmail.com")</f>
        <v>latchipatulasaigayathri@gmail.com</v>
      </c>
      <c r="O673" s="74" t="str">
        <f>IFERROR(__xludf.DUMMYFUNCTION("""COMPUTED_VALUE"""),"SEM-8")</f>
        <v>SEM-8</v>
      </c>
      <c r="P673" s="74"/>
      <c r="Q673" s="74"/>
      <c r="R673" s="74"/>
      <c r="S673" s="74"/>
      <c r="T673" s="74"/>
      <c r="U673" s="74"/>
      <c r="V673" s="74"/>
      <c r="W673" s="74"/>
      <c r="X673" s="74"/>
      <c r="Y673" s="74"/>
    </row>
    <row r="674" ht="26.25" customHeight="1">
      <c r="A674" s="74" t="str">
        <f>IFERROR(__xludf.DUMMYFUNCTION("""COMPUTED_VALUE"""),"sai gayathri Latchipatula")</f>
        <v>sai gayathri Latchipatula</v>
      </c>
      <c r="B674" s="74" t="str">
        <f>IFERROR(__xludf.DUMMYFUNCTION("""COMPUTED_VALUE"""),"18331A0587")</f>
        <v>18331A0587</v>
      </c>
      <c r="C674" s="90" t="str">
        <f>IFERROR(__xludf.DUMMYFUNCTION("""COMPUTED_VALUE"""),"Programming essentials in python")</f>
        <v>Programming essentials in python</v>
      </c>
      <c r="D674" s="74" t="str">
        <f>IFERROR(__xludf.DUMMYFUNCTION("""COMPUTED_VALUE"""),"Cisco")</f>
        <v>Cisco</v>
      </c>
      <c r="E674" s="74" t="str">
        <f>IFERROR(__xludf.DUMMYFUNCTION("""COMPUTED_VALUE"""),"3 months")</f>
        <v>3 months</v>
      </c>
      <c r="F674" s="91">
        <f>IFERROR(__xludf.DUMMYFUNCTION("""COMPUTED_VALUE"""),44295.0)</f>
        <v>44295</v>
      </c>
      <c r="G674" s="91">
        <f>IFERROR(__xludf.DUMMYFUNCTION("""COMPUTED_VALUE"""),44386.0)</f>
        <v>44386</v>
      </c>
      <c r="H674" s="79">
        <f>IFERROR(__xludf.DUMMYFUNCTION("""COMPUTED_VALUE"""),44386.0)</f>
        <v>44386</v>
      </c>
      <c r="I674" s="92"/>
      <c r="J674" s="74" t="str">
        <f>IFERROR(__xludf.DUMMYFUNCTION("""COMPUTED_VALUE"""),"Subba Raju KV")</f>
        <v>Subba Raju KV</v>
      </c>
      <c r="K674" s="80" t="str">
        <f>IFERROR(__xludf.DUMMYFUNCTION("""COMPUTED_VALUE"""),"https://drive.google.com/open?id=1CTAggaGmWTa_Z_oX62ADl7cNoIMHqgFQ")</f>
        <v>https://drive.google.com/open?id=1CTAggaGmWTa_Z_oX62ADl7cNoIMHqgFQ</v>
      </c>
      <c r="L674" s="74" t="str">
        <f>IFERROR(__xludf.DUMMYFUNCTION("""COMPUTED_VALUE"""),"2018-2022")</f>
        <v>2018-2022</v>
      </c>
      <c r="M674" s="74" t="str">
        <f>IFERROR(__xludf.DUMMYFUNCTION("""COMPUTED_VALUE"""),"S4: Student Certifications")</f>
        <v>S4: Student Certifications</v>
      </c>
      <c r="N674" s="74" t="str">
        <f>IFERROR(__xludf.DUMMYFUNCTION("""COMPUTED_VALUE"""),"latchipatulasaigayathri@gmail.com")</f>
        <v>latchipatulasaigayathri@gmail.com</v>
      </c>
      <c r="O674" s="74" t="str">
        <f>IFERROR(__xludf.DUMMYFUNCTION("""COMPUTED_VALUE"""),"SEM-8")</f>
        <v>SEM-8</v>
      </c>
      <c r="P674" s="74"/>
      <c r="Q674" s="74"/>
      <c r="R674" s="74"/>
      <c r="S674" s="74"/>
      <c r="T674" s="74"/>
      <c r="U674" s="74"/>
      <c r="V674" s="74"/>
      <c r="W674" s="74"/>
      <c r="X674" s="74"/>
      <c r="Y674" s="74"/>
    </row>
    <row r="675" ht="26.25" customHeight="1">
      <c r="A675" s="96" t="str">
        <f>IFERROR(__xludf.DUMMYFUNCTION("""COMPUTED_VALUE"""),"Nettimi Keerthi ")</f>
        <v>Nettimi Keerthi </v>
      </c>
      <c r="B675" s="96" t="str">
        <f>IFERROR(__xludf.DUMMYFUNCTION("""COMPUTED_VALUE"""),"20335A0511")</f>
        <v>20335A0511</v>
      </c>
      <c r="C675" s="97" t="str">
        <f>IFERROR(__xludf.DUMMYFUNCTION("""COMPUTED_VALUE"""),"Programming essentials in python ")</f>
        <v>Programming essentials in python </v>
      </c>
      <c r="D675" s="96" t="str">
        <f>IFERROR(__xludf.DUMMYFUNCTION("""COMPUTED_VALUE"""),"Cisco")</f>
        <v>Cisco</v>
      </c>
      <c r="E675" s="96" t="str">
        <f>IFERROR(__xludf.DUMMYFUNCTION("""COMPUTED_VALUE"""),"3 months ")</f>
        <v>3 months </v>
      </c>
      <c r="F675" s="98">
        <f>IFERROR(__xludf.DUMMYFUNCTION("""COMPUTED_VALUE"""),44213.0)</f>
        <v>44213</v>
      </c>
      <c r="G675" s="98">
        <f>IFERROR(__xludf.DUMMYFUNCTION("""COMPUTED_VALUE"""),44263.0)</f>
        <v>44263</v>
      </c>
      <c r="H675" s="99">
        <f>IFERROR(__xludf.DUMMYFUNCTION("""COMPUTED_VALUE"""),44294.0)</f>
        <v>44294</v>
      </c>
      <c r="I675" s="100">
        <f>IFERROR(__xludf.DUMMYFUNCTION("""COMPUTED_VALUE"""),92.0)</f>
        <v>92</v>
      </c>
      <c r="J675" s="96" t="str">
        <f>IFERROR(__xludf.DUMMYFUNCTION("""COMPUTED_VALUE"""),"Dr.Ravi Kiran Varma ")</f>
        <v>Dr.Ravi Kiran Varma </v>
      </c>
      <c r="K675" s="101" t="str">
        <f>IFERROR(__xludf.DUMMYFUNCTION("""COMPUTED_VALUE"""),"https://drive.google.com/open?id=1MlhW8gSHnaafmgENt7gUTLZuYLkPz40a")</f>
        <v>https://drive.google.com/open?id=1MlhW8gSHnaafmgENt7gUTLZuYLkPz40a</v>
      </c>
      <c r="L675" s="96" t="str">
        <f>IFERROR(__xludf.DUMMYFUNCTION("""COMPUTED_VALUE"""),"2019-2023")</f>
        <v>2019-2023</v>
      </c>
      <c r="M675" s="96" t="str">
        <f>IFERROR(__xludf.DUMMYFUNCTION("""COMPUTED_VALUE"""),"S4: Student Certifications")</f>
        <v>S4: Student Certifications</v>
      </c>
      <c r="N675" s="96" t="str">
        <f>IFERROR(__xludf.DUMMYFUNCTION("""COMPUTED_VALUE"""),"keerthiu9133@gmail.com")</f>
        <v>keerthiu9133@gmail.com</v>
      </c>
      <c r="O675" s="96" t="str">
        <f>IFERROR(__xludf.DUMMYFUNCTION("""COMPUTED_VALUE"""),"SEM-6")</f>
        <v>SEM-6</v>
      </c>
      <c r="P675" s="96"/>
      <c r="Q675" s="96"/>
      <c r="R675" s="96"/>
      <c r="S675" s="96"/>
      <c r="T675" s="96"/>
      <c r="U675" s="96"/>
      <c r="V675" s="96"/>
      <c r="W675" s="96"/>
      <c r="X675" s="96"/>
      <c r="Y675" s="96"/>
    </row>
    <row r="676" ht="26.25" customHeight="1">
      <c r="A676" s="96" t="str">
        <f>IFERROR(__xludf.DUMMYFUNCTION("""COMPUTED_VALUE"""),"MACHARLA VAMSI ")</f>
        <v>MACHARLA VAMSI </v>
      </c>
      <c r="B676" s="96" t="str">
        <f>IFERROR(__xludf.DUMMYFUNCTION("""COMPUTED_VALUE"""),"19331A0596")</f>
        <v>19331A0596</v>
      </c>
      <c r="C676" s="97" t="str">
        <f>IFERROR(__xludf.DUMMYFUNCTION("""COMPUTED_VALUE"""),"Programming essentials in python")</f>
        <v>Programming essentials in python</v>
      </c>
      <c r="D676" s="96" t="str">
        <f>IFERROR(__xludf.DUMMYFUNCTION("""COMPUTED_VALUE"""),"Cisco")</f>
        <v>Cisco</v>
      </c>
      <c r="E676" s="96" t="str">
        <f>IFERROR(__xludf.DUMMYFUNCTION("""COMPUTED_VALUE"""),"2 months")</f>
        <v>2 months</v>
      </c>
      <c r="F676" s="98">
        <f>IFERROR(__xludf.DUMMYFUNCTION("""COMPUTED_VALUE"""),44261.0)</f>
        <v>44261</v>
      </c>
      <c r="G676" s="98">
        <f>IFERROR(__xludf.DUMMYFUNCTION("""COMPUTED_VALUE"""),44322.0)</f>
        <v>44322</v>
      </c>
      <c r="H676" s="99">
        <f>IFERROR(__xludf.DUMMYFUNCTION("""COMPUTED_VALUE"""),44322.0)</f>
        <v>44322</v>
      </c>
      <c r="I676" s="100">
        <f>IFERROR(__xludf.DUMMYFUNCTION("""COMPUTED_VALUE"""),88.0)</f>
        <v>88</v>
      </c>
      <c r="J676" s="96" t="str">
        <f>IFERROR(__xludf.DUMMYFUNCTION("""COMPUTED_VALUE"""),"DR.RAVI KIRAN VARMA PENMATSA")</f>
        <v>DR.RAVI KIRAN VARMA PENMATSA</v>
      </c>
      <c r="K676" s="101" t="str">
        <f>IFERROR(__xludf.DUMMYFUNCTION("""COMPUTED_VALUE"""),"https://drive.google.com/open?id=1Y6YqHyGrHgjKDivFxFVQrEd2fN1b3IaP")</f>
        <v>https://drive.google.com/open?id=1Y6YqHyGrHgjKDivFxFVQrEd2fN1b3IaP</v>
      </c>
      <c r="L676" s="96" t="str">
        <f>IFERROR(__xludf.DUMMYFUNCTION("""COMPUTED_VALUE"""),"2019-2023")</f>
        <v>2019-2023</v>
      </c>
      <c r="M676" s="96" t="str">
        <f>IFERROR(__xludf.DUMMYFUNCTION("""COMPUTED_VALUE"""),"S4: Student Certifications")</f>
        <v>S4: Student Certifications</v>
      </c>
      <c r="N676" s="96" t="str">
        <f>IFERROR(__xludf.DUMMYFUNCTION("""COMPUTED_VALUE"""),"vamsimacharla143@gmail.com")</f>
        <v>vamsimacharla143@gmail.com</v>
      </c>
      <c r="O676" s="96" t="str">
        <f>IFERROR(__xludf.DUMMYFUNCTION("""COMPUTED_VALUE"""),"SEM-6")</f>
        <v>SEM-6</v>
      </c>
      <c r="P676" s="96"/>
      <c r="Q676" s="96"/>
      <c r="R676" s="96"/>
      <c r="S676" s="96"/>
      <c r="T676" s="96"/>
      <c r="U676" s="96"/>
      <c r="V676" s="96"/>
      <c r="W676" s="96"/>
      <c r="X676" s="96"/>
      <c r="Y676" s="96"/>
    </row>
    <row r="677" ht="26.25" customHeight="1">
      <c r="A677" s="96" t="str">
        <f>IFERROR(__xludf.DUMMYFUNCTION("""COMPUTED_VALUE"""),"Mandhapati Jagannadha Rohit Varma")</f>
        <v>Mandhapati Jagannadha Rohit Varma</v>
      </c>
      <c r="B677" s="96" t="str">
        <f>IFERROR(__xludf.DUMMYFUNCTION("""COMPUTED_VALUE"""),"19331A05A3")</f>
        <v>19331A05A3</v>
      </c>
      <c r="C677" s="97" t="str">
        <f>IFERROR(__xludf.DUMMYFUNCTION("""COMPUTED_VALUE"""),"JavaScript Essentials 1")</f>
        <v>JavaScript Essentials 1</v>
      </c>
      <c r="D677" s="96" t="str">
        <f>IFERROR(__xludf.DUMMYFUNCTION("""COMPUTED_VALUE"""),"Cisco")</f>
        <v>Cisco</v>
      </c>
      <c r="E677" s="96" t="str">
        <f>IFERROR(__xludf.DUMMYFUNCTION("""COMPUTED_VALUE"""),"2 months")</f>
        <v>2 months</v>
      </c>
      <c r="F677" s="98">
        <f>IFERROR(__xludf.DUMMYFUNCTION("""COMPUTED_VALUE"""),44621.0)</f>
        <v>44621</v>
      </c>
      <c r="G677" s="98">
        <f>IFERROR(__xludf.DUMMYFUNCTION("""COMPUTED_VALUE"""),44673.0)</f>
        <v>44673</v>
      </c>
      <c r="H677" s="99">
        <f>IFERROR(__xludf.DUMMYFUNCTION("""COMPUTED_VALUE"""),44673.0)</f>
        <v>44673</v>
      </c>
      <c r="I677" s="100">
        <f>IFERROR(__xludf.DUMMYFUNCTION("""COMPUTED_VALUE"""),77.0)</f>
        <v>77</v>
      </c>
      <c r="J677" s="96" t="str">
        <f>IFERROR(__xludf.DUMMYFUNCTION("""COMPUTED_VALUE"""),"K V subbaraju sir")</f>
        <v>K V subbaraju sir</v>
      </c>
      <c r="K677" s="101" t="str">
        <f>IFERROR(__xludf.DUMMYFUNCTION("""COMPUTED_VALUE"""),"https://drive.google.com/open?id=1wvBWGfznbDRSncWTYfakz7XQzgThBQ3U")</f>
        <v>https://drive.google.com/open?id=1wvBWGfznbDRSncWTYfakz7XQzgThBQ3U</v>
      </c>
      <c r="L677" s="96" t="str">
        <f>IFERROR(__xludf.DUMMYFUNCTION("""COMPUTED_VALUE"""),"2019-2023")</f>
        <v>2019-2023</v>
      </c>
      <c r="M677" s="96" t="str">
        <f>IFERROR(__xludf.DUMMYFUNCTION("""COMPUTED_VALUE"""),"S4: Student Certifications")</f>
        <v>S4: Student Certifications</v>
      </c>
      <c r="N677" s="96" t="str">
        <f>IFERROR(__xludf.DUMMYFUNCTION("""COMPUTED_VALUE"""),"rohitvarmaanrk@gmail.com")</f>
        <v>rohitvarmaanrk@gmail.com</v>
      </c>
      <c r="O677" s="96" t="str">
        <f>IFERROR(__xludf.DUMMYFUNCTION("""COMPUTED_VALUE"""),"SEM-6")</f>
        <v>SEM-6</v>
      </c>
      <c r="P677" s="96"/>
      <c r="Q677" s="96"/>
      <c r="R677" s="96"/>
      <c r="S677" s="96"/>
      <c r="T677" s="96"/>
      <c r="U677" s="96"/>
      <c r="V677" s="96"/>
      <c r="W677" s="96"/>
      <c r="X677" s="96"/>
      <c r="Y677" s="96"/>
    </row>
    <row r="678" ht="26.25" customHeight="1">
      <c r="A678" s="96" t="str">
        <f>IFERROR(__xludf.DUMMYFUNCTION("""COMPUTED_VALUE"""),"NALLURI SAI KIRAN")</f>
        <v>NALLURI SAI KIRAN</v>
      </c>
      <c r="B678" s="96" t="str">
        <f>IFERROR(__xludf.DUMMYFUNCTION("""COMPUTED_VALUE"""),"19331A05B8")</f>
        <v>19331A05B8</v>
      </c>
      <c r="C678" s="97" t="str">
        <f>IFERROR(__xludf.DUMMYFUNCTION("""COMPUTED_VALUE"""),"CLA: Programming Essentials in C")</f>
        <v>CLA: Programming Essentials in C</v>
      </c>
      <c r="D678" s="96" t="str">
        <f>IFERROR(__xludf.DUMMYFUNCTION("""COMPUTED_VALUE"""),"Cisco")</f>
        <v>Cisco</v>
      </c>
      <c r="E678" s="96" t="str">
        <f>IFERROR(__xludf.DUMMYFUNCTION("""COMPUTED_VALUE"""),"1 month")</f>
        <v>1 month</v>
      </c>
      <c r="F678" s="98">
        <f>IFERROR(__xludf.DUMMYFUNCTION("""COMPUTED_VALUE"""),44001.0)</f>
        <v>44001</v>
      </c>
      <c r="G678" s="98">
        <f>IFERROR(__xludf.DUMMYFUNCTION("""COMPUTED_VALUE"""),44027.0)</f>
        <v>44027</v>
      </c>
      <c r="H678" s="99">
        <f>IFERROR(__xludf.DUMMYFUNCTION("""COMPUTED_VALUE"""),44027.0)</f>
        <v>44027</v>
      </c>
      <c r="I678" s="100">
        <f>IFERROR(__xludf.DUMMYFUNCTION("""COMPUTED_VALUE"""),0.87)</f>
        <v>0.87</v>
      </c>
      <c r="J678" s="96" t="str">
        <f>IFERROR(__xludf.DUMMYFUNCTION("""COMPUTED_VALUE"""),"DR. RAVI KIRAN PENAMATSA")</f>
        <v>DR. RAVI KIRAN PENAMATSA</v>
      </c>
      <c r="K678" s="101" t="str">
        <f>IFERROR(__xludf.DUMMYFUNCTION("""COMPUTED_VALUE"""),"https://drive.google.com/open?id=1CJkSahOxRFGIAgmyMFhZ18iBkA2ZEaXW")</f>
        <v>https://drive.google.com/open?id=1CJkSahOxRFGIAgmyMFhZ18iBkA2ZEaXW</v>
      </c>
      <c r="L678" s="96" t="str">
        <f>IFERROR(__xludf.DUMMYFUNCTION("""COMPUTED_VALUE"""),"2019-2023")</f>
        <v>2019-2023</v>
      </c>
      <c r="M678" s="96" t="str">
        <f>IFERROR(__xludf.DUMMYFUNCTION("""COMPUTED_VALUE"""),"S4: Student Certifications")</f>
        <v>S4: Student Certifications</v>
      </c>
      <c r="N678" s="96" t="str">
        <f>IFERROR(__xludf.DUMMYFUNCTION("""COMPUTED_VALUE"""),"nsaikiran2411@gmail.con")</f>
        <v>nsaikiran2411@gmail.con</v>
      </c>
      <c r="O678" s="96" t="str">
        <f>IFERROR(__xludf.DUMMYFUNCTION("""COMPUTED_VALUE"""),"SEM-6")</f>
        <v>SEM-6</v>
      </c>
      <c r="P678" s="96"/>
      <c r="Q678" s="96"/>
      <c r="R678" s="96"/>
      <c r="S678" s="96"/>
      <c r="T678" s="96"/>
      <c r="U678" s="96"/>
      <c r="V678" s="96"/>
      <c r="W678" s="96"/>
      <c r="X678" s="96"/>
      <c r="Y678" s="96"/>
    </row>
    <row r="679" ht="26.25" customHeight="1">
      <c r="A679" s="96" t="str">
        <f>IFERROR(__xludf.DUMMYFUNCTION("""COMPUTED_VALUE"""),"Kantubhukta Hemanth")</f>
        <v>Kantubhukta Hemanth</v>
      </c>
      <c r="B679" s="96" t="str">
        <f>IFERROR(__xludf.DUMMYFUNCTION("""COMPUTED_VALUE"""),"19331A0573")</f>
        <v>19331A0573</v>
      </c>
      <c r="C679" s="97" t="str">
        <f>IFERROR(__xludf.DUMMYFUNCTION("""COMPUTED_VALUE"""),"Introduction to Data Science in Python")</f>
        <v>Introduction to Data Science in Python</v>
      </c>
      <c r="D679" s="96" t="str">
        <f>IFERROR(__xludf.DUMMYFUNCTION("""COMPUTED_VALUE"""),"Coursera")</f>
        <v>Coursera</v>
      </c>
      <c r="E679" s="96" t="str">
        <f>IFERROR(__xludf.DUMMYFUNCTION("""COMPUTED_VALUE"""),"3 Months")</f>
        <v>3 Months</v>
      </c>
      <c r="F679" s="98">
        <f>IFERROR(__xludf.DUMMYFUNCTION("""COMPUTED_VALUE"""),44440.0)</f>
        <v>44440</v>
      </c>
      <c r="G679" s="98">
        <f>IFERROR(__xludf.DUMMYFUNCTION("""COMPUTED_VALUE"""),44507.0)</f>
        <v>44507</v>
      </c>
      <c r="H679" s="99">
        <f>IFERROR(__xludf.DUMMYFUNCTION("""COMPUTED_VALUE"""),44506.0)</f>
        <v>44506</v>
      </c>
      <c r="I679" s="100">
        <f>IFERROR(__xludf.DUMMYFUNCTION("""COMPUTED_VALUE"""),0.913)</f>
        <v>0.913</v>
      </c>
      <c r="J679" s="96" t="str">
        <f>IFERROR(__xludf.DUMMYFUNCTION("""COMPUTED_VALUE"""),"Christopher Brooks")</f>
        <v>Christopher Brooks</v>
      </c>
      <c r="K679" s="101" t="str">
        <f>IFERROR(__xludf.DUMMYFUNCTION("""COMPUTED_VALUE"""),"https://drive.google.com/open?id=12JRs-08aahUmAj329P9UjiChzEfdWKGe")</f>
        <v>https://drive.google.com/open?id=12JRs-08aahUmAj329P9UjiChzEfdWKGe</v>
      </c>
      <c r="L679" s="96" t="str">
        <f>IFERROR(__xludf.DUMMYFUNCTION("""COMPUTED_VALUE"""),"2019-2023")</f>
        <v>2019-2023</v>
      </c>
      <c r="M679" s="96" t="str">
        <f>IFERROR(__xludf.DUMMYFUNCTION("""COMPUTED_VALUE"""),"S4: Student Certifications")</f>
        <v>S4: Student Certifications</v>
      </c>
      <c r="N679" s="96" t="str">
        <f>IFERROR(__xludf.DUMMYFUNCTION("""COMPUTED_VALUE"""),"hemanthkantubhukta2232@gmail.com")</f>
        <v>hemanthkantubhukta2232@gmail.com</v>
      </c>
      <c r="O679" s="96" t="str">
        <f>IFERROR(__xludf.DUMMYFUNCTION("""COMPUTED_VALUE"""),"SEM-6")</f>
        <v>SEM-6</v>
      </c>
      <c r="P679" s="96"/>
      <c r="Q679" s="96"/>
      <c r="R679" s="96"/>
      <c r="S679" s="96"/>
      <c r="T679" s="96"/>
      <c r="U679" s="96"/>
      <c r="V679" s="96"/>
      <c r="W679" s="96"/>
      <c r="X679" s="96"/>
      <c r="Y679" s="96"/>
    </row>
    <row r="680" ht="26.25" customHeight="1">
      <c r="A680" s="96" t="str">
        <f>IFERROR(__xludf.DUMMYFUNCTION("""COMPUTED_VALUE"""),"Manchukonda gopala krishna")</f>
        <v>Manchukonda gopala krishna</v>
      </c>
      <c r="B680" s="96" t="str">
        <f>IFERROR(__xludf.DUMMYFUNCTION("""COMPUTED_VALUE"""),"19331A05A2")</f>
        <v>19331A05A2</v>
      </c>
      <c r="C680" s="97" t="str">
        <f>IFERROR(__xludf.DUMMYFUNCTION("""COMPUTED_VALUE"""),"Cla : programing essential in c")</f>
        <v>Cla : programing essential in c</v>
      </c>
      <c r="D680" s="96" t="str">
        <f>IFERROR(__xludf.DUMMYFUNCTION("""COMPUTED_VALUE"""),"Cisco")</f>
        <v>Cisco</v>
      </c>
      <c r="E680" s="96" t="str">
        <f>IFERROR(__xludf.DUMMYFUNCTION("""COMPUTED_VALUE"""),"2 months")</f>
        <v>2 months</v>
      </c>
      <c r="F680" s="98">
        <f>IFERROR(__xludf.DUMMYFUNCTION("""COMPUTED_VALUE"""),43905.0)</f>
        <v>43905</v>
      </c>
      <c r="G680" s="98">
        <f>IFERROR(__xludf.DUMMYFUNCTION("""COMPUTED_VALUE"""),43966.0)</f>
        <v>43966</v>
      </c>
      <c r="H680" s="99">
        <f>IFERROR(__xludf.DUMMYFUNCTION("""COMPUTED_VALUE"""),43966.0)</f>
        <v>43966</v>
      </c>
      <c r="I680" s="100">
        <f>IFERROR(__xludf.DUMMYFUNCTION("""COMPUTED_VALUE"""),75.0)</f>
        <v>75</v>
      </c>
      <c r="J680" s="96" t="str">
        <f>IFERROR(__xludf.DUMMYFUNCTION("""COMPUTED_VALUE"""),"Dr P.Ravi Kiran Varma ")</f>
        <v>Dr P.Ravi Kiran Varma </v>
      </c>
      <c r="K680" s="101" t="str">
        <f>IFERROR(__xludf.DUMMYFUNCTION("""COMPUTED_VALUE"""),"https://drive.google.com/open?id=19tADls4tYUolcRWJHAkN1q2J7b-QY1t3")</f>
        <v>https://drive.google.com/open?id=19tADls4tYUolcRWJHAkN1q2J7b-QY1t3</v>
      </c>
      <c r="L680" s="96" t="str">
        <f>IFERROR(__xludf.DUMMYFUNCTION("""COMPUTED_VALUE"""),"2019-2023")</f>
        <v>2019-2023</v>
      </c>
      <c r="M680" s="96" t="str">
        <f>IFERROR(__xludf.DUMMYFUNCTION("""COMPUTED_VALUE"""),"S4: Student Certifications")</f>
        <v>S4: Student Certifications</v>
      </c>
      <c r="N680" s="96" t="str">
        <f>IFERROR(__xludf.DUMMYFUNCTION("""COMPUTED_VALUE"""),"gkrishna6932@gmail.com")</f>
        <v>gkrishna6932@gmail.com</v>
      </c>
      <c r="O680" s="96" t="str">
        <f>IFERROR(__xludf.DUMMYFUNCTION("""COMPUTED_VALUE"""),"SEM-1")</f>
        <v>SEM-1</v>
      </c>
      <c r="P680" s="96"/>
      <c r="Q680" s="96"/>
      <c r="R680" s="96"/>
      <c r="S680" s="96"/>
      <c r="T680" s="96"/>
      <c r="U680" s="96"/>
      <c r="V680" s="96"/>
      <c r="W680" s="96"/>
      <c r="X680" s="96"/>
      <c r="Y680" s="96"/>
    </row>
    <row r="681" ht="26.25" customHeight="1">
      <c r="A681" s="96" t="str">
        <f>IFERROR(__xludf.DUMMYFUNCTION("""COMPUTED_VALUE"""),"Varada Naga praneetha")</f>
        <v>Varada Naga praneetha</v>
      </c>
      <c r="B681" s="96" t="str">
        <f>IFERROR(__xludf.DUMMYFUNCTION("""COMPUTED_VALUE"""),"19331A05I1 ")</f>
        <v>19331A05I1 </v>
      </c>
      <c r="C681" s="97" t="str">
        <f>IFERROR(__xludf.DUMMYFUNCTION("""COMPUTED_VALUE"""),"cisco code riders")</f>
        <v>cisco code riders</v>
      </c>
      <c r="D681" s="96" t="str">
        <f>IFERROR(__xludf.DUMMYFUNCTION("""COMPUTED_VALUE"""),"cisco")</f>
        <v>cisco</v>
      </c>
      <c r="E681" s="96" t="str">
        <f>IFERROR(__xludf.DUMMYFUNCTION("""COMPUTED_VALUE"""),"13 weeks")</f>
        <v>13 weeks</v>
      </c>
      <c r="F681" s="98">
        <f>IFERROR(__xludf.DUMMYFUNCTION("""COMPUTED_VALUE"""),44258.0)</f>
        <v>44258</v>
      </c>
      <c r="G681" s="98">
        <f>IFERROR(__xludf.DUMMYFUNCTION("""COMPUTED_VALUE"""),44386.0)</f>
        <v>44386</v>
      </c>
      <c r="H681" s="99">
        <f>IFERROR(__xludf.DUMMYFUNCTION("""COMPUTED_VALUE"""),44386.0)</f>
        <v>44386</v>
      </c>
      <c r="I681" s="100"/>
      <c r="J681" s="96" t="str">
        <f>IFERROR(__xludf.DUMMYFUNCTION("""COMPUTED_VALUE"""),"Subba Raju K.V")</f>
        <v>Subba Raju K.V</v>
      </c>
      <c r="K681" s="101" t="str">
        <f>IFERROR(__xludf.DUMMYFUNCTION("""COMPUTED_VALUE"""),"https://drive.google.com/open?id=1kgQZksOJJuOYZFWk_hx2Dvn4sjMLW1jW")</f>
        <v>https://drive.google.com/open?id=1kgQZksOJJuOYZFWk_hx2Dvn4sjMLW1jW</v>
      </c>
      <c r="L681" s="96" t="str">
        <f>IFERROR(__xludf.DUMMYFUNCTION("""COMPUTED_VALUE"""),"2019-2023")</f>
        <v>2019-2023</v>
      </c>
      <c r="M681" s="96" t="str">
        <f>IFERROR(__xludf.DUMMYFUNCTION("""COMPUTED_VALUE"""),"S4: Student Certifications")</f>
        <v>S4: Student Certifications</v>
      </c>
      <c r="N681" s="96" t="str">
        <f>IFERROR(__xludf.DUMMYFUNCTION("""COMPUTED_VALUE"""),"praneetha.varada@gmail.com")</f>
        <v>praneetha.varada@gmail.com</v>
      </c>
      <c r="O681" s="96" t="str">
        <f>IFERROR(__xludf.DUMMYFUNCTION("""COMPUTED_VALUE"""),"SEM-6")</f>
        <v>SEM-6</v>
      </c>
      <c r="P681" s="96"/>
      <c r="Q681" s="96"/>
      <c r="R681" s="96"/>
      <c r="S681" s="96"/>
      <c r="T681" s="96"/>
      <c r="U681" s="96"/>
      <c r="V681" s="96"/>
      <c r="W681" s="96"/>
      <c r="X681" s="96"/>
      <c r="Y681" s="96"/>
    </row>
    <row r="682" ht="26.25" customHeight="1">
      <c r="A682" s="96" t="str">
        <f>IFERROR(__xludf.DUMMYFUNCTION("""COMPUTED_VALUE"""),"Manchukonda gopala krishna")</f>
        <v>Manchukonda gopala krishna</v>
      </c>
      <c r="B682" s="96" t="str">
        <f>IFERROR(__xludf.DUMMYFUNCTION("""COMPUTED_VALUE"""),"19331A05A2")</f>
        <v>19331A05A2</v>
      </c>
      <c r="C682" s="97" t="str">
        <f>IFERROR(__xludf.DUMMYFUNCTION("""COMPUTED_VALUE"""),"Programing essential in python ")</f>
        <v>Programing essential in python </v>
      </c>
      <c r="D682" s="96" t="str">
        <f>IFERROR(__xludf.DUMMYFUNCTION("""COMPUTED_VALUE"""),"Cisco")</f>
        <v>Cisco</v>
      </c>
      <c r="E682" s="96" t="str">
        <f>IFERROR(__xludf.DUMMYFUNCTION("""COMPUTED_VALUE"""),"2 months ")</f>
        <v>2 months </v>
      </c>
      <c r="F682" s="98">
        <f>IFERROR(__xludf.DUMMYFUNCTION("""COMPUTED_VALUE"""),44292.0)</f>
        <v>44292</v>
      </c>
      <c r="G682" s="98">
        <f>IFERROR(__xludf.DUMMYFUNCTION("""COMPUTED_VALUE"""),44322.0)</f>
        <v>44322</v>
      </c>
      <c r="H682" s="99">
        <f>IFERROR(__xludf.DUMMYFUNCTION("""COMPUTED_VALUE"""),44322.0)</f>
        <v>44322</v>
      </c>
      <c r="I682" s="100">
        <f>IFERROR(__xludf.DUMMYFUNCTION("""COMPUTED_VALUE"""),83.0)</f>
        <v>83</v>
      </c>
      <c r="J682" s="96" t="str">
        <f>IFERROR(__xludf.DUMMYFUNCTION("""COMPUTED_VALUE"""),"Dr p.Ravi Kiran Varma")</f>
        <v>Dr p.Ravi Kiran Varma</v>
      </c>
      <c r="K682" s="101" t="str">
        <f>IFERROR(__xludf.DUMMYFUNCTION("""COMPUTED_VALUE"""),"https://drive.google.com/open?id=1w51svNPPZ9JiRytz1WU7nE_xHHSjU_JB")</f>
        <v>https://drive.google.com/open?id=1w51svNPPZ9JiRytz1WU7nE_xHHSjU_JB</v>
      </c>
      <c r="L682" s="96" t="str">
        <f>IFERROR(__xludf.DUMMYFUNCTION("""COMPUTED_VALUE"""),"2019-2023")</f>
        <v>2019-2023</v>
      </c>
      <c r="M682" s="96" t="str">
        <f>IFERROR(__xludf.DUMMYFUNCTION("""COMPUTED_VALUE"""),"S4: Student Certifications")</f>
        <v>S4: Student Certifications</v>
      </c>
      <c r="N682" s="96" t="str">
        <f>IFERROR(__xludf.DUMMYFUNCTION("""COMPUTED_VALUE"""),"gkrishna6932@gmail.com")</f>
        <v>gkrishna6932@gmail.com</v>
      </c>
      <c r="O682" s="96" t="str">
        <f>IFERROR(__xludf.DUMMYFUNCTION("""COMPUTED_VALUE"""),"SEM-6")</f>
        <v>SEM-6</v>
      </c>
      <c r="P682" s="96"/>
      <c r="Q682" s="96"/>
      <c r="R682" s="96"/>
      <c r="S682" s="96"/>
      <c r="T682" s="96"/>
      <c r="U682" s="96"/>
      <c r="V682" s="96"/>
      <c r="W682" s="96"/>
      <c r="X682" s="96"/>
      <c r="Y682" s="96"/>
    </row>
    <row r="683" ht="26.25" customHeight="1">
      <c r="A683" s="96" t="str">
        <f>IFERROR(__xludf.DUMMYFUNCTION("""COMPUTED_VALUE"""),"Mohammed Aquib Akthar ")</f>
        <v>Mohammed Aquib Akthar </v>
      </c>
      <c r="B683" s="96" t="str">
        <f>IFERROR(__xludf.DUMMYFUNCTION("""COMPUTED_VALUE"""),"19331A05A6")</f>
        <v>19331A05A6</v>
      </c>
      <c r="C683" s="97" t="str">
        <f>IFERROR(__xludf.DUMMYFUNCTION("""COMPUTED_VALUE"""),"programming essentials in c")</f>
        <v>programming essentials in c</v>
      </c>
      <c r="D683" s="96" t="str">
        <f>IFERROR(__xludf.DUMMYFUNCTION("""COMPUTED_VALUE"""),"Cisco")</f>
        <v>Cisco</v>
      </c>
      <c r="E683" s="96" t="str">
        <f>IFERROR(__xludf.DUMMYFUNCTION("""COMPUTED_VALUE"""),"2 months")</f>
        <v>2 months</v>
      </c>
      <c r="F683" s="98">
        <f>IFERROR(__xludf.DUMMYFUNCTION("""COMPUTED_VALUE"""),43922.0)</f>
        <v>43922</v>
      </c>
      <c r="G683" s="98">
        <f>IFERROR(__xludf.DUMMYFUNCTION("""COMPUTED_VALUE"""),43983.0)</f>
        <v>43983</v>
      </c>
      <c r="H683" s="99">
        <f>IFERROR(__xludf.DUMMYFUNCTION("""COMPUTED_VALUE"""),43983.0)</f>
        <v>43983</v>
      </c>
      <c r="I683" s="100">
        <f>IFERROR(__xludf.DUMMYFUNCTION("""COMPUTED_VALUE"""),75.0)</f>
        <v>75</v>
      </c>
      <c r="J683" s="96" t="str">
        <f>IFERROR(__xludf.DUMMYFUNCTION("""COMPUTED_VALUE"""),"Dr.Ravi Kiran Varma Penmatsa")</f>
        <v>Dr.Ravi Kiran Varma Penmatsa</v>
      </c>
      <c r="K683" s="101" t="str">
        <f>IFERROR(__xludf.DUMMYFUNCTION("""COMPUTED_VALUE"""),"https://drive.google.com/open?id=1GfrafME1U_QOAlhJwsNToJboqfRPSHp4")</f>
        <v>https://drive.google.com/open?id=1GfrafME1U_QOAlhJwsNToJboqfRPSHp4</v>
      </c>
      <c r="L683" s="96" t="str">
        <f>IFERROR(__xludf.DUMMYFUNCTION("""COMPUTED_VALUE"""),"2019-2023")</f>
        <v>2019-2023</v>
      </c>
      <c r="M683" s="96" t="str">
        <f>IFERROR(__xludf.DUMMYFUNCTION("""COMPUTED_VALUE"""),"S4: Student Certifications")</f>
        <v>S4: Student Certifications</v>
      </c>
      <c r="N683" s="96" t="str">
        <f>IFERROR(__xludf.DUMMYFUNCTION("""COMPUTED_VALUE"""),"aquibakthar14@gmail.com")</f>
        <v>aquibakthar14@gmail.com</v>
      </c>
      <c r="O683" s="96" t="str">
        <f>IFERROR(__xludf.DUMMYFUNCTION("""COMPUTED_VALUE"""),"SEM-6")</f>
        <v>SEM-6</v>
      </c>
      <c r="P683" s="96"/>
      <c r="Q683" s="96"/>
      <c r="R683" s="96"/>
      <c r="S683" s="96"/>
      <c r="T683" s="96"/>
      <c r="U683" s="96"/>
      <c r="V683" s="96"/>
      <c r="W683" s="96"/>
      <c r="X683" s="96"/>
      <c r="Y683" s="96"/>
    </row>
    <row r="684" ht="26.25" customHeight="1">
      <c r="A684" s="96" t="str">
        <f>IFERROR(__xludf.DUMMYFUNCTION("""COMPUTED_VALUE"""),"Kantubhukta Hemanth")</f>
        <v>Kantubhukta Hemanth</v>
      </c>
      <c r="B684" s="96" t="str">
        <f>IFERROR(__xludf.DUMMYFUNCTION("""COMPUTED_VALUE"""),"19331A0573")</f>
        <v>19331A0573</v>
      </c>
      <c r="C684" s="97" t="str">
        <f>IFERROR(__xludf.DUMMYFUNCTION("""COMPUTED_VALUE"""),"Applied Machine Learning in Python")</f>
        <v>Applied Machine Learning in Python</v>
      </c>
      <c r="D684" s="96" t="str">
        <f>IFERROR(__xludf.DUMMYFUNCTION("""COMPUTED_VALUE"""),"Coursera")</f>
        <v>Coursera</v>
      </c>
      <c r="E684" s="96" t="str">
        <f>IFERROR(__xludf.DUMMYFUNCTION("""COMPUTED_VALUE"""),"3 Months")</f>
        <v>3 Months</v>
      </c>
      <c r="F684" s="98">
        <f>IFERROR(__xludf.DUMMYFUNCTION("""COMPUTED_VALUE"""),44495.0)</f>
        <v>44495</v>
      </c>
      <c r="G684" s="98">
        <f>IFERROR(__xludf.DUMMYFUNCTION("""COMPUTED_VALUE"""),44587.0)</f>
        <v>44587</v>
      </c>
      <c r="H684" s="99">
        <f>IFERROR(__xludf.DUMMYFUNCTION("""COMPUTED_VALUE"""),44586.0)</f>
        <v>44586</v>
      </c>
      <c r="I684" s="100">
        <f>IFERROR(__xludf.DUMMYFUNCTION("""COMPUTED_VALUE"""),0.886)</f>
        <v>0.886</v>
      </c>
      <c r="J684" s="96" t="str">
        <f>IFERROR(__xludf.DUMMYFUNCTION("""COMPUTED_VALUE"""),"Kevyn Collins Thompson")</f>
        <v>Kevyn Collins Thompson</v>
      </c>
      <c r="K684" s="101" t="str">
        <f>IFERROR(__xludf.DUMMYFUNCTION("""COMPUTED_VALUE"""),"https://drive.google.com/open?id=1iTFWknbuv-Orz0HeuZZrVMlM8NrbQbvK")</f>
        <v>https://drive.google.com/open?id=1iTFWknbuv-Orz0HeuZZrVMlM8NrbQbvK</v>
      </c>
      <c r="L684" s="96" t="str">
        <f>IFERROR(__xludf.DUMMYFUNCTION("""COMPUTED_VALUE"""),"2019-2023")</f>
        <v>2019-2023</v>
      </c>
      <c r="M684" s="96" t="str">
        <f>IFERROR(__xludf.DUMMYFUNCTION("""COMPUTED_VALUE"""),"S4: Student Certifications")</f>
        <v>S4: Student Certifications</v>
      </c>
      <c r="N684" s="96" t="str">
        <f>IFERROR(__xludf.DUMMYFUNCTION("""COMPUTED_VALUE"""),"hemanthkantubhukta2232@gmail.com")</f>
        <v>hemanthkantubhukta2232@gmail.com</v>
      </c>
      <c r="O684" s="96" t="str">
        <f>IFERROR(__xludf.DUMMYFUNCTION("""COMPUTED_VALUE"""),"SEM-6")</f>
        <v>SEM-6</v>
      </c>
      <c r="P684" s="96"/>
      <c r="Q684" s="96"/>
      <c r="R684" s="96"/>
      <c r="S684" s="96"/>
      <c r="T684" s="96"/>
      <c r="U684" s="96"/>
      <c r="V684" s="96"/>
      <c r="W684" s="96"/>
      <c r="X684" s="96"/>
      <c r="Y684" s="96"/>
    </row>
    <row r="685" ht="26.25" customHeight="1">
      <c r="A685" s="96" t="str">
        <f>IFERROR(__xludf.DUMMYFUNCTION("""COMPUTED_VALUE"""),"YUVA KISHORE KOLLI")</f>
        <v>YUVA KISHORE KOLLI</v>
      </c>
      <c r="B685" s="96" t="str">
        <f>IFERROR(__xludf.DUMMYFUNCTION("""COMPUTED_VALUE"""),"19331A0581")</f>
        <v>19331A0581</v>
      </c>
      <c r="C685" s="97" t="str">
        <f>IFERROR(__xludf.DUMMYFUNCTION("""COMPUTED_VALUE"""),"Programming Essentials in Python")</f>
        <v>Programming Essentials in Python</v>
      </c>
      <c r="D685" s="96" t="str">
        <f>IFERROR(__xludf.DUMMYFUNCTION("""COMPUTED_VALUE"""),"Cisco Networking Academy")</f>
        <v>Cisco Networking Academy</v>
      </c>
      <c r="E685" s="96" t="str">
        <f>IFERROR(__xludf.DUMMYFUNCTION("""COMPUTED_VALUE"""),"2 months")</f>
        <v>2 months</v>
      </c>
      <c r="F685" s="98">
        <f>IFERROR(__xludf.DUMMYFUNCTION("""COMPUTED_VALUE"""),44260.0)</f>
        <v>44260</v>
      </c>
      <c r="G685" s="98">
        <f>IFERROR(__xludf.DUMMYFUNCTION("""COMPUTED_VALUE"""),44322.0)</f>
        <v>44322</v>
      </c>
      <c r="H685" s="99">
        <f>IFERROR(__xludf.DUMMYFUNCTION("""COMPUTED_VALUE"""),44322.0)</f>
        <v>44322</v>
      </c>
      <c r="I685" s="100"/>
      <c r="J685" s="96" t="str">
        <f>IFERROR(__xludf.DUMMYFUNCTION("""COMPUTED_VALUE"""),"DR. RAVI KIRAN VARMA PENMATSA")</f>
        <v>DR. RAVI KIRAN VARMA PENMATSA</v>
      </c>
      <c r="K685" s="101" t="str">
        <f>IFERROR(__xludf.DUMMYFUNCTION("""COMPUTED_VALUE"""),"https://drive.google.com/open?id=10BZt10v9yblAm1Vr82KmiZPmyMGzggqm")</f>
        <v>https://drive.google.com/open?id=10BZt10v9yblAm1Vr82KmiZPmyMGzggqm</v>
      </c>
      <c r="L685" s="96" t="str">
        <f>IFERROR(__xludf.DUMMYFUNCTION("""COMPUTED_VALUE"""),"2019-2023")</f>
        <v>2019-2023</v>
      </c>
      <c r="M685" s="96" t="str">
        <f>IFERROR(__xludf.DUMMYFUNCTION("""COMPUTED_VALUE"""),"S4: Student Certifications")</f>
        <v>S4: Student Certifications</v>
      </c>
      <c r="N685" s="96" t="str">
        <f>IFERROR(__xludf.DUMMYFUNCTION("""COMPUTED_VALUE"""),"yuvakishorekolli@gmail.com")</f>
        <v>yuvakishorekolli@gmail.com</v>
      </c>
      <c r="O685" s="96" t="str">
        <f>IFERROR(__xludf.DUMMYFUNCTION("""COMPUTED_VALUE"""),"SEM-6")</f>
        <v>SEM-6</v>
      </c>
      <c r="P685" s="96"/>
      <c r="Q685" s="96"/>
      <c r="R685" s="96"/>
      <c r="S685" s="96"/>
      <c r="T685" s="96"/>
      <c r="U685" s="96"/>
      <c r="V685" s="96"/>
      <c r="W685" s="96"/>
      <c r="X685" s="96"/>
      <c r="Y685" s="96"/>
    </row>
    <row r="686" ht="26.25" customHeight="1">
      <c r="A686" s="96" t="str">
        <f>IFERROR(__xludf.DUMMYFUNCTION("""COMPUTED_VALUE"""),"NALLURI SAI KIRAN")</f>
        <v>NALLURI SAI KIRAN</v>
      </c>
      <c r="B686" s="96" t="str">
        <f>IFERROR(__xludf.DUMMYFUNCTION("""COMPUTED_VALUE"""),"19331A05B8")</f>
        <v>19331A05B8</v>
      </c>
      <c r="C686" s="97" t="str">
        <f>IFERROR(__xludf.DUMMYFUNCTION("""COMPUTED_VALUE"""),"PCAP: Programming Essentials in Python")</f>
        <v>PCAP: Programming Essentials in Python</v>
      </c>
      <c r="D686" s="96" t="str">
        <f>IFERROR(__xludf.DUMMYFUNCTION("""COMPUTED_VALUE"""),"Cisco")</f>
        <v>Cisco</v>
      </c>
      <c r="E686" s="96" t="str">
        <f>IFERROR(__xludf.DUMMYFUNCTION("""COMPUTED_VALUE"""),"1 month")</f>
        <v>1 month</v>
      </c>
      <c r="F686" s="98">
        <f>IFERROR(__xludf.DUMMYFUNCTION("""COMPUTED_VALUE"""),44295.0)</f>
        <v>44295</v>
      </c>
      <c r="G686" s="98">
        <f>IFERROR(__xludf.DUMMYFUNCTION("""COMPUTED_VALUE"""),44322.0)</f>
        <v>44322</v>
      </c>
      <c r="H686" s="99">
        <f>IFERROR(__xludf.DUMMYFUNCTION("""COMPUTED_VALUE"""),44322.0)</f>
        <v>44322</v>
      </c>
      <c r="I686" s="100">
        <f>IFERROR(__xludf.DUMMYFUNCTION("""COMPUTED_VALUE"""),86.6)</f>
        <v>86.6</v>
      </c>
      <c r="J686" s="96" t="str">
        <f>IFERROR(__xludf.DUMMYFUNCTION("""COMPUTED_VALUE"""),"DR. RAVI KIRAN VARMA PENAMATSA")</f>
        <v>DR. RAVI KIRAN VARMA PENAMATSA</v>
      </c>
      <c r="K686" s="101" t="str">
        <f>IFERROR(__xludf.DUMMYFUNCTION("""COMPUTED_VALUE"""),"https://drive.google.com/open?id=1aAhIJXKJcg63jEHDOs-euj66tdCpv1KB")</f>
        <v>https://drive.google.com/open?id=1aAhIJXKJcg63jEHDOs-euj66tdCpv1KB</v>
      </c>
      <c r="L686" s="96" t="str">
        <f>IFERROR(__xludf.DUMMYFUNCTION("""COMPUTED_VALUE"""),"2019-2023")</f>
        <v>2019-2023</v>
      </c>
      <c r="M686" s="96" t="str">
        <f>IFERROR(__xludf.DUMMYFUNCTION("""COMPUTED_VALUE"""),"S4: Student Certifications")</f>
        <v>S4: Student Certifications</v>
      </c>
      <c r="N686" s="96" t="str">
        <f>IFERROR(__xludf.DUMMYFUNCTION("""COMPUTED_VALUE"""),"nsaikiran2411@gmail.com")</f>
        <v>nsaikiran2411@gmail.com</v>
      </c>
      <c r="O686" s="96" t="str">
        <f>IFERROR(__xludf.DUMMYFUNCTION("""COMPUTED_VALUE"""),"SEM-6")</f>
        <v>SEM-6</v>
      </c>
      <c r="P686" s="96"/>
      <c r="Q686" s="96"/>
      <c r="R686" s="96"/>
      <c r="S686" s="96"/>
      <c r="T686" s="96"/>
      <c r="U686" s="96"/>
      <c r="V686" s="96"/>
      <c r="W686" s="96"/>
      <c r="X686" s="96"/>
      <c r="Y686" s="96"/>
    </row>
    <row r="687" ht="26.25" customHeight="1">
      <c r="A687" s="96" t="str">
        <f>IFERROR(__xludf.DUMMYFUNCTION("""COMPUTED_VALUE"""),"PALAVALASA DEEPAK")</f>
        <v>PALAVALASA DEEPAK</v>
      </c>
      <c r="B687" s="96" t="str">
        <f>IFERROR(__xludf.DUMMYFUNCTION("""COMPUTED_VALUE"""),"19331A05C4")</f>
        <v>19331A05C4</v>
      </c>
      <c r="C687" s="97" t="str">
        <f>IFERROR(__xludf.DUMMYFUNCTION("""COMPUTED_VALUE"""),"CLA: Programming Essentials in C")</f>
        <v>CLA: Programming Essentials in C</v>
      </c>
      <c r="D687" s="96" t="str">
        <f>IFERROR(__xludf.DUMMYFUNCTION("""COMPUTED_VALUE"""),"CISCO")</f>
        <v>CISCO</v>
      </c>
      <c r="E687" s="96" t="str">
        <f>IFERROR(__xludf.DUMMYFUNCTION("""COMPUTED_VALUE"""),"2 months")</f>
        <v>2 months</v>
      </c>
      <c r="F687" s="98">
        <f>IFERROR(__xludf.DUMMYFUNCTION("""COMPUTED_VALUE"""),43955.0)</f>
        <v>43955</v>
      </c>
      <c r="G687" s="98">
        <f>IFERROR(__xludf.DUMMYFUNCTION("""COMPUTED_VALUE"""),44016.0)</f>
        <v>44016</v>
      </c>
      <c r="H687" s="99">
        <f>IFERROR(__xludf.DUMMYFUNCTION("""COMPUTED_VALUE"""),44016.0)</f>
        <v>44016</v>
      </c>
      <c r="I687" s="100">
        <f>IFERROR(__xludf.DUMMYFUNCTION("""COMPUTED_VALUE"""),0.8)</f>
        <v>0.8</v>
      </c>
      <c r="J687" s="96" t="str">
        <f>IFERROR(__xludf.DUMMYFUNCTION("""COMPUTED_VALUE"""),"DR. RAVI KIRAN VARMA PENMATSA")</f>
        <v>DR. RAVI KIRAN VARMA PENMATSA</v>
      </c>
      <c r="K687" s="101" t="str">
        <f>IFERROR(__xludf.DUMMYFUNCTION("""COMPUTED_VALUE"""),"https://drive.google.com/open?id=12P5taGS3VNCrkubzgD454WjE8no7NCoW")</f>
        <v>https://drive.google.com/open?id=12P5taGS3VNCrkubzgD454WjE8no7NCoW</v>
      </c>
      <c r="L687" s="96" t="str">
        <f>IFERROR(__xludf.DUMMYFUNCTION("""COMPUTED_VALUE"""),"2019-2023")</f>
        <v>2019-2023</v>
      </c>
      <c r="M687" s="96" t="str">
        <f>IFERROR(__xludf.DUMMYFUNCTION("""COMPUTED_VALUE"""),"S4: Student Certifications")</f>
        <v>S4: Student Certifications</v>
      </c>
      <c r="N687" s="96" t="str">
        <f>IFERROR(__xludf.DUMMYFUNCTION("""COMPUTED_VALUE"""),"palavalasadeepak@gmail.com")</f>
        <v>palavalasadeepak@gmail.com</v>
      </c>
      <c r="O687" s="96" t="str">
        <f>IFERROR(__xludf.DUMMYFUNCTION("""COMPUTED_VALUE"""),"SEM-6")</f>
        <v>SEM-6</v>
      </c>
      <c r="P687" s="96"/>
      <c r="Q687" s="96"/>
      <c r="R687" s="96"/>
      <c r="S687" s="96"/>
      <c r="T687" s="96"/>
      <c r="U687" s="96"/>
      <c r="V687" s="96"/>
      <c r="W687" s="96"/>
      <c r="X687" s="96"/>
      <c r="Y687" s="96"/>
    </row>
    <row r="688" ht="26.25" customHeight="1">
      <c r="A688" s="74" t="str">
        <f>IFERROR(__xludf.DUMMYFUNCTION("""COMPUTED_VALUE"""),"KARRI SUBBARAO VINEETH")</f>
        <v>KARRI SUBBARAO VINEETH</v>
      </c>
      <c r="B688" s="74" t="str">
        <f>IFERROR(__xludf.DUMMYFUNCTION("""COMPUTED_VALUE"""),"19331A0575")</f>
        <v>19331A0575</v>
      </c>
      <c r="C688" s="90" t="str">
        <f>IFERROR(__xludf.DUMMYFUNCTION("""COMPUTED_VALUE"""),"PCAP: PROGRAMMING ESSENTIALS IN PYTHON")</f>
        <v>PCAP: PROGRAMMING ESSENTIALS IN PYTHON</v>
      </c>
      <c r="D688" s="74" t="str">
        <f>IFERROR(__xludf.DUMMYFUNCTION("""COMPUTED_VALUE"""),"CISCO NETACAD")</f>
        <v>CISCO NETACAD</v>
      </c>
      <c r="E688" s="74" t="str">
        <f>IFERROR(__xludf.DUMMYFUNCTION("""COMPUTED_VALUE"""),"3months")</f>
        <v>3months</v>
      </c>
      <c r="F688" s="91">
        <f>IFERROR(__xludf.DUMMYFUNCTION("""COMPUTED_VALUE"""),44197.0)</f>
        <v>44197</v>
      </c>
      <c r="G688" s="91">
        <f>IFERROR(__xludf.DUMMYFUNCTION("""COMPUTED_VALUE"""),44263.0)</f>
        <v>44263</v>
      </c>
      <c r="H688" s="79">
        <f>IFERROR(__xludf.DUMMYFUNCTION("""COMPUTED_VALUE"""),44263.0)</f>
        <v>44263</v>
      </c>
      <c r="I688" s="92">
        <f>IFERROR(__xludf.DUMMYFUNCTION("""COMPUTED_VALUE"""),0.9)</f>
        <v>0.9</v>
      </c>
      <c r="J688" s="74" t="str">
        <f>IFERROR(__xludf.DUMMYFUNCTION("""COMPUTED_VALUE"""),"Dr. Ravi Kiran Varma Penmatsa")</f>
        <v>Dr. Ravi Kiran Varma Penmatsa</v>
      </c>
      <c r="K688" s="80" t="str">
        <f>IFERROR(__xludf.DUMMYFUNCTION("""COMPUTED_VALUE"""),"https://drive.google.com/open?id=1kkYs41HZ7ROgyABtcTw9ZexCXJ9l9P1w")</f>
        <v>https://drive.google.com/open?id=1kkYs41HZ7ROgyABtcTw9ZexCXJ9l9P1w</v>
      </c>
      <c r="L688" s="74" t="str">
        <f>IFERROR(__xludf.DUMMYFUNCTION("""COMPUTED_VALUE"""),"2019-2023")</f>
        <v>2019-2023</v>
      </c>
      <c r="M688" s="74" t="str">
        <f>IFERROR(__xludf.DUMMYFUNCTION("""COMPUTED_VALUE"""),"S4: Student Certifications")</f>
        <v>S4: Student Certifications</v>
      </c>
      <c r="N688" s="74" t="str">
        <f>IFERROR(__xludf.DUMMYFUNCTION("""COMPUTED_VALUE"""),"karri.vineeth24@gmail.com")</f>
        <v>karri.vineeth24@gmail.com</v>
      </c>
      <c r="O688" s="74" t="str">
        <f>IFERROR(__xludf.DUMMYFUNCTION("""COMPUTED_VALUE"""),"SEM-6")</f>
        <v>SEM-6</v>
      </c>
      <c r="P688" s="74"/>
      <c r="Q688" s="74"/>
      <c r="R688" s="74"/>
      <c r="S688" s="74"/>
      <c r="T688" s="74"/>
      <c r="U688" s="74"/>
      <c r="V688" s="74"/>
      <c r="W688" s="74"/>
      <c r="X688" s="74"/>
      <c r="Y688" s="74"/>
    </row>
    <row r="689" ht="26.25" customHeight="1">
      <c r="A689" s="96" t="str">
        <f>IFERROR(__xludf.DUMMYFUNCTION("""COMPUTED_VALUE"""),"Mandhapati Jagannadha Rohit Varma")</f>
        <v>Mandhapati Jagannadha Rohit Varma</v>
      </c>
      <c r="B689" s="96" t="str">
        <f>IFERROR(__xludf.DUMMYFUNCTION("""COMPUTED_VALUE"""),"19331A05A3")</f>
        <v>19331A05A3</v>
      </c>
      <c r="C689" s="97" t="str">
        <f>IFERROR(__xludf.DUMMYFUNCTION("""COMPUTED_VALUE"""),"Programming Essentials in C")</f>
        <v>Programming Essentials in C</v>
      </c>
      <c r="D689" s="96" t="str">
        <f>IFERROR(__xludf.DUMMYFUNCTION("""COMPUTED_VALUE"""),"Cisco")</f>
        <v>Cisco</v>
      </c>
      <c r="E689" s="96" t="str">
        <f>IFERROR(__xludf.DUMMYFUNCTION("""COMPUTED_VALUE"""),"2 months")</f>
        <v>2 months</v>
      </c>
      <c r="F689" s="98">
        <f>IFERROR(__xludf.DUMMYFUNCTION("""COMPUTED_VALUE"""),43922.0)</f>
        <v>43922</v>
      </c>
      <c r="G689" s="98">
        <f>IFERROR(__xludf.DUMMYFUNCTION("""COMPUTED_VALUE"""),43982.0)</f>
        <v>43982</v>
      </c>
      <c r="H689" s="99">
        <f>IFERROR(__xludf.DUMMYFUNCTION("""COMPUTED_VALUE"""),43979.0)</f>
        <v>43979</v>
      </c>
      <c r="I689" s="100">
        <f>IFERROR(__xludf.DUMMYFUNCTION("""COMPUTED_VALUE"""),83.0)</f>
        <v>83</v>
      </c>
      <c r="J689" s="96" t="str">
        <f>IFERROR(__xludf.DUMMYFUNCTION("""COMPUTED_VALUE"""),"Dr.Ravi Kiran Varma Penmatsa")</f>
        <v>Dr.Ravi Kiran Varma Penmatsa</v>
      </c>
      <c r="K689" s="101" t="str">
        <f>IFERROR(__xludf.DUMMYFUNCTION("""COMPUTED_VALUE"""),"https://drive.google.com/open?id=1548vIJrcXaAKU8DbaBd2kAOO7ybfsQUr")</f>
        <v>https://drive.google.com/open?id=1548vIJrcXaAKU8DbaBd2kAOO7ybfsQUr</v>
      </c>
      <c r="L689" s="96" t="str">
        <f>IFERROR(__xludf.DUMMYFUNCTION("""COMPUTED_VALUE"""),"2019-2023")</f>
        <v>2019-2023</v>
      </c>
      <c r="M689" s="96" t="str">
        <f>IFERROR(__xludf.DUMMYFUNCTION("""COMPUTED_VALUE"""),"S4: Student Certifications")</f>
        <v>S4: Student Certifications</v>
      </c>
      <c r="N689" s="96" t="str">
        <f>IFERROR(__xludf.DUMMYFUNCTION("""COMPUTED_VALUE"""),"rohitvarmaanrk@gmail.com")</f>
        <v>rohitvarmaanrk@gmail.com</v>
      </c>
      <c r="O689" s="96" t="str">
        <f>IFERROR(__xludf.DUMMYFUNCTION("""COMPUTED_VALUE"""),"SEM-6")</f>
        <v>SEM-6</v>
      </c>
      <c r="P689" s="96"/>
      <c r="Q689" s="96"/>
      <c r="R689" s="96"/>
      <c r="S689" s="96"/>
      <c r="T689" s="96"/>
      <c r="U689" s="96"/>
      <c r="V689" s="96"/>
      <c r="W689" s="96"/>
      <c r="X689" s="96"/>
      <c r="Y689" s="96"/>
    </row>
    <row r="690" ht="26.25" customHeight="1">
      <c r="A690" s="96" t="str">
        <f>IFERROR(__xludf.DUMMYFUNCTION("""COMPUTED_VALUE"""),"Kantubhukta Hemanth")</f>
        <v>Kantubhukta Hemanth</v>
      </c>
      <c r="B690" s="96" t="str">
        <f>IFERROR(__xludf.DUMMYFUNCTION("""COMPUTED_VALUE"""),"19331A0573")</f>
        <v>19331A0573</v>
      </c>
      <c r="C690" s="97" t="str">
        <f>IFERROR(__xludf.DUMMYFUNCTION("""COMPUTED_VALUE"""),"Introduction to Tensorflow for AI, ML and Deep Learning")</f>
        <v>Introduction to Tensorflow for AI, ML and Deep Learning</v>
      </c>
      <c r="D690" s="96" t="str">
        <f>IFERROR(__xludf.DUMMYFUNCTION("""COMPUTED_VALUE"""),"Coursera")</f>
        <v>Coursera</v>
      </c>
      <c r="E690" s="96" t="str">
        <f>IFERROR(__xludf.DUMMYFUNCTION("""COMPUTED_VALUE"""),"3 Months")</f>
        <v>3 Months</v>
      </c>
      <c r="F690" s="98">
        <f>IFERROR(__xludf.DUMMYFUNCTION("""COMPUTED_VALUE"""),44566.0)</f>
        <v>44566</v>
      </c>
      <c r="G690" s="98">
        <f>IFERROR(__xludf.DUMMYFUNCTION("""COMPUTED_VALUE"""),44656.0)</f>
        <v>44656</v>
      </c>
      <c r="H690" s="99">
        <f>IFERROR(__xludf.DUMMYFUNCTION("""COMPUTED_VALUE"""),44655.0)</f>
        <v>44655</v>
      </c>
      <c r="I690" s="100">
        <f>IFERROR(__xludf.DUMMYFUNCTION("""COMPUTED_VALUE"""),0.88)</f>
        <v>0.88</v>
      </c>
      <c r="J690" s="96" t="str">
        <f>IFERROR(__xludf.DUMMYFUNCTION("""COMPUTED_VALUE"""),"Laurence Moroney")</f>
        <v>Laurence Moroney</v>
      </c>
      <c r="K690" s="101" t="str">
        <f>IFERROR(__xludf.DUMMYFUNCTION("""COMPUTED_VALUE"""),"https://drive.google.com/open?id=1ZDkuxpDmuydRAUI6UerMJ7kyk0zX-Zot")</f>
        <v>https://drive.google.com/open?id=1ZDkuxpDmuydRAUI6UerMJ7kyk0zX-Zot</v>
      </c>
      <c r="L690" s="96" t="str">
        <f>IFERROR(__xludf.DUMMYFUNCTION("""COMPUTED_VALUE"""),"2019-2023")</f>
        <v>2019-2023</v>
      </c>
      <c r="M690" s="96" t="str">
        <f>IFERROR(__xludf.DUMMYFUNCTION("""COMPUTED_VALUE"""),"S4: Student Certifications")</f>
        <v>S4: Student Certifications</v>
      </c>
      <c r="N690" s="96" t="str">
        <f>IFERROR(__xludf.DUMMYFUNCTION("""COMPUTED_VALUE"""),"hemanthkantubhukta2232@gmail.com")</f>
        <v>hemanthkantubhukta2232@gmail.com</v>
      </c>
      <c r="O690" s="96" t="str">
        <f>IFERROR(__xludf.DUMMYFUNCTION("""COMPUTED_VALUE"""),"SEM-6")</f>
        <v>SEM-6</v>
      </c>
      <c r="P690" s="96"/>
      <c r="Q690" s="96"/>
      <c r="R690" s="96"/>
      <c r="S690" s="96"/>
      <c r="T690" s="96"/>
      <c r="U690" s="96"/>
      <c r="V690" s="96"/>
      <c r="W690" s="96"/>
      <c r="X690" s="96"/>
      <c r="Y690" s="96"/>
    </row>
    <row r="691" ht="26.25" customHeight="1">
      <c r="A691" s="96" t="str">
        <f>IFERROR(__xludf.DUMMYFUNCTION("""COMPUTED_VALUE"""),"Mohammed Aquib Akthar ")</f>
        <v>Mohammed Aquib Akthar </v>
      </c>
      <c r="B691" s="96" t="str">
        <f>IFERROR(__xludf.DUMMYFUNCTION("""COMPUTED_VALUE"""),"19331A05A6")</f>
        <v>19331A05A6</v>
      </c>
      <c r="C691" s="97" t="str">
        <f>IFERROR(__xludf.DUMMYFUNCTION("""COMPUTED_VALUE"""),"Programming essentials in python ")</f>
        <v>Programming essentials in python </v>
      </c>
      <c r="D691" s="96" t="str">
        <f>IFERROR(__xludf.DUMMYFUNCTION("""COMPUTED_VALUE"""),"Cisco")</f>
        <v>Cisco</v>
      </c>
      <c r="E691" s="96" t="str">
        <f>IFERROR(__xludf.DUMMYFUNCTION("""COMPUTED_VALUE"""),"2 months ")</f>
        <v>2 months </v>
      </c>
      <c r="F691" s="98">
        <f>IFERROR(__xludf.DUMMYFUNCTION("""COMPUTED_VALUE"""),44201.0)</f>
        <v>44201</v>
      </c>
      <c r="G691" s="98">
        <f>IFERROR(__xludf.DUMMYFUNCTION("""COMPUTED_VALUE"""),44260.0)</f>
        <v>44260</v>
      </c>
      <c r="H691" s="99">
        <f>IFERROR(__xludf.DUMMYFUNCTION("""COMPUTED_VALUE"""),44260.0)</f>
        <v>44260</v>
      </c>
      <c r="I691" s="100">
        <f>IFERROR(__xludf.DUMMYFUNCTION("""COMPUTED_VALUE"""),75.0)</f>
        <v>75</v>
      </c>
      <c r="J691" s="96" t="str">
        <f>IFERROR(__xludf.DUMMYFUNCTION("""COMPUTED_VALUE"""),"Dr. Ravi Kiran Varma Penmatsa ")</f>
        <v>Dr. Ravi Kiran Varma Penmatsa </v>
      </c>
      <c r="K691" s="101" t="str">
        <f>IFERROR(__xludf.DUMMYFUNCTION("""COMPUTED_VALUE"""),"https://drive.google.com/open?id=1CpjePSXtt5xuBUsxkom5qDLIGk-Cq5v1")</f>
        <v>https://drive.google.com/open?id=1CpjePSXtt5xuBUsxkom5qDLIGk-Cq5v1</v>
      </c>
      <c r="L691" s="96" t="str">
        <f>IFERROR(__xludf.DUMMYFUNCTION("""COMPUTED_VALUE"""),"2019-2023")</f>
        <v>2019-2023</v>
      </c>
      <c r="M691" s="96" t="str">
        <f>IFERROR(__xludf.DUMMYFUNCTION("""COMPUTED_VALUE"""),"S4: Student Certifications")</f>
        <v>S4: Student Certifications</v>
      </c>
      <c r="N691" s="96" t="str">
        <f>IFERROR(__xludf.DUMMYFUNCTION("""COMPUTED_VALUE"""),"aquibakthar14@gmail.com")</f>
        <v>aquibakthar14@gmail.com</v>
      </c>
      <c r="O691" s="96" t="str">
        <f>IFERROR(__xludf.DUMMYFUNCTION("""COMPUTED_VALUE"""),"SEM-6")</f>
        <v>SEM-6</v>
      </c>
      <c r="P691" s="96"/>
      <c r="Q691" s="96"/>
      <c r="R691" s="96"/>
      <c r="S691" s="96"/>
      <c r="T691" s="96"/>
      <c r="U691" s="96"/>
      <c r="V691" s="96"/>
      <c r="W691" s="96"/>
      <c r="X691" s="96"/>
      <c r="Y691" s="96"/>
    </row>
    <row r="692" ht="26.25" customHeight="1">
      <c r="A692" s="74" t="str">
        <f>IFERROR(__xludf.DUMMYFUNCTION("""COMPUTED_VALUE"""),"KARRI SUBBARAO VINEETH")</f>
        <v>KARRI SUBBARAO VINEETH</v>
      </c>
      <c r="B692" s="74" t="str">
        <f>IFERROR(__xludf.DUMMYFUNCTION("""COMPUTED_VALUE"""),"19331A0575")</f>
        <v>19331A0575</v>
      </c>
      <c r="C692" s="90" t="str">
        <f>IFERROR(__xludf.DUMMYFUNCTION("""COMPUTED_VALUE"""),"CLA: PROGRAMMING ESSENTIALS IN C")</f>
        <v>CLA: PROGRAMMING ESSENTIALS IN C</v>
      </c>
      <c r="D692" s="74" t="str">
        <f>IFERROR(__xludf.DUMMYFUNCTION("""COMPUTED_VALUE"""),"CISCO NETACAD")</f>
        <v>CISCO NETACAD</v>
      </c>
      <c r="E692" s="74" t="str">
        <f>IFERROR(__xludf.DUMMYFUNCTION("""COMPUTED_VALUE"""),"3 months")</f>
        <v>3 months</v>
      </c>
      <c r="F692" s="91">
        <f>IFERROR(__xludf.DUMMYFUNCTION("""COMPUTED_VALUE"""),44287.0)</f>
        <v>44287</v>
      </c>
      <c r="G692" s="91">
        <f>IFERROR(__xludf.DUMMYFUNCTION("""COMPUTED_VALUE"""),44381.0)</f>
        <v>44381</v>
      </c>
      <c r="H692" s="79">
        <f>IFERROR(__xludf.DUMMYFUNCTION("""COMPUTED_VALUE"""),44381.0)</f>
        <v>44381</v>
      </c>
      <c r="I692" s="92">
        <f>IFERROR(__xludf.DUMMYFUNCTION("""COMPUTED_VALUE"""),0.9)</f>
        <v>0.9</v>
      </c>
      <c r="J692" s="74" t="str">
        <f>IFERROR(__xludf.DUMMYFUNCTION("""COMPUTED_VALUE"""),"Dr. Ravi Kiran Varma Penmatsa")</f>
        <v>Dr. Ravi Kiran Varma Penmatsa</v>
      </c>
      <c r="K692" s="80" t="str">
        <f>IFERROR(__xludf.DUMMYFUNCTION("""COMPUTED_VALUE"""),"https://drive.google.com/open?id=1Jr-CpyZqjSuzXFFXzQdUNUqwCPR9HpU6")</f>
        <v>https://drive.google.com/open?id=1Jr-CpyZqjSuzXFFXzQdUNUqwCPR9HpU6</v>
      </c>
      <c r="L692" s="74" t="str">
        <f>IFERROR(__xludf.DUMMYFUNCTION("""COMPUTED_VALUE"""),"2019-2023")</f>
        <v>2019-2023</v>
      </c>
      <c r="M692" s="74" t="str">
        <f>IFERROR(__xludf.DUMMYFUNCTION("""COMPUTED_VALUE"""),"S4: Student Certifications")</f>
        <v>S4: Student Certifications</v>
      </c>
      <c r="N692" s="74" t="str">
        <f>IFERROR(__xludf.DUMMYFUNCTION("""COMPUTED_VALUE"""),"karri.vineeth24@gmail.com")</f>
        <v>karri.vineeth24@gmail.com</v>
      </c>
      <c r="O692" s="74" t="str">
        <f>IFERROR(__xludf.DUMMYFUNCTION("""COMPUTED_VALUE"""),"SEM-6")</f>
        <v>SEM-6</v>
      </c>
      <c r="P692" s="74"/>
      <c r="Q692" s="74"/>
      <c r="R692" s="74"/>
      <c r="S692" s="74"/>
      <c r="T692" s="74"/>
      <c r="U692" s="74"/>
      <c r="V692" s="74"/>
      <c r="W692" s="74"/>
      <c r="X692" s="74"/>
      <c r="Y692" s="74"/>
    </row>
    <row r="693" ht="26.25" customHeight="1">
      <c r="A693" s="96" t="str">
        <f>IFERROR(__xludf.DUMMYFUNCTION("""COMPUTED_VALUE"""),"PALAVALASA DEEPAK")</f>
        <v>PALAVALASA DEEPAK</v>
      </c>
      <c r="B693" s="96" t="str">
        <f>IFERROR(__xludf.DUMMYFUNCTION("""COMPUTED_VALUE"""),"19331A05C4")</f>
        <v>19331A05C4</v>
      </c>
      <c r="C693" s="97" t="str">
        <f>IFERROR(__xludf.DUMMYFUNCTION("""COMPUTED_VALUE"""),"PCAP: Programming Essentials in Python")</f>
        <v>PCAP: Programming Essentials in Python</v>
      </c>
      <c r="D693" s="96" t="str">
        <f>IFERROR(__xludf.DUMMYFUNCTION("""COMPUTED_VALUE"""),"CISCO")</f>
        <v>CISCO</v>
      </c>
      <c r="E693" s="96" t="str">
        <f>IFERROR(__xludf.DUMMYFUNCTION("""COMPUTED_VALUE"""),"2 months")</f>
        <v>2 months</v>
      </c>
      <c r="F693" s="98">
        <f>IFERROR(__xludf.DUMMYFUNCTION("""COMPUTED_VALUE"""),44204.0)</f>
        <v>44204</v>
      </c>
      <c r="G693" s="98">
        <f>IFERROR(__xludf.DUMMYFUNCTION("""COMPUTED_VALUE"""),44263.0)</f>
        <v>44263</v>
      </c>
      <c r="H693" s="99">
        <f>IFERROR(__xludf.DUMMYFUNCTION("""COMPUTED_VALUE"""),44263.0)</f>
        <v>44263</v>
      </c>
      <c r="I693" s="100">
        <f>IFERROR(__xludf.DUMMYFUNCTION("""COMPUTED_VALUE"""),0.8)</f>
        <v>0.8</v>
      </c>
      <c r="J693" s="96" t="str">
        <f>IFERROR(__xludf.DUMMYFUNCTION("""COMPUTED_VALUE"""),"DR. RAVI KIRAN VARMA PENMATSA")</f>
        <v>DR. RAVI KIRAN VARMA PENMATSA</v>
      </c>
      <c r="K693" s="101" t="str">
        <f>IFERROR(__xludf.DUMMYFUNCTION("""COMPUTED_VALUE"""),"https://drive.google.com/open?id=1Y3unLXWCV1abqjq6SPZcbe_lXKLILIR-")</f>
        <v>https://drive.google.com/open?id=1Y3unLXWCV1abqjq6SPZcbe_lXKLILIR-</v>
      </c>
      <c r="L693" s="96" t="str">
        <f>IFERROR(__xludf.DUMMYFUNCTION("""COMPUTED_VALUE"""),"2019-2023")</f>
        <v>2019-2023</v>
      </c>
      <c r="M693" s="96" t="str">
        <f>IFERROR(__xludf.DUMMYFUNCTION("""COMPUTED_VALUE"""),"S4: Student Certifications")</f>
        <v>S4: Student Certifications</v>
      </c>
      <c r="N693" s="96" t="str">
        <f>IFERROR(__xludf.DUMMYFUNCTION("""COMPUTED_VALUE"""),"palavalasadeepak@gmail.com")</f>
        <v>palavalasadeepak@gmail.com</v>
      </c>
      <c r="O693" s="96" t="str">
        <f>IFERROR(__xludf.DUMMYFUNCTION("""COMPUTED_VALUE"""),"SEM-6")</f>
        <v>SEM-6</v>
      </c>
      <c r="P693" s="96"/>
      <c r="Q693" s="96"/>
      <c r="R693" s="96"/>
      <c r="S693" s="96"/>
      <c r="T693" s="96"/>
      <c r="U693" s="96"/>
      <c r="V693" s="96"/>
      <c r="W693" s="96"/>
      <c r="X693" s="96"/>
      <c r="Y693" s="96"/>
    </row>
    <row r="694" ht="26.25" customHeight="1">
      <c r="A694" s="74" t="str">
        <f>IFERROR(__xludf.DUMMYFUNCTION("""COMPUTED_VALUE"""),"Sravani Sreepada")</f>
        <v>Sravani Sreepada</v>
      </c>
      <c r="B694" s="74" t="str">
        <f>IFERROR(__xludf.DUMMYFUNCTION("""COMPUTED_VALUE"""),"19331A05G1")</f>
        <v>19331A05G1</v>
      </c>
      <c r="C694" s="90" t="str">
        <f>IFERROR(__xludf.DUMMYFUNCTION("""COMPUTED_VALUE"""),"PCAP: Programming Essentials in Python")</f>
        <v>PCAP: Programming Essentials in Python</v>
      </c>
      <c r="D694" s="74" t="str">
        <f>IFERROR(__xludf.DUMMYFUNCTION("""COMPUTED_VALUE"""),"Cisco")</f>
        <v>Cisco</v>
      </c>
      <c r="E694" s="74" t="str">
        <f>IFERROR(__xludf.DUMMYFUNCTION("""COMPUTED_VALUE"""),"13 weeks")</f>
        <v>13 weeks</v>
      </c>
      <c r="F694" s="91">
        <f>IFERROR(__xludf.DUMMYFUNCTION("""COMPUTED_VALUE"""),44200.0)</f>
        <v>44200</v>
      </c>
      <c r="G694" s="91">
        <f>IFERROR(__xludf.DUMMYFUNCTION("""COMPUTED_VALUE"""),44297.0)</f>
        <v>44297</v>
      </c>
      <c r="H694" s="79">
        <f>IFERROR(__xludf.DUMMYFUNCTION("""COMPUTED_VALUE"""),44297.0)</f>
        <v>44297</v>
      </c>
      <c r="I694" s="92"/>
      <c r="J694" s="74" t="str">
        <f>IFERROR(__xludf.DUMMYFUNCTION("""COMPUTED_VALUE"""),"M Beulah Rani")</f>
        <v>M Beulah Rani</v>
      </c>
      <c r="K694" s="80" t="str">
        <f>IFERROR(__xludf.DUMMYFUNCTION("""COMPUTED_VALUE"""),"https://drive.google.com/open?id=1Zp2HMq8bIGDApT9GqXplHWPkQRD_ai2e")</f>
        <v>https://drive.google.com/open?id=1Zp2HMq8bIGDApT9GqXplHWPkQRD_ai2e</v>
      </c>
      <c r="L694" s="74" t="str">
        <f>IFERROR(__xludf.DUMMYFUNCTION("""COMPUTED_VALUE"""),"2019-2023")</f>
        <v>2019-2023</v>
      </c>
      <c r="M694" s="74" t="str">
        <f>IFERROR(__xludf.DUMMYFUNCTION("""COMPUTED_VALUE"""),"S4: Student Certifications")</f>
        <v>S4: Student Certifications</v>
      </c>
      <c r="N694" s="74" t="str">
        <f>IFERROR(__xludf.DUMMYFUNCTION("""COMPUTED_VALUE"""),"sreepadasravani@gmail.com")</f>
        <v>sreepadasravani@gmail.com</v>
      </c>
      <c r="O694" s="74" t="str">
        <f>IFERROR(__xludf.DUMMYFUNCTION("""COMPUTED_VALUE"""),"SEM-6")</f>
        <v>SEM-6</v>
      </c>
      <c r="P694" s="74"/>
      <c r="Q694" s="74"/>
      <c r="R694" s="74"/>
      <c r="S694" s="74"/>
      <c r="T694" s="74"/>
      <c r="U694" s="74"/>
      <c r="V694" s="74"/>
      <c r="W694" s="74"/>
      <c r="X694" s="74"/>
      <c r="Y694" s="74"/>
    </row>
    <row r="695" ht="26.25" customHeight="1">
      <c r="A695" s="96" t="str">
        <f>IFERROR(__xludf.DUMMYFUNCTION("""COMPUTED_VALUE"""),"NALLURI SAI KIRAN")</f>
        <v>NALLURI SAI KIRAN</v>
      </c>
      <c r="B695" s="96" t="str">
        <f>IFERROR(__xludf.DUMMYFUNCTION("""COMPUTED_VALUE"""),"19331A05B8")</f>
        <v>19331A05B8</v>
      </c>
      <c r="C695" s="97" t="str">
        <f>IFERROR(__xludf.DUMMYFUNCTION("""COMPUTED_VALUE"""),"JavaScript Essentials")</f>
        <v>JavaScript Essentials</v>
      </c>
      <c r="D695" s="96" t="str">
        <f>IFERROR(__xludf.DUMMYFUNCTION("""COMPUTED_VALUE"""),"Cisco")</f>
        <v>Cisco</v>
      </c>
      <c r="E695" s="96" t="str">
        <f>IFERROR(__xludf.DUMMYFUNCTION("""COMPUTED_VALUE"""),"1 month")</f>
        <v>1 month</v>
      </c>
      <c r="F695" s="98">
        <f>IFERROR(__xludf.DUMMYFUNCTION("""COMPUTED_VALUE"""),44632.0)</f>
        <v>44632</v>
      </c>
      <c r="G695" s="98">
        <f>IFERROR(__xludf.DUMMYFUNCTION("""COMPUTED_VALUE"""),44653.0)</f>
        <v>44653</v>
      </c>
      <c r="H695" s="99">
        <f>IFERROR(__xludf.DUMMYFUNCTION("""COMPUTED_VALUE"""),44653.0)</f>
        <v>44653</v>
      </c>
      <c r="I695" s="100">
        <f>IFERROR(__xludf.DUMMYFUNCTION("""COMPUTED_VALUE"""),88.0)</f>
        <v>88</v>
      </c>
      <c r="J695" s="96" t="str">
        <f>IFERROR(__xludf.DUMMYFUNCTION("""COMPUTED_VALUE"""),"K. V. SUBBARAJU")</f>
        <v>K. V. SUBBARAJU</v>
      </c>
      <c r="K695" s="101" t="str">
        <f>IFERROR(__xludf.DUMMYFUNCTION("""COMPUTED_VALUE"""),"https://drive.google.com/open?id=1QpybFFo78HT6QeWgqiPs78lp-G04Jpg2")</f>
        <v>https://drive.google.com/open?id=1QpybFFo78HT6QeWgqiPs78lp-G04Jpg2</v>
      </c>
      <c r="L695" s="96" t="str">
        <f>IFERROR(__xludf.DUMMYFUNCTION("""COMPUTED_VALUE"""),"2019-2023")</f>
        <v>2019-2023</v>
      </c>
      <c r="M695" s="96" t="str">
        <f>IFERROR(__xludf.DUMMYFUNCTION("""COMPUTED_VALUE"""),"S4: Student Certifications")</f>
        <v>S4: Student Certifications</v>
      </c>
      <c r="N695" s="96" t="str">
        <f>IFERROR(__xludf.DUMMYFUNCTION("""COMPUTED_VALUE"""),"nsaikiran2411@gmail.con")</f>
        <v>nsaikiran2411@gmail.con</v>
      </c>
      <c r="O695" s="96" t="str">
        <f>IFERROR(__xludf.DUMMYFUNCTION("""COMPUTED_VALUE"""),"SEM-6")</f>
        <v>SEM-6</v>
      </c>
      <c r="P695" s="96"/>
      <c r="Q695" s="96"/>
      <c r="R695" s="96"/>
      <c r="S695" s="96"/>
      <c r="T695" s="96"/>
      <c r="U695" s="96"/>
      <c r="V695" s="96"/>
      <c r="W695" s="96"/>
      <c r="X695" s="96"/>
      <c r="Y695" s="96"/>
    </row>
    <row r="696" ht="26.25" customHeight="1">
      <c r="A696" s="96" t="str">
        <f>IFERROR(__xludf.DUMMYFUNCTION("""COMPUTED_VALUE"""),"Kantubhukta Hemanth")</f>
        <v>Kantubhukta Hemanth</v>
      </c>
      <c r="B696" s="96" t="str">
        <f>IFERROR(__xludf.DUMMYFUNCTION("""COMPUTED_VALUE"""),"19331A0573")</f>
        <v>19331A0573</v>
      </c>
      <c r="C696" s="97" t="str">
        <f>IFERROR(__xludf.DUMMYFUNCTION("""COMPUTED_VALUE"""),"Programming Essentials in C")</f>
        <v>Programming Essentials in C</v>
      </c>
      <c r="D696" s="96" t="str">
        <f>IFERROR(__xludf.DUMMYFUNCTION("""COMPUTED_VALUE"""),"Cisco")</f>
        <v>Cisco</v>
      </c>
      <c r="E696" s="96" t="str">
        <f>IFERROR(__xludf.DUMMYFUNCTION("""COMPUTED_VALUE"""),"3 Months")</f>
        <v>3 Months</v>
      </c>
      <c r="F696" s="98">
        <f>IFERROR(__xludf.DUMMYFUNCTION("""COMPUTED_VALUE"""),43872.0)</f>
        <v>43872</v>
      </c>
      <c r="G696" s="98">
        <f>IFERROR(__xludf.DUMMYFUNCTION("""COMPUTED_VALUE"""),43962.0)</f>
        <v>43962</v>
      </c>
      <c r="H696" s="99">
        <f>IFERROR(__xludf.DUMMYFUNCTION("""COMPUTED_VALUE"""),43961.0)</f>
        <v>43961</v>
      </c>
      <c r="I696" s="100">
        <f>IFERROR(__xludf.DUMMYFUNCTION("""COMPUTED_VALUE"""),0.92)</f>
        <v>0.92</v>
      </c>
      <c r="J696" s="96" t="str">
        <f>IFERROR(__xludf.DUMMYFUNCTION("""COMPUTED_VALUE"""),"DR RAVI KIRAN VARMA PENMATSA")</f>
        <v>DR RAVI KIRAN VARMA PENMATSA</v>
      </c>
      <c r="K696" s="101" t="str">
        <f>IFERROR(__xludf.DUMMYFUNCTION("""COMPUTED_VALUE"""),"https://drive.google.com/open?id=1amEvwXImyH3bcaeu7GDy9uuAFT36TG3x")</f>
        <v>https://drive.google.com/open?id=1amEvwXImyH3bcaeu7GDy9uuAFT36TG3x</v>
      </c>
      <c r="L696" s="96" t="str">
        <f>IFERROR(__xludf.DUMMYFUNCTION("""COMPUTED_VALUE"""),"2019-2023")</f>
        <v>2019-2023</v>
      </c>
      <c r="M696" s="96" t="str">
        <f>IFERROR(__xludf.DUMMYFUNCTION("""COMPUTED_VALUE"""),"S4: Student Certifications")</f>
        <v>S4: Student Certifications</v>
      </c>
      <c r="N696" s="96" t="str">
        <f>IFERROR(__xludf.DUMMYFUNCTION("""COMPUTED_VALUE"""),"hemanthkantubhukta2232@gmail.com")</f>
        <v>hemanthkantubhukta2232@gmail.com</v>
      </c>
      <c r="O696" s="96" t="str">
        <f>IFERROR(__xludf.DUMMYFUNCTION("""COMPUTED_VALUE"""),"SEM-6")</f>
        <v>SEM-6</v>
      </c>
      <c r="P696" s="96"/>
      <c r="Q696" s="96"/>
      <c r="R696" s="96"/>
      <c r="S696" s="96"/>
      <c r="T696" s="96"/>
      <c r="U696" s="96"/>
      <c r="V696" s="96"/>
      <c r="W696" s="96"/>
      <c r="X696" s="96"/>
      <c r="Y696" s="96"/>
    </row>
    <row r="697" ht="26.25" customHeight="1">
      <c r="A697" s="96" t="str">
        <f>IFERROR(__xludf.DUMMYFUNCTION("""COMPUTED_VALUE"""),"PACHIGOLLA BALAJI")</f>
        <v>PACHIGOLLA BALAJI</v>
      </c>
      <c r="B697" s="96" t="str">
        <f>IFERROR(__xludf.DUMMYFUNCTION("""COMPUTED_VALUE"""),"19331A05C3")</f>
        <v>19331A05C3</v>
      </c>
      <c r="C697" s="97" t="str">
        <f>IFERROR(__xludf.DUMMYFUNCTION("""COMPUTED_VALUE"""),"CCNAV7:INTRODUCTION TO NETWORKS")</f>
        <v>CCNAV7:INTRODUCTION TO NETWORKS</v>
      </c>
      <c r="D697" s="96" t="str">
        <f>IFERROR(__xludf.DUMMYFUNCTION("""COMPUTED_VALUE"""),"CISCO NETWORKING ACADEMY")</f>
        <v>CISCO NETWORKING ACADEMY</v>
      </c>
      <c r="E697" s="96" t="str">
        <f>IFERROR(__xludf.DUMMYFUNCTION("""COMPUTED_VALUE"""),"2 MONTHS")</f>
        <v>2 MONTHS</v>
      </c>
      <c r="F697" s="98">
        <f>IFERROR(__xludf.DUMMYFUNCTION("""COMPUTED_VALUE"""),44587.0)</f>
        <v>44587</v>
      </c>
      <c r="G697" s="98">
        <f>IFERROR(__xludf.DUMMYFUNCTION("""COMPUTED_VALUE"""),44646.0)</f>
        <v>44646</v>
      </c>
      <c r="H697" s="99">
        <f>IFERROR(__xludf.DUMMYFUNCTION("""COMPUTED_VALUE"""),44645.0)</f>
        <v>44645</v>
      </c>
      <c r="I697" s="100">
        <f>IFERROR(__xludf.DUMMYFUNCTION("""COMPUTED_VALUE"""),85.0)</f>
        <v>85</v>
      </c>
      <c r="J697" s="96" t="str">
        <f>IFERROR(__xludf.DUMMYFUNCTION("""COMPUTED_VALUE"""),"DR.RAVI KIRAN VARMA PENMATSA")</f>
        <v>DR.RAVI KIRAN VARMA PENMATSA</v>
      </c>
      <c r="K697" s="101" t="str">
        <f>IFERROR(__xludf.DUMMYFUNCTION("""COMPUTED_VALUE"""),"https://drive.google.com/open?id=14cXk2wrx7VZZxUqQoSliellsUgypxFAg")</f>
        <v>https://drive.google.com/open?id=14cXk2wrx7VZZxUqQoSliellsUgypxFAg</v>
      </c>
      <c r="L697" s="96" t="str">
        <f>IFERROR(__xludf.DUMMYFUNCTION("""COMPUTED_VALUE"""),"2019-2023")</f>
        <v>2019-2023</v>
      </c>
      <c r="M697" s="96" t="str">
        <f>IFERROR(__xludf.DUMMYFUNCTION("""COMPUTED_VALUE"""),"S4: Student Certifications")</f>
        <v>S4: Student Certifications</v>
      </c>
      <c r="N697" s="96" t="str">
        <f>IFERROR(__xludf.DUMMYFUNCTION("""COMPUTED_VALUE"""),"balajipachigolla2430@gmail.com")</f>
        <v>balajipachigolla2430@gmail.com</v>
      </c>
      <c r="O697" s="96" t="str">
        <f>IFERROR(__xludf.DUMMYFUNCTION("""COMPUTED_VALUE"""),"SEM-6")</f>
        <v>SEM-6</v>
      </c>
      <c r="P697" s="96"/>
      <c r="Q697" s="96"/>
      <c r="R697" s="96"/>
      <c r="S697" s="96"/>
      <c r="T697" s="96"/>
      <c r="U697" s="96"/>
      <c r="V697" s="96"/>
      <c r="W697" s="96"/>
      <c r="X697" s="96"/>
      <c r="Y697" s="96"/>
    </row>
    <row r="698" ht="26.25" customHeight="1">
      <c r="A698" s="96" t="str">
        <f>IFERROR(__xludf.DUMMYFUNCTION("""COMPUTED_VALUE"""),"Jyothirmayi Manapuram ")</f>
        <v>Jyothirmayi Manapuram </v>
      </c>
      <c r="B698" s="96" t="str">
        <f>IFERROR(__xludf.DUMMYFUNCTION("""COMPUTED_VALUE"""),"20335A0507")</f>
        <v>20335A0507</v>
      </c>
      <c r="C698" s="97" t="str">
        <f>IFERROR(__xludf.DUMMYFUNCTION("""COMPUTED_VALUE"""),"Programming Essentials in Python")</f>
        <v>Programming Essentials in Python</v>
      </c>
      <c r="D698" s="96" t="str">
        <f>IFERROR(__xludf.DUMMYFUNCTION("""COMPUTED_VALUE"""),"CISCO")</f>
        <v>CISCO</v>
      </c>
      <c r="E698" s="96" t="str">
        <f>IFERROR(__xludf.DUMMYFUNCTION("""COMPUTED_VALUE"""),"3 months")</f>
        <v>3 months</v>
      </c>
      <c r="F698" s="98">
        <f>IFERROR(__xludf.DUMMYFUNCTION("""COMPUTED_VALUE"""),44231.0)</f>
        <v>44231</v>
      </c>
      <c r="G698" s="98">
        <f>IFERROR(__xludf.DUMMYFUNCTION("""COMPUTED_VALUE"""),44322.0)</f>
        <v>44322</v>
      </c>
      <c r="H698" s="99">
        <f>IFERROR(__xludf.DUMMYFUNCTION("""COMPUTED_VALUE"""),44322.0)</f>
        <v>44322</v>
      </c>
      <c r="I698" s="100">
        <f>IFERROR(__xludf.DUMMYFUNCTION("""COMPUTED_VALUE"""),92.0)</f>
        <v>92</v>
      </c>
      <c r="J698" s="96" t="str">
        <f>IFERROR(__xludf.DUMMYFUNCTION("""COMPUTED_VALUE"""),"Dr. Ravi Kiran Varma")</f>
        <v>Dr. Ravi Kiran Varma</v>
      </c>
      <c r="K698" s="101" t="str">
        <f>IFERROR(__xludf.DUMMYFUNCTION("""COMPUTED_VALUE"""),"https://drive.google.com/open?id=1HS1y5BFVEerGZ1yx3w_TpEWOE03wFjRM")</f>
        <v>https://drive.google.com/open?id=1HS1y5BFVEerGZ1yx3w_TpEWOE03wFjRM</v>
      </c>
      <c r="L698" s="96" t="str">
        <f>IFERROR(__xludf.DUMMYFUNCTION("""COMPUTED_VALUE"""),"2019-2023")</f>
        <v>2019-2023</v>
      </c>
      <c r="M698" s="96" t="str">
        <f>IFERROR(__xludf.DUMMYFUNCTION("""COMPUTED_VALUE"""),"S4: Student Certifications")</f>
        <v>S4: Student Certifications</v>
      </c>
      <c r="N698" s="96" t="str">
        <f>IFERROR(__xludf.DUMMYFUNCTION("""COMPUTED_VALUE"""),"jyothirmaimanapuram4@gmail.com")</f>
        <v>jyothirmaimanapuram4@gmail.com</v>
      </c>
      <c r="O698" s="96" t="str">
        <f>IFERROR(__xludf.DUMMYFUNCTION("""COMPUTED_VALUE"""),"SEM-6")</f>
        <v>SEM-6</v>
      </c>
      <c r="P698" s="96"/>
      <c r="Q698" s="96"/>
      <c r="R698" s="96"/>
      <c r="S698" s="96"/>
      <c r="T698" s="96"/>
      <c r="U698" s="96"/>
      <c r="V698" s="96"/>
      <c r="W698" s="96"/>
      <c r="X698" s="96"/>
      <c r="Y698" s="96"/>
    </row>
    <row r="699" ht="26.25" customHeight="1">
      <c r="A699" s="96" t="str">
        <f>IFERROR(__xludf.DUMMYFUNCTION("""COMPUTED_VALUE"""),"KAKARLA BHARATH RAMA CHANDRA ")</f>
        <v>KAKARLA BHARATH RAMA CHANDRA </v>
      </c>
      <c r="B699" s="96" t="str">
        <f>IFERROR(__xludf.DUMMYFUNCTION("""COMPUTED_VALUE"""),"19331A0567")</f>
        <v>19331A0567</v>
      </c>
      <c r="C699" s="97" t="str">
        <f>IFERROR(__xludf.DUMMYFUNCTION("""COMPUTED_VALUE"""),"Programming essentials in C")</f>
        <v>Programming essentials in C</v>
      </c>
      <c r="D699" s="96" t="str">
        <f>IFERROR(__xludf.DUMMYFUNCTION("""COMPUTED_VALUE"""),"Cisco")</f>
        <v>Cisco</v>
      </c>
      <c r="E699" s="96" t="str">
        <f>IFERROR(__xludf.DUMMYFUNCTION("""COMPUTED_VALUE"""),"5 months")</f>
        <v>5 months</v>
      </c>
      <c r="F699" s="98">
        <f>IFERROR(__xludf.DUMMYFUNCTION("""COMPUTED_VALUE"""),43888.0)</f>
        <v>43888</v>
      </c>
      <c r="G699" s="98">
        <f>IFERROR(__xludf.DUMMYFUNCTION("""COMPUTED_VALUE"""),44043.0)</f>
        <v>44043</v>
      </c>
      <c r="H699" s="99">
        <f>IFERROR(__xludf.DUMMYFUNCTION("""COMPUTED_VALUE"""),44043.0)</f>
        <v>44043</v>
      </c>
      <c r="I699" s="100">
        <f>IFERROR(__xludf.DUMMYFUNCTION("""COMPUTED_VALUE"""),85.0)</f>
        <v>85</v>
      </c>
      <c r="J699" s="96" t="str">
        <f>IFERROR(__xludf.DUMMYFUNCTION("""COMPUTED_VALUE"""),"DR.RAVI KIRAN VARMA PENMATSA")</f>
        <v>DR.RAVI KIRAN VARMA PENMATSA</v>
      </c>
      <c r="K699" s="101" t="str">
        <f>IFERROR(__xludf.DUMMYFUNCTION("""COMPUTED_VALUE"""),"https://drive.google.com/open?id=1nCwzAb98z7Kzk3o9Foobbn8f7AbMw1x7")</f>
        <v>https://drive.google.com/open?id=1nCwzAb98z7Kzk3o9Foobbn8f7AbMw1x7</v>
      </c>
      <c r="L699" s="96" t="str">
        <f>IFERROR(__xludf.DUMMYFUNCTION("""COMPUTED_VALUE"""),"2019-2023")</f>
        <v>2019-2023</v>
      </c>
      <c r="M699" s="96" t="str">
        <f>IFERROR(__xludf.DUMMYFUNCTION("""COMPUTED_VALUE"""),"S4: Student Certifications")</f>
        <v>S4: Student Certifications</v>
      </c>
      <c r="N699" s="96" t="str">
        <f>IFERROR(__xludf.DUMMYFUNCTION("""COMPUTED_VALUE"""),"bharath007ram@gmail.com")</f>
        <v>bharath007ram@gmail.com</v>
      </c>
      <c r="O699" s="96" t="str">
        <f>IFERROR(__xludf.DUMMYFUNCTION("""COMPUTED_VALUE"""),"SEM-6")</f>
        <v>SEM-6</v>
      </c>
      <c r="P699" s="96"/>
      <c r="Q699" s="96"/>
      <c r="R699" s="96"/>
      <c r="S699" s="96"/>
      <c r="T699" s="96"/>
      <c r="U699" s="96"/>
      <c r="V699" s="96"/>
      <c r="W699" s="96"/>
      <c r="X699" s="96"/>
      <c r="Y699" s="96"/>
    </row>
    <row r="700" ht="26.25" customHeight="1">
      <c r="A700" s="74" t="str">
        <f>IFERROR(__xludf.DUMMYFUNCTION("""COMPUTED_VALUE"""),"KARRI SUBBARAO VINEETH")</f>
        <v>KARRI SUBBARAO VINEETH</v>
      </c>
      <c r="B700" s="74" t="str">
        <f>IFERROR(__xludf.DUMMYFUNCTION("""COMPUTED_VALUE"""),"19331A0575")</f>
        <v>19331A0575</v>
      </c>
      <c r="C700" s="90" t="str">
        <f>IFERROR(__xludf.DUMMYFUNCTION("""COMPUTED_VALUE"""),"IT ESSENTIALS ")</f>
        <v>IT ESSENTIALS </v>
      </c>
      <c r="D700" s="74" t="str">
        <f>IFERROR(__xludf.DUMMYFUNCTION("""COMPUTED_VALUE"""),"CISCO NETACAD")</f>
        <v>CISCO NETACAD</v>
      </c>
      <c r="E700" s="74" t="str">
        <f>IFERROR(__xludf.DUMMYFUNCTION("""COMPUTED_VALUE"""),"3 months")</f>
        <v>3 months</v>
      </c>
      <c r="F700" s="91">
        <f>IFERROR(__xludf.DUMMYFUNCTION("""COMPUTED_VALUE"""),44075.0)</f>
        <v>44075</v>
      </c>
      <c r="G700" s="91">
        <f>IFERROR(__xludf.DUMMYFUNCTION("""COMPUTED_VALUE"""),44136.0)</f>
        <v>44136</v>
      </c>
      <c r="H700" s="79">
        <f>IFERROR(__xludf.DUMMYFUNCTION("""COMPUTED_VALUE"""),44136.0)</f>
        <v>44136</v>
      </c>
      <c r="I700" s="92">
        <f>IFERROR(__xludf.DUMMYFUNCTION("""COMPUTED_VALUE"""),0.91)</f>
        <v>0.91</v>
      </c>
      <c r="J700" s="74" t="str">
        <f>IFERROR(__xludf.DUMMYFUNCTION("""COMPUTED_VALUE"""),"Dr. Suvarna Kumar Gogula")</f>
        <v>Dr. Suvarna Kumar Gogula</v>
      </c>
      <c r="K700" s="80" t="str">
        <f>IFERROR(__xludf.DUMMYFUNCTION("""COMPUTED_VALUE"""),"https://drive.google.com/open?id=1rBFlVnV19_h3ThvEP5DSWAuzZ5Bli_Ij")</f>
        <v>https://drive.google.com/open?id=1rBFlVnV19_h3ThvEP5DSWAuzZ5Bli_Ij</v>
      </c>
      <c r="L700" s="74" t="str">
        <f>IFERROR(__xludf.DUMMYFUNCTION("""COMPUTED_VALUE"""),"2019-2023")</f>
        <v>2019-2023</v>
      </c>
      <c r="M700" s="74" t="str">
        <f>IFERROR(__xludf.DUMMYFUNCTION("""COMPUTED_VALUE"""),"S4: Student Certifications")</f>
        <v>S4: Student Certifications</v>
      </c>
      <c r="N700" s="74" t="str">
        <f>IFERROR(__xludf.DUMMYFUNCTION("""COMPUTED_VALUE"""),"karri.vineeth24@gmail.com")</f>
        <v>karri.vineeth24@gmail.com</v>
      </c>
      <c r="O700" s="74" t="str">
        <f>IFERROR(__xludf.DUMMYFUNCTION("""COMPUTED_VALUE"""),"SEM-6")</f>
        <v>SEM-6</v>
      </c>
      <c r="P700" s="74"/>
      <c r="Q700" s="74"/>
      <c r="R700" s="74"/>
      <c r="S700" s="74"/>
      <c r="T700" s="74"/>
      <c r="U700" s="74"/>
      <c r="V700" s="74"/>
      <c r="W700" s="74"/>
      <c r="X700" s="74"/>
      <c r="Y700" s="74"/>
    </row>
    <row r="701" ht="26.25" customHeight="1">
      <c r="A701" s="96" t="str">
        <f>IFERROR(__xludf.DUMMYFUNCTION("""COMPUTED_VALUE"""),"Neelam Pavani Lakshmi")</f>
        <v>Neelam Pavani Lakshmi</v>
      </c>
      <c r="B701" s="96" t="str">
        <f>IFERROR(__xludf.DUMMYFUNCTION("""COMPUTED_VALUE"""),"19331A05C1")</f>
        <v>19331A05C1</v>
      </c>
      <c r="C701" s="97" t="str">
        <f>IFERROR(__xludf.DUMMYFUNCTION("""COMPUTED_VALUE"""),"IT Essentials")</f>
        <v>IT Essentials</v>
      </c>
      <c r="D701" s="96" t="str">
        <f>IFERROR(__xludf.DUMMYFUNCTION("""COMPUTED_VALUE"""),"Cisco Networking Academy")</f>
        <v>Cisco Networking Academy</v>
      </c>
      <c r="E701" s="96" t="str">
        <f>IFERROR(__xludf.DUMMYFUNCTION("""COMPUTED_VALUE"""),"2 months")</f>
        <v>2 months</v>
      </c>
      <c r="F701" s="98">
        <f>IFERROR(__xludf.DUMMYFUNCTION("""COMPUTED_VALUE"""),43973.0)</f>
        <v>43973</v>
      </c>
      <c r="G701" s="98">
        <f>IFERROR(__xludf.DUMMYFUNCTION("""COMPUTED_VALUE"""),44023.0)</f>
        <v>44023</v>
      </c>
      <c r="H701" s="99">
        <f>IFERROR(__xludf.DUMMYFUNCTION("""COMPUTED_VALUE"""),44023.0)</f>
        <v>44023</v>
      </c>
      <c r="I701" s="100">
        <f>IFERROR(__xludf.DUMMYFUNCTION("""COMPUTED_VALUE"""),0.95)</f>
        <v>0.95</v>
      </c>
      <c r="J701" s="96" t="str">
        <f>IFERROR(__xludf.DUMMYFUNCTION("""COMPUTED_VALUE"""),"Laura Quintana")</f>
        <v>Laura Quintana</v>
      </c>
      <c r="K701" s="101" t="str">
        <f>IFERROR(__xludf.DUMMYFUNCTION("""COMPUTED_VALUE"""),"https://drive.google.com/open?id=1akJxeBXukOdkHc5cR4TFmeOLRDmj_MUa")</f>
        <v>https://drive.google.com/open?id=1akJxeBXukOdkHc5cR4TFmeOLRDmj_MUa</v>
      </c>
      <c r="L701" s="96" t="str">
        <f>IFERROR(__xludf.DUMMYFUNCTION("""COMPUTED_VALUE"""),"2019-2023")</f>
        <v>2019-2023</v>
      </c>
      <c r="M701" s="96" t="str">
        <f>IFERROR(__xludf.DUMMYFUNCTION("""COMPUTED_VALUE"""),"S4: Student Certifications")</f>
        <v>S4: Student Certifications</v>
      </c>
      <c r="N701" s="96" t="str">
        <f>IFERROR(__xludf.DUMMYFUNCTION("""COMPUTED_VALUE"""),"npavanilaxmi@gmail.com")</f>
        <v>npavanilaxmi@gmail.com</v>
      </c>
      <c r="O701" s="96" t="str">
        <f>IFERROR(__xludf.DUMMYFUNCTION("""COMPUTED_VALUE"""),"SEM-6")</f>
        <v>SEM-6</v>
      </c>
      <c r="P701" s="96"/>
      <c r="Q701" s="96"/>
      <c r="R701" s="96"/>
      <c r="S701" s="96"/>
      <c r="T701" s="96"/>
      <c r="U701" s="96"/>
      <c r="V701" s="96"/>
      <c r="W701" s="96"/>
      <c r="X701" s="96"/>
      <c r="Y701" s="96"/>
    </row>
    <row r="702" ht="26.25" customHeight="1">
      <c r="A702" s="96" t="str">
        <f>IFERROR(__xludf.DUMMYFUNCTION("""COMPUTED_VALUE"""),"Kantubhukta Hemanth")</f>
        <v>Kantubhukta Hemanth</v>
      </c>
      <c r="B702" s="96" t="str">
        <f>IFERROR(__xludf.DUMMYFUNCTION("""COMPUTED_VALUE"""),"19331A0573")</f>
        <v>19331A0573</v>
      </c>
      <c r="C702" s="97" t="str">
        <f>IFERROR(__xludf.DUMMYFUNCTION("""COMPUTED_VALUE"""),"CCNA - Introduction to Networks")</f>
        <v>CCNA - Introduction to Networks</v>
      </c>
      <c r="D702" s="96" t="str">
        <f>IFERROR(__xludf.DUMMYFUNCTION("""COMPUTED_VALUE"""),"Cisco")</f>
        <v>Cisco</v>
      </c>
      <c r="E702" s="96" t="str">
        <f>IFERROR(__xludf.DUMMYFUNCTION("""COMPUTED_VALUE"""),"3 Months")</f>
        <v>3 Months</v>
      </c>
      <c r="F702" s="98">
        <f>IFERROR(__xludf.DUMMYFUNCTION("""COMPUTED_VALUE"""),44560.0)</f>
        <v>44560</v>
      </c>
      <c r="G702" s="98">
        <f>IFERROR(__xludf.DUMMYFUNCTION("""COMPUTED_VALUE"""),44650.0)</f>
        <v>44650</v>
      </c>
      <c r="H702" s="99">
        <f>IFERROR(__xludf.DUMMYFUNCTION("""COMPUTED_VALUE"""),44649.0)</f>
        <v>44649</v>
      </c>
      <c r="I702" s="100">
        <f>IFERROR(__xludf.DUMMYFUNCTION("""COMPUTED_VALUE"""),0.89)</f>
        <v>0.89</v>
      </c>
      <c r="J702" s="96" t="str">
        <f>IFERROR(__xludf.DUMMYFUNCTION("""COMPUTED_VALUE"""),"Subba Raju K V")</f>
        <v>Subba Raju K V</v>
      </c>
      <c r="K702" s="101" t="str">
        <f>IFERROR(__xludf.DUMMYFUNCTION("""COMPUTED_VALUE"""),"https://drive.google.com/open?id=1hlH26mkVkBDFkFrD0mdnoPFP7bJ0is_4")</f>
        <v>https://drive.google.com/open?id=1hlH26mkVkBDFkFrD0mdnoPFP7bJ0is_4</v>
      </c>
      <c r="L702" s="96" t="str">
        <f>IFERROR(__xludf.DUMMYFUNCTION("""COMPUTED_VALUE"""),"2019-2023")</f>
        <v>2019-2023</v>
      </c>
      <c r="M702" s="96" t="str">
        <f>IFERROR(__xludf.DUMMYFUNCTION("""COMPUTED_VALUE"""),"S4: Student Certifications")</f>
        <v>S4: Student Certifications</v>
      </c>
      <c r="N702" s="96" t="str">
        <f>IFERROR(__xludf.DUMMYFUNCTION("""COMPUTED_VALUE"""),"hemanthkantubhukta2232@gmail.com")</f>
        <v>hemanthkantubhukta2232@gmail.com</v>
      </c>
      <c r="O702" s="96" t="str">
        <f>IFERROR(__xludf.DUMMYFUNCTION("""COMPUTED_VALUE"""),"SEM-6")</f>
        <v>SEM-6</v>
      </c>
      <c r="P702" s="96"/>
      <c r="Q702" s="96"/>
      <c r="R702" s="96"/>
      <c r="S702" s="96"/>
      <c r="T702" s="96"/>
      <c r="U702" s="96"/>
      <c r="V702" s="96"/>
      <c r="W702" s="96"/>
      <c r="X702" s="96"/>
      <c r="Y702" s="96"/>
    </row>
    <row r="703" ht="26.25" customHeight="1">
      <c r="A703" s="96" t="str">
        <f>IFERROR(__xludf.DUMMYFUNCTION("""COMPUTED_VALUE"""),"YUVA KISHORE KOLLI")</f>
        <v>YUVA KISHORE KOLLI</v>
      </c>
      <c r="B703" s="96" t="str">
        <f>IFERROR(__xludf.DUMMYFUNCTION("""COMPUTED_VALUE"""),"19331A0581")</f>
        <v>19331A0581</v>
      </c>
      <c r="C703" s="97" t="str">
        <f>IFERROR(__xludf.DUMMYFUNCTION("""COMPUTED_VALUE"""),"IT Essentials")</f>
        <v>IT Essentials</v>
      </c>
      <c r="D703" s="96" t="str">
        <f>IFERROR(__xludf.DUMMYFUNCTION("""COMPUTED_VALUE"""),"Cisco Networking Academy")</f>
        <v>Cisco Networking Academy</v>
      </c>
      <c r="E703" s="96" t="str">
        <f>IFERROR(__xludf.DUMMYFUNCTION("""COMPUTED_VALUE"""),"2 MONTHS")</f>
        <v>2 MONTHS</v>
      </c>
      <c r="F703" s="98">
        <f>IFERROR(__xludf.DUMMYFUNCTION("""COMPUTED_VALUE"""),44075.0)</f>
        <v>44075</v>
      </c>
      <c r="G703" s="98">
        <f>IFERROR(__xludf.DUMMYFUNCTION("""COMPUTED_VALUE"""),44136.0)</f>
        <v>44136</v>
      </c>
      <c r="H703" s="99">
        <f>IFERROR(__xludf.DUMMYFUNCTION("""COMPUTED_VALUE"""),44136.0)</f>
        <v>44136</v>
      </c>
      <c r="I703" s="100">
        <f>IFERROR(__xludf.DUMMYFUNCTION("""COMPUTED_VALUE"""),85.0)</f>
        <v>85</v>
      </c>
      <c r="J703" s="96" t="str">
        <f>IFERROR(__xludf.DUMMYFUNCTION("""COMPUTED_VALUE"""),"Dr. Suvarna Kumar Gogula")</f>
        <v>Dr. Suvarna Kumar Gogula</v>
      </c>
      <c r="K703" s="101" t="str">
        <f>IFERROR(__xludf.DUMMYFUNCTION("""COMPUTED_VALUE"""),"https://drive.google.com/open?id=1LEH77-nKZJTi4PBW_o0jYDoIyGF8H53S")</f>
        <v>https://drive.google.com/open?id=1LEH77-nKZJTi4PBW_o0jYDoIyGF8H53S</v>
      </c>
      <c r="L703" s="96" t="str">
        <f>IFERROR(__xludf.DUMMYFUNCTION("""COMPUTED_VALUE"""),"2019-2023")</f>
        <v>2019-2023</v>
      </c>
      <c r="M703" s="96" t="str">
        <f>IFERROR(__xludf.DUMMYFUNCTION("""COMPUTED_VALUE"""),"S4: Student Certifications")</f>
        <v>S4: Student Certifications</v>
      </c>
      <c r="N703" s="96" t="str">
        <f>IFERROR(__xludf.DUMMYFUNCTION("""COMPUTED_VALUE"""),"yuvakishorekolli@gmail.com")</f>
        <v>yuvakishorekolli@gmail.com</v>
      </c>
      <c r="O703" s="96" t="str">
        <f>IFERROR(__xludf.DUMMYFUNCTION("""COMPUTED_VALUE"""),"SEM-6")</f>
        <v>SEM-6</v>
      </c>
      <c r="P703" s="96"/>
      <c r="Q703" s="96"/>
      <c r="R703" s="96"/>
      <c r="S703" s="96"/>
      <c r="T703" s="96"/>
      <c r="U703" s="96"/>
      <c r="V703" s="96"/>
      <c r="W703" s="96"/>
      <c r="X703" s="96"/>
      <c r="Y703" s="96"/>
    </row>
    <row r="704" ht="26.25" customHeight="1">
      <c r="A704" s="96" t="str">
        <f>IFERROR(__xludf.DUMMYFUNCTION("""COMPUTED_VALUE"""),"Jyothirmayi Manapuram")</f>
        <v>Jyothirmayi Manapuram</v>
      </c>
      <c r="B704" s="96" t="str">
        <f>IFERROR(__xludf.DUMMYFUNCTION("""COMPUTED_VALUE"""),"20335A0507")</f>
        <v>20335A0507</v>
      </c>
      <c r="C704" s="97" t="str">
        <f>IFERROR(__xludf.DUMMYFUNCTION("""COMPUTED_VALUE"""),"JavaScript Essentials 1")</f>
        <v>JavaScript Essentials 1</v>
      </c>
      <c r="D704" s="96" t="str">
        <f>IFERROR(__xludf.DUMMYFUNCTION("""COMPUTED_VALUE"""),"CISCO")</f>
        <v>CISCO</v>
      </c>
      <c r="E704" s="96" t="str">
        <f>IFERROR(__xludf.DUMMYFUNCTION("""COMPUTED_VALUE"""),"3 months")</f>
        <v>3 months</v>
      </c>
      <c r="F704" s="98">
        <f>IFERROR(__xludf.DUMMYFUNCTION("""COMPUTED_VALUE"""),44574.0)</f>
        <v>44574</v>
      </c>
      <c r="G704" s="98">
        <f>IFERROR(__xludf.DUMMYFUNCTION("""COMPUTED_VALUE"""),44668.0)</f>
        <v>44668</v>
      </c>
      <c r="H704" s="99">
        <f>IFERROR(__xludf.DUMMYFUNCTION("""COMPUTED_VALUE"""),44668.0)</f>
        <v>44668</v>
      </c>
      <c r="I704" s="100">
        <f>IFERROR(__xludf.DUMMYFUNCTION("""COMPUTED_VALUE"""),95.0)</f>
        <v>95</v>
      </c>
      <c r="J704" s="96" t="str">
        <f>IFERROR(__xludf.DUMMYFUNCTION("""COMPUTED_VALUE"""),"K V Subba Raju ")</f>
        <v>K V Subba Raju </v>
      </c>
      <c r="K704" s="101" t="str">
        <f>IFERROR(__xludf.DUMMYFUNCTION("""COMPUTED_VALUE"""),"https://drive.google.com/open?id=1oHrNHV5gNJLeZA9ppSQE99B_0eJNovnj")</f>
        <v>https://drive.google.com/open?id=1oHrNHV5gNJLeZA9ppSQE99B_0eJNovnj</v>
      </c>
      <c r="L704" s="96" t="str">
        <f>IFERROR(__xludf.DUMMYFUNCTION("""COMPUTED_VALUE"""),"2019-2023")</f>
        <v>2019-2023</v>
      </c>
      <c r="M704" s="96" t="str">
        <f>IFERROR(__xludf.DUMMYFUNCTION("""COMPUTED_VALUE"""),"S4: Student Certifications")</f>
        <v>S4: Student Certifications</v>
      </c>
      <c r="N704" s="96" t="str">
        <f>IFERROR(__xludf.DUMMYFUNCTION("""COMPUTED_VALUE"""),"jyothirmaimanapuram4@gmail.com")</f>
        <v>jyothirmaimanapuram4@gmail.com</v>
      </c>
      <c r="O704" s="96" t="str">
        <f>IFERROR(__xludf.DUMMYFUNCTION("""COMPUTED_VALUE"""),"SEM-6")</f>
        <v>SEM-6</v>
      </c>
      <c r="P704" s="96"/>
      <c r="Q704" s="96"/>
      <c r="R704" s="96"/>
      <c r="S704" s="96"/>
      <c r="T704" s="96"/>
      <c r="U704" s="96"/>
      <c r="V704" s="96"/>
      <c r="W704" s="96"/>
      <c r="X704" s="96"/>
      <c r="Y704" s="96"/>
    </row>
    <row r="705" ht="26.25" customHeight="1">
      <c r="A705" s="74" t="str">
        <f>IFERROR(__xludf.DUMMYFUNCTION("""COMPUTED_VALUE"""),"KARRI SUBBARAO VINEETH")</f>
        <v>KARRI SUBBARAO VINEETH</v>
      </c>
      <c r="B705" s="74" t="str">
        <f>IFERROR(__xludf.DUMMYFUNCTION("""COMPUTED_VALUE"""),"19331A0575")</f>
        <v>19331A0575</v>
      </c>
      <c r="C705" s="90" t="str">
        <f>IFERROR(__xludf.DUMMYFUNCTION("""COMPUTED_VALUE"""),"CLA: PROGRAMMING ESSEANTIALS IN C")</f>
        <v>CLA: PROGRAMMING ESSEANTIALS IN C</v>
      </c>
      <c r="D705" s="74" t="str">
        <f>IFERROR(__xludf.DUMMYFUNCTION("""COMPUTED_VALUE"""),"CISCO NETACAD")</f>
        <v>CISCO NETACAD</v>
      </c>
      <c r="E705" s="74" t="str">
        <f>IFERROR(__xludf.DUMMYFUNCTION("""COMPUTED_VALUE"""),"3 months")</f>
        <v>3 months</v>
      </c>
      <c r="F705" s="91">
        <f>IFERROR(__xludf.DUMMYFUNCTION("""COMPUTED_VALUE"""),43922.0)</f>
        <v>43922</v>
      </c>
      <c r="G705" s="91">
        <f>IFERROR(__xludf.DUMMYFUNCTION("""COMPUTED_VALUE"""),44016.0)</f>
        <v>44016</v>
      </c>
      <c r="H705" s="79">
        <f>IFERROR(__xludf.DUMMYFUNCTION("""COMPUTED_VALUE"""),44016.0)</f>
        <v>44016</v>
      </c>
      <c r="I705" s="92">
        <f>IFERROR(__xludf.DUMMYFUNCTION("""COMPUTED_VALUE"""),0.9)</f>
        <v>0.9</v>
      </c>
      <c r="J705" s="74" t="str">
        <f>IFERROR(__xludf.DUMMYFUNCTION("""COMPUTED_VALUE"""),"Dr. Ravi Kiran Varma Penmatsa")</f>
        <v>Dr. Ravi Kiran Varma Penmatsa</v>
      </c>
      <c r="K705" s="80" t="str">
        <f>IFERROR(__xludf.DUMMYFUNCTION("""COMPUTED_VALUE"""),"https://drive.google.com/open?id=1EAGo3cBpw2keFupRs8BKPHMGfatEfJUj")</f>
        <v>https://drive.google.com/open?id=1EAGo3cBpw2keFupRs8BKPHMGfatEfJUj</v>
      </c>
      <c r="L705" s="74" t="str">
        <f>IFERROR(__xludf.DUMMYFUNCTION("""COMPUTED_VALUE"""),"2019-2023")</f>
        <v>2019-2023</v>
      </c>
      <c r="M705" s="74" t="str">
        <f>IFERROR(__xludf.DUMMYFUNCTION("""COMPUTED_VALUE"""),"S4: Student Certifications")</f>
        <v>S4: Student Certifications</v>
      </c>
      <c r="N705" s="74" t="str">
        <f>IFERROR(__xludf.DUMMYFUNCTION("""COMPUTED_VALUE"""),"karri.vinewth24@gmail.com")</f>
        <v>karri.vinewth24@gmail.com</v>
      </c>
      <c r="O705" s="74" t="str">
        <f>IFERROR(__xludf.DUMMYFUNCTION("""COMPUTED_VALUE"""),"SEM-6")</f>
        <v>SEM-6</v>
      </c>
      <c r="P705" s="74"/>
      <c r="Q705" s="74"/>
      <c r="R705" s="74"/>
      <c r="S705" s="74"/>
      <c r="T705" s="74"/>
      <c r="U705" s="74"/>
      <c r="V705" s="74"/>
      <c r="W705" s="74"/>
      <c r="X705" s="74"/>
      <c r="Y705" s="74"/>
    </row>
    <row r="706" ht="26.25" customHeight="1">
      <c r="A706" s="96" t="str">
        <f>IFERROR(__xludf.DUMMYFUNCTION("""COMPUTED_VALUE"""),"PACHIGOLLA BALAJI")</f>
        <v>PACHIGOLLA BALAJI</v>
      </c>
      <c r="B706" s="96" t="str">
        <f>IFERROR(__xludf.DUMMYFUNCTION("""COMPUTED_VALUE"""),"19331A05C3")</f>
        <v>19331A05C3</v>
      </c>
      <c r="C706" s="97" t="str">
        <f>IFERROR(__xludf.DUMMYFUNCTION("""COMPUTED_VALUE"""),"CLA:PROGRAMMING IN ESSENTIALS IN C")</f>
        <v>CLA:PROGRAMMING IN ESSENTIALS IN C</v>
      </c>
      <c r="D706" s="96" t="str">
        <f>IFERROR(__xludf.DUMMYFUNCTION("""COMPUTED_VALUE"""),"CISCO NETWORKING ACADEMY")</f>
        <v>CISCO NETWORKING ACADEMY</v>
      </c>
      <c r="E706" s="96" t="str">
        <f>IFERROR(__xludf.DUMMYFUNCTION("""COMPUTED_VALUE"""),"2 MONTHS")</f>
        <v>2 MONTHS</v>
      </c>
      <c r="F706" s="98">
        <f>IFERROR(__xludf.DUMMYFUNCTION("""COMPUTED_VALUE"""),43966.0)</f>
        <v>43966</v>
      </c>
      <c r="G706" s="98">
        <f>IFERROR(__xludf.DUMMYFUNCTION("""COMPUTED_VALUE"""),43906.0)</f>
        <v>43906</v>
      </c>
      <c r="H706" s="99">
        <f>IFERROR(__xludf.DUMMYFUNCTION("""COMPUTED_VALUE"""),43965.0)</f>
        <v>43965</v>
      </c>
      <c r="I706" s="100">
        <f>IFERROR(__xludf.DUMMYFUNCTION("""COMPUTED_VALUE"""),85.0)</f>
        <v>85</v>
      </c>
      <c r="J706" s="96" t="str">
        <f>IFERROR(__xludf.DUMMYFUNCTION("""COMPUTED_VALUE"""),"DR.RAVI KIRAN VARMA PENMATSA")</f>
        <v>DR.RAVI KIRAN VARMA PENMATSA</v>
      </c>
      <c r="K706" s="101" t="str">
        <f>IFERROR(__xludf.DUMMYFUNCTION("""COMPUTED_VALUE"""),"https://drive.google.com/open?id=1zMNPgg9j84z6uRdbIPFw0qSUbVrxEsbO")</f>
        <v>https://drive.google.com/open?id=1zMNPgg9j84z6uRdbIPFw0qSUbVrxEsbO</v>
      </c>
      <c r="L706" s="96" t="str">
        <f>IFERROR(__xludf.DUMMYFUNCTION("""COMPUTED_VALUE"""),"2019-2023")</f>
        <v>2019-2023</v>
      </c>
      <c r="M706" s="96" t="str">
        <f>IFERROR(__xludf.DUMMYFUNCTION("""COMPUTED_VALUE"""),"S4: Student Certifications")</f>
        <v>S4: Student Certifications</v>
      </c>
      <c r="N706" s="96" t="str">
        <f>IFERROR(__xludf.DUMMYFUNCTION("""COMPUTED_VALUE"""),"balajipachigolla2430@gmail.com")</f>
        <v>balajipachigolla2430@gmail.com</v>
      </c>
      <c r="O706" s="96" t="str">
        <f>IFERROR(__xludf.DUMMYFUNCTION("""COMPUTED_VALUE"""),"SEM-6")</f>
        <v>SEM-6</v>
      </c>
      <c r="P706" s="96"/>
      <c r="Q706" s="96"/>
      <c r="R706" s="96"/>
      <c r="S706" s="96"/>
      <c r="T706" s="96"/>
      <c r="U706" s="96"/>
      <c r="V706" s="96"/>
      <c r="W706" s="96"/>
      <c r="X706" s="96"/>
      <c r="Y706" s="96"/>
    </row>
    <row r="707" ht="26.25" customHeight="1">
      <c r="A707" s="96" t="str">
        <f>IFERROR(__xludf.DUMMYFUNCTION("""COMPUTED_VALUE"""),"Nagaraboina Kirite")</f>
        <v>Nagaraboina Kirite</v>
      </c>
      <c r="B707" s="96" t="str">
        <f>IFERROR(__xludf.DUMMYFUNCTION("""COMPUTED_VALUE"""),"19331A05B3")</f>
        <v>19331A05B3</v>
      </c>
      <c r="C707" s="97" t="str">
        <f>IFERROR(__xludf.DUMMYFUNCTION("""COMPUTED_VALUE"""),"Program essentials in python")</f>
        <v>Program essentials in python</v>
      </c>
      <c r="D707" s="96" t="str">
        <f>IFERROR(__xludf.DUMMYFUNCTION("""COMPUTED_VALUE"""),"Cisco")</f>
        <v>Cisco</v>
      </c>
      <c r="E707" s="96" t="str">
        <f>IFERROR(__xludf.DUMMYFUNCTION("""COMPUTED_VALUE"""),"2months")</f>
        <v>2months</v>
      </c>
      <c r="F707" s="98">
        <f>IFERROR(__xludf.DUMMYFUNCTION("""COMPUTED_VALUE"""),44204.0)</f>
        <v>44204</v>
      </c>
      <c r="G707" s="98">
        <f>IFERROR(__xludf.DUMMYFUNCTION("""COMPUTED_VALUE"""),44263.0)</f>
        <v>44263</v>
      </c>
      <c r="H707" s="99">
        <f>IFERROR(__xludf.DUMMYFUNCTION("""COMPUTED_VALUE"""),44263.0)</f>
        <v>44263</v>
      </c>
      <c r="I707" s="100">
        <f>IFERROR(__xludf.DUMMYFUNCTION("""COMPUTED_VALUE"""),80.0)</f>
        <v>80</v>
      </c>
      <c r="J707" s="96" t="str">
        <f>IFERROR(__xludf.DUMMYFUNCTION("""COMPUTED_VALUE"""),"Dr.RAVI KIRAN VARMA PENMATSA")</f>
        <v>Dr.RAVI KIRAN VARMA PENMATSA</v>
      </c>
      <c r="K707" s="101" t="str">
        <f>IFERROR(__xludf.DUMMYFUNCTION("""COMPUTED_VALUE"""),"https://drive.google.com/open?id=18QnewLJVWXyf6lGWFYYpgvsXMn4_nf1S")</f>
        <v>https://drive.google.com/open?id=18QnewLJVWXyf6lGWFYYpgvsXMn4_nf1S</v>
      </c>
      <c r="L707" s="96" t="str">
        <f>IFERROR(__xludf.DUMMYFUNCTION("""COMPUTED_VALUE"""),"2019-2023")</f>
        <v>2019-2023</v>
      </c>
      <c r="M707" s="96" t="str">
        <f>IFERROR(__xludf.DUMMYFUNCTION("""COMPUTED_VALUE"""),"S4: Student Certifications")</f>
        <v>S4: Student Certifications</v>
      </c>
      <c r="N707" s="96" t="str">
        <f>IFERROR(__xludf.DUMMYFUNCTION("""COMPUTED_VALUE"""),"kiriteyashu@gmail.com")</f>
        <v>kiriteyashu@gmail.com</v>
      </c>
      <c r="O707" s="96" t="str">
        <f>IFERROR(__xludf.DUMMYFUNCTION("""COMPUTED_VALUE"""),"SEM-6")</f>
        <v>SEM-6</v>
      </c>
      <c r="P707" s="96"/>
      <c r="Q707" s="96"/>
      <c r="R707" s="96"/>
      <c r="S707" s="96"/>
      <c r="T707" s="96"/>
      <c r="U707" s="96"/>
      <c r="V707" s="96"/>
      <c r="W707" s="96"/>
      <c r="X707" s="96"/>
      <c r="Y707" s="96"/>
    </row>
    <row r="708" ht="26.25" customHeight="1">
      <c r="A708" s="96" t="str">
        <f>IFERROR(__xludf.DUMMYFUNCTION("""COMPUTED_VALUE"""),"Kantubhukta Hemanth")</f>
        <v>Kantubhukta Hemanth</v>
      </c>
      <c r="B708" s="96" t="str">
        <f>IFERROR(__xludf.DUMMYFUNCTION("""COMPUTED_VALUE"""),"19331A0573")</f>
        <v>19331A0573</v>
      </c>
      <c r="C708" s="97" t="str">
        <f>IFERROR(__xludf.DUMMYFUNCTION("""COMPUTED_VALUE"""),"Programming Essentials in Python")</f>
        <v>Programming Essentials in Python</v>
      </c>
      <c r="D708" s="96" t="str">
        <f>IFERROR(__xludf.DUMMYFUNCTION("""COMPUTED_VALUE"""),"Cisco")</f>
        <v>Cisco</v>
      </c>
      <c r="E708" s="96" t="str">
        <f>IFERROR(__xludf.DUMMYFUNCTION("""COMPUTED_VALUE"""),"2 Months")</f>
        <v>2 Months</v>
      </c>
      <c r="F708" s="98">
        <f>IFERROR(__xludf.DUMMYFUNCTION("""COMPUTED_VALUE"""),44206.0)</f>
        <v>44206</v>
      </c>
      <c r="G708" s="98">
        <f>IFERROR(__xludf.DUMMYFUNCTION("""COMPUTED_VALUE"""),44265.0)</f>
        <v>44265</v>
      </c>
      <c r="H708" s="99">
        <f>IFERROR(__xludf.DUMMYFUNCTION("""COMPUTED_VALUE"""),44264.0)</f>
        <v>44264</v>
      </c>
      <c r="I708" s="100">
        <f>IFERROR(__xludf.DUMMYFUNCTION("""COMPUTED_VALUE"""),0.93)</f>
        <v>0.93</v>
      </c>
      <c r="J708" s="96" t="str">
        <f>IFERROR(__xludf.DUMMYFUNCTION("""COMPUTED_VALUE"""),"DR RAVI KIRAN VARMA PENMATSA")</f>
        <v>DR RAVI KIRAN VARMA PENMATSA</v>
      </c>
      <c r="K708" s="101" t="str">
        <f>IFERROR(__xludf.DUMMYFUNCTION("""COMPUTED_VALUE"""),"https://drive.google.com/open?id=1vkeRx0gJxal0hzZxOnuyVrbQnGHiChV4")</f>
        <v>https://drive.google.com/open?id=1vkeRx0gJxal0hzZxOnuyVrbQnGHiChV4</v>
      </c>
      <c r="L708" s="96" t="str">
        <f>IFERROR(__xludf.DUMMYFUNCTION("""COMPUTED_VALUE"""),"2019-2023")</f>
        <v>2019-2023</v>
      </c>
      <c r="M708" s="96" t="str">
        <f>IFERROR(__xludf.DUMMYFUNCTION("""COMPUTED_VALUE"""),"S4: Student Certifications")</f>
        <v>S4: Student Certifications</v>
      </c>
      <c r="N708" s="96" t="str">
        <f>IFERROR(__xludf.DUMMYFUNCTION("""COMPUTED_VALUE"""),"hemanthkantubhukta2232@gmail.com")</f>
        <v>hemanthkantubhukta2232@gmail.com</v>
      </c>
      <c r="O708" s="96" t="str">
        <f>IFERROR(__xludf.DUMMYFUNCTION("""COMPUTED_VALUE"""),"SEM-6")</f>
        <v>SEM-6</v>
      </c>
      <c r="P708" s="96"/>
      <c r="Q708" s="96"/>
      <c r="R708" s="96"/>
      <c r="S708" s="96"/>
      <c r="T708" s="96"/>
      <c r="U708" s="96"/>
      <c r="V708" s="96"/>
      <c r="W708" s="96"/>
      <c r="X708" s="96"/>
      <c r="Y708" s="96"/>
    </row>
    <row r="709" ht="26.25" customHeight="1">
      <c r="A709" s="96" t="str">
        <f>IFERROR(__xludf.DUMMYFUNCTION("""COMPUTED_VALUE"""),"Mandhapati Jagannadha Rohit Varma")</f>
        <v>Mandhapati Jagannadha Rohit Varma</v>
      </c>
      <c r="B709" s="96" t="str">
        <f>IFERROR(__xludf.DUMMYFUNCTION("""COMPUTED_VALUE"""),"19331A05A3")</f>
        <v>19331A05A3</v>
      </c>
      <c r="C709" s="97" t="str">
        <f>IFERROR(__xludf.DUMMYFUNCTION("""COMPUTED_VALUE"""),"Programming Essentials in Python")</f>
        <v>Programming Essentials in Python</v>
      </c>
      <c r="D709" s="96" t="str">
        <f>IFERROR(__xludf.DUMMYFUNCTION("""COMPUTED_VALUE"""),"Cisco ")</f>
        <v>Cisco </v>
      </c>
      <c r="E709" s="96" t="str">
        <f>IFERROR(__xludf.DUMMYFUNCTION("""COMPUTED_VALUE"""),"2 months")</f>
        <v>2 months</v>
      </c>
      <c r="F709" s="98">
        <f>IFERROR(__xludf.DUMMYFUNCTION("""COMPUTED_VALUE"""),44197.0)</f>
        <v>44197</v>
      </c>
      <c r="G709" s="98">
        <f>IFERROR(__xludf.DUMMYFUNCTION("""COMPUTED_VALUE"""),44255.0)</f>
        <v>44255</v>
      </c>
      <c r="H709" s="99">
        <f>IFERROR(__xludf.DUMMYFUNCTION("""COMPUTED_VALUE"""),44258.0)</f>
        <v>44258</v>
      </c>
      <c r="I709" s="100">
        <f>IFERROR(__xludf.DUMMYFUNCTION("""COMPUTED_VALUE"""),85.0)</f>
        <v>85</v>
      </c>
      <c r="J709" s="96" t="str">
        <f>IFERROR(__xludf.DUMMYFUNCTION("""COMPUTED_VALUE"""),"Dr.Ravi Kiran Varma Penmatsa")</f>
        <v>Dr.Ravi Kiran Varma Penmatsa</v>
      </c>
      <c r="K709" s="101" t="str">
        <f>IFERROR(__xludf.DUMMYFUNCTION("""COMPUTED_VALUE"""),"https://drive.google.com/open?id=1o85vjFTkZS5qb0LP1KndqjFs-dMC1N-K")</f>
        <v>https://drive.google.com/open?id=1o85vjFTkZS5qb0LP1KndqjFs-dMC1N-K</v>
      </c>
      <c r="L709" s="96" t="str">
        <f>IFERROR(__xludf.DUMMYFUNCTION("""COMPUTED_VALUE"""),"2019-2023")</f>
        <v>2019-2023</v>
      </c>
      <c r="M709" s="96" t="str">
        <f>IFERROR(__xludf.DUMMYFUNCTION("""COMPUTED_VALUE"""),"S4: Student Certifications")</f>
        <v>S4: Student Certifications</v>
      </c>
      <c r="N709" s="96" t="str">
        <f>IFERROR(__xludf.DUMMYFUNCTION("""COMPUTED_VALUE"""),"rohitvarmaanrk@gmail.com")</f>
        <v>rohitvarmaanrk@gmail.com</v>
      </c>
      <c r="O709" s="96" t="str">
        <f>IFERROR(__xludf.DUMMYFUNCTION("""COMPUTED_VALUE"""),"SEM-6")</f>
        <v>SEM-6</v>
      </c>
      <c r="P709" s="96"/>
      <c r="Q709" s="96"/>
      <c r="R709" s="96"/>
      <c r="S709" s="96"/>
      <c r="T709" s="96"/>
      <c r="U709" s="96"/>
      <c r="V709" s="96"/>
      <c r="W709" s="96"/>
      <c r="X709" s="96"/>
      <c r="Y709" s="96"/>
    </row>
    <row r="710" ht="26.25" customHeight="1">
      <c r="A710" s="96" t="str">
        <f>IFERROR(__xludf.DUMMYFUNCTION("""COMPUTED_VALUE"""),"KALIPINDI SAI MITHILESH")</f>
        <v>KALIPINDI SAI MITHILESH</v>
      </c>
      <c r="B710" s="96" t="str">
        <f>IFERROR(__xludf.DUMMYFUNCTION("""COMPUTED_VALUE"""),"19331A0569")</f>
        <v>19331A0569</v>
      </c>
      <c r="C710" s="97" t="str">
        <f>IFERROR(__xludf.DUMMYFUNCTION("""COMPUTED_VALUE""")," IT ESSENTIALS")</f>
        <v> IT ESSENTIALS</v>
      </c>
      <c r="D710" s="96" t="str">
        <f>IFERROR(__xludf.DUMMYFUNCTION("""COMPUTED_VALUE"""),"CISCO")</f>
        <v>CISCO</v>
      </c>
      <c r="E710" s="96" t="str">
        <f>IFERROR(__xludf.DUMMYFUNCTION("""COMPUTED_VALUE"""),"2 months")</f>
        <v>2 months</v>
      </c>
      <c r="F710" s="98">
        <f>IFERROR(__xludf.DUMMYFUNCTION("""COMPUTED_VALUE"""),44075.0)</f>
        <v>44075</v>
      </c>
      <c r="G710" s="98">
        <f>IFERROR(__xludf.DUMMYFUNCTION("""COMPUTED_VALUE"""),44136.0)</f>
        <v>44136</v>
      </c>
      <c r="H710" s="99">
        <f>IFERROR(__xludf.DUMMYFUNCTION("""COMPUTED_VALUE"""),44136.0)</f>
        <v>44136</v>
      </c>
      <c r="I710" s="100">
        <f>IFERROR(__xludf.DUMMYFUNCTION("""COMPUTED_VALUE"""),0.8)</f>
        <v>0.8</v>
      </c>
      <c r="J710" s="96" t="str">
        <f>IFERROR(__xludf.DUMMYFUNCTION("""COMPUTED_VALUE"""),"K.V.SUBBA RAJU")</f>
        <v>K.V.SUBBA RAJU</v>
      </c>
      <c r="K710" s="101" t="str">
        <f>IFERROR(__xludf.DUMMYFUNCTION("""COMPUTED_VALUE"""),"https://drive.google.com/open?id=1V2gvwEd88Ag2uVOdEOBGhdnPItnPHJBh")</f>
        <v>https://drive.google.com/open?id=1V2gvwEd88Ag2uVOdEOBGhdnPItnPHJBh</v>
      </c>
      <c r="L710" s="96" t="str">
        <f>IFERROR(__xludf.DUMMYFUNCTION("""COMPUTED_VALUE"""),"2019-2023")</f>
        <v>2019-2023</v>
      </c>
      <c r="M710" s="96" t="str">
        <f>IFERROR(__xludf.DUMMYFUNCTION("""COMPUTED_VALUE"""),"S4: Student Certifications")</f>
        <v>S4: Student Certifications</v>
      </c>
      <c r="N710" s="96" t="str">
        <f>IFERROR(__xludf.DUMMYFUNCTION("""COMPUTED_VALUE"""),"akhilmithilesh@gmail.com")</f>
        <v>akhilmithilesh@gmail.com</v>
      </c>
      <c r="O710" s="96" t="str">
        <f>IFERROR(__xludf.DUMMYFUNCTION("""COMPUTED_VALUE"""),"SEM-6")</f>
        <v>SEM-6</v>
      </c>
      <c r="P710" s="96"/>
      <c r="Q710" s="96"/>
      <c r="R710" s="96"/>
      <c r="S710" s="96"/>
      <c r="T710" s="96"/>
      <c r="U710" s="96"/>
      <c r="V710" s="96"/>
      <c r="W710" s="96"/>
      <c r="X710" s="96"/>
      <c r="Y710" s="96"/>
    </row>
    <row r="711" ht="26.25" customHeight="1">
      <c r="A711" s="96" t="str">
        <f>IFERROR(__xludf.DUMMYFUNCTION("""COMPUTED_VALUE"""),"Mohammed Aquib Akthar ")</f>
        <v>Mohammed Aquib Akthar </v>
      </c>
      <c r="B711" s="96" t="str">
        <f>IFERROR(__xludf.DUMMYFUNCTION("""COMPUTED_VALUE"""),"19331A05A6")</f>
        <v>19331A05A6</v>
      </c>
      <c r="C711" s="97" t="str">
        <f>IFERROR(__xludf.DUMMYFUNCTION("""COMPUTED_VALUE"""),"Communication skills")</f>
        <v>Communication skills</v>
      </c>
      <c r="D711" s="96" t="str">
        <f>IFERROR(__xludf.DUMMYFUNCTION("""COMPUTED_VALUE"""),"TCS ION digital learning hub")</f>
        <v>TCS ION digital learning hub</v>
      </c>
      <c r="E711" s="96" t="str">
        <f>IFERROR(__xludf.DUMMYFUNCTION("""COMPUTED_VALUE"""),"1 day")</f>
        <v>1 day</v>
      </c>
      <c r="F711" s="98">
        <f>IFERROR(__xludf.DUMMYFUNCTION("""COMPUTED_VALUE"""),44088.0)</f>
        <v>44088</v>
      </c>
      <c r="G711" s="98">
        <f>IFERROR(__xludf.DUMMYFUNCTION("""COMPUTED_VALUE"""),44089.0)</f>
        <v>44089</v>
      </c>
      <c r="H711" s="99">
        <f>IFERROR(__xludf.DUMMYFUNCTION("""COMPUTED_VALUE"""),44089.0)</f>
        <v>44089</v>
      </c>
      <c r="I711" s="100">
        <f>IFERROR(__xludf.DUMMYFUNCTION("""COMPUTED_VALUE"""),75.0)</f>
        <v>75</v>
      </c>
      <c r="J711" s="96" t="str">
        <f>IFERROR(__xludf.DUMMYFUNCTION("""COMPUTED_VALUE"""),"iON digital learning hub")</f>
        <v>iON digital learning hub</v>
      </c>
      <c r="K711" s="101" t="str">
        <f>IFERROR(__xludf.DUMMYFUNCTION("""COMPUTED_VALUE"""),"https://drive.google.com/open?id=1JdaAHZMpaiOEBJk8YegcdwRle6ViSNQL")</f>
        <v>https://drive.google.com/open?id=1JdaAHZMpaiOEBJk8YegcdwRle6ViSNQL</v>
      </c>
      <c r="L711" s="96" t="str">
        <f>IFERROR(__xludf.DUMMYFUNCTION("""COMPUTED_VALUE"""),"2019-2023")</f>
        <v>2019-2023</v>
      </c>
      <c r="M711" s="96" t="str">
        <f>IFERROR(__xludf.DUMMYFUNCTION("""COMPUTED_VALUE"""),"S4: Student Certifications")</f>
        <v>S4: Student Certifications</v>
      </c>
      <c r="N711" s="96" t="str">
        <f>IFERROR(__xludf.DUMMYFUNCTION("""COMPUTED_VALUE"""),"aquibakthar14@gmail.com")</f>
        <v>aquibakthar14@gmail.com</v>
      </c>
      <c r="O711" s="96" t="str">
        <f>IFERROR(__xludf.DUMMYFUNCTION("""COMPUTED_VALUE"""),"SEM-6")</f>
        <v>SEM-6</v>
      </c>
      <c r="P711" s="96"/>
      <c r="Q711" s="96"/>
      <c r="R711" s="96"/>
      <c r="S711" s="96"/>
      <c r="T711" s="96"/>
      <c r="U711" s="96"/>
      <c r="V711" s="96"/>
      <c r="W711" s="96"/>
      <c r="X711" s="96"/>
      <c r="Y711" s="96"/>
    </row>
    <row r="712" ht="26.25" customHeight="1">
      <c r="A712" s="96" t="str">
        <f>IFERROR(__xludf.DUMMYFUNCTION("""COMPUTED_VALUE"""),"NALLURI SAI KIRAN")</f>
        <v>NALLURI SAI KIRAN</v>
      </c>
      <c r="B712" s="96" t="str">
        <f>IFERROR(__xludf.DUMMYFUNCTION("""COMPUTED_VALUE"""),"19331A05B8")</f>
        <v>19331A05B8</v>
      </c>
      <c r="C712" s="97" t="str">
        <f>IFERROR(__xludf.DUMMYFUNCTION("""COMPUTED_VALUE"""),"Introduction to Data Science in Python")</f>
        <v>Introduction to Data Science in Python</v>
      </c>
      <c r="D712" s="96" t="str">
        <f>IFERROR(__xludf.DUMMYFUNCTION("""COMPUTED_VALUE"""),"Coursera, UNIVERSITY OF MICHIGAN")</f>
        <v>Coursera, UNIVERSITY OF MICHIGAN</v>
      </c>
      <c r="E712" s="96" t="str">
        <f>IFERROR(__xludf.DUMMYFUNCTION("""COMPUTED_VALUE"""),"1 month")</f>
        <v>1 month</v>
      </c>
      <c r="F712" s="98">
        <f>IFERROR(__xludf.DUMMYFUNCTION("""COMPUTED_VALUE"""),44548.0)</f>
        <v>44548</v>
      </c>
      <c r="G712" s="98">
        <f>IFERROR(__xludf.DUMMYFUNCTION("""COMPUTED_VALUE"""),44575.0)</f>
        <v>44575</v>
      </c>
      <c r="H712" s="99">
        <f>IFERROR(__xludf.DUMMYFUNCTION("""COMPUTED_VALUE"""),44575.0)</f>
        <v>44575</v>
      </c>
      <c r="I712" s="100">
        <f>IFERROR(__xludf.DUMMYFUNCTION("""COMPUTED_VALUE"""),85.0)</f>
        <v>85</v>
      </c>
      <c r="J712" s="96" t="str">
        <f>IFERROR(__xludf.DUMMYFUNCTION("""COMPUTED_VALUE"""),"Christopher Brooks")</f>
        <v>Christopher Brooks</v>
      </c>
      <c r="K712" s="101" t="str">
        <f>IFERROR(__xludf.DUMMYFUNCTION("""COMPUTED_VALUE"""),"https://drive.google.com/open?id=1QdHNOiPVj8VbxmJwJr5g0vWju7LHVDGL")</f>
        <v>https://drive.google.com/open?id=1QdHNOiPVj8VbxmJwJr5g0vWju7LHVDGL</v>
      </c>
      <c r="L712" s="96" t="str">
        <f>IFERROR(__xludf.DUMMYFUNCTION("""COMPUTED_VALUE"""),"2019-2023")</f>
        <v>2019-2023</v>
      </c>
      <c r="M712" s="96" t="str">
        <f>IFERROR(__xludf.DUMMYFUNCTION("""COMPUTED_VALUE"""),"S4: Student Certifications")</f>
        <v>S4: Student Certifications</v>
      </c>
      <c r="N712" s="96" t="str">
        <f>IFERROR(__xludf.DUMMYFUNCTION("""COMPUTED_VALUE"""),"nsaikiran2411@gmail.com")</f>
        <v>nsaikiran2411@gmail.com</v>
      </c>
      <c r="O712" s="96" t="str">
        <f>IFERROR(__xludf.DUMMYFUNCTION("""COMPUTED_VALUE"""),"SEM-6")</f>
        <v>SEM-6</v>
      </c>
      <c r="P712" s="96"/>
      <c r="Q712" s="96"/>
      <c r="R712" s="96"/>
      <c r="S712" s="96"/>
      <c r="T712" s="96"/>
      <c r="U712" s="96"/>
      <c r="V712" s="96"/>
      <c r="W712" s="96"/>
      <c r="X712" s="96"/>
      <c r="Y712" s="96"/>
    </row>
    <row r="713" ht="26.25" customHeight="1">
      <c r="A713" s="96" t="str">
        <f>IFERROR(__xludf.DUMMYFUNCTION("""COMPUTED_VALUE"""),"PACHIGOLLA BALAJI")</f>
        <v>PACHIGOLLA BALAJI</v>
      </c>
      <c r="B713" s="96" t="str">
        <f>IFERROR(__xludf.DUMMYFUNCTION("""COMPUTED_VALUE"""),"19331A05C3")</f>
        <v>19331A05C3</v>
      </c>
      <c r="C713" s="97" t="str">
        <f>IFERROR(__xludf.DUMMYFUNCTION("""COMPUTED_VALUE"""),"IT ESSENTIALS")</f>
        <v>IT ESSENTIALS</v>
      </c>
      <c r="D713" s="96" t="str">
        <f>IFERROR(__xludf.DUMMYFUNCTION("""COMPUTED_VALUE"""),"CISCO NETWORKING ACADEMY")</f>
        <v>CISCO NETWORKING ACADEMY</v>
      </c>
      <c r="E713" s="96" t="str">
        <f>IFERROR(__xludf.DUMMYFUNCTION("""COMPUTED_VALUE"""),"2 MONTHS")</f>
        <v>2 MONTHS</v>
      </c>
      <c r="F713" s="98">
        <f>IFERROR(__xludf.DUMMYFUNCTION("""COMPUTED_VALUE"""),44073.0)</f>
        <v>44073</v>
      </c>
      <c r="G713" s="98">
        <f>IFERROR(__xludf.DUMMYFUNCTION("""COMPUTED_VALUE"""),44129.0)</f>
        <v>44129</v>
      </c>
      <c r="H713" s="99">
        <f>IFERROR(__xludf.DUMMYFUNCTION("""COMPUTED_VALUE"""),44132.0)</f>
        <v>44132</v>
      </c>
      <c r="I713" s="100">
        <f>IFERROR(__xludf.DUMMYFUNCTION("""COMPUTED_VALUE"""),85.0)</f>
        <v>85</v>
      </c>
      <c r="J713" s="96" t="str">
        <f>IFERROR(__xludf.DUMMYFUNCTION("""COMPUTED_VALUE"""),"DR.SUVARNA KUMAR GOGULA")</f>
        <v>DR.SUVARNA KUMAR GOGULA</v>
      </c>
      <c r="K713" s="101" t="str">
        <f>IFERROR(__xludf.DUMMYFUNCTION("""COMPUTED_VALUE"""),"https://drive.google.com/open?id=1SjHMHOe0DQRWBFdxWh6mbrYP55CWn60c")</f>
        <v>https://drive.google.com/open?id=1SjHMHOe0DQRWBFdxWh6mbrYP55CWn60c</v>
      </c>
      <c r="L713" s="96" t="str">
        <f>IFERROR(__xludf.DUMMYFUNCTION("""COMPUTED_VALUE"""),"2019-2023")</f>
        <v>2019-2023</v>
      </c>
      <c r="M713" s="96" t="str">
        <f>IFERROR(__xludf.DUMMYFUNCTION("""COMPUTED_VALUE"""),"S4: Student Certifications")</f>
        <v>S4: Student Certifications</v>
      </c>
      <c r="N713" s="96" t="str">
        <f>IFERROR(__xludf.DUMMYFUNCTION("""COMPUTED_VALUE"""),"balajipachigolla2430@gmail.com")</f>
        <v>balajipachigolla2430@gmail.com</v>
      </c>
      <c r="O713" s="96" t="str">
        <f>IFERROR(__xludf.DUMMYFUNCTION("""COMPUTED_VALUE"""),"SEM-6")</f>
        <v>SEM-6</v>
      </c>
      <c r="P713" s="96"/>
      <c r="Q713" s="96"/>
      <c r="R713" s="96"/>
      <c r="S713" s="96"/>
      <c r="T713" s="96"/>
      <c r="U713" s="96"/>
      <c r="V713" s="96"/>
      <c r="W713" s="96"/>
      <c r="X713" s="96"/>
      <c r="Y713" s="96"/>
    </row>
    <row r="714" ht="26.25" customHeight="1">
      <c r="A714" s="96" t="str">
        <f>IFERROR(__xludf.DUMMYFUNCTION("""COMPUTED_VALUE"""),"Jyothirmayi Manapuram")</f>
        <v>Jyothirmayi Manapuram</v>
      </c>
      <c r="B714" s="96" t="str">
        <f>IFERROR(__xludf.DUMMYFUNCTION("""COMPUTED_VALUE"""),"20335A0507")</f>
        <v>20335A0507</v>
      </c>
      <c r="C714" s="97" t="str">
        <f>IFERROR(__xludf.DUMMYFUNCTION("""COMPUTED_VALUE"""),"Introduction to Networks")</f>
        <v>Introduction to Networks</v>
      </c>
      <c r="D714" s="96" t="str">
        <f>IFERROR(__xludf.DUMMYFUNCTION("""COMPUTED_VALUE"""),"CISCO")</f>
        <v>CISCO</v>
      </c>
      <c r="E714" s="96" t="str">
        <f>IFERROR(__xludf.DUMMYFUNCTION("""COMPUTED_VALUE"""),"3 months")</f>
        <v>3 months</v>
      </c>
      <c r="F714" s="98">
        <f>IFERROR(__xludf.DUMMYFUNCTION("""COMPUTED_VALUE"""),44581.0)</f>
        <v>44581</v>
      </c>
      <c r="G714" s="98">
        <f>IFERROR(__xludf.DUMMYFUNCTION("""COMPUTED_VALUE"""),44654.0)</f>
        <v>44654</v>
      </c>
      <c r="H714" s="99">
        <f>IFERROR(__xludf.DUMMYFUNCTION("""COMPUTED_VALUE"""),44654.0)</f>
        <v>44654</v>
      </c>
      <c r="I714" s="100">
        <f>IFERROR(__xludf.DUMMYFUNCTION("""COMPUTED_VALUE"""),93.0)</f>
        <v>93</v>
      </c>
      <c r="J714" s="96" t="str">
        <f>IFERROR(__xludf.DUMMYFUNCTION("""COMPUTED_VALUE"""),"Dr. Ravi Kiran Varma")</f>
        <v>Dr. Ravi Kiran Varma</v>
      </c>
      <c r="K714" s="101" t="str">
        <f>IFERROR(__xludf.DUMMYFUNCTION("""COMPUTED_VALUE"""),"https://drive.google.com/open?id=1MeCQFws3kHbDNKD1slhG6uGNnQAa8LWv")</f>
        <v>https://drive.google.com/open?id=1MeCQFws3kHbDNKD1slhG6uGNnQAa8LWv</v>
      </c>
      <c r="L714" s="96" t="str">
        <f>IFERROR(__xludf.DUMMYFUNCTION("""COMPUTED_VALUE"""),"2019-2023")</f>
        <v>2019-2023</v>
      </c>
      <c r="M714" s="96" t="str">
        <f>IFERROR(__xludf.DUMMYFUNCTION("""COMPUTED_VALUE"""),"S4: Student Certifications")</f>
        <v>S4: Student Certifications</v>
      </c>
      <c r="N714" s="96" t="str">
        <f>IFERROR(__xludf.DUMMYFUNCTION("""COMPUTED_VALUE"""),"jyothirmaimanapuram4@gmail.com")</f>
        <v>jyothirmaimanapuram4@gmail.com</v>
      </c>
      <c r="O714" s="96" t="str">
        <f>IFERROR(__xludf.DUMMYFUNCTION("""COMPUTED_VALUE"""),"SEM-6")</f>
        <v>SEM-6</v>
      </c>
      <c r="P714" s="96"/>
      <c r="Q714" s="96"/>
      <c r="R714" s="96"/>
      <c r="S714" s="96"/>
      <c r="T714" s="96"/>
      <c r="U714" s="96"/>
      <c r="V714" s="96"/>
      <c r="W714" s="96"/>
      <c r="X714" s="96"/>
      <c r="Y714" s="96"/>
    </row>
    <row r="715" ht="26.25" customHeight="1">
      <c r="A715" s="96" t="str">
        <f>IFERROR(__xludf.DUMMYFUNCTION("""COMPUTED_VALUE"""),"Naik Sampath Srinath")</f>
        <v>Naik Sampath Srinath</v>
      </c>
      <c r="B715" s="96" t="str">
        <f>IFERROR(__xludf.DUMMYFUNCTION("""COMPUTED_VALUE"""),"19331A05B5")</f>
        <v>19331A05B5</v>
      </c>
      <c r="C715" s="97" t="str">
        <f>IFERROR(__xludf.DUMMYFUNCTION("""COMPUTED_VALUE"""),"Programming Essentials in Python")</f>
        <v>Programming Essentials in Python</v>
      </c>
      <c r="D715" s="96" t="str">
        <f>IFERROR(__xludf.DUMMYFUNCTION("""COMPUTED_VALUE"""),"Cisco")</f>
        <v>Cisco</v>
      </c>
      <c r="E715" s="96" t="str">
        <f>IFERROR(__xludf.DUMMYFUNCTION("""COMPUTED_VALUE"""),"2 months")</f>
        <v>2 months</v>
      </c>
      <c r="F715" s="98">
        <f>IFERROR(__xludf.DUMMYFUNCTION("""COMPUTED_VALUE"""),44204.0)</f>
        <v>44204</v>
      </c>
      <c r="G715" s="98">
        <f>IFERROR(__xludf.DUMMYFUNCTION("""COMPUTED_VALUE"""),44263.0)</f>
        <v>44263</v>
      </c>
      <c r="H715" s="99">
        <f>IFERROR(__xludf.DUMMYFUNCTION("""COMPUTED_VALUE"""),44263.0)</f>
        <v>44263</v>
      </c>
      <c r="I715" s="100">
        <f>IFERROR(__xludf.DUMMYFUNCTION("""COMPUTED_VALUE"""),78.0)</f>
        <v>78</v>
      </c>
      <c r="J715" s="96" t="str">
        <f>IFERROR(__xludf.DUMMYFUNCTION("""COMPUTED_VALUE"""),"DR. Ravi Kiran Varma")</f>
        <v>DR. Ravi Kiran Varma</v>
      </c>
      <c r="K715" s="101" t="str">
        <f>IFERROR(__xludf.DUMMYFUNCTION("""COMPUTED_VALUE"""),"https://drive.google.com/open?id=1oRb3f5nCfV0tvHRewwqOTRCJYRS4RaLg")</f>
        <v>https://drive.google.com/open?id=1oRb3f5nCfV0tvHRewwqOTRCJYRS4RaLg</v>
      </c>
      <c r="L715" s="96" t="str">
        <f>IFERROR(__xludf.DUMMYFUNCTION("""COMPUTED_VALUE"""),"2019-2023")</f>
        <v>2019-2023</v>
      </c>
      <c r="M715" s="96" t="str">
        <f>IFERROR(__xludf.DUMMYFUNCTION("""COMPUTED_VALUE"""),"S4: Student Certifications")</f>
        <v>S4: Student Certifications</v>
      </c>
      <c r="N715" s="96" t="str">
        <f>IFERROR(__xludf.DUMMYFUNCTION("""COMPUTED_VALUE"""),"dubla1503@gmail.com")</f>
        <v>dubla1503@gmail.com</v>
      </c>
      <c r="O715" s="96" t="str">
        <f>IFERROR(__xludf.DUMMYFUNCTION("""COMPUTED_VALUE"""),"SEM-6")</f>
        <v>SEM-6</v>
      </c>
      <c r="P715" s="96"/>
      <c r="Q715" s="96"/>
      <c r="R715" s="96"/>
      <c r="S715" s="96"/>
      <c r="T715" s="96"/>
      <c r="U715" s="96"/>
      <c r="V715" s="96"/>
      <c r="W715" s="96"/>
      <c r="X715" s="96"/>
      <c r="Y715" s="96"/>
    </row>
    <row r="716" ht="26.25" customHeight="1">
      <c r="A716" s="96" t="str">
        <f>IFERROR(__xludf.DUMMYFUNCTION("""COMPUTED_VALUE"""),"KALIPINDI SAI MITHILESH")</f>
        <v>KALIPINDI SAI MITHILESH</v>
      </c>
      <c r="B716" s="96" t="str">
        <f>IFERROR(__xludf.DUMMYFUNCTION("""COMPUTED_VALUE"""),"19331A0569")</f>
        <v>19331A0569</v>
      </c>
      <c r="C716" s="97" t="str">
        <f>IFERROR(__xludf.DUMMYFUNCTION("""COMPUTED_VALUE"""),"PROGRAMMING ESSENTIALS IN PYTHON")</f>
        <v>PROGRAMMING ESSENTIALS IN PYTHON</v>
      </c>
      <c r="D716" s="96" t="str">
        <f>IFERROR(__xludf.DUMMYFUNCTION("""COMPUTED_VALUE"""),"CISCO")</f>
        <v>CISCO</v>
      </c>
      <c r="E716" s="96" t="str">
        <f>IFERROR(__xludf.DUMMYFUNCTION("""COMPUTED_VALUE"""),"2months")</f>
        <v>2months</v>
      </c>
      <c r="F716" s="98">
        <f>IFERROR(__xludf.DUMMYFUNCTION("""COMPUTED_VALUE"""),44265.0)</f>
        <v>44265</v>
      </c>
      <c r="G716" s="98">
        <f>IFERROR(__xludf.DUMMYFUNCTION("""COMPUTED_VALUE"""),44322.0)</f>
        <v>44322</v>
      </c>
      <c r="H716" s="99">
        <f>IFERROR(__xludf.DUMMYFUNCTION("""COMPUTED_VALUE"""),44322.0)</f>
        <v>44322</v>
      </c>
      <c r="I716" s="100">
        <f>IFERROR(__xludf.DUMMYFUNCTION("""COMPUTED_VALUE"""),0.85)</f>
        <v>0.85</v>
      </c>
      <c r="J716" s="96" t="str">
        <f>IFERROR(__xludf.DUMMYFUNCTION("""COMPUTED_VALUE"""),"DR.RAVI KIRAN VARMA")</f>
        <v>DR.RAVI KIRAN VARMA</v>
      </c>
      <c r="K716" s="101" t="str">
        <f>IFERROR(__xludf.DUMMYFUNCTION("""COMPUTED_VALUE"""),"https://drive.google.com/open?id=1G7oXudX-OxKPsHjZDrVBGTGNFv-4Usj-")</f>
        <v>https://drive.google.com/open?id=1G7oXudX-OxKPsHjZDrVBGTGNFv-4Usj-</v>
      </c>
      <c r="L716" s="96" t="str">
        <f>IFERROR(__xludf.DUMMYFUNCTION("""COMPUTED_VALUE"""),"2019-2023")</f>
        <v>2019-2023</v>
      </c>
      <c r="M716" s="96" t="str">
        <f>IFERROR(__xludf.DUMMYFUNCTION("""COMPUTED_VALUE"""),"S4: Student Certifications")</f>
        <v>S4: Student Certifications</v>
      </c>
      <c r="N716" s="96" t="str">
        <f>IFERROR(__xludf.DUMMYFUNCTION("""COMPUTED_VALUE"""),"akhilmithilesh@gmail.com")</f>
        <v>akhilmithilesh@gmail.com</v>
      </c>
      <c r="O716" s="96" t="str">
        <f>IFERROR(__xludf.DUMMYFUNCTION("""COMPUTED_VALUE"""),"SEM-6")</f>
        <v>SEM-6</v>
      </c>
      <c r="P716" s="96"/>
      <c r="Q716" s="96"/>
      <c r="R716" s="96"/>
      <c r="S716" s="96"/>
      <c r="T716" s="96"/>
      <c r="U716" s="96"/>
      <c r="V716" s="96"/>
      <c r="W716" s="96"/>
      <c r="X716" s="96"/>
      <c r="Y716" s="96"/>
    </row>
    <row r="717" ht="26.25" customHeight="1">
      <c r="A717" s="96" t="str">
        <f>IFERROR(__xludf.DUMMYFUNCTION("""COMPUTED_VALUE"""),"PACHIGOLLA BALAJI")</f>
        <v>PACHIGOLLA BALAJI</v>
      </c>
      <c r="B717" s="96" t="str">
        <f>IFERROR(__xludf.DUMMYFUNCTION("""COMPUTED_VALUE"""),"19331A05C3")</f>
        <v>19331A05C3</v>
      </c>
      <c r="C717" s="97" t="str">
        <f>IFERROR(__xludf.DUMMYFUNCTION("""COMPUTED_VALUE"""),"JAVASCRIPT ESSENTIALS 1(JSE)")</f>
        <v>JAVASCRIPT ESSENTIALS 1(JSE)</v>
      </c>
      <c r="D717" s="96" t="str">
        <f>IFERROR(__xludf.DUMMYFUNCTION("""COMPUTED_VALUE"""),"CISCO NETWORKING ACADEMY")</f>
        <v>CISCO NETWORKING ACADEMY</v>
      </c>
      <c r="E717" s="96" t="str">
        <f>IFERROR(__xludf.DUMMYFUNCTION("""COMPUTED_VALUE"""),"2 MONTHS")</f>
        <v>2 MONTHS</v>
      </c>
      <c r="F717" s="98">
        <f>IFERROR(__xludf.DUMMYFUNCTION("""COMPUTED_VALUE"""),44479.0)</f>
        <v>44479</v>
      </c>
      <c r="G717" s="98">
        <f>IFERROR(__xludf.DUMMYFUNCTION("""COMPUTED_VALUE"""),44552.0)</f>
        <v>44552</v>
      </c>
      <c r="H717" s="99">
        <f>IFERROR(__xludf.DUMMYFUNCTION("""COMPUTED_VALUE"""),44552.0)</f>
        <v>44552</v>
      </c>
      <c r="I717" s="100">
        <f>IFERROR(__xludf.DUMMYFUNCTION("""COMPUTED_VALUE"""),85.0)</f>
        <v>85</v>
      </c>
      <c r="J717" s="96" t="str">
        <f>IFERROR(__xludf.DUMMYFUNCTION("""COMPUTED_VALUE"""),"DR P RAVIKIRAN VARMA")</f>
        <v>DR P RAVIKIRAN VARMA</v>
      </c>
      <c r="K717" s="101" t="str">
        <f>IFERROR(__xludf.DUMMYFUNCTION("""COMPUTED_VALUE"""),"https://drive.google.com/open?id=1vutIWhfOwdRfQ_ad619peG1ZfRi2IfU9")</f>
        <v>https://drive.google.com/open?id=1vutIWhfOwdRfQ_ad619peG1ZfRi2IfU9</v>
      </c>
      <c r="L717" s="96" t="str">
        <f>IFERROR(__xludf.DUMMYFUNCTION("""COMPUTED_VALUE"""),"2019-2023")</f>
        <v>2019-2023</v>
      </c>
      <c r="M717" s="96" t="str">
        <f>IFERROR(__xludf.DUMMYFUNCTION("""COMPUTED_VALUE"""),"S4: Student Certifications")</f>
        <v>S4: Student Certifications</v>
      </c>
      <c r="N717" s="96" t="str">
        <f>IFERROR(__xludf.DUMMYFUNCTION("""COMPUTED_VALUE"""),"balajipachigolla2430@gmail.com")</f>
        <v>balajipachigolla2430@gmail.com</v>
      </c>
      <c r="O717" s="96" t="str">
        <f>IFERROR(__xludf.DUMMYFUNCTION("""COMPUTED_VALUE"""),"SEM-6")</f>
        <v>SEM-6</v>
      </c>
      <c r="P717" s="96"/>
      <c r="Q717" s="96"/>
      <c r="R717" s="96"/>
      <c r="S717" s="96"/>
      <c r="T717" s="96"/>
      <c r="U717" s="96"/>
      <c r="V717" s="96"/>
      <c r="W717" s="96"/>
      <c r="X717" s="96"/>
      <c r="Y717" s="96"/>
    </row>
    <row r="718" ht="26.25" customHeight="1">
      <c r="A718" s="74" t="str">
        <f>IFERROR(__xludf.DUMMYFUNCTION("""COMPUTED_VALUE"""),"Thatimalla Niveditha")</f>
        <v>Thatimalla Niveditha</v>
      </c>
      <c r="B718" s="74" t="str">
        <f>IFERROR(__xludf.DUMMYFUNCTION("""COMPUTED_VALUE"""),"19331A05H1")</f>
        <v>19331A05H1</v>
      </c>
      <c r="C718" s="90" t="str">
        <f>IFERROR(__xludf.DUMMYFUNCTION("""COMPUTED_VALUE"""),"Programming Essentials in C")</f>
        <v>Programming Essentials in C</v>
      </c>
      <c r="D718" s="74" t="str">
        <f>IFERROR(__xludf.DUMMYFUNCTION("""COMPUTED_VALUE"""),"Cisco Networking Academy")</f>
        <v>Cisco Networking Academy</v>
      </c>
      <c r="E718" s="74" t="str">
        <f>IFERROR(__xludf.DUMMYFUNCTION("""COMPUTED_VALUE"""),"13 weeks")</f>
        <v>13 weeks</v>
      </c>
      <c r="F718" s="91">
        <f>IFERROR(__xludf.DUMMYFUNCTION("""COMPUTED_VALUE"""),43836.0)</f>
        <v>43836</v>
      </c>
      <c r="G718" s="91">
        <f>IFERROR(__xludf.DUMMYFUNCTION("""COMPUTED_VALUE"""),43934.0)</f>
        <v>43934</v>
      </c>
      <c r="H718" s="79">
        <f>IFERROR(__xludf.DUMMYFUNCTION("""COMPUTED_VALUE"""),43934.0)</f>
        <v>43934</v>
      </c>
      <c r="I718" s="92">
        <f>IFERROR(__xludf.DUMMYFUNCTION("""COMPUTED_VALUE"""),0.81)</f>
        <v>0.81</v>
      </c>
      <c r="J718" s="74" t="str">
        <f>IFERROR(__xludf.DUMMYFUNCTION("""COMPUTED_VALUE"""),"Dr.P. Ravi Kiran Varma")</f>
        <v>Dr.P. Ravi Kiran Varma</v>
      </c>
      <c r="K718" s="80" t="str">
        <f>IFERROR(__xludf.DUMMYFUNCTION("""COMPUTED_VALUE"""),"https://drive.google.com/open?id=1KSZE_rox8II1PB3uxYxYq82IX5PYnzvw")</f>
        <v>https://drive.google.com/open?id=1KSZE_rox8II1PB3uxYxYq82IX5PYnzvw</v>
      </c>
      <c r="L718" s="74" t="str">
        <f>IFERROR(__xludf.DUMMYFUNCTION("""COMPUTED_VALUE"""),"2019-2023")</f>
        <v>2019-2023</v>
      </c>
      <c r="M718" s="74" t="str">
        <f>IFERROR(__xludf.DUMMYFUNCTION("""COMPUTED_VALUE"""),"S4: Student Certifications")</f>
        <v>S4: Student Certifications</v>
      </c>
      <c r="N718" s="74" t="str">
        <f>IFERROR(__xludf.DUMMYFUNCTION("""COMPUTED_VALUE"""),"thatimallaniveditha@gmail.com")</f>
        <v>thatimallaniveditha@gmail.com</v>
      </c>
      <c r="O718" s="74" t="str">
        <f>IFERROR(__xludf.DUMMYFUNCTION("""COMPUTED_VALUE"""),"SEM-6")</f>
        <v>SEM-6</v>
      </c>
      <c r="P718" s="74"/>
      <c r="Q718" s="74"/>
      <c r="R718" s="74"/>
      <c r="S718" s="74"/>
      <c r="T718" s="74"/>
      <c r="U718" s="74"/>
      <c r="V718" s="74"/>
      <c r="W718" s="74"/>
      <c r="X718" s="74"/>
      <c r="Y718" s="74"/>
    </row>
    <row r="719" ht="26.25" customHeight="1">
      <c r="A719" s="96" t="str">
        <f>IFERROR(__xludf.DUMMYFUNCTION("""COMPUTED_VALUE"""),"BHARATH RAMA CHANDRA KAKARLA ")</f>
        <v>BHARATH RAMA CHANDRA KAKARLA </v>
      </c>
      <c r="B719" s="96" t="str">
        <f>IFERROR(__xludf.DUMMYFUNCTION("""COMPUTED_VALUE"""),"19331A0567")</f>
        <v>19331A0567</v>
      </c>
      <c r="C719" s="97" t="str">
        <f>IFERROR(__xludf.DUMMYFUNCTION("""COMPUTED_VALUE"""),"Introduction to networks")</f>
        <v>Introduction to networks</v>
      </c>
      <c r="D719" s="96" t="str">
        <f>IFERROR(__xludf.DUMMYFUNCTION("""COMPUTED_VALUE"""),"Cisco")</f>
        <v>Cisco</v>
      </c>
      <c r="E719" s="96" t="str">
        <f>IFERROR(__xludf.DUMMYFUNCTION("""COMPUTED_VALUE"""),"6 months ")</f>
        <v>6 months </v>
      </c>
      <c r="F719" s="98">
        <f>IFERROR(__xludf.DUMMYFUNCTION("""COMPUTED_VALUE"""),44495.0)</f>
        <v>44495</v>
      </c>
      <c r="G719" s="98">
        <f>IFERROR(__xludf.DUMMYFUNCTION("""COMPUTED_VALUE"""),44681.0)</f>
        <v>44681</v>
      </c>
      <c r="H719" s="99">
        <f>IFERROR(__xludf.DUMMYFUNCTION("""COMPUTED_VALUE"""),44630.0)</f>
        <v>44630</v>
      </c>
      <c r="I719" s="100">
        <f>IFERROR(__xludf.DUMMYFUNCTION("""COMPUTED_VALUE"""),90.0)</f>
        <v>90</v>
      </c>
      <c r="J719" s="96" t="str">
        <f>IFERROR(__xludf.DUMMYFUNCTION("""COMPUTED_VALUE"""),"Subba Raju K V")</f>
        <v>Subba Raju K V</v>
      </c>
      <c r="K719" s="101" t="str">
        <f>IFERROR(__xludf.DUMMYFUNCTION("""COMPUTED_VALUE"""),"https://drive.google.com/open?id=1Y_QzlCZhWrboyRNdbSArYQtARtyEwo5A")</f>
        <v>https://drive.google.com/open?id=1Y_QzlCZhWrboyRNdbSArYQtARtyEwo5A</v>
      </c>
      <c r="L719" s="96" t="str">
        <f>IFERROR(__xludf.DUMMYFUNCTION("""COMPUTED_VALUE"""),"2019-2023")</f>
        <v>2019-2023</v>
      </c>
      <c r="M719" s="96" t="str">
        <f>IFERROR(__xludf.DUMMYFUNCTION("""COMPUTED_VALUE"""),"S4: Student Certifications")</f>
        <v>S4: Student Certifications</v>
      </c>
      <c r="N719" s="96" t="str">
        <f>IFERROR(__xludf.DUMMYFUNCTION("""COMPUTED_VALUE"""),"bharath007ram@gmail.com")</f>
        <v>bharath007ram@gmail.com</v>
      </c>
      <c r="O719" s="96" t="str">
        <f>IFERROR(__xludf.DUMMYFUNCTION("""COMPUTED_VALUE"""),"SEM-6")</f>
        <v>SEM-6</v>
      </c>
      <c r="P719" s="96"/>
      <c r="Q719" s="96"/>
      <c r="R719" s="96"/>
      <c r="S719" s="96"/>
      <c r="T719" s="96"/>
      <c r="U719" s="96"/>
      <c r="V719" s="96"/>
      <c r="W719" s="96"/>
      <c r="X719" s="96"/>
      <c r="Y719" s="96"/>
    </row>
    <row r="720" ht="26.25" customHeight="1">
      <c r="A720" s="96" t="str">
        <f>IFERROR(__xludf.DUMMYFUNCTION("""COMPUTED_VALUE"""),"Sunkari Chitra Deepika")</f>
        <v>Sunkari Chitra Deepika</v>
      </c>
      <c r="B720" s="96" t="str">
        <f>IFERROR(__xludf.DUMMYFUNCTION("""COMPUTED_VALUE"""),"19331A05G5")</f>
        <v>19331A05G5</v>
      </c>
      <c r="C720" s="97" t="str">
        <f>IFERROR(__xludf.DUMMYFUNCTION("""COMPUTED_VALUE"""),"PCAP:Programming Essentials in Python")</f>
        <v>PCAP:Programming Essentials in Python</v>
      </c>
      <c r="D720" s="96" t="str">
        <f>IFERROR(__xludf.DUMMYFUNCTION("""COMPUTED_VALUE"""),"Python Institute")</f>
        <v>Python Institute</v>
      </c>
      <c r="E720" s="96" t="str">
        <f>IFERROR(__xludf.DUMMYFUNCTION("""COMPUTED_VALUE"""),"3 months")</f>
        <v>3 months</v>
      </c>
      <c r="F720" s="98">
        <f>IFERROR(__xludf.DUMMYFUNCTION("""COMPUTED_VALUE"""),44179.0)</f>
        <v>44179</v>
      </c>
      <c r="G720" s="98">
        <f>IFERROR(__xludf.DUMMYFUNCTION("""COMPUTED_VALUE"""),44269.0)</f>
        <v>44269</v>
      </c>
      <c r="H720" s="99">
        <f>IFERROR(__xludf.DUMMYFUNCTION("""COMPUTED_VALUE"""),44269.0)</f>
        <v>44269</v>
      </c>
      <c r="I720" s="100">
        <f>IFERROR(__xludf.DUMMYFUNCTION("""COMPUTED_VALUE"""),1.0)</f>
        <v>1</v>
      </c>
      <c r="J720" s="96" t="str">
        <f>IFERROR(__xludf.DUMMYFUNCTION("""COMPUTED_VALUE"""),"M.Beulah Rani")</f>
        <v>M.Beulah Rani</v>
      </c>
      <c r="K720" s="101" t="str">
        <f>IFERROR(__xludf.DUMMYFUNCTION("""COMPUTED_VALUE"""),"https://drive.google.com/open?id=1EocVnEM9sP_w7DoBDygmQvxjO9-2YpFL")</f>
        <v>https://drive.google.com/open?id=1EocVnEM9sP_w7DoBDygmQvxjO9-2YpFL</v>
      </c>
      <c r="L720" s="96" t="str">
        <f>IFERROR(__xludf.DUMMYFUNCTION("""COMPUTED_VALUE"""),"2019-2023")</f>
        <v>2019-2023</v>
      </c>
      <c r="M720" s="96" t="str">
        <f>IFERROR(__xludf.DUMMYFUNCTION("""COMPUTED_VALUE"""),"S4: Student Certifications")</f>
        <v>S4: Student Certifications</v>
      </c>
      <c r="N720" s="96" t="str">
        <f>IFERROR(__xludf.DUMMYFUNCTION("""COMPUTED_VALUE"""),"chitradeepika3124@gmail.com")</f>
        <v>chitradeepika3124@gmail.com</v>
      </c>
      <c r="O720" s="96" t="str">
        <f>IFERROR(__xludf.DUMMYFUNCTION("""COMPUTED_VALUE"""),"SEM-6")</f>
        <v>SEM-6</v>
      </c>
      <c r="P720" s="96"/>
      <c r="Q720" s="96"/>
      <c r="R720" s="96"/>
      <c r="S720" s="96"/>
      <c r="T720" s="96"/>
      <c r="U720" s="96"/>
      <c r="V720" s="96"/>
      <c r="W720" s="96"/>
      <c r="X720" s="96"/>
      <c r="Y720" s="96"/>
    </row>
    <row r="721" ht="26.25" customHeight="1">
      <c r="A721" s="96" t="str">
        <f>IFERROR(__xludf.DUMMYFUNCTION("""COMPUTED_VALUE"""),"Mohammed Aquib Akthar ")</f>
        <v>Mohammed Aquib Akthar </v>
      </c>
      <c r="B721" s="96" t="str">
        <f>IFERROR(__xludf.DUMMYFUNCTION("""COMPUTED_VALUE"""),"19331A05A6")</f>
        <v>19331A05A6</v>
      </c>
      <c r="C721" s="97" t="str">
        <f>IFERROR(__xludf.DUMMYFUNCTION("""COMPUTED_VALUE"""),"Communication skills ")</f>
        <v>Communication skills </v>
      </c>
      <c r="D721" s="96" t="str">
        <f>IFERROR(__xludf.DUMMYFUNCTION("""COMPUTED_VALUE"""),"TCS iON digital ")</f>
        <v>TCS iON digital </v>
      </c>
      <c r="E721" s="96" t="str">
        <f>IFERROR(__xludf.DUMMYFUNCTION("""COMPUTED_VALUE"""),"1 day")</f>
        <v>1 day</v>
      </c>
      <c r="F721" s="98">
        <f>IFERROR(__xludf.DUMMYFUNCTION("""COMPUTED_VALUE"""),44088.0)</f>
        <v>44088</v>
      </c>
      <c r="G721" s="98">
        <f>IFERROR(__xludf.DUMMYFUNCTION("""COMPUTED_VALUE"""),44089.0)</f>
        <v>44089</v>
      </c>
      <c r="H721" s="99">
        <f>IFERROR(__xludf.DUMMYFUNCTION("""COMPUTED_VALUE"""),44089.0)</f>
        <v>44089</v>
      </c>
      <c r="I721" s="100">
        <f>IFERROR(__xludf.DUMMYFUNCTION("""COMPUTED_VALUE"""),75.0)</f>
        <v>75</v>
      </c>
      <c r="J721" s="96" t="str">
        <f>IFERROR(__xludf.DUMMYFUNCTION("""COMPUTED_VALUE"""),"iON digital learning hub ")</f>
        <v>iON digital learning hub </v>
      </c>
      <c r="K721" s="101" t="str">
        <f>IFERROR(__xludf.DUMMYFUNCTION("""COMPUTED_VALUE"""),"https://drive.google.com/open?id=1OqHB01rDg_5MztNpBhx4vizzIR3Mrrbb")</f>
        <v>https://drive.google.com/open?id=1OqHB01rDg_5MztNpBhx4vizzIR3Mrrbb</v>
      </c>
      <c r="L721" s="96" t="str">
        <f>IFERROR(__xludf.DUMMYFUNCTION("""COMPUTED_VALUE"""),"2019-2023")</f>
        <v>2019-2023</v>
      </c>
      <c r="M721" s="96" t="str">
        <f>IFERROR(__xludf.DUMMYFUNCTION("""COMPUTED_VALUE"""),"S4: Student Certifications")</f>
        <v>S4: Student Certifications</v>
      </c>
      <c r="N721" s="96" t="str">
        <f>IFERROR(__xludf.DUMMYFUNCTION("""COMPUTED_VALUE"""),"aquibakthar14@gmail.com")</f>
        <v>aquibakthar14@gmail.com</v>
      </c>
      <c r="O721" s="96" t="str">
        <f>IFERROR(__xludf.DUMMYFUNCTION("""COMPUTED_VALUE"""),"SEM-6")</f>
        <v>SEM-6</v>
      </c>
      <c r="P721" s="96"/>
      <c r="Q721" s="96"/>
      <c r="R721" s="96"/>
      <c r="S721" s="96"/>
      <c r="T721" s="96"/>
      <c r="U721" s="96"/>
      <c r="V721" s="96"/>
      <c r="W721" s="96"/>
      <c r="X721" s="96"/>
      <c r="Y721" s="96"/>
    </row>
    <row r="722" ht="26.25" customHeight="1">
      <c r="A722" s="96" t="str">
        <f>IFERROR(__xludf.DUMMYFUNCTION("""COMPUTED_VALUE"""),"PACHIGOLLA BALAJI")</f>
        <v>PACHIGOLLA BALAJI</v>
      </c>
      <c r="B722" s="96" t="str">
        <f>IFERROR(__xludf.DUMMYFUNCTION("""COMPUTED_VALUE"""),"19331A05C3")</f>
        <v>19331A05C3</v>
      </c>
      <c r="C722" s="97" t="str">
        <f>IFERROR(__xludf.DUMMYFUNCTION("""COMPUTED_VALUE"""),"AI FOR EVERYONE")</f>
        <v>AI FOR EVERYONE</v>
      </c>
      <c r="D722" s="96" t="str">
        <f>IFERROR(__xludf.DUMMYFUNCTION("""COMPUTED_VALUE"""),"COURSERA")</f>
        <v>COURSERA</v>
      </c>
      <c r="E722" s="96" t="str">
        <f>IFERROR(__xludf.DUMMYFUNCTION("""COMPUTED_VALUE"""),"2 MONTHS")</f>
        <v>2 MONTHS</v>
      </c>
      <c r="F722" s="98">
        <f>IFERROR(__xludf.DUMMYFUNCTION("""COMPUTED_VALUE"""),44168.0)</f>
        <v>44168</v>
      </c>
      <c r="G722" s="98">
        <f>IFERROR(__xludf.DUMMYFUNCTION("""COMPUTED_VALUE"""),43968.0)</f>
        <v>43968</v>
      </c>
      <c r="H722" s="99">
        <f>IFERROR(__xludf.DUMMYFUNCTION("""COMPUTED_VALUE"""),43967.0)</f>
        <v>43967</v>
      </c>
      <c r="I722" s="100">
        <f>IFERROR(__xludf.DUMMYFUNCTION("""COMPUTED_VALUE"""),85.0)</f>
        <v>85</v>
      </c>
      <c r="J722" s="96" t="str">
        <f>IFERROR(__xludf.DUMMYFUNCTION("""COMPUTED_VALUE"""),"ANDREW NG")</f>
        <v>ANDREW NG</v>
      </c>
      <c r="K722" s="101" t="str">
        <f>IFERROR(__xludf.DUMMYFUNCTION("""COMPUTED_VALUE"""),"https://drive.google.com/open?id=1SjeF4xeORfw9S-CVAsjw1BuXZQYic78r")</f>
        <v>https://drive.google.com/open?id=1SjeF4xeORfw9S-CVAsjw1BuXZQYic78r</v>
      </c>
      <c r="L722" s="96" t="str">
        <f>IFERROR(__xludf.DUMMYFUNCTION("""COMPUTED_VALUE"""),"2019-2023")</f>
        <v>2019-2023</v>
      </c>
      <c r="M722" s="96" t="str">
        <f>IFERROR(__xludf.DUMMYFUNCTION("""COMPUTED_VALUE"""),"S4: Student Certifications")</f>
        <v>S4: Student Certifications</v>
      </c>
      <c r="N722" s="96" t="str">
        <f>IFERROR(__xludf.DUMMYFUNCTION("""COMPUTED_VALUE"""),"balajipachigolla2430@gmail.com")</f>
        <v>balajipachigolla2430@gmail.com</v>
      </c>
      <c r="O722" s="96" t="str">
        <f>IFERROR(__xludf.DUMMYFUNCTION("""COMPUTED_VALUE"""),"SEM-6")</f>
        <v>SEM-6</v>
      </c>
      <c r="P722" s="96"/>
      <c r="Q722" s="96"/>
      <c r="R722" s="96"/>
      <c r="S722" s="96"/>
      <c r="T722" s="96"/>
      <c r="U722" s="96"/>
      <c r="V722" s="96"/>
      <c r="W722" s="96"/>
      <c r="X722" s="96"/>
      <c r="Y722" s="96"/>
    </row>
    <row r="723" ht="26.25" customHeight="1">
      <c r="A723" s="96" t="str">
        <f>IFERROR(__xludf.DUMMYFUNCTION("""COMPUTED_VALUE"""),"ANJANI ROUTHU")</f>
        <v>ANJANI ROUTHU</v>
      </c>
      <c r="B723" s="96" t="str">
        <f>IFERROR(__xludf.DUMMYFUNCTION("""COMPUTED_VALUE"""),"20335A0515")</f>
        <v>20335A0515</v>
      </c>
      <c r="C723" s="97" t="str">
        <f>IFERROR(__xludf.DUMMYFUNCTION("""COMPUTED_VALUE"""),"Master Class on Data Science and Analytics ")</f>
        <v>Master Class on Data Science and Analytics </v>
      </c>
      <c r="D723" s="96" t="str">
        <f>IFERROR(__xludf.DUMMYFUNCTION("""COMPUTED_VALUE"""),"Pantech e Learning ")</f>
        <v>Pantech e Learning </v>
      </c>
      <c r="E723" s="96" t="str">
        <f>IFERROR(__xludf.DUMMYFUNCTION("""COMPUTED_VALUE"""),"1 month")</f>
        <v>1 month</v>
      </c>
      <c r="F723" s="98">
        <f>IFERROR(__xludf.DUMMYFUNCTION("""COMPUTED_VALUE"""),44581.0)</f>
        <v>44581</v>
      </c>
      <c r="G723" s="98">
        <f>IFERROR(__xludf.DUMMYFUNCTION("""COMPUTED_VALUE"""),44610.0)</f>
        <v>44610</v>
      </c>
      <c r="H723" s="99">
        <f>IFERROR(__xludf.DUMMYFUNCTION("""COMPUTED_VALUE"""),44610.0)</f>
        <v>44610</v>
      </c>
      <c r="I723" s="100">
        <f>IFERROR(__xludf.DUMMYFUNCTION("""COMPUTED_VALUE"""),100.0)</f>
        <v>100</v>
      </c>
      <c r="J723" s="96" t="str">
        <f>IFERROR(__xludf.DUMMYFUNCTION("""COMPUTED_VALUE"""),"M.Malaiappan")</f>
        <v>M.Malaiappan</v>
      </c>
      <c r="K723" s="101" t="str">
        <f>IFERROR(__xludf.DUMMYFUNCTION("""COMPUTED_VALUE"""),"https://drive.google.com/open?id=129owwUH0VxCOTk4qz7qOEXMXyAdr4xqS")</f>
        <v>https://drive.google.com/open?id=129owwUH0VxCOTk4qz7qOEXMXyAdr4xqS</v>
      </c>
      <c r="L723" s="96" t="str">
        <f>IFERROR(__xludf.DUMMYFUNCTION("""COMPUTED_VALUE"""),"2019-2023")</f>
        <v>2019-2023</v>
      </c>
      <c r="M723" s="96" t="str">
        <f>IFERROR(__xludf.DUMMYFUNCTION("""COMPUTED_VALUE"""),"S4: Student Certifications")</f>
        <v>S4: Student Certifications</v>
      </c>
      <c r="N723" s="96" t="str">
        <f>IFERROR(__xludf.DUMMYFUNCTION("""COMPUTED_VALUE"""),"anjanirouthu@gmail.com")</f>
        <v>anjanirouthu@gmail.com</v>
      </c>
      <c r="O723" s="96" t="str">
        <f>IFERROR(__xludf.DUMMYFUNCTION("""COMPUTED_VALUE"""),"SEM-6")</f>
        <v>SEM-6</v>
      </c>
      <c r="P723" s="96"/>
      <c r="Q723" s="96"/>
      <c r="R723" s="96"/>
      <c r="S723" s="96"/>
      <c r="T723" s="96"/>
      <c r="U723" s="96"/>
      <c r="V723" s="96"/>
      <c r="W723" s="96"/>
      <c r="X723" s="96"/>
      <c r="Y723" s="96"/>
    </row>
    <row r="724" ht="26.25" customHeight="1">
      <c r="A724" s="96" t="str">
        <f>IFERROR(__xludf.DUMMYFUNCTION("""COMPUTED_VALUE"""),"Sunkari Chitra Deepika")</f>
        <v>Sunkari Chitra Deepika</v>
      </c>
      <c r="B724" s="96" t="str">
        <f>IFERROR(__xludf.DUMMYFUNCTION("""COMPUTED_VALUE"""),"19331A05G5")</f>
        <v>19331A05G5</v>
      </c>
      <c r="C724" s="97" t="str">
        <f>IFERROR(__xludf.DUMMYFUNCTION("""COMPUTED_VALUE"""),"NDG Linux Unhatched")</f>
        <v>NDG Linux Unhatched</v>
      </c>
      <c r="D724" s="96" t="str">
        <f>IFERROR(__xludf.DUMMYFUNCTION("""COMPUTED_VALUE"""),"NDG")</f>
        <v>NDG</v>
      </c>
      <c r="E724" s="96" t="str">
        <f>IFERROR(__xludf.DUMMYFUNCTION("""COMPUTED_VALUE"""),"1 month")</f>
        <v>1 month</v>
      </c>
      <c r="F724" s="98">
        <f>IFERROR(__xludf.DUMMYFUNCTION("""COMPUTED_VALUE"""),44635.0)</f>
        <v>44635</v>
      </c>
      <c r="G724" s="98">
        <f>IFERROR(__xludf.DUMMYFUNCTION("""COMPUTED_VALUE"""),44666.0)</f>
        <v>44666</v>
      </c>
      <c r="H724" s="99">
        <f>IFERROR(__xludf.DUMMYFUNCTION("""COMPUTED_VALUE"""),44666.0)</f>
        <v>44666</v>
      </c>
      <c r="I724" s="100">
        <f>IFERROR(__xludf.DUMMYFUNCTION("""COMPUTED_VALUE"""),1.0)</f>
        <v>1</v>
      </c>
      <c r="J724" s="96" t="str">
        <f>IFERROR(__xludf.DUMMYFUNCTION("""COMPUTED_VALUE"""),"NDG Team")</f>
        <v>NDG Team</v>
      </c>
      <c r="K724" s="101" t="str">
        <f>IFERROR(__xludf.DUMMYFUNCTION("""COMPUTED_VALUE"""),"https://drive.google.com/open?id=1zITGvXqcKyJIeR_xEGYYSQnNsmJXWmO2")</f>
        <v>https://drive.google.com/open?id=1zITGvXqcKyJIeR_xEGYYSQnNsmJXWmO2</v>
      </c>
      <c r="L724" s="96" t="str">
        <f>IFERROR(__xludf.DUMMYFUNCTION("""COMPUTED_VALUE"""),"2019-2023")</f>
        <v>2019-2023</v>
      </c>
      <c r="M724" s="96" t="str">
        <f>IFERROR(__xludf.DUMMYFUNCTION("""COMPUTED_VALUE"""),"S4: Student Certifications")</f>
        <v>S4: Student Certifications</v>
      </c>
      <c r="N724" s="96" t="str">
        <f>IFERROR(__xludf.DUMMYFUNCTION("""COMPUTED_VALUE"""),"chitradeepika3124@gmail.com")</f>
        <v>chitradeepika3124@gmail.com</v>
      </c>
      <c r="O724" s="96" t="str">
        <f>IFERROR(__xludf.DUMMYFUNCTION("""COMPUTED_VALUE"""),"SEM-6")</f>
        <v>SEM-6</v>
      </c>
      <c r="P724" s="96"/>
      <c r="Q724" s="96"/>
      <c r="R724" s="96"/>
      <c r="S724" s="96"/>
      <c r="T724" s="96"/>
      <c r="U724" s="96"/>
      <c r="V724" s="96"/>
      <c r="W724" s="96"/>
      <c r="X724" s="96"/>
      <c r="Y724" s="96"/>
    </row>
    <row r="725" ht="26.25" customHeight="1">
      <c r="A725" s="96" t="str">
        <f>IFERROR(__xludf.DUMMYFUNCTION("""COMPUTED_VALUE"""),"Mandhapati Jagannadha Rohit Varma ")</f>
        <v>Mandhapati Jagannadha Rohit Varma </v>
      </c>
      <c r="B725" s="96" t="str">
        <f>IFERROR(__xludf.DUMMYFUNCTION("""COMPUTED_VALUE"""),"19331A05A3")</f>
        <v>19331A05A3</v>
      </c>
      <c r="C725" s="97" t="str">
        <f>IFERROR(__xludf.DUMMYFUNCTION("""COMPUTED_VALUE"""),"Data Structures in C")</f>
        <v>Data Structures in C</v>
      </c>
      <c r="D725" s="96" t="str">
        <f>IFERROR(__xludf.DUMMYFUNCTION("""COMPUTED_VALUE"""),"Great Learning ")</f>
        <v>Great Learning </v>
      </c>
      <c r="E725" s="96" t="str">
        <f>IFERROR(__xludf.DUMMYFUNCTION("""COMPUTED_VALUE"""),"2 months")</f>
        <v>2 months</v>
      </c>
      <c r="F725" s="98">
        <f>IFERROR(__xludf.DUMMYFUNCTION("""COMPUTED_VALUE"""),44287.0)</f>
        <v>44287</v>
      </c>
      <c r="G725" s="98">
        <f>IFERROR(__xludf.DUMMYFUNCTION("""COMPUTED_VALUE"""),44347.0)</f>
        <v>44347</v>
      </c>
      <c r="H725" s="99">
        <f>IFERROR(__xludf.DUMMYFUNCTION("""COMPUTED_VALUE"""),44347.0)</f>
        <v>44347</v>
      </c>
      <c r="I725" s="100">
        <f>IFERROR(__xludf.DUMMYFUNCTION("""COMPUTED_VALUE"""),80.0)</f>
        <v>80</v>
      </c>
      <c r="J725" s="96" t="str">
        <f>IFERROR(__xludf.DUMMYFUNCTION("""COMPUTED_VALUE"""),"None")</f>
        <v>None</v>
      </c>
      <c r="K725" s="101" t="str">
        <f>IFERROR(__xludf.DUMMYFUNCTION("""COMPUTED_VALUE"""),"https://drive.google.com/open?id=1S1YUmxch96HphNIcefpawwLX_YicxyDV")</f>
        <v>https://drive.google.com/open?id=1S1YUmxch96HphNIcefpawwLX_YicxyDV</v>
      </c>
      <c r="L725" s="96" t="str">
        <f>IFERROR(__xludf.DUMMYFUNCTION("""COMPUTED_VALUE"""),"2019-2023")</f>
        <v>2019-2023</v>
      </c>
      <c r="M725" s="96" t="str">
        <f>IFERROR(__xludf.DUMMYFUNCTION("""COMPUTED_VALUE"""),"S4: Student Certifications")</f>
        <v>S4: Student Certifications</v>
      </c>
      <c r="N725" s="96" t="str">
        <f>IFERROR(__xludf.DUMMYFUNCTION("""COMPUTED_VALUE"""),"rohitvarmaanrk@gmail.com")</f>
        <v>rohitvarmaanrk@gmail.com</v>
      </c>
      <c r="O725" s="96" t="str">
        <f>IFERROR(__xludf.DUMMYFUNCTION("""COMPUTED_VALUE"""),"SEM-6")</f>
        <v>SEM-6</v>
      </c>
      <c r="P725" s="96"/>
      <c r="Q725" s="96"/>
      <c r="R725" s="96"/>
      <c r="S725" s="96"/>
      <c r="T725" s="96"/>
      <c r="U725" s="96"/>
      <c r="V725" s="96"/>
      <c r="W725" s="96"/>
      <c r="X725" s="96"/>
      <c r="Y725" s="96"/>
    </row>
    <row r="726" ht="26.25" customHeight="1">
      <c r="A726" s="96" t="str">
        <f>IFERROR(__xludf.DUMMYFUNCTION("""COMPUTED_VALUE"""),"Uda Devi Sri Naga Sri Varshini")</f>
        <v>Uda Devi Sri Naga Sri Varshini</v>
      </c>
      <c r="B726" s="96" t="str">
        <f>IFERROR(__xludf.DUMMYFUNCTION("""COMPUTED_VALUE"""),"19331A05H6")</f>
        <v>19331A05H6</v>
      </c>
      <c r="C726" s="97" t="str">
        <f>IFERROR(__xludf.DUMMYFUNCTION("""COMPUTED_VALUE"""),"AI for Everyone")</f>
        <v>AI for Everyone</v>
      </c>
      <c r="D726" s="96" t="str">
        <f>IFERROR(__xludf.DUMMYFUNCTION("""COMPUTED_VALUE"""),"Coursera")</f>
        <v>Coursera</v>
      </c>
      <c r="E726" s="96" t="str">
        <f>IFERROR(__xludf.DUMMYFUNCTION("""COMPUTED_VALUE"""),"4 weeks")</f>
        <v>4 weeks</v>
      </c>
      <c r="F726" s="98">
        <f>IFERROR(__xludf.DUMMYFUNCTION("""COMPUTED_VALUE"""),44031.0)</f>
        <v>44031</v>
      </c>
      <c r="G726" s="98">
        <f>IFERROR(__xludf.DUMMYFUNCTION("""COMPUTED_VALUE"""),44031.0)</f>
        <v>44031</v>
      </c>
      <c r="H726" s="99">
        <f>IFERROR(__xludf.DUMMYFUNCTION("""COMPUTED_VALUE"""),44031.0)</f>
        <v>44031</v>
      </c>
      <c r="I726" s="100"/>
      <c r="J726" s="96" t="str">
        <f>IFERROR(__xludf.DUMMYFUNCTION("""COMPUTED_VALUE"""),"Coursera")</f>
        <v>Coursera</v>
      </c>
      <c r="K726" s="101" t="str">
        <f>IFERROR(__xludf.DUMMYFUNCTION("""COMPUTED_VALUE"""),"https://drive.google.com/open?id=1YyiymkYA8ZR0D3xZYhxefKHl59n0eyBK")</f>
        <v>https://drive.google.com/open?id=1YyiymkYA8ZR0D3xZYhxefKHl59n0eyBK</v>
      </c>
      <c r="L726" s="96" t="str">
        <f>IFERROR(__xludf.DUMMYFUNCTION("""COMPUTED_VALUE"""),"2019-2023")</f>
        <v>2019-2023</v>
      </c>
      <c r="M726" s="96" t="str">
        <f>IFERROR(__xludf.DUMMYFUNCTION("""COMPUTED_VALUE"""),"S4: Student Certifications")</f>
        <v>S4: Student Certifications</v>
      </c>
      <c r="N726" s="96" t="str">
        <f>IFERROR(__xludf.DUMMYFUNCTION("""COMPUTED_VALUE"""),"udasrivarshini@gmail.com")</f>
        <v>udasrivarshini@gmail.com</v>
      </c>
      <c r="O726" s="96" t="str">
        <f>IFERROR(__xludf.DUMMYFUNCTION("""COMPUTED_VALUE"""),"SEM-6")</f>
        <v>SEM-6</v>
      </c>
      <c r="P726" s="96"/>
      <c r="Q726" s="96"/>
      <c r="R726" s="96"/>
      <c r="S726" s="96"/>
      <c r="T726" s="96"/>
      <c r="U726" s="96"/>
      <c r="V726" s="96"/>
      <c r="W726" s="96"/>
      <c r="X726" s="96"/>
      <c r="Y726" s="96"/>
    </row>
    <row r="727" ht="26.25" customHeight="1">
      <c r="A727" s="96" t="str">
        <f>IFERROR(__xludf.DUMMYFUNCTION("""COMPUTED_VALUE"""),"T HARI KRISHNA PRIYA")</f>
        <v>T HARI KRISHNA PRIYA</v>
      </c>
      <c r="B727" s="96" t="str">
        <f>IFERROR(__xludf.DUMMYFUNCTION("""COMPUTED_VALUE"""),"19331A05H4")</f>
        <v>19331A05H4</v>
      </c>
      <c r="C727" s="97" t="str">
        <f>IFERROR(__xludf.DUMMYFUNCTION("""COMPUTED_VALUE"""),"Crash Course on Python")</f>
        <v>Crash Course on Python</v>
      </c>
      <c r="D727" s="96" t="str">
        <f>IFERROR(__xludf.DUMMYFUNCTION("""COMPUTED_VALUE"""),"Google")</f>
        <v>Google</v>
      </c>
      <c r="E727" s="96" t="str">
        <f>IFERROR(__xludf.DUMMYFUNCTION("""COMPUTED_VALUE"""),"19 hours")</f>
        <v>19 hours</v>
      </c>
      <c r="F727" s="98">
        <f>IFERROR(__xludf.DUMMYFUNCTION("""COMPUTED_VALUE"""),44044.0)</f>
        <v>44044</v>
      </c>
      <c r="G727" s="98">
        <f>IFERROR(__xludf.DUMMYFUNCTION("""COMPUTED_VALUE"""),44101.0)</f>
        <v>44101</v>
      </c>
      <c r="H727" s="99">
        <f>IFERROR(__xludf.DUMMYFUNCTION("""COMPUTED_VALUE"""),44101.0)</f>
        <v>44101</v>
      </c>
      <c r="I727" s="100">
        <f>IFERROR(__xludf.DUMMYFUNCTION("""COMPUTED_VALUE"""),0.95)</f>
        <v>0.95</v>
      </c>
      <c r="J727" s="96" t="str">
        <f>IFERROR(__xludf.DUMMYFUNCTION("""COMPUTED_VALUE"""),"Coursera")</f>
        <v>Coursera</v>
      </c>
      <c r="K727" s="101" t="str">
        <f>IFERROR(__xludf.DUMMYFUNCTION("""COMPUTED_VALUE"""),"https://drive.google.com/open?id=1cm2cLKOBYM9aESCauWummU9vxVgExTmL")</f>
        <v>https://drive.google.com/open?id=1cm2cLKOBYM9aESCauWummU9vxVgExTmL</v>
      </c>
      <c r="L727" s="96" t="str">
        <f>IFERROR(__xludf.DUMMYFUNCTION("""COMPUTED_VALUE"""),"2019-2023")</f>
        <v>2019-2023</v>
      </c>
      <c r="M727" s="96" t="str">
        <f>IFERROR(__xludf.DUMMYFUNCTION("""COMPUTED_VALUE"""),"S4: Student Certifications")</f>
        <v>S4: Student Certifications</v>
      </c>
      <c r="N727" s="96" t="str">
        <f>IFERROR(__xludf.DUMMYFUNCTION("""COMPUTED_VALUE"""),"harikpriyatirumalaraju@gmail.com")</f>
        <v>harikpriyatirumalaraju@gmail.com</v>
      </c>
      <c r="O727" s="96" t="str">
        <f>IFERROR(__xludf.DUMMYFUNCTION("""COMPUTED_VALUE"""),"SEM-6")</f>
        <v>SEM-6</v>
      </c>
      <c r="P727" s="96"/>
      <c r="Q727" s="96"/>
      <c r="R727" s="96"/>
      <c r="S727" s="96"/>
      <c r="T727" s="96"/>
      <c r="U727" s="96"/>
      <c r="V727" s="96"/>
      <c r="W727" s="96"/>
      <c r="X727" s="96"/>
      <c r="Y727" s="96"/>
    </row>
    <row r="728" ht="26.25" customHeight="1">
      <c r="A728" s="96" t="str">
        <f>IFERROR(__xludf.DUMMYFUNCTION("""COMPUTED_VALUE"""),"Nagaraboina Kirite")</f>
        <v>Nagaraboina Kirite</v>
      </c>
      <c r="B728" s="96" t="str">
        <f>IFERROR(__xludf.DUMMYFUNCTION("""COMPUTED_VALUE"""),"19331A05B3")</f>
        <v>19331A05B3</v>
      </c>
      <c r="C728" s="97" t="str">
        <f>IFERROR(__xludf.DUMMYFUNCTION("""COMPUTED_VALUE"""),"Program essentials in C")</f>
        <v>Program essentials in C</v>
      </c>
      <c r="D728" s="96" t="str">
        <f>IFERROR(__xludf.DUMMYFUNCTION("""COMPUTED_VALUE"""),"Cisco")</f>
        <v>Cisco</v>
      </c>
      <c r="E728" s="96" t="str">
        <f>IFERROR(__xludf.DUMMYFUNCTION("""COMPUTED_VALUE"""),"1month")</f>
        <v>1month</v>
      </c>
      <c r="F728" s="98">
        <f>IFERROR(__xludf.DUMMYFUNCTION("""COMPUTED_VALUE"""),44321.0)</f>
        <v>44321</v>
      </c>
      <c r="G728" s="98">
        <f>IFERROR(__xludf.DUMMYFUNCTION("""COMPUTED_VALUE"""),44352.0)</f>
        <v>44352</v>
      </c>
      <c r="H728" s="99">
        <f>IFERROR(__xludf.DUMMYFUNCTION("""COMPUTED_VALUE"""),44352.0)</f>
        <v>44352</v>
      </c>
      <c r="I728" s="100">
        <f>IFERROR(__xludf.DUMMYFUNCTION("""COMPUTED_VALUE"""),75.0)</f>
        <v>75</v>
      </c>
      <c r="J728" s="96" t="str">
        <f>IFERROR(__xludf.DUMMYFUNCTION("""COMPUTED_VALUE"""),"Dr.RAVI KIRAN VARMA PENMATSA")</f>
        <v>Dr.RAVI KIRAN VARMA PENMATSA</v>
      </c>
      <c r="K728" s="101" t="str">
        <f>IFERROR(__xludf.DUMMYFUNCTION("""COMPUTED_VALUE"""),"https://drive.google.com/open?id=1BHw8BjEpBXHUs5R3Kq_-7L745Lzd72vn")</f>
        <v>https://drive.google.com/open?id=1BHw8BjEpBXHUs5R3Kq_-7L745Lzd72vn</v>
      </c>
      <c r="L728" s="96" t="str">
        <f>IFERROR(__xludf.DUMMYFUNCTION("""COMPUTED_VALUE"""),"2019-2023")</f>
        <v>2019-2023</v>
      </c>
      <c r="M728" s="96" t="str">
        <f>IFERROR(__xludf.DUMMYFUNCTION("""COMPUTED_VALUE"""),"S4: Student Certifications")</f>
        <v>S4: Student Certifications</v>
      </c>
      <c r="N728" s="96" t="str">
        <f>IFERROR(__xludf.DUMMYFUNCTION("""COMPUTED_VALUE"""),"kiriteyashu@gmail.com")</f>
        <v>kiriteyashu@gmail.com</v>
      </c>
      <c r="O728" s="96" t="str">
        <f>IFERROR(__xludf.DUMMYFUNCTION("""COMPUTED_VALUE"""),"SEM-6")</f>
        <v>SEM-6</v>
      </c>
      <c r="P728" s="96"/>
      <c r="Q728" s="96"/>
      <c r="R728" s="96"/>
      <c r="S728" s="96"/>
      <c r="T728" s="96"/>
      <c r="U728" s="96"/>
      <c r="V728" s="96"/>
      <c r="W728" s="96"/>
      <c r="X728" s="96"/>
      <c r="Y728" s="96"/>
    </row>
    <row r="729" ht="26.25" customHeight="1">
      <c r="A729" s="96" t="str">
        <f>IFERROR(__xludf.DUMMYFUNCTION("""COMPUTED_VALUE"""),"PALAVALASA DEEPAK")</f>
        <v>PALAVALASA DEEPAK</v>
      </c>
      <c r="B729" s="96" t="str">
        <f>IFERROR(__xludf.DUMMYFUNCTION("""COMPUTED_VALUE"""),"19331A05C4")</f>
        <v>19331A05C4</v>
      </c>
      <c r="C729" s="97" t="str">
        <f>IFERROR(__xludf.DUMMYFUNCTION("""COMPUTED_VALUE"""),"MACHINE LEARNING MASTER CLASS")</f>
        <v>MACHINE LEARNING MASTER CLASS</v>
      </c>
      <c r="D729" s="96" t="str">
        <f>IFERROR(__xludf.DUMMYFUNCTION("""COMPUTED_VALUE"""),"APSSDC")</f>
        <v>APSSDC</v>
      </c>
      <c r="E729" s="96" t="str">
        <f>IFERROR(__xludf.DUMMYFUNCTION("""COMPUTED_VALUE"""),"30 days")</f>
        <v>30 days</v>
      </c>
      <c r="F729" s="98">
        <f>IFERROR(__xludf.DUMMYFUNCTION("""COMPUTED_VALUE"""),44515.0)</f>
        <v>44515</v>
      </c>
      <c r="G729" s="98">
        <f>IFERROR(__xludf.DUMMYFUNCTION("""COMPUTED_VALUE"""),44544.0)</f>
        <v>44544</v>
      </c>
      <c r="H729" s="99">
        <f>IFERROR(__xludf.DUMMYFUNCTION("""COMPUTED_VALUE"""),44544.0)</f>
        <v>44544</v>
      </c>
      <c r="I729" s="100"/>
      <c r="J729" s="96" t="str">
        <f>IFERROR(__xludf.DUMMYFUNCTION("""COMPUTED_VALUE"""),"PANTECH E LEARNING")</f>
        <v>PANTECH E LEARNING</v>
      </c>
      <c r="K729" s="101" t="str">
        <f>IFERROR(__xludf.DUMMYFUNCTION("""COMPUTED_VALUE"""),"https://drive.google.com/open?id=1kH3l3zXCk_l_dXilXOLFRAaEw7gkjU75")</f>
        <v>https://drive.google.com/open?id=1kH3l3zXCk_l_dXilXOLFRAaEw7gkjU75</v>
      </c>
      <c r="L729" s="96" t="str">
        <f>IFERROR(__xludf.DUMMYFUNCTION("""COMPUTED_VALUE"""),"2019-2023")</f>
        <v>2019-2023</v>
      </c>
      <c r="M729" s="96" t="str">
        <f>IFERROR(__xludf.DUMMYFUNCTION("""COMPUTED_VALUE"""),"S4: Student Certifications")</f>
        <v>S4: Student Certifications</v>
      </c>
      <c r="N729" s="96" t="str">
        <f>IFERROR(__xludf.DUMMYFUNCTION("""COMPUTED_VALUE"""),"palavalasadeepak@gmail.com")</f>
        <v>palavalasadeepak@gmail.com</v>
      </c>
      <c r="O729" s="96" t="str">
        <f>IFERROR(__xludf.DUMMYFUNCTION("""COMPUTED_VALUE"""),"SEM-6")</f>
        <v>SEM-6</v>
      </c>
      <c r="P729" s="96"/>
      <c r="Q729" s="96"/>
      <c r="R729" s="96"/>
      <c r="S729" s="96"/>
      <c r="T729" s="96"/>
      <c r="U729" s="96"/>
      <c r="V729" s="96"/>
      <c r="W729" s="96"/>
      <c r="X729" s="96"/>
      <c r="Y729" s="96"/>
    </row>
    <row r="730" ht="26.25" customHeight="1">
      <c r="A730" s="96" t="str">
        <f>IFERROR(__xludf.DUMMYFUNCTION("""COMPUTED_VALUE"""),"Mohammed Aquib Akthar ")</f>
        <v>Mohammed Aquib Akthar </v>
      </c>
      <c r="B730" s="96" t="str">
        <f>IFERROR(__xludf.DUMMYFUNCTION("""COMPUTED_VALUE"""),"19331A05A6")</f>
        <v>19331A05A6</v>
      </c>
      <c r="C730" s="97" t="str">
        <f>IFERROR(__xludf.DUMMYFUNCTION("""COMPUTED_VALUE"""),"Machine learning ")</f>
        <v>Machine learning </v>
      </c>
      <c r="D730" s="96" t="str">
        <f>IFERROR(__xludf.DUMMYFUNCTION("""COMPUTED_VALUE"""),"APSSDC")</f>
        <v>APSSDC</v>
      </c>
      <c r="E730" s="96" t="str">
        <f>IFERROR(__xludf.DUMMYFUNCTION("""COMPUTED_VALUE"""),"1 month ")</f>
        <v>1 month </v>
      </c>
      <c r="F730" s="98">
        <f>IFERROR(__xludf.DUMMYFUNCTION("""COMPUTED_VALUE"""),44515.0)</f>
        <v>44515</v>
      </c>
      <c r="G730" s="98">
        <f>IFERROR(__xludf.DUMMYFUNCTION("""COMPUTED_VALUE"""),44544.0)</f>
        <v>44544</v>
      </c>
      <c r="H730" s="99">
        <f>IFERROR(__xludf.DUMMYFUNCTION("""COMPUTED_VALUE"""),44544.0)</f>
        <v>44544</v>
      </c>
      <c r="I730" s="100">
        <f>IFERROR(__xludf.DUMMYFUNCTION("""COMPUTED_VALUE"""),75.0)</f>
        <v>75</v>
      </c>
      <c r="J730" s="96" t="str">
        <f>IFERROR(__xludf.DUMMYFUNCTION("""COMPUTED_VALUE"""),"Pantech e learning ")</f>
        <v>Pantech e learning </v>
      </c>
      <c r="K730" s="101" t="str">
        <f>IFERROR(__xludf.DUMMYFUNCTION("""COMPUTED_VALUE"""),"https://drive.google.com/open?id=1VAmVdk47HyNY2jpi1qugrLAwZlTr9mbA")</f>
        <v>https://drive.google.com/open?id=1VAmVdk47HyNY2jpi1qugrLAwZlTr9mbA</v>
      </c>
      <c r="L730" s="96" t="str">
        <f>IFERROR(__xludf.DUMMYFUNCTION("""COMPUTED_VALUE"""),"2019-2023")</f>
        <v>2019-2023</v>
      </c>
      <c r="M730" s="96" t="str">
        <f>IFERROR(__xludf.DUMMYFUNCTION("""COMPUTED_VALUE"""),"S4: Student Certifications")</f>
        <v>S4: Student Certifications</v>
      </c>
      <c r="N730" s="96" t="str">
        <f>IFERROR(__xludf.DUMMYFUNCTION("""COMPUTED_VALUE"""),"aquibakthar14@gmail.com")</f>
        <v>aquibakthar14@gmail.com</v>
      </c>
      <c r="O730" s="96" t="str">
        <f>IFERROR(__xludf.DUMMYFUNCTION("""COMPUTED_VALUE"""),"SEM-6")</f>
        <v>SEM-6</v>
      </c>
      <c r="P730" s="96"/>
      <c r="Q730" s="96"/>
      <c r="R730" s="96"/>
      <c r="S730" s="96"/>
      <c r="T730" s="96"/>
      <c r="U730" s="96"/>
      <c r="V730" s="96"/>
      <c r="W730" s="96"/>
      <c r="X730" s="96"/>
      <c r="Y730" s="96"/>
    </row>
    <row r="731" ht="26.25" customHeight="1">
      <c r="A731" s="96" t="str">
        <f>IFERROR(__xludf.DUMMYFUNCTION("""COMPUTED_VALUE"""),"PACHIGOLLA BALAJI")</f>
        <v>PACHIGOLLA BALAJI</v>
      </c>
      <c r="B731" s="96" t="str">
        <f>IFERROR(__xludf.DUMMYFUNCTION("""COMPUTED_VALUE"""),"19331A05C3")</f>
        <v>19331A05C3</v>
      </c>
      <c r="C731" s="97" t="str">
        <f>IFERROR(__xludf.DUMMYFUNCTION("""COMPUTED_VALUE"""),"CYBER CRIMES AND ITS PREVENTIVE MEASURES")</f>
        <v>CYBER CRIMES AND ITS PREVENTIVE MEASURES</v>
      </c>
      <c r="D731" s="96" t="str">
        <f>IFERROR(__xludf.DUMMYFUNCTION("""COMPUTED_VALUE"""),"UDEMY")</f>
        <v>UDEMY</v>
      </c>
      <c r="E731" s="96" t="str">
        <f>IFERROR(__xludf.DUMMYFUNCTION("""COMPUTED_VALUE"""),"1.5 HOURS")</f>
        <v>1.5 HOURS</v>
      </c>
      <c r="F731" s="98">
        <f>IFERROR(__xludf.DUMMYFUNCTION("""COMPUTED_VALUE"""),43973.0)</f>
        <v>43973</v>
      </c>
      <c r="G731" s="98">
        <f>IFERROR(__xludf.DUMMYFUNCTION("""COMPUTED_VALUE"""),44004.0)</f>
        <v>44004</v>
      </c>
      <c r="H731" s="99">
        <f>IFERROR(__xludf.DUMMYFUNCTION("""COMPUTED_VALUE"""),44004.0)</f>
        <v>44004</v>
      </c>
      <c r="I731" s="100">
        <f>IFERROR(__xludf.DUMMYFUNCTION("""COMPUTED_VALUE"""),85.0)</f>
        <v>85</v>
      </c>
      <c r="J731" s="96" t="str">
        <f>IFERROR(__xludf.DUMMYFUNCTION("""COMPUTED_VALUE"""),"RUPESH MITTAL")</f>
        <v>RUPESH MITTAL</v>
      </c>
      <c r="K731" s="101" t="str">
        <f>IFERROR(__xludf.DUMMYFUNCTION("""COMPUTED_VALUE"""),"https://drive.google.com/open?id=1hkrTRHP8Orig-lnkDNuGA2Pr-tRy5NC6")</f>
        <v>https://drive.google.com/open?id=1hkrTRHP8Orig-lnkDNuGA2Pr-tRy5NC6</v>
      </c>
      <c r="L731" s="96" t="str">
        <f>IFERROR(__xludf.DUMMYFUNCTION("""COMPUTED_VALUE"""),"2019-2023")</f>
        <v>2019-2023</v>
      </c>
      <c r="M731" s="96" t="str">
        <f>IFERROR(__xludf.DUMMYFUNCTION("""COMPUTED_VALUE"""),"S4: Student Certifications")</f>
        <v>S4: Student Certifications</v>
      </c>
      <c r="N731" s="96" t="str">
        <f>IFERROR(__xludf.DUMMYFUNCTION("""COMPUTED_VALUE"""),"balajipachigolla2430@gmail.com")</f>
        <v>balajipachigolla2430@gmail.com</v>
      </c>
      <c r="O731" s="96" t="str">
        <f>IFERROR(__xludf.DUMMYFUNCTION("""COMPUTED_VALUE"""),"SEM-6")</f>
        <v>SEM-6</v>
      </c>
      <c r="P731" s="96"/>
      <c r="Q731" s="96"/>
      <c r="R731" s="96"/>
      <c r="S731" s="96"/>
      <c r="T731" s="96"/>
      <c r="U731" s="96"/>
      <c r="V731" s="96"/>
      <c r="W731" s="96"/>
      <c r="X731" s="96"/>
      <c r="Y731" s="96"/>
    </row>
    <row r="732" ht="26.25" customHeight="1">
      <c r="A732" s="96" t="str">
        <f>IFERROR(__xludf.DUMMYFUNCTION("""COMPUTED_VALUE"""),"Piradhi Yaswanth kumar ")</f>
        <v>Piradhi Yaswanth kumar </v>
      </c>
      <c r="B732" s="96" t="str">
        <f>IFERROR(__xludf.DUMMYFUNCTION("""COMPUTED_VALUE"""),"20335A0514")</f>
        <v>20335A0514</v>
      </c>
      <c r="C732" s="97" t="str">
        <f>IFERROR(__xludf.DUMMYFUNCTION("""COMPUTED_VALUE"""),"Programming essentials in python")</f>
        <v>Programming essentials in python</v>
      </c>
      <c r="D732" s="96" t="str">
        <f>IFERROR(__xludf.DUMMYFUNCTION("""COMPUTED_VALUE"""),"Cisco")</f>
        <v>Cisco</v>
      </c>
      <c r="E732" s="96" t="str">
        <f>IFERROR(__xludf.DUMMYFUNCTION("""COMPUTED_VALUE"""),"3 months")</f>
        <v>3 months</v>
      </c>
      <c r="F732" s="98">
        <f>IFERROR(__xludf.DUMMYFUNCTION("""COMPUTED_VALUE"""),44213.0)</f>
        <v>44213</v>
      </c>
      <c r="G732" s="98">
        <f>IFERROR(__xludf.DUMMYFUNCTION("""COMPUTED_VALUE"""),44322.0)</f>
        <v>44322</v>
      </c>
      <c r="H732" s="99">
        <f>IFERROR(__xludf.DUMMYFUNCTION("""COMPUTED_VALUE"""),44322.0)</f>
        <v>44322</v>
      </c>
      <c r="I732" s="100">
        <f>IFERROR(__xludf.DUMMYFUNCTION("""COMPUTED_VALUE"""),90.0)</f>
        <v>90</v>
      </c>
      <c r="J732" s="96" t="str">
        <f>IFERROR(__xludf.DUMMYFUNCTION("""COMPUTED_VALUE"""),"M Beulah Rani")</f>
        <v>M Beulah Rani</v>
      </c>
      <c r="K732" s="101" t="str">
        <f>IFERROR(__xludf.DUMMYFUNCTION("""COMPUTED_VALUE"""),"https://drive.google.com/open?id=1ofFzj4EMnMxKmbbteDPXy2h0yhYH_ggR")</f>
        <v>https://drive.google.com/open?id=1ofFzj4EMnMxKmbbteDPXy2h0yhYH_ggR</v>
      </c>
      <c r="L732" s="96" t="str">
        <f>IFERROR(__xludf.DUMMYFUNCTION("""COMPUTED_VALUE"""),"2019-2023")</f>
        <v>2019-2023</v>
      </c>
      <c r="M732" s="96" t="str">
        <f>IFERROR(__xludf.DUMMYFUNCTION("""COMPUTED_VALUE"""),"S4: Student Certifications")</f>
        <v>S4: Student Certifications</v>
      </c>
      <c r="N732" s="96" t="str">
        <f>IFERROR(__xludf.DUMMYFUNCTION("""COMPUTED_VALUE"""),"yashdarling14@gmail.com")</f>
        <v>yashdarling14@gmail.com</v>
      </c>
      <c r="O732" s="96" t="str">
        <f>IFERROR(__xludf.DUMMYFUNCTION("""COMPUTED_VALUE"""),"SEM-6")</f>
        <v>SEM-6</v>
      </c>
      <c r="P732" s="96"/>
      <c r="Q732" s="96"/>
      <c r="R732" s="96"/>
      <c r="S732" s="96"/>
      <c r="T732" s="96"/>
      <c r="U732" s="96"/>
      <c r="V732" s="96"/>
      <c r="W732" s="96"/>
      <c r="X732" s="96"/>
      <c r="Y732" s="96"/>
    </row>
    <row r="733" ht="26.25" customHeight="1">
      <c r="A733" s="96" t="str">
        <f>IFERROR(__xludf.DUMMYFUNCTION("""COMPUTED_VALUE"""),"KALIPINDI SAI MITHILESH")</f>
        <v>KALIPINDI SAI MITHILESH</v>
      </c>
      <c r="B733" s="96" t="str">
        <f>IFERROR(__xludf.DUMMYFUNCTION("""COMPUTED_VALUE"""),"19331A0569")</f>
        <v>19331A0569</v>
      </c>
      <c r="C733" s="97" t="str">
        <f>IFERROR(__xludf.DUMMYFUNCTION("""COMPUTED_VALUE"""),"PROGRAMMING ESSENTIALS IN PYTHON")</f>
        <v>PROGRAMMING ESSENTIALS IN PYTHON</v>
      </c>
      <c r="D733" s="96" t="str">
        <f>IFERROR(__xludf.DUMMYFUNCTION("""COMPUTED_VALUE"""),"CISCO")</f>
        <v>CISCO</v>
      </c>
      <c r="E733" s="96" t="str">
        <f>IFERROR(__xludf.DUMMYFUNCTION("""COMPUTED_VALUE"""),"2 months")</f>
        <v>2 months</v>
      </c>
      <c r="F733" s="98">
        <f>IFERROR(__xludf.DUMMYFUNCTION("""COMPUTED_VALUE"""),44261.0)</f>
        <v>44261</v>
      </c>
      <c r="G733" s="98">
        <f>IFERROR(__xludf.DUMMYFUNCTION("""COMPUTED_VALUE"""),44322.0)</f>
        <v>44322</v>
      </c>
      <c r="H733" s="99">
        <f>IFERROR(__xludf.DUMMYFUNCTION("""COMPUTED_VALUE"""),44322.0)</f>
        <v>44322</v>
      </c>
      <c r="I733" s="100">
        <f>IFERROR(__xludf.DUMMYFUNCTION("""COMPUTED_VALUE"""),0.85)</f>
        <v>0.85</v>
      </c>
      <c r="J733" s="96" t="str">
        <f>IFERROR(__xludf.DUMMYFUNCTION("""COMPUTED_VALUE"""),"DR.RAVI KIRAN VARMA PENMATSA")</f>
        <v>DR.RAVI KIRAN VARMA PENMATSA</v>
      </c>
      <c r="K733" s="101" t="str">
        <f>IFERROR(__xludf.DUMMYFUNCTION("""COMPUTED_VALUE"""),"https://drive.google.com/open?id=1RhvjdZan2Y7pOiUtb7Kc2957q8ZfKrn3")</f>
        <v>https://drive.google.com/open?id=1RhvjdZan2Y7pOiUtb7Kc2957q8ZfKrn3</v>
      </c>
      <c r="L733" s="96" t="str">
        <f>IFERROR(__xludf.DUMMYFUNCTION("""COMPUTED_VALUE"""),"2019-2023")</f>
        <v>2019-2023</v>
      </c>
      <c r="M733" s="96" t="str">
        <f>IFERROR(__xludf.DUMMYFUNCTION("""COMPUTED_VALUE"""),"S4: Student Certifications")</f>
        <v>S4: Student Certifications</v>
      </c>
      <c r="N733" s="96" t="str">
        <f>IFERROR(__xludf.DUMMYFUNCTION("""COMPUTED_VALUE"""),"akhilmithilesh@gmail.com")</f>
        <v>akhilmithilesh@gmail.com</v>
      </c>
      <c r="O733" s="96" t="str">
        <f>IFERROR(__xludf.DUMMYFUNCTION("""COMPUTED_VALUE"""),"SEM-6")</f>
        <v>SEM-6</v>
      </c>
      <c r="P733" s="96"/>
      <c r="Q733" s="96"/>
      <c r="R733" s="96"/>
      <c r="S733" s="96"/>
      <c r="T733" s="96"/>
      <c r="U733" s="96"/>
      <c r="V733" s="96"/>
      <c r="W733" s="96"/>
      <c r="X733" s="96"/>
      <c r="Y733" s="96"/>
    </row>
    <row r="734" ht="26.25" customHeight="1">
      <c r="A734" s="96" t="str">
        <f>IFERROR(__xludf.DUMMYFUNCTION("""COMPUTED_VALUE"""),"Naik Sampath Srinath")</f>
        <v>Naik Sampath Srinath</v>
      </c>
      <c r="B734" s="96" t="str">
        <f>IFERROR(__xludf.DUMMYFUNCTION("""COMPUTED_VALUE"""),"19331A05B5")</f>
        <v>19331A05B5</v>
      </c>
      <c r="C734" s="97" t="str">
        <f>IFERROR(__xludf.DUMMYFUNCTION("""COMPUTED_VALUE"""),"Programming Essentials in C")</f>
        <v>Programming Essentials in C</v>
      </c>
      <c r="D734" s="96" t="str">
        <f>IFERROR(__xludf.DUMMYFUNCTION("""COMPUTED_VALUE"""),"Cisco")</f>
        <v>Cisco</v>
      </c>
      <c r="E734" s="96" t="str">
        <f>IFERROR(__xludf.DUMMYFUNCTION("""COMPUTED_VALUE"""),"1 month")</f>
        <v>1 month</v>
      </c>
      <c r="F734" s="98">
        <f>IFERROR(__xludf.DUMMYFUNCTION("""COMPUTED_VALUE"""),43965.0)</f>
        <v>43965</v>
      </c>
      <c r="G734" s="98">
        <f>IFERROR(__xludf.DUMMYFUNCTION("""COMPUTED_VALUE"""),43996.0)</f>
        <v>43996</v>
      </c>
      <c r="H734" s="99">
        <f>IFERROR(__xludf.DUMMYFUNCTION("""COMPUTED_VALUE"""),43996.0)</f>
        <v>43996</v>
      </c>
      <c r="I734" s="100">
        <f>IFERROR(__xludf.DUMMYFUNCTION("""COMPUTED_VALUE"""),95.0)</f>
        <v>95</v>
      </c>
      <c r="J734" s="96" t="str">
        <f>IFERROR(__xludf.DUMMYFUNCTION("""COMPUTED_VALUE"""),"DR Ravi Kiran Varma")</f>
        <v>DR Ravi Kiran Varma</v>
      </c>
      <c r="K734" s="101" t="str">
        <f>IFERROR(__xludf.DUMMYFUNCTION("""COMPUTED_VALUE"""),"https://drive.google.com/open?id=1mPgH4Ti9QNwD0cJ6YxK72lRRrcYcrSWy")</f>
        <v>https://drive.google.com/open?id=1mPgH4Ti9QNwD0cJ6YxK72lRRrcYcrSWy</v>
      </c>
      <c r="L734" s="96" t="str">
        <f>IFERROR(__xludf.DUMMYFUNCTION("""COMPUTED_VALUE"""),"2019-2023")</f>
        <v>2019-2023</v>
      </c>
      <c r="M734" s="96" t="str">
        <f>IFERROR(__xludf.DUMMYFUNCTION("""COMPUTED_VALUE"""),"S4: Student Certifications")</f>
        <v>S4: Student Certifications</v>
      </c>
      <c r="N734" s="96" t="str">
        <f>IFERROR(__xludf.DUMMYFUNCTION("""COMPUTED_VALUE"""),"dubla1503@gmail.com")</f>
        <v>dubla1503@gmail.com</v>
      </c>
      <c r="O734" s="96" t="str">
        <f>IFERROR(__xludf.DUMMYFUNCTION("""COMPUTED_VALUE"""),"SEM-6")</f>
        <v>SEM-6</v>
      </c>
      <c r="P734" s="96"/>
      <c r="Q734" s="96"/>
      <c r="R734" s="96"/>
      <c r="S734" s="96"/>
      <c r="T734" s="96"/>
      <c r="U734" s="96"/>
      <c r="V734" s="96"/>
      <c r="W734" s="96"/>
      <c r="X734" s="96"/>
      <c r="Y734" s="96"/>
    </row>
    <row r="735" ht="26.25" customHeight="1">
      <c r="A735" s="96" t="str">
        <f>IFERROR(__xludf.DUMMYFUNCTION("""COMPUTED_VALUE"""),"INDRANI KOTTEDA")</f>
        <v>INDRANI KOTTEDA</v>
      </c>
      <c r="B735" s="96" t="str">
        <f>IFERROR(__xludf.DUMMYFUNCTION("""COMPUTED_VALUE"""),"19331A0586")</f>
        <v>19331A0586</v>
      </c>
      <c r="C735" s="97" t="str">
        <f>IFERROR(__xludf.DUMMYFUNCTION("""COMPUTED_VALUE"""),"PROGRAMMING ESSENTIALS IN PYTHON")</f>
        <v>PROGRAMMING ESSENTIALS IN PYTHON</v>
      </c>
      <c r="D735" s="96" t="str">
        <f>IFERROR(__xludf.DUMMYFUNCTION("""COMPUTED_VALUE"""),"OpenEDG Python Institute")</f>
        <v>OpenEDG Python Institute</v>
      </c>
      <c r="E735" s="96" t="str">
        <f>IFERROR(__xludf.DUMMYFUNCTION("""COMPUTED_VALUE"""),"2 months")</f>
        <v>2 months</v>
      </c>
      <c r="F735" s="98">
        <f>IFERROR(__xludf.DUMMYFUNCTION("""COMPUTED_VALUE"""),44261.0)</f>
        <v>44261</v>
      </c>
      <c r="G735" s="98">
        <f>IFERROR(__xludf.DUMMYFUNCTION("""COMPUTED_VALUE"""),44322.0)</f>
        <v>44322</v>
      </c>
      <c r="H735" s="99">
        <f>IFERROR(__xludf.DUMMYFUNCTION("""COMPUTED_VALUE"""),44322.0)</f>
        <v>44322</v>
      </c>
      <c r="I735" s="100">
        <f>IFERROR(__xludf.DUMMYFUNCTION("""COMPUTED_VALUE"""),80.0)</f>
        <v>80</v>
      </c>
      <c r="J735" s="96" t="str">
        <f>IFERROR(__xludf.DUMMYFUNCTION("""COMPUTED_VALUE"""),"Dr.Ravi Kiran Varma Penmatsa")</f>
        <v>Dr.Ravi Kiran Varma Penmatsa</v>
      </c>
      <c r="K735" s="101" t="str">
        <f>IFERROR(__xludf.DUMMYFUNCTION("""COMPUTED_VALUE"""),"https://drive.google.com/open?id=11QIVXpKl8nmMhftEmPza2woDd24enh_5")</f>
        <v>https://drive.google.com/open?id=11QIVXpKl8nmMhftEmPza2woDd24enh_5</v>
      </c>
      <c r="L735" s="96" t="str">
        <f>IFERROR(__xludf.DUMMYFUNCTION("""COMPUTED_VALUE"""),"2019-2023")</f>
        <v>2019-2023</v>
      </c>
      <c r="M735" s="96" t="str">
        <f>IFERROR(__xludf.DUMMYFUNCTION("""COMPUTED_VALUE"""),"S4: Student Certifications")</f>
        <v>S4: Student Certifications</v>
      </c>
      <c r="N735" s="96" t="str">
        <f>IFERROR(__xludf.DUMMYFUNCTION("""COMPUTED_VALUE"""),"indranikotteda@gmail.com")</f>
        <v>indranikotteda@gmail.com</v>
      </c>
      <c r="O735" s="96" t="str">
        <f>IFERROR(__xludf.DUMMYFUNCTION("""COMPUTED_VALUE"""),"SEM-6")</f>
        <v>SEM-6</v>
      </c>
      <c r="P735" s="96"/>
      <c r="Q735" s="96"/>
      <c r="R735" s="96"/>
      <c r="S735" s="96"/>
      <c r="T735" s="96"/>
      <c r="U735" s="96"/>
      <c r="V735" s="96"/>
      <c r="W735" s="96"/>
      <c r="X735" s="96"/>
      <c r="Y735" s="96"/>
    </row>
    <row r="736" ht="26.25" customHeight="1">
      <c r="A736" s="96" t="str">
        <f>IFERROR(__xludf.DUMMYFUNCTION("""COMPUTED_VALUE"""),"Thatimalla Niveditha")</f>
        <v>Thatimalla Niveditha</v>
      </c>
      <c r="B736" s="96" t="str">
        <f>IFERROR(__xludf.DUMMYFUNCTION("""COMPUTED_VALUE"""),"19331A05H1")</f>
        <v>19331A05H1</v>
      </c>
      <c r="C736" s="97" t="str">
        <f>IFERROR(__xludf.DUMMYFUNCTION("""COMPUTED_VALUE"""),"IT Essentials")</f>
        <v>IT Essentials</v>
      </c>
      <c r="D736" s="96" t="str">
        <f>IFERROR(__xludf.DUMMYFUNCTION("""COMPUTED_VALUE"""),"Cisco Networking Academy")</f>
        <v>Cisco Networking Academy</v>
      </c>
      <c r="E736" s="96" t="str">
        <f>IFERROR(__xludf.DUMMYFUNCTION("""COMPUTED_VALUE"""),"13 weeks")</f>
        <v>13 weeks</v>
      </c>
      <c r="F736" s="98">
        <f>IFERROR(__xludf.DUMMYFUNCTION("""COMPUTED_VALUE"""),43983.0)</f>
        <v>43983</v>
      </c>
      <c r="G736" s="98">
        <f>IFERROR(__xludf.DUMMYFUNCTION("""COMPUTED_VALUE"""),44081.0)</f>
        <v>44081</v>
      </c>
      <c r="H736" s="99">
        <f>IFERROR(__xludf.DUMMYFUNCTION("""COMPUTED_VALUE"""),44081.0)</f>
        <v>44081</v>
      </c>
      <c r="I736" s="100">
        <f>IFERROR(__xludf.DUMMYFUNCTION("""COMPUTED_VALUE"""),0.9)</f>
        <v>0.9</v>
      </c>
      <c r="J736" s="96" t="str">
        <f>IFERROR(__xludf.DUMMYFUNCTION("""COMPUTED_VALUE"""),"Dr. Suvarna Kumar Gogula")</f>
        <v>Dr. Suvarna Kumar Gogula</v>
      </c>
      <c r="K736" s="101" t="str">
        <f>IFERROR(__xludf.DUMMYFUNCTION("""COMPUTED_VALUE"""),"https://drive.google.com/open?id=1d1MpZG-dlaB5a1NtwTpdarZaeEvy-E4H")</f>
        <v>https://drive.google.com/open?id=1d1MpZG-dlaB5a1NtwTpdarZaeEvy-E4H</v>
      </c>
      <c r="L736" s="96" t="str">
        <f>IFERROR(__xludf.DUMMYFUNCTION("""COMPUTED_VALUE"""),"2019-2023")</f>
        <v>2019-2023</v>
      </c>
      <c r="M736" s="96" t="str">
        <f>IFERROR(__xludf.DUMMYFUNCTION("""COMPUTED_VALUE"""),"S4: Student Certifications")</f>
        <v>S4: Student Certifications</v>
      </c>
      <c r="N736" s="96" t="str">
        <f>IFERROR(__xludf.DUMMYFUNCTION("""COMPUTED_VALUE"""),"thatimallaniveditha@gmail.com")</f>
        <v>thatimallaniveditha@gmail.com</v>
      </c>
      <c r="O736" s="96" t="str">
        <f>IFERROR(__xludf.DUMMYFUNCTION("""COMPUTED_VALUE"""),"SEM-6")</f>
        <v>SEM-6</v>
      </c>
      <c r="P736" s="96"/>
      <c r="Q736" s="96"/>
      <c r="R736" s="96"/>
      <c r="S736" s="96"/>
      <c r="T736" s="96"/>
      <c r="U736" s="96"/>
      <c r="V736" s="96"/>
      <c r="W736" s="96"/>
      <c r="X736" s="96"/>
      <c r="Y736" s="96"/>
    </row>
    <row r="737" ht="26.25" customHeight="1">
      <c r="A737" s="96" t="str">
        <f>IFERROR(__xludf.DUMMYFUNCTION("""COMPUTED_VALUE"""),"B.BHANU SAI PRAKASH")</f>
        <v>B.BHANU SAI PRAKASH</v>
      </c>
      <c r="B737" s="96" t="str">
        <f>IFERROR(__xludf.DUMMYFUNCTION("""COMPUTED_VALUE"""),"20335A0501")</f>
        <v>20335A0501</v>
      </c>
      <c r="C737" s="97" t="str">
        <f>IFERROR(__xludf.DUMMYFUNCTION("""COMPUTED_VALUE"""),"Switching, Routing, and Wireless Essentials")</f>
        <v>Switching, Routing, and Wireless Essentials</v>
      </c>
      <c r="D737" s="96" t="str">
        <f>IFERROR(__xludf.DUMMYFUNCTION("""COMPUTED_VALUE"""),"Cisco")</f>
        <v>Cisco</v>
      </c>
      <c r="E737" s="96" t="str">
        <f>IFERROR(__xludf.DUMMYFUNCTION("""COMPUTED_VALUE"""),"3months")</f>
        <v>3months</v>
      </c>
      <c r="F737" s="98">
        <f>IFERROR(__xludf.DUMMYFUNCTION("""COMPUTED_VALUE"""),44512.0)</f>
        <v>44512</v>
      </c>
      <c r="G737" s="98">
        <f>IFERROR(__xludf.DUMMYFUNCTION("""COMPUTED_VALUE"""),44604.0)</f>
        <v>44604</v>
      </c>
      <c r="H737" s="99">
        <f>IFERROR(__xludf.DUMMYFUNCTION("""COMPUTED_VALUE"""),44604.0)</f>
        <v>44604</v>
      </c>
      <c r="I737" s="100">
        <f>IFERROR(__xludf.DUMMYFUNCTION("""COMPUTED_VALUE"""),96.91)</f>
        <v>96.91</v>
      </c>
      <c r="J737" s="96" t="str">
        <f>IFERROR(__xludf.DUMMYFUNCTION("""COMPUTED_VALUE"""),"DR. RAVI KIRAN VARMA PENMATSA")</f>
        <v>DR. RAVI KIRAN VARMA PENMATSA</v>
      </c>
      <c r="K737" s="101" t="str">
        <f>IFERROR(__xludf.DUMMYFUNCTION("""COMPUTED_VALUE"""),"https://drive.google.com/open?id=1XwiWjy-zHLnZXEvsTIOxWdhJGDD7101c")</f>
        <v>https://drive.google.com/open?id=1XwiWjy-zHLnZXEvsTIOxWdhJGDD7101c</v>
      </c>
      <c r="L737" s="96" t="str">
        <f>IFERROR(__xludf.DUMMYFUNCTION("""COMPUTED_VALUE"""),"2019-2023")</f>
        <v>2019-2023</v>
      </c>
      <c r="M737" s="96" t="str">
        <f>IFERROR(__xludf.DUMMYFUNCTION("""COMPUTED_VALUE"""),"S4: Student Certifications")</f>
        <v>S4: Student Certifications</v>
      </c>
      <c r="N737" s="96" t="str">
        <f>IFERROR(__xludf.DUMMYFUNCTION("""COMPUTED_VALUE"""),"bhanusaiprakash04@gmail.com")</f>
        <v>bhanusaiprakash04@gmail.com</v>
      </c>
      <c r="O737" s="96" t="str">
        <f>IFERROR(__xludf.DUMMYFUNCTION("""COMPUTED_VALUE"""),"SEM-6")</f>
        <v>SEM-6</v>
      </c>
      <c r="P737" s="96"/>
      <c r="Q737" s="96"/>
      <c r="R737" s="96"/>
      <c r="S737" s="96"/>
      <c r="T737" s="96"/>
      <c r="U737" s="96"/>
      <c r="V737" s="96"/>
      <c r="W737" s="96"/>
      <c r="X737" s="96"/>
      <c r="Y737" s="96"/>
    </row>
    <row r="738" ht="26.25" customHeight="1">
      <c r="A738" s="96" t="str">
        <f>IFERROR(__xludf.DUMMYFUNCTION("""COMPUTED_VALUE"""),"BHARATH RAMA CHANDRA KAKARLA ")</f>
        <v>BHARATH RAMA CHANDRA KAKARLA </v>
      </c>
      <c r="B738" s="96" t="str">
        <f>IFERROR(__xludf.DUMMYFUNCTION("""COMPUTED_VALUE"""),"19331A0567")</f>
        <v>19331A0567</v>
      </c>
      <c r="C738" s="97" t="str">
        <f>IFERROR(__xludf.DUMMYFUNCTION("""COMPUTED_VALUE"""),"Programming essentials in python ")</f>
        <v>Programming essentials in python </v>
      </c>
      <c r="D738" s="96" t="str">
        <f>IFERROR(__xludf.DUMMYFUNCTION("""COMPUTED_VALUE"""),"Cisco")</f>
        <v>Cisco</v>
      </c>
      <c r="E738" s="96" t="str">
        <f>IFERROR(__xludf.DUMMYFUNCTION("""COMPUTED_VALUE"""),"2 months ")</f>
        <v>2 months </v>
      </c>
      <c r="F738" s="98">
        <f>IFERROR(__xludf.DUMMYFUNCTION("""COMPUTED_VALUE"""),44200.0)</f>
        <v>44200</v>
      </c>
      <c r="G738" s="98">
        <f>IFERROR(__xludf.DUMMYFUNCTION("""COMPUTED_VALUE"""),44258.0)</f>
        <v>44258</v>
      </c>
      <c r="H738" s="99">
        <f>IFERROR(__xludf.DUMMYFUNCTION("""COMPUTED_VALUE"""),44258.0)</f>
        <v>44258</v>
      </c>
      <c r="I738" s="100">
        <f>IFERROR(__xludf.DUMMYFUNCTION("""COMPUTED_VALUE"""),90.0)</f>
        <v>90</v>
      </c>
      <c r="J738" s="96" t="str">
        <f>IFERROR(__xludf.DUMMYFUNCTION("""COMPUTED_VALUE"""),"DR. RAVI KIRAN VARMA PENAMATSA")</f>
        <v>DR. RAVI KIRAN VARMA PENAMATSA</v>
      </c>
      <c r="K738" s="101" t="str">
        <f>IFERROR(__xludf.DUMMYFUNCTION("""COMPUTED_VALUE"""),"https://drive.google.com/open?id=1Qr7ELUuoKkSBhS6nToTnaYgyoEQ5ajIq")</f>
        <v>https://drive.google.com/open?id=1Qr7ELUuoKkSBhS6nToTnaYgyoEQ5ajIq</v>
      </c>
      <c r="L738" s="96" t="str">
        <f>IFERROR(__xludf.DUMMYFUNCTION("""COMPUTED_VALUE"""),"2019-2023")</f>
        <v>2019-2023</v>
      </c>
      <c r="M738" s="96" t="str">
        <f>IFERROR(__xludf.DUMMYFUNCTION("""COMPUTED_VALUE"""),"S4: Student Certifications")</f>
        <v>S4: Student Certifications</v>
      </c>
      <c r="N738" s="96" t="str">
        <f>IFERROR(__xludf.DUMMYFUNCTION("""COMPUTED_VALUE"""),"bharath007ram@gmail.com")</f>
        <v>bharath007ram@gmail.com</v>
      </c>
      <c r="O738" s="96" t="str">
        <f>IFERROR(__xludf.DUMMYFUNCTION("""COMPUTED_VALUE"""),"SEM-6")</f>
        <v>SEM-6</v>
      </c>
      <c r="P738" s="96"/>
      <c r="Q738" s="96"/>
      <c r="R738" s="96"/>
      <c r="S738" s="96"/>
      <c r="T738" s="96"/>
      <c r="U738" s="96"/>
      <c r="V738" s="96"/>
      <c r="W738" s="96"/>
      <c r="X738" s="96"/>
      <c r="Y738" s="96"/>
    </row>
    <row r="739" ht="26.25" customHeight="1">
      <c r="A739" s="96" t="str">
        <f>IFERROR(__xludf.DUMMYFUNCTION("""COMPUTED_VALUE"""),"SAI CHETANA PRIYA SUREDDI")</f>
        <v>SAI CHETANA PRIYA SUREDDI</v>
      </c>
      <c r="B739" s="96" t="str">
        <f>IFERROR(__xludf.DUMMYFUNCTION("""COMPUTED_VALUE"""),"19331A05G7")</f>
        <v>19331A05G7</v>
      </c>
      <c r="C739" s="97" t="str">
        <f>IFERROR(__xludf.DUMMYFUNCTION("""COMPUTED_VALUE"""),"sureddi sai chetana priya")</f>
        <v>sureddi sai chetana priya</v>
      </c>
      <c r="D739" s="96" t="str">
        <f>IFERROR(__xludf.DUMMYFUNCTION("""COMPUTED_VALUE"""),"udemy")</f>
        <v>udemy</v>
      </c>
      <c r="E739" s="96" t="str">
        <f>IFERROR(__xludf.DUMMYFUNCTION("""COMPUTED_VALUE"""),"2.5 total hours")</f>
        <v>2.5 total hours</v>
      </c>
      <c r="F739" s="98">
        <f>IFERROR(__xludf.DUMMYFUNCTION("""COMPUTED_VALUE"""),44630.0)</f>
        <v>44630</v>
      </c>
      <c r="G739" s="98">
        <f>IFERROR(__xludf.DUMMYFUNCTION("""COMPUTED_VALUE"""),44664.0)</f>
        <v>44664</v>
      </c>
      <c r="H739" s="99">
        <f>IFERROR(__xludf.DUMMYFUNCTION("""COMPUTED_VALUE"""),44664.0)</f>
        <v>44664</v>
      </c>
      <c r="I739" s="100">
        <f>IFERROR(__xludf.DUMMYFUNCTION("""COMPUTED_VALUE"""),0.9)</f>
        <v>0.9</v>
      </c>
      <c r="J739" s="96" t="str">
        <f>IFERROR(__xludf.DUMMYFUNCTION("""COMPUTED_VALUE"""),"spotflock Education")</f>
        <v>spotflock Education</v>
      </c>
      <c r="K739" s="101" t="str">
        <f>IFERROR(__xludf.DUMMYFUNCTION("""COMPUTED_VALUE"""),"https://drive.google.com/open?id=1D8hNi8Rv2Tgf3-YiALN1Xd7O8OOdDial")</f>
        <v>https://drive.google.com/open?id=1D8hNi8Rv2Tgf3-YiALN1Xd7O8OOdDial</v>
      </c>
      <c r="L739" s="96" t="str">
        <f>IFERROR(__xludf.DUMMYFUNCTION("""COMPUTED_VALUE"""),"2019-2023")</f>
        <v>2019-2023</v>
      </c>
      <c r="M739" s="96" t="str">
        <f>IFERROR(__xludf.DUMMYFUNCTION("""COMPUTED_VALUE"""),"S4: Student Certifications")</f>
        <v>S4: Student Certifications</v>
      </c>
      <c r="N739" s="96" t="str">
        <f>IFERROR(__xludf.DUMMYFUNCTION("""COMPUTED_VALUE"""),"chetana6006@gmail.com")</f>
        <v>chetana6006@gmail.com</v>
      </c>
      <c r="O739" s="96" t="str">
        <f>IFERROR(__xludf.DUMMYFUNCTION("""COMPUTED_VALUE"""),"SEM-6")</f>
        <v>SEM-6</v>
      </c>
      <c r="P739" s="96"/>
      <c r="Q739" s="96"/>
      <c r="R739" s="96"/>
      <c r="S739" s="96"/>
      <c r="T739" s="96"/>
      <c r="U739" s="96"/>
      <c r="V739" s="96"/>
      <c r="W739" s="96"/>
      <c r="X739" s="96"/>
      <c r="Y739" s="96"/>
    </row>
    <row r="740" ht="26.25" customHeight="1">
      <c r="A740" s="96" t="str">
        <f>IFERROR(__xludf.DUMMYFUNCTION("""COMPUTED_VALUE"""),"Neelam Pavani Lakshmi")</f>
        <v>Neelam Pavani Lakshmi</v>
      </c>
      <c r="B740" s="96" t="str">
        <f>IFERROR(__xludf.DUMMYFUNCTION("""COMPUTED_VALUE"""),"19331A05C1")</f>
        <v>19331A05C1</v>
      </c>
      <c r="C740" s="97" t="str">
        <f>IFERROR(__xludf.DUMMYFUNCTION("""COMPUTED_VALUE"""),"JavaScript Essentials(JSE)")</f>
        <v>JavaScript Essentials(JSE)</v>
      </c>
      <c r="D740" s="96" t="str">
        <f>IFERROR(__xludf.DUMMYFUNCTION("""COMPUTED_VALUE"""),"OPENEDG CIsco")</f>
        <v>OPENEDG CIsco</v>
      </c>
      <c r="E740" s="96" t="str">
        <f>IFERROR(__xludf.DUMMYFUNCTION("""COMPUTED_VALUE"""),"2 months")</f>
        <v>2 months</v>
      </c>
      <c r="F740" s="98">
        <f>IFERROR(__xludf.DUMMYFUNCTION("""COMPUTED_VALUE"""),44604.0)</f>
        <v>44604</v>
      </c>
      <c r="G740" s="98">
        <f>IFERROR(__xludf.DUMMYFUNCTION("""COMPUTED_VALUE"""),44663.0)</f>
        <v>44663</v>
      </c>
      <c r="H740" s="99">
        <f>IFERROR(__xludf.DUMMYFUNCTION("""COMPUTED_VALUE"""),44663.0)</f>
        <v>44663</v>
      </c>
      <c r="I740" s="100">
        <f>IFERROR(__xludf.DUMMYFUNCTION("""COMPUTED_VALUE"""),0.8)</f>
        <v>0.8</v>
      </c>
      <c r="J740" s="96" t="str">
        <f>IFERROR(__xludf.DUMMYFUNCTION("""COMPUTED_VALUE"""),"Maciek Wichary")</f>
        <v>Maciek Wichary</v>
      </c>
      <c r="K740" s="101" t="str">
        <f>IFERROR(__xludf.DUMMYFUNCTION("""COMPUTED_VALUE"""),"https://drive.google.com/open?id=18iUj1k1QwIrc-Bv3OneC4hc1Ju8un5b3")</f>
        <v>https://drive.google.com/open?id=18iUj1k1QwIrc-Bv3OneC4hc1Ju8un5b3</v>
      </c>
      <c r="L740" s="96" t="str">
        <f>IFERROR(__xludf.DUMMYFUNCTION("""COMPUTED_VALUE"""),"2019-2023")</f>
        <v>2019-2023</v>
      </c>
      <c r="M740" s="96" t="str">
        <f>IFERROR(__xludf.DUMMYFUNCTION("""COMPUTED_VALUE"""),"S4: Student Certifications")</f>
        <v>S4: Student Certifications</v>
      </c>
      <c r="N740" s="96" t="str">
        <f>IFERROR(__xludf.DUMMYFUNCTION("""COMPUTED_VALUE"""),"npavanilaxmi@gmail.com")</f>
        <v>npavanilaxmi@gmail.com</v>
      </c>
      <c r="O740" s="96" t="str">
        <f>IFERROR(__xludf.DUMMYFUNCTION("""COMPUTED_VALUE"""),"SEM-6")</f>
        <v>SEM-6</v>
      </c>
      <c r="P740" s="96"/>
      <c r="Q740" s="96"/>
      <c r="R740" s="96"/>
      <c r="S740" s="96"/>
      <c r="T740" s="96"/>
      <c r="U740" s="96"/>
      <c r="V740" s="96"/>
      <c r="W740" s="96"/>
      <c r="X740" s="96"/>
      <c r="Y740" s="96"/>
    </row>
    <row r="741" ht="26.25" customHeight="1">
      <c r="A741" s="96" t="str">
        <f>IFERROR(__xludf.DUMMYFUNCTION("""COMPUTED_VALUE"""),"PACHIGOLLA BALAJI")</f>
        <v>PACHIGOLLA BALAJI</v>
      </c>
      <c r="B741" s="96" t="str">
        <f>IFERROR(__xludf.DUMMYFUNCTION("""COMPUTED_VALUE"""),"19331A05C3")</f>
        <v>19331A05C3</v>
      </c>
      <c r="C741" s="97" t="str">
        <f>IFERROR(__xludf.DUMMYFUNCTION("""COMPUTED_VALUE"""),"PCAP:PROGRAMMING ESSENTIALS IN PYHTON")</f>
        <v>PCAP:PROGRAMMING ESSENTIALS IN PYHTON</v>
      </c>
      <c r="D741" s="96" t="str">
        <f>IFERROR(__xludf.DUMMYFUNCTION("""COMPUTED_VALUE"""),"CISCO NETWORKING ACADEMY")</f>
        <v>CISCO NETWORKING ACADEMY</v>
      </c>
      <c r="E741" s="96" t="str">
        <f>IFERROR(__xludf.DUMMYFUNCTION("""COMPUTED_VALUE"""),"2 MONTHS")</f>
        <v>2 MONTHS</v>
      </c>
      <c r="F741" s="98">
        <f>IFERROR(__xludf.DUMMYFUNCTION("""COMPUTED_VALUE"""),44259.0)</f>
        <v>44259</v>
      </c>
      <c r="G741" s="98">
        <f>IFERROR(__xludf.DUMMYFUNCTION("""COMPUTED_VALUE"""),44322.0)</f>
        <v>44322</v>
      </c>
      <c r="H741" s="99">
        <f>IFERROR(__xludf.DUMMYFUNCTION("""COMPUTED_VALUE"""),44321.0)</f>
        <v>44321</v>
      </c>
      <c r="I741" s="100">
        <f>IFERROR(__xludf.DUMMYFUNCTION("""COMPUTED_VALUE"""),85.0)</f>
        <v>85</v>
      </c>
      <c r="J741" s="96" t="str">
        <f>IFERROR(__xludf.DUMMYFUNCTION("""COMPUTED_VALUE"""),"DR.RAVI KIRAN VARMA PENMATSA")</f>
        <v>DR.RAVI KIRAN VARMA PENMATSA</v>
      </c>
      <c r="K741" s="101" t="str">
        <f>IFERROR(__xludf.DUMMYFUNCTION("""COMPUTED_VALUE"""),"https://drive.google.com/open?id=1By7g0uHquXG03VzrPEhz8G2ldN9jVbFx")</f>
        <v>https://drive.google.com/open?id=1By7g0uHquXG03VzrPEhz8G2ldN9jVbFx</v>
      </c>
      <c r="L741" s="96" t="str">
        <f>IFERROR(__xludf.DUMMYFUNCTION("""COMPUTED_VALUE"""),"2019-2023")</f>
        <v>2019-2023</v>
      </c>
      <c r="M741" s="96" t="str">
        <f>IFERROR(__xludf.DUMMYFUNCTION("""COMPUTED_VALUE"""),"S4: Student Certifications")</f>
        <v>S4: Student Certifications</v>
      </c>
      <c r="N741" s="96" t="str">
        <f>IFERROR(__xludf.DUMMYFUNCTION("""COMPUTED_VALUE"""),"balajipachigolla2430@gmail.com")</f>
        <v>balajipachigolla2430@gmail.com</v>
      </c>
      <c r="O741" s="96" t="str">
        <f>IFERROR(__xludf.DUMMYFUNCTION("""COMPUTED_VALUE"""),"SEM-6")</f>
        <v>SEM-6</v>
      </c>
      <c r="P741" s="96"/>
      <c r="Q741" s="96"/>
      <c r="R741" s="96"/>
      <c r="S741" s="96"/>
      <c r="T741" s="96"/>
      <c r="U741" s="96"/>
      <c r="V741" s="96"/>
      <c r="W741" s="96"/>
      <c r="X741" s="96"/>
      <c r="Y741" s="96"/>
    </row>
    <row r="742" ht="26.25" customHeight="1">
      <c r="A742" s="96" t="str">
        <f>IFERROR(__xludf.DUMMYFUNCTION("""COMPUTED_VALUE"""),"LADI ADITYA PRASAD ")</f>
        <v>LADI ADITYA PRASAD </v>
      </c>
      <c r="B742" s="96" t="str">
        <f>IFERROR(__xludf.DUMMYFUNCTION("""COMPUTED_VALUE"""),"20335A0506")</f>
        <v>20335A0506</v>
      </c>
      <c r="C742" s="97" t="str">
        <f>IFERROR(__xludf.DUMMYFUNCTION("""COMPUTED_VALUE"""),"CCNAv7: Switching, Routing, and Wireless Essentials")</f>
        <v>CCNAv7: Switching, Routing, and Wireless Essentials</v>
      </c>
      <c r="D742" s="96" t="str">
        <f>IFERROR(__xludf.DUMMYFUNCTION("""COMPUTED_VALUE"""),"CISCO")</f>
        <v>CISCO</v>
      </c>
      <c r="E742" s="96" t="str">
        <f>IFERROR(__xludf.DUMMYFUNCTION("""COMPUTED_VALUE"""),"3 months")</f>
        <v>3 months</v>
      </c>
      <c r="F742" s="98">
        <f>IFERROR(__xludf.DUMMYFUNCTION("""COMPUTED_VALUE"""),44512.0)</f>
        <v>44512</v>
      </c>
      <c r="G742" s="98">
        <f>IFERROR(__xludf.DUMMYFUNCTION("""COMPUTED_VALUE"""),44604.0)</f>
        <v>44604</v>
      </c>
      <c r="H742" s="99">
        <f>IFERROR(__xludf.DUMMYFUNCTION("""COMPUTED_VALUE"""),44604.0)</f>
        <v>44604</v>
      </c>
      <c r="I742" s="100">
        <f>IFERROR(__xludf.DUMMYFUNCTION("""COMPUTED_VALUE"""),95.69)</f>
        <v>95.69</v>
      </c>
      <c r="J742" s="96" t="str">
        <f>IFERROR(__xludf.DUMMYFUNCTION("""COMPUTED_VALUE"""),"DR. RAVI KIRAN VARMA PENMATSA")</f>
        <v>DR. RAVI KIRAN VARMA PENMATSA</v>
      </c>
      <c r="K742" s="101" t="str">
        <f>IFERROR(__xludf.DUMMYFUNCTION("""COMPUTED_VALUE"""),"https://drive.google.com/open?id=11SXHwZeXUzo1NM2pMLdOB3iDiz8RqLgK")</f>
        <v>https://drive.google.com/open?id=11SXHwZeXUzo1NM2pMLdOB3iDiz8RqLgK</v>
      </c>
      <c r="L742" s="96" t="str">
        <f>IFERROR(__xludf.DUMMYFUNCTION("""COMPUTED_VALUE"""),"2019-2023")</f>
        <v>2019-2023</v>
      </c>
      <c r="M742" s="96" t="str">
        <f>IFERROR(__xludf.DUMMYFUNCTION("""COMPUTED_VALUE"""),"S4: Student Certifications")</f>
        <v>S4: Student Certifications</v>
      </c>
      <c r="N742" s="96" t="str">
        <f>IFERROR(__xludf.DUMMYFUNCTION("""COMPUTED_VALUE"""),"adityaprasadladi@gmail.com")</f>
        <v>adityaprasadladi@gmail.com</v>
      </c>
      <c r="O742" s="96" t="str">
        <f>IFERROR(__xludf.DUMMYFUNCTION("""COMPUTED_VALUE"""),"SEM-6")</f>
        <v>SEM-6</v>
      </c>
      <c r="P742" s="96"/>
      <c r="Q742" s="96"/>
      <c r="R742" s="96"/>
      <c r="S742" s="96"/>
      <c r="T742" s="96"/>
      <c r="U742" s="96"/>
      <c r="V742" s="96"/>
      <c r="W742" s="96"/>
      <c r="X742" s="96"/>
      <c r="Y742" s="96"/>
    </row>
    <row r="743" ht="26.25" customHeight="1">
      <c r="A743" s="96" t="str">
        <f>IFERROR(__xludf.DUMMYFUNCTION("""COMPUTED_VALUE"""),"Naik Sampath Srinath")</f>
        <v>Naik Sampath Srinath</v>
      </c>
      <c r="B743" s="96" t="str">
        <f>IFERROR(__xludf.DUMMYFUNCTION("""COMPUTED_VALUE"""),"19331A05B5")</f>
        <v>19331A05B5</v>
      </c>
      <c r="C743" s="97" t="str">
        <f>IFERROR(__xludf.DUMMYFUNCTION("""COMPUTED_VALUE"""),"IT ESSENTIALS")</f>
        <v>IT ESSENTIALS</v>
      </c>
      <c r="D743" s="96" t="str">
        <f>IFERROR(__xludf.DUMMYFUNCTION("""COMPUTED_VALUE"""),"Cisco")</f>
        <v>Cisco</v>
      </c>
      <c r="E743" s="96" t="str">
        <f>IFERROR(__xludf.DUMMYFUNCTION("""COMPUTED_VALUE"""),"1 month")</f>
        <v>1 month</v>
      </c>
      <c r="F743" s="98">
        <f>IFERROR(__xludf.DUMMYFUNCTION("""COMPUTED_VALUE"""),44105.0)</f>
        <v>44105</v>
      </c>
      <c r="G743" s="98">
        <f>IFERROR(__xludf.DUMMYFUNCTION("""COMPUTED_VALUE"""),44136.0)</f>
        <v>44136</v>
      </c>
      <c r="H743" s="99">
        <f>IFERROR(__xludf.DUMMYFUNCTION("""COMPUTED_VALUE"""),44136.0)</f>
        <v>44136</v>
      </c>
      <c r="I743" s="100">
        <f>IFERROR(__xludf.DUMMYFUNCTION("""COMPUTED_VALUE"""),100.0)</f>
        <v>100</v>
      </c>
      <c r="J743" s="96" t="str">
        <f>IFERROR(__xludf.DUMMYFUNCTION("""COMPUTED_VALUE"""),"Dr Suvarna Kumar")</f>
        <v>Dr Suvarna Kumar</v>
      </c>
      <c r="K743" s="101" t="str">
        <f>IFERROR(__xludf.DUMMYFUNCTION("""COMPUTED_VALUE"""),"https://drive.google.com/open?id=1QmNHfiGs8pjniPyzsr-2ekX1fmlSn0aF")</f>
        <v>https://drive.google.com/open?id=1QmNHfiGs8pjniPyzsr-2ekX1fmlSn0aF</v>
      </c>
      <c r="L743" s="96" t="str">
        <f>IFERROR(__xludf.DUMMYFUNCTION("""COMPUTED_VALUE"""),"2019-2023")</f>
        <v>2019-2023</v>
      </c>
      <c r="M743" s="96" t="str">
        <f>IFERROR(__xludf.DUMMYFUNCTION("""COMPUTED_VALUE"""),"S4: Student Certifications")</f>
        <v>S4: Student Certifications</v>
      </c>
      <c r="N743" s="96" t="str">
        <f>IFERROR(__xludf.DUMMYFUNCTION("""COMPUTED_VALUE"""),"dubla1503@gmail.com")</f>
        <v>dubla1503@gmail.com</v>
      </c>
      <c r="O743" s="96" t="str">
        <f>IFERROR(__xludf.DUMMYFUNCTION("""COMPUTED_VALUE"""),"SEM-6")</f>
        <v>SEM-6</v>
      </c>
      <c r="P743" s="96"/>
      <c r="Q743" s="96"/>
      <c r="R743" s="96"/>
      <c r="S743" s="96"/>
      <c r="T743" s="96"/>
      <c r="U743" s="96"/>
      <c r="V743" s="96"/>
      <c r="W743" s="96"/>
      <c r="X743" s="96"/>
      <c r="Y743" s="96"/>
    </row>
    <row r="744" ht="26.25" customHeight="1">
      <c r="A744" s="96" t="str">
        <f>IFERROR(__xludf.DUMMYFUNCTION("""COMPUTED_VALUE"""),"PALAVALASA DEEPAK")</f>
        <v>PALAVALASA DEEPAK</v>
      </c>
      <c r="B744" s="96" t="str">
        <f>IFERROR(__xludf.DUMMYFUNCTION("""COMPUTED_VALUE"""),"19331A05C4")</f>
        <v>19331A05C4</v>
      </c>
      <c r="C744" s="97" t="str">
        <f>IFERROR(__xludf.DUMMYFUNCTION("""COMPUTED_VALUE"""),"COMMUNICATION SKILLS")</f>
        <v>COMMUNICATION SKILLS</v>
      </c>
      <c r="D744" s="96" t="str">
        <f>IFERROR(__xludf.DUMMYFUNCTION("""COMPUTED_VALUE"""),"TCS ION ")</f>
        <v>TCS ION </v>
      </c>
      <c r="E744" s="96" t="str">
        <f>IFERROR(__xludf.DUMMYFUNCTION("""COMPUTED_VALUE"""),"7 months")</f>
        <v>7 months</v>
      </c>
      <c r="F744" s="98">
        <f>IFERROR(__xludf.DUMMYFUNCTION("""COMPUTED_VALUE"""),44088.0)</f>
        <v>44088</v>
      </c>
      <c r="G744" s="98">
        <f>IFERROR(__xludf.DUMMYFUNCTION("""COMPUTED_VALUE"""),44277.0)</f>
        <v>44277</v>
      </c>
      <c r="H744" s="99">
        <f>IFERROR(__xludf.DUMMYFUNCTION("""COMPUTED_VALUE"""),44277.0)</f>
        <v>44277</v>
      </c>
      <c r="I744" s="100"/>
      <c r="J744" s="96" t="str">
        <f>IFERROR(__xludf.DUMMYFUNCTION("""COMPUTED_VALUE"""),"TCS ION ")</f>
        <v>TCS ION </v>
      </c>
      <c r="K744" s="101" t="str">
        <f>IFERROR(__xludf.DUMMYFUNCTION("""COMPUTED_VALUE"""),"https://drive.google.com/open?id=1RHTly3KtLA2VE2Eew85KS4z7m-fNtojh")</f>
        <v>https://drive.google.com/open?id=1RHTly3KtLA2VE2Eew85KS4z7m-fNtojh</v>
      </c>
      <c r="L744" s="96" t="str">
        <f>IFERROR(__xludf.DUMMYFUNCTION("""COMPUTED_VALUE"""),"2019-2023")</f>
        <v>2019-2023</v>
      </c>
      <c r="M744" s="96" t="str">
        <f>IFERROR(__xludf.DUMMYFUNCTION("""COMPUTED_VALUE"""),"S4: Student Certifications")</f>
        <v>S4: Student Certifications</v>
      </c>
      <c r="N744" s="96" t="str">
        <f>IFERROR(__xludf.DUMMYFUNCTION("""COMPUTED_VALUE"""),"palavalasadeepak@gmail.com")</f>
        <v>palavalasadeepak@gmail.com</v>
      </c>
      <c r="O744" s="96" t="str">
        <f>IFERROR(__xludf.DUMMYFUNCTION("""COMPUTED_VALUE"""),"SEM-6")</f>
        <v>SEM-6</v>
      </c>
      <c r="P744" s="96"/>
      <c r="Q744" s="96"/>
      <c r="R744" s="96"/>
      <c r="S744" s="96"/>
      <c r="T744" s="96"/>
      <c r="U744" s="96"/>
      <c r="V744" s="96"/>
      <c r="W744" s="96"/>
      <c r="X744" s="96"/>
      <c r="Y744" s="96"/>
    </row>
    <row r="745" ht="26.25" customHeight="1">
      <c r="A745" s="96" t="str">
        <f>IFERROR(__xludf.DUMMYFUNCTION("""COMPUTED_VALUE"""),"Mohammed Aquib Akthar ")</f>
        <v>Mohammed Aquib Akthar </v>
      </c>
      <c r="B745" s="96" t="str">
        <f>IFERROR(__xludf.DUMMYFUNCTION("""COMPUTED_VALUE"""),"19331A05A6")</f>
        <v>19331A05A6</v>
      </c>
      <c r="C745" s="97" t="str">
        <f>IFERROR(__xludf.DUMMYFUNCTION("""COMPUTED_VALUE"""),"Python for data science ")</f>
        <v>Python for data science </v>
      </c>
      <c r="D745" s="96" t="str">
        <f>IFERROR(__xludf.DUMMYFUNCTION("""COMPUTED_VALUE"""),"APSSDC ")</f>
        <v>APSSDC </v>
      </c>
      <c r="E745" s="96" t="str">
        <f>IFERROR(__xludf.DUMMYFUNCTION("""COMPUTED_VALUE"""),"5 days ")</f>
        <v>5 days </v>
      </c>
      <c r="F745" s="98">
        <f>IFERROR(__xludf.DUMMYFUNCTION("""COMPUTED_VALUE"""),44095.0)</f>
        <v>44095</v>
      </c>
      <c r="G745" s="98">
        <f>IFERROR(__xludf.DUMMYFUNCTION("""COMPUTED_VALUE"""),44099.0)</f>
        <v>44099</v>
      </c>
      <c r="H745" s="99">
        <f>IFERROR(__xludf.DUMMYFUNCTION("""COMPUTED_VALUE"""),44099.0)</f>
        <v>44099</v>
      </c>
      <c r="I745" s="100">
        <f>IFERROR(__xludf.DUMMYFUNCTION("""COMPUTED_VALUE"""),75.0)</f>
        <v>75</v>
      </c>
      <c r="J745" s="96" t="str">
        <f>IFERROR(__xludf.DUMMYFUNCTION("""COMPUTED_VALUE"""),"EXCELR Raising Excellence ")</f>
        <v>EXCELR Raising Excellence </v>
      </c>
      <c r="K745" s="101" t="str">
        <f>IFERROR(__xludf.DUMMYFUNCTION("""COMPUTED_VALUE"""),"https://drive.google.com/open?id=1Q2n0mXaKlUEeO5M795EX-jFEZ0xSWh68")</f>
        <v>https://drive.google.com/open?id=1Q2n0mXaKlUEeO5M795EX-jFEZ0xSWh68</v>
      </c>
      <c r="L745" s="96" t="str">
        <f>IFERROR(__xludf.DUMMYFUNCTION("""COMPUTED_VALUE"""),"2019-2023")</f>
        <v>2019-2023</v>
      </c>
      <c r="M745" s="96" t="str">
        <f>IFERROR(__xludf.DUMMYFUNCTION("""COMPUTED_VALUE"""),"S4: Student Certifications")</f>
        <v>S4: Student Certifications</v>
      </c>
      <c r="N745" s="96" t="str">
        <f>IFERROR(__xludf.DUMMYFUNCTION("""COMPUTED_VALUE"""),"aquibakthar14@gmail.com")</f>
        <v>aquibakthar14@gmail.com</v>
      </c>
      <c r="O745" s="96" t="str">
        <f>IFERROR(__xludf.DUMMYFUNCTION("""COMPUTED_VALUE"""),"SEM-6")</f>
        <v>SEM-6</v>
      </c>
      <c r="P745" s="96"/>
      <c r="Q745" s="96"/>
      <c r="R745" s="96"/>
      <c r="S745" s="96"/>
      <c r="T745" s="96"/>
      <c r="U745" s="96"/>
      <c r="V745" s="96"/>
      <c r="W745" s="96"/>
      <c r="X745" s="96"/>
      <c r="Y745" s="96"/>
    </row>
    <row r="746" ht="26.25" customHeight="1">
      <c r="A746" s="96" t="str">
        <f>IFERROR(__xludf.DUMMYFUNCTION("""COMPUTED_VALUE"""),"T HARI KRISHNA PRIYA")</f>
        <v>T HARI KRISHNA PRIYA</v>
      </c>
      <c r="B746" s="96" t="str">
        <f>IFERROR(__xludf.DUMMYFUNCTION("""COMPUTED_VALUE"""),"19331A05H4")</f>
        <v>19331A05H4</v>
      </c>
      <c r="C746" s="97" t="str">
        <f>IFERROR(__xludf.DUMMYFUNCTION("""COMPUTED_VALUE"""),"Programming for everybody(Getting started with python))")</f>
        <v>Programming for everybody(Getting started with python))</v>
      </c>
      <c r="D746" s="96" t="str">
        <f>IFERROR(__xludf.DUMMYFUNCTION("""COMPUTED_VALUE"""),"University of Michigan")</f>
        <v>University of Michigan</v>
      </c>
      <c r="E746" s="96" t="str">
        <f>IFERROR(__xludf.DUMMYFUNCTION("""COMPUTED_VALUE"""),"1 month")</f>
        <v>1 month</v>
      </c>
      <c r="F746" s="98">
        <f>IFERROR(__xludf.DUMMYFUNCTION("""COMPUTED_VALUE"""),44058.0)</f>
        <v>44058</v>
      </c>
      <c r="G746" s="98">
        <f>IFERROR(__xludf.DUMMYFUNCTION("""COMPUTED_VALUE"""),44089.0)</f>
        <v>44089</v>
      </c>
      <c r="H746" s="99">
        <f>IFERROR(__xludf.DUMMYFUNCTION("""COMPUTED_VALUE"""),44089.0)</f>
        <v>44089</v>
      </c>
      <c r="I746" s="100">
        <f>IFERROR(__xludf.DUMMYFUNCTION("""COMPUTED_VALUE"""),1.0)</f>
        <v>1</v>
      </c>
      <c r="J746" s="96" t="str">
        <f>IFERROR(__xludf.DUMMYFUNCTION("""COMPUTED_VALUE"""),"Charles Severance")</f>
        <v>Charles Severance</v>
      </c>
      <c r="K746" s="101" t="str">
        <f>IFERROR(__xludf.DUMMYFUNCTION("""COMPUTED_VALUE"""),"https://drive.google.com/open?id=1vab-aGCM7FyaC7Y0pEaAc_0XZ6-r0OzH")</f>
        <v>https://drive.google.com/open?id=1vab-aGCM7FyaC7Y0pEaAc_0XZ6-r0OzH</v>
      </c>
      <c r="L746" s="96" t="str">
        <f>IFERROR(__xludf.DUMMYFUNCTION("""COMPUTED_VALUE"""),"2019-2023")</f>
        <v>2019-2023</v>
      </c>
      <c r="M746" s="96" t="str">
        <f>IFERROR(__xludf.DUMMYFUNCTION("""COMPUTED_VALUE"""),"S4: Student Certifications")</f>
        <v>S4: Student Certifications</v>
      </c>
      <c r="N746" s="96" t="str">
        <f>IFERROR(__xludf.DUMMYFUNCTION("""COMPUTED_VALUE"""),"harikpriyatirumalaraju@gmail.com")</f>
        <v>harikpriyatirumalaraju@gmail.com</v>
      </c>
      <c r="O746" s="96" t="str">
        <f>IFERROR(__xludf.DUMMYFUNCTION("""COMPUTED_VALUE"""),"SEM-6")</f>
        <v>SEM-6</v>
      </c>
      <c r="P746" s="96"/>
      <c r="Q746" s="96"/>
      <c r="R746" s="96"/>
      <c r="S746" s="96"/>
      <c r="T746" s="96"/>
      <c r="U746" s="96"/>
      <c r="V746" s="96"/>
      <c r="W746" s="96"/>
      <c r="X746" s="96"/>
      <c r="Y746" s="96"/>
    </row>
    <row r="747" ht="26.25" customHeight="1">
      <c r="A747" s="96" t="str">
        <f>IFERROR(__xludf.DUMMYFUNCTION("""COMPUTED_VALUE"""),"KUNCHALA VAMSI")</f>
        <v>KUNCHALA VAMSI</v>
      </c>
      <c r="B747" s="96" t="str">
        <f>IFERROR(__xludf.DUMMYFUNCTION("""COMPUTED_VALUE"""),"19331A0591")</f>
        <v>19331A0591</v>
      </c>
      <c r="C747" s="97" t="str">
        <f>IFERROR(__xludf.DUMMYFUNCTION("""COMPUTED_VALUE"""),"Programming Essentials in Python")</f>
        <v>Programming Essentials in Python</v>
      </c>
      <c r="D747" s="96" t="str">
        <f>IFERROR(__xludf.DUMMYFUNCTION("""COMPUTED_VALUE"""),"CISCO")</f>
        <v>CISCO</v>
      </c>
      <c r="E747" s="96" t="str">
        <f>IFERROR(__xludf.DUMMYFUNCTION("""COMPUTED_VALUE"""),"2 Months")</f>
        <v>2 Months</v>
      </c>
      <c r="F747" s="98">
        <f>IFERROR(__xludf.DUMMYFUNCTION("""COMPUTED_VALUE"""),44204.0)</f>
        <v>44204</v>
      </c>
      <c r="G747" s="98">
        <f>IFERROR(__xludf.DUMMYFUNCTION("""COMPUTED_VALUE"""),44628.0)</f>
        <v>44628</v>
      </c>
      <c r="H747" s="99">
        <f>IFERROR(__xludf.DUMMYFUNCTION("""COMPUTED_VALUE"""),44659.0)</f>
        <v>44659</v>
      </c>
      <c r="I747" s="100"/>
      <c r="J747" s="96" t="str">
        <f>IFERROR(__xludf.DUMMYFUNCTION("""COMPUTED_VALUE"""),"DR.RAVI KIRAN VARMA")</f>
        <v>DR.RAVI KIRAN VARMA</v>
      </c>
      <c r="K747" s="101" t="str">
        <f>IFERROR(__xludf.DUMMYFUNCTION("""COMPUTED_VALUE"""),"https://drive.google.com/open?id=10wwsgCxoHpJHdCKLzaeTEQSxgg5CNVE3")</f>
        <v>https://drive.google.com/open?id=10wwsgCxoHpJHdCKLzaeTEQSxgg5CNVE3</v>
      </c>
      <c r="L747" s="96" t="str">
        <f>IFERROR(__xludf.DUMMYFUNCTION("""COMPUTED_VALUE"""),"2019-2023")</f>
        <v>2019-2023</v>
      </c>
      <c r="M747" s="96" t="str">
        <f>IFERROR(__xludf.DUMMYFUNCTION("""COMPUTED_VALUE"""),"S4: Student Certifications")</f>
        <v>S4: Student Certifications</v>
      </c>
      <c r="N747" s="96" t="str">
        <f>IFERROR(__xludf.DUMMYFUNCTION("""COMPUTED_VALUE"""),"vamsikunchala7.2001@gmail.com")</f>
        <v>vamsikunchala7.2001@gmail.com</v>
      </c>
      <c r="O747" s="96" t="str">
        <f>IFERROR(__xludf.DUMMYFUNCTION("""COMPUTED_VALUE"""),"SEM-6")</f>
        <v>SEM-6</v>
      </c>
      <c r="P747" s="96"/>
      <c r="Q747" s="96"/>
      <c r="R747" s="96"/>
      <c r="S747" s="96"/>
      <c r="T747" s="96"/>
      <c r="U747" s="96"/>
      <c r="V747" s="96"/>
      <c r="W747" s="96"/>
      <c r="X747" s="96"/>
      <c r="Y747" s="96"/>
    </row>
    <row r="748" ht="26.25" customHeight="1">
      <c r="A748" s="96" t="str">
        <f>IFERROR(__xludf.DUMMYFUNCTION("""COMPUTED_VALUE"""),"RAMESH BABU KARRI")</f>
        <v>RAMESH BABU KARRI</v>
      </c>
      <c r="B748" s="96" t="str">
        <f>IFERROR(__xludf.DUMMYFUNCTION("""COMPUTED_VALUE"""),"19331A0574 ")</f>
        <v>19331A0574 </v>
      </c>
      <c r="C748" s="97" t="str">
        <f>IFERROR(__xludf.DUMMYFUNCTION("""COMPUTED_VALUE"""),"PCAP: Programming Essentials in Python")</f>
        <v>PCAP: Programming Essentials in Python</v>
      </c>
      <c r="D748" s="96" t="str">
        <f>IFERROR(__xludf.DUMMYFUNCTION("""COMPUTED_VALUE"""),"Cisco")</f>
        <v>Cisco</v>
      </c>
      <c r="E748" s="96" t="str">
        <f>IFERROR(__xludf.DUMMYFUNCTION("""COMPUTED_VALUE"""),"1 month")</f>
        <v>1 month</v>
      </c>
      <c r="F748" s="98">
        <f>IFERROR(__xludf.DUMMYFUNCTION("""COMPUTED_VALUE"""),44266.0)</f>
        <v>44266</v>
      </c>
      <c r="G748" s="98">
        <f>IFERROR(__xludf.DUMMYFUNCTION("""COMPUTED_VALUE"""),44322.0)</f>
        <v>44322</v>
      </c>
      <c r="H748" s="99">
        <f>IFERROR(__xludf.DUMMYFUNCTION("""COMPUTED_VALUE"""),44322.0)</f>
        <v>44322</v>
      </c>
      <c r="I748" s="100">
        <f>IFERROR(__xludf.DUMMYFUNCTION("""COMPUTED_VALUE"""),80.0)</f>
        <v>80</v>
      </c>
      <c r="J748" s="96" t="str">
        <f>IFERROR(__xludf.DUMMYFUNCTION("""COMPUTED_VALUE"""),"DR.RAVI KIRAN VARMA PENMATSA")</f>
        <v>DR.RAVI KIRAN VARMA PENMATSA</v>
      </c>
      <c r="K748" s="101" t="str">
        <f>IFERROR(__xludf.DUMMYFUNCTION("""COMPUTED_VALUE"""),"https://drive.google.com/open?id=1wIUsSwoDG72g_RXHE58R2o9-qpLpNGTI")</f>
        <v>https://drive.google.com/open?id=1wIUsSwoDG72g_RXHE58R2o9-qpLpNGTI</v>
      </c>
      <c r="L748" s="96" t="str">
        <f>IFERROR(__xludf.DUMMYFUNCTION("""COMPUTED_VALUE"""),"2019-2023")</f>
        <v>2019-2023</v>
      </c>
      <c r="M748" s="96" t="str">
        <f>IFERROR(__xludf.DUMMYFUNCTION("""COMPUTED_VALUE"""),"S4: Student Certifications")</f>
        <v>S4: Student Certifications</v>
      </c>
      <c r="N748" s="96" t="str">
        <f>IFERROR(__xludf.DUMMYFUNCTION("""COMPUTED_VALUE"""),"karrirameshbabu99@gmail.com")</f>
        <v>karrirameshbabu99@gmail.com</v>
      </c>
      <c r="O748" s="96" t="str">
        <f>IFERROR(__xludf.DUMMYFUNCTION("""COMPUTED_VALUE"""),"SEM-6")</f>
        <v>SEM-6</v>
      </c>
      <c r="P748" s="96"/>
      <c r="Q748" s="96"/>
      <c r="R748" s="96"/>
      <c r="S748" s="96"/>
      <c r="T748" s="96"/>
      <c r="U748" s="96"/>
      <c r="V748" s="96"/>
      <c r="W748" s="96"/>
      <c r="X748" s="96"/>
      <c r="Y748" s="96"/>
    </row>
    <row r="749" ht="26.25" customHeight="1">
      <c r="A749" s="96" t="str">
        <f>IFERROR(__xludf.DUMMYFUNCTION("""COMPUTED_VALUE"""),"N CHANDRA SEKHAR REDDY ")</f>
        <v>N CHANDRA SEKHAR REDDY </v>
      </c>
      <c r="B749" s="96" t="str">
        <f>IFERROR(__xludf.DUMMYFUNCTION("""COMPUTED_VALUE"""),"19331A05B7")</f>
        <v>19331A05B7</v>
      </c>
      <c r="C749" s="97" t="str">
        <f>IFERROR(__xludf.DUMMYFUNCTION("""COMPUTED_VALUE"""),"Programming Essentials in C ")</f>
        <v>Programming Essentials in C </v>
      </c>
      <c r="D749" s="96" t="str">
        <f>IFERROR(__xludf.DUMMYFUNCTION("""COMPUTED_VALUE"""),"Cisco Networking Academy ")</f>
        <v>Cisco Networking Academy </v>
      </c>
      <c r="E749" s="96" t="str">
        <f>IFERROR(__xludf.DUMMYFUNCTION("""COMPUTED_VALUE"""),"1 month")</f>
        <v>1 month</v>
      </c>
      <c r="F749" s="98">
        <f>IFERROR(__xludf.DUMMYFUNCTION("""COMPUTED_VALUE"""),43965.0)</f>
        <v>43965</v>
      </c>
      <c r="G749" s="98">
        <f>IFERROR(__xludf.DUMMYFUNCTION("""COMPUTED_VALUE"""),43996.0)</f>
        <v>43996</v>
      </c>
      <c r="H749" s="99">
        <f>IFERROR(__xludf.DUMMYFUNCTION("""COMPUTED_VALUE"""),43996.0)</f>
        <v>43996</v>
      </c>
      <c r="I749" s="100">
        <f>IFERROR(__xludf.DUMMYFUNCTION("""COMPUTED_VALUE"""),0.95)</f>
        <v>0.95</v>
      </c>
      <c r="J749" s="96" t="str">
        <f>IFERROR(__xludf.DUMMYFUNCTION("""COMPUTED_VALUE"""),"Dr. RAVI KIRAN VARMA PENMATSA")</f>
        <v>Dr. RAVI KIRAN VARMA PENMATSA</v>
      </c>
      <c r="K749" s="101" t="str">
        <f>IFERROR(__xludf.DUMMYFUNCTION("""COMPUTED_VALUE"""),"https://drive.google.com/open?id=1XDOI7CzEaovv5Qsf-9dR4dg-xTwYeyQS")</f>
        <v>https://drive.google.com/open?id=1XDOI7CzEaovv5Qsf-9dR4dg-xTwYeyQS</v>
      </c>
      <c r="L749" s="96" t="str">
        <f>IFERROR(__xludf.DUMMYFUNCTION("""COMPUTED_VALUE"""),"2019-2023")</f>
        <v>2019-2023</v>
      </c>
      <c r="M749" s="96" t="str">
        <f>IFERROR(__xludf.DUMMYFUNCTION("""COMPUTED_VALUE"""),"S4: Student Certifications")</f>
        <v>S4: Student Certifications</v>
      </c>
      <c r="N749" s="96" t="str">
        <f>IFERROR(__xludf.DUMMYFUNCTION("""COMPUTED_VALUE"""),"ncsreddy143@gmail.com")</f>
        <v>ncsreddy143@gmail.com</v>
      </c>
      <c r="O749" s="96" t="str">
        <f>IFERROR(__xludf.DUMMYFUNCTION("""COMPUTED_VALUE"""),"SEM-6")</f>
        <v>SEM-6</v>
      </c>
      <c r="P749" s="96"/>
      <c r="Q749" s="96"/>
      <c r="R749" s="96"/>
      <c r="S749" s="96"/>
      <c r="T749" s="96"/>
      <c r="U749" s="96"/>
      <c r="V749" s="96"/>
      <c r="W749" s="96"/>
      <c r="X749" s="96"/>
      <c r="Y749" s="96"/>
    </row>
    <row r="750" ht="26.25" customHeight="1">
      <c r="A750" s="96" t="str">
        <f>IFERROR(__xludf.DUMMYFUNCTION("""COMPUTED_VALUE"""),"Kambala Sai Vamsi")</f>
        <v>Kambala Sai Vamsi</v>
      </c>
      <c r="B750" s="96" t="str">
        <f>IFERROR(__xludf.DUMMYFUNCTION("""COMPUTED_VALUE"""),"19331A0571")</f>
        <v>19331A0571</v>
      </c>
      <c r="C750" s="97" t="str">
        <f>IFERROR(__xludf.DUMMYFUNCTION("""COMPUTED_VALUE"""),"Programming essentials in python")</f>
        <v>Programming essentials in python</v>
      </c>
      <c r="D750" s="96" t="str">
        <f>IFERROR(__xludf.DUMMYFUNCTION("""COMPUTED_VALUE"""),"Cisco")</f>
        <v>Cisco</v>
      </c>
      <c r="E750" s="96" t="str">
        <f>IFERROR(__xludf.DUMMYFUNCTION("""COMPUTED_VALUE"""),"2 months")</f>
        <v>2 months</v>
      </c>
      <c r="F750" s="98">
        <f>IFERROR(__xludf.DUMMYFUNCTION("""COMPUTED_VALUE"""),44199.0)</f>
        <v>44199</v>
      </c>
      <c r="G750" s="98">
        <f>IFERROR(__xludf.DUMMYFUNCTION("""COMPUTED_VALUE"""),44258.0)</f>
        <v>44258</v>
      </c>
      <c r="H750" s="99">
        <f>IFERROR(__xludf.DUMMYFUNCTION("""COMPUTED_VALUE"""),44258.0)</f>
        <v>44258</v>
      </c>
      <c r="I750" s="100"/>
      <c r="J750" s="96" t="str">
        <f>IFERROR(__xludf.DUMMYFUNCTION("""COMPUTED_VALUE"""),"P Ravi Kiran Varma")</f>
        <v>P Ravi Kiran Varma</v>
      </c>
      <c r="K750" s="101" t="str">
        <f>IFERROR(__xludf.DUMMYFUNCTION("""COMPUTED_VALUE"""),"https://drive.google.com/open?id=12W-4puaia8y5O-SVRl5fEYhkS4pnLs_z")</f>
        <v>https://drive.google.com/open?id=12W-4puaia8y5O-SVRl5fEYhkS4pnLs_z</v>
      </c>
      <c r="L750" s="96" t="str">
        <f>IFERROR(__xludf.DUMMYFUNCTION("""COMPUTED_VALUE"""),"2019-2023")</f>
        <v>2019-2023</v>
      </c>
      <c r="M750" s="96" t="str">
        <f>IFERROR(__xludf.DUMMYFUNCTION("""COMPUTED_VALUE"""),"S4: Student Certifications")</f>
        <v>S4: Student Certifications</v>
      </c>
      <c r="N750" s="96" t="str">
        <f>IFERROR(__xludf.DUMMYFUNCTION("""COMPUTED_VALUE"""),"svamsi215@gmail.com")</f>
        <v>svamsi215@gmail.com</v>
      </c>
      <c r="O750" s="96" t="str">
        <f>IFERROR(__xludf.DUMMYFUNCTION("""COMPUTED_VALUE"""),"SEM-6")</f>
        <v>SEM-6</v>
      </c>
      <c r="P750" s="96"/>
      <c r="Q750" s="96"/>
      <c r="R750" s="96"/>
      <c r="S750" s="96"/>
      <c r="T750" s="96"/>
      <c r="U750" s="96"/>
      <c r="V750" s="96"/>
      <c r="W750" s="96"/>
      <c r="X750" s="96"/>
      <c r="Y750" s="96"/>
    </row>
    <row r="751" ht="26.25" customHeight="1">
      <c r="A751" s="96" t="str">
        <f>IFERROR(__xludf.DUMMYFUNCTION("""COMPUTED_VALUE"""),"B.BHANU SAI PRAKASH")</f>
        <v>B.BHANU SAI PRAKASH</v>
      </c>
      <c r="B751" s="96" t="str">
        <f>IFERROR(__xludf.DUMMYFUNCTION("""COMPUTED_VALUE"""),"20335A0501")</f>
        <v>20335A0501</v>
      </c>
      <c r="C751" s="97" t="str">
        <f>IFERROR(__xludf.DUMMYFUNCTION("""COMPUTED_VALUE"""),"Introduction to Networks")</f>
        <v>Introduction to Networks</v>
      </c>
      <c r="D751" s="96" t="str">
        <f>IFERROR(__xludf.DUMMYFUNCTION("""COMPUTED_VALUE"""),"Cisco")</f>
        <v>Cisco</v>
      </c>
      <c r="E751" s="96" t="str">
        <f>IFERROR(__xludf.DUMMYFUNCTION("""COMPUTED_VALUE"""),"3 months")</f>
        <v>3 months</v>
      </c>
      <c r="F751" s="98">
        <f>IFERROR(__xludf.DUMMYFUNCTION("""COMPUTED_VALUE"""),44448.0)</f>
        <v>44448</v>
      </c>
      <c r="G751" s="98">
        <f>IFERROR(__xludf.DUMMYFUNCTION("""COMPUTED_VALUE"""),44539.0)</f>
        <v>44539</v>
      </c>
      <c r="H751" s="99">
        <f>IFERROR(__xludf.DUMMYFUNCTION("""COMPUTED_VALUE"""),44539.0)</f>
        <v>44539</v>
      </c>
      <c r="I751" s="100">
        <f>IFERROR(__xludf.DUMMYFUNCTION("""COMPUTED_VALUE"""),90.0)</f>
        <v>90</v>
      </c>
      <c r="J751" s="96" t="str">
        <f>IFERROR(__xludf.DUMMYFUNCTION("""COMPUTED_VALUE"""),"DR. RAVI KIRAN VARMA PENMATSA")</f>
        <v>DR. RAVI KIRAN VARMA PENMATSA</v>
      </c>
      <c r="K751" s="101" t="str">
        <f>IFERROR(__xludf.DUMMYFUNCTION("""COMPUTED_VALUE"""),"https://drive.google.com/open?id=1pDCrLJoGwIM87gnbXmI5m2jpz07EBK06")</f>
        <v>https://drive.google.com/open?id=1pDCrLJoGwIM87gnbXmI5m2jpz07EBK06</v>
      </c>
      <c r="L751" s="96" t="str">
        <f>IFERROR(__xludf.DUMMYFUNCTION("""COMPUTED_VALUE"""),"2019-2023")</f>
        <v>2019-2023</v>
      </c>
      <c r="M751" s="96" t="str">
        <f>IFERROR(__xludf.DUMMYFUNCTION("""COMPUTED_VALUE"""),"S4: Student Certifications")</f>
        <v>S4: Student Certifications</v>
      </c>
      <c r="N751" s="96" t="str">
        <f>IFERROR(__xludf.DUMMYFUNCTION("""COMPUTED_VALUE"""),"bhanusaiprakash04@gmail.com")</f>
        <v>bhanusaiprakash04@gmail.com</v>
      </c>
      <c r="O751" s="96" t="str">
        <f>IFERROR(__xludf.DUMMYFUNCTION("""COMPUTED_VALUE"""),"SEM-6")</f>
        <v>SEM-6</v>
      </c>
      <c r="P751" s="96"/>
      <c r="Q751" s="96"/>
      <c r="R751" s="96"/>
      <c r="S751" s="96"/>
      <c r="T751" s="96"/>
      <c r="U751" s="96"/>
      <c r="V751" s="96"/>
      <c r="W751" s="96"/>
      <c r="X751" s="96"/>
      <c r="Y751" s="96"/>
    </row>
    <row r="752" ht="26.25" customHeight="1">
      <c r="A752" s="96" t="str">
        <f>IFERROR(__xludf.DUMMYFUNCTION("""COMPUTED_VALUE"""),"BHARATH RAMA CHANDRA KAKARLA ")</f>
        <v>BHARATH RAMA CHANDRA KAKARLA </v>
      </c>
      <c r="B752" s="96" t="str">
        <f>IFERROR(__xludf.DUMMYFUNCTION("""COMPUTED_VALUE"""),"19331A0567")</f>
        <v>19331A0567</v>
      </c>
      <c r="C752" s="97" t="str">
        <f>IFERROR(__xludf.DUMMYFUNCTION("""COMPUTED_VALUE"""),"IT Essentials ")</f>
        <v>IT Essentials </v>
      </c>
      <c r="D752" s="96" t="str">
        <f>IFERROR(__xludf.DUMMYFUNCTION("""COMPUTED_VALUE"""),"Cisco")</f>
        <v>Cisco</v>
      </c>
      <c r="E752" s="96" t="str">
        <f>IFERROR(__xludf.DUMMYFUNCTION("""COMPUTED_VALUE"""),"3 months ")</f>
        <v>3 months </v>
      </c>
      <c r="F752" s="98">
        <f>IFERROR(__xludf.DUMMYFUNCTION("""COMPUTED_VALUE"""),44078.0)</f>
        <v>44078</v>
      </c>
      <c r="G752" s="98">
        <f>IFERROR(__xludf.DUMMYFUNCTION("""COMPUTED_VALUE"""),44143.0)</f>
        <v>44143</v>
      </c>
      <c r="H752" s="99">
        <f>IFERROR(__xludf.DUMMYFUNCTION("""COMPUTED_VALUE"""),44136.0)</f>
        <v>44136</v>
      </c>
      <c r="I752" s="100">
        <f>IFERROR(__xludf.DUMMYFUNCTION("""COMPUTED_VALUE"""),85.0)</f>
        <v>85</v>
      </c>
      <c r="J752" s="96" t="str">
        <f>IFERROR(__xludf.DUMMYFUNCTION("""COMPUTED_VALUE"""),"Dr. Suvarna Kumar Gogula")</f>
        <v>Dr. Suvarna Kumar Gogula</v>
      </c>
      <c r="K752" s="101" t="str">
        <f>IFERROR(__xludf.DUMMYFUNCTION("""COMPUTED_VALUE"""),"https://drive.google.com/open?id=136Ywux1C_7sFSmnrirrxWLxCBjVfLVU-")</f>
        <v>https://drive.google.com/open?id=136Ywux1C_7sFSmnrirrxWLxCBjVfLVU-</v>
      </c>
      <c r="L752" s="96" t="str">
        <f>IFERROR(__xludf.DUMMYFUNCTION("""COMPUTED_VALUE"""),"2019-2023")</f>
        <v>2019-2023</v>
      </c>
      <c r="M752" s="96" t="str">
        <f>IFERROR(__xludf.DUMMYFUNCTION("""COMPUTED_VALUE"""),"S4: Student Certifications")</f>
        <v>S4: Student Certifications</v>
      </c>
      <c r="N752" s="96" t="str">
        <f>IFERROR(__xludf.DUMMYFUNCTION("""COMPUTED_VALUE"""),"bharath007ram@gmail.com")</f>
        <v>bharath007ram@gmail.com</v>
      </c>
      <c r="O752" s="96" t="str">
        <f>IFERROR(__xludf.DUMMYFUNCTION("""COMPUTED_VALUE"""),"SEM-6")</f>
        <v>SEM-6</v>
      </c>
      <c r="P752" s="96"/>
      <c r="Q752" s="96"/>
      <c r="R752" s="96"/>
      <c r="S752" s="96"/>
      <c r="T752" s="96"/>
      <c r="U752" s="96"/>
      <c r="V752" s="96"/>
      <c r="W752" s="96"/>
      <c r="X752" s="96"/>
      <c r="Y752" s="96"/>
    </row>
    <row r="753" ht="26.25" customHeight="1">
      <c r="A753" s="96" t="str">
        <f>IFERROR(__xludf.DUMMYFUNCTION("""COMPUTED_VALUE"""),"LADI ADITYA PRASAD ")</f>
        <v>LADI ADITYA PRASAD </v>
      </c>
      <c r="B753" s="96" t="str">
        <f>IFERROR(__xludf.DUMMYFUNCTION("""COMPUTED_VALUE"""),"20335A0506")</f>
        <v>20335A0506</v>
      </c>
      <c r="C753" s="97" t="str">
        <f>IFERROR(__xludf.DUMMYFUNCTION("""COMPUTED_VALUE"""),"CCNAv7: Introduction to Networks")</f>
        <v>CCNAv7: Introduction to Networks</v>
      </c>
      <c r="D753" s="96" t="str">
        <f>IFERROR(__xludf.DUMMYFUNCTION("""COMPUTED_VALUE"""),"CISCO")</f>
        <v>CISCO</v>
      </c>
      <c r="E753" s="96" t="str">
        <f>IFERROR(__xludf.DUMMYFUNCTION("""COMPUTED_VALUE"""),"3 months")</f>
        <v>3 months</v>
      </c>
      <c r="F753" s="98">
        <f>IFERROR(__xludf.DUMMYFUNCTION("""COMPUTED_VALUE"""),44448.0)</f>
        <v>44448</v>
      </c>
      <c r="G753" s="98">
        <f>IFERROR(__xludf.DUMMYFUNCTION("""COMPUTED_VALUE"""),44539.0)</f>
        <v>44539</v>
      </c>
      <c r="H753" s="99">
        <f>IFERROR(__xludf.DUMMYFUNCTION("""COMPUTED_VALUE"""),44539.0)</f>
        <v>44539</v>
      </c>
      <c r="I753" s="100">
        <f>IFERROR(__xludf.DUMMYFUNCTION("""COMPUTED_VALUE"""),90.0)</f>
        <v>90</v>
      </c>
      <c r="J753" s="96" t="str">
        <f>IFERROR(__xludf.DUMMYFUNCTION("""COMPUTED_VALUE"""),"DR. RAVI KIRAN VARMA PENMATSA")</f>
        <v>DR. RAVI KIRAN VARMA PENMATSA</v>
      </c>
      <c r="K753" s="101" t="str">
        <f>IFERROR(__xludf.DUMMYFUNCTION("""COMPUTED_VALUE"""),"https://drive.google.com/open?id=1j2mw6sM1IUEEVuUwtVxofYHWaPopJXYe")</f>
        <v>https://drive.google.com/open?id=1j2mw6sM1IUEEVuUwtVxofYHWaPopJXYe</v>
      </c>
      <c r="L753" s="96" t="str">
        <f>IFERROR(__xludf.DUMMYFUNCTION("""COMPUTED_VALUE"""),"2019-2023")</f>
        <v>2019-2023</v>
      </c>
      <c r="M753" s="96" t="str">
        <f>IFERROR(__xludf.DUMMYFUNCTION("""COMPUTED_VALUE"""),"S4: Student Certifications")</f>
        <v>S4: Student Certifications</v>
      </c>
      <c r="N753" s="96" t="str">
        <f>IFERROR(__xludf.DUMMYFUNCTION("""COMPUTED_VALUE"""),"adityaprasadladi@gmail.com")</f>
        <v>adityaprasadladi@gmail.com</v>
      </c>
      <c r="O753" s="96" t="str">
        <f>IFERROR(__xludf.DUMMYFUNCTION("""COMPUTED_VALUE"""),"SEM-6")</f>
        <v>SEM-6</v>
      </c>
      <c r="P753" s="96"/>
      <c r="Q753" s="96"/>
      <c r="R753" s="96"/>
      <c r="S753" s="96"/>
      <c r="T753" s="96"/>
      <c r="U753" s="96"/>
      <c r="V753" s="96"/>
      <c r="W753" s="96"/>
      <c r="X753" s="96"/>
      <c r="Y753" s="96"/>
    </row>
    <row r="754" ht="26.25" customHeight="1">
      <c r="A754" s="96" t="str">
        <f>IFERROR(__xludf.DUMMYFUNCTION("""COMPUTED_VALUE"""),"PACHIGOLLA BALAJI")</f>
        <v>PACHIGOLLA BALAJI</v>
      </c>
      <c r="B754" s="96" t="str">
        <f>IFERROR(__xludf.DUMMYFUNCTION("""COMPUTED_VALUE"""),"19331A05C3")</f>
        <v>19331A05C3</v>
      </c>
      <c r="C754" s="97" t="str">
        <f>IFERROR(__xludf.DUMMYFUNCTION("""COMPUTED_VALUE"""),"CODERIDERS PYTHON")</f>
        <v>CODERIDERS PYTHON</v>
      </c>
      <c r="D754" s="96" t="str">
        <f>IFERROR(__xludf.DUMMYFUNCTION("""COMPUTED_VALUE"""),"CISCO NETWORKING ACADEMY")</f>
        <v>CISCO NETWORKING ACADEMY</v>
      </c>
      <c r="E754" s="96" t="str">
        <f>IFERROR(__xludf.DUMMYFUNCTION("""COMPUTED_VALUE"""),"2 MONTHS")</f>
        <v>2 MONTHS</v>
      </c>
      <c r="F754" s="98">
        <f>IFERROR(__xludf.DUMMYFUNCTION("""COMPUTED_VALUE"""),44322.0)</f>
        <v>44322</v>
      </c>
      <c r="G754" s="98">
        <f>IFERROR(__xludf.DUMMYFUNCTION("""COMPUTED_VALUE"""),44383.0)</f>
        <v>44383</v>
      </c>
      <c r="H754" s="99">
        <f>IFERROR(__xludf.DUMMYFUNCTION("""COMPUTED_VALUE"""),44383.0)</f>
        <v>44383</v>
      </c>
      <c r="I754" s="100">
        <f>IFERROR(__xludf.DUMMYFUNCTION("""COMPUTED_VALUE"""),85.0)</f>
        <v>85</v>
      </c>
      <c r="J754" s="96" t="str">
        <f>IFERROR(__xludf.DUMMYFUNCTION("""COMPUTED_VALUE"""),"DR RAVI KIRAN VARMA PENMATSA")</f>
        <v>DR RAVI KIRAN VARMA PENMATSA</v>
      </c>
      <c r="K754" s="101" t="str">
        <f>IFERROR(__xludf.DUMMYFUNCTION("""COMPUTED_VALUE"""),"https://drive.google.com/open?id=1Cv8md0gsIP4iKgIIBXwad1WgQdK5ISyw")</f>
        <v>https://drive.google.com/open?id=1Cv8md0gsIP4iKgIIBXwad1WgQdK5ISyw</v>
      </c>
      <c r="L754" s="96" t="str">
        <f>IFERROR(__xludf.DUMMYFUNCTION("""COMPUTED_VALUE"""),"2019-2023")</f>
        <v>2019-2023</v>
      </c>
      <c r="M754" s="96" t="str">
        <f>IFERROR(__xludf.DUMMYFUNCTION("""COMPUTED_VALUE"""),"S4: Student Certifications")</f>
        <v>S4: Student Certifications</v>
      </c>
      <c r="N754" s="96" t="str">
        <f>IFERROR(__xludf.DUMMYFUNCTION("""COMPUTED_VALUE"""),"balajipachigolla2430@gmail.com")</f>
        <v>balajipachigolla2430@gmail.com</v>
      </c>
      <c r="O754" s="96" t="str">
        <f>IFERROR(__xludf.DUMMYFUNCTION("""COMPUTED_VALUE"""),"SEM-6")</f>
        <v>SEM-6</v>
      </c>
      <c r="P754" s="96"/>
      <c r="Q754" s="96"/>
      <c r="R754" s="96"/>
      <c r="S754" s="96"/>
      <c r="T754" s="96"/>
      <c r="U754" s="96"/>
      <c r="V754" s="96"/>
      <c r="W754" s="96"/>
      <c r="X754" s="96"/>
      <c r="Y754" s="96"/>
    </row>
    <row r="755" ht="26.25" customHeight="1">
      <c r="A755" s="96" t="str">
        <f>IFERROR(__xludf.DUMMYFUNCTION("""COMPUTED_VALUE"""),"Uda Devi Sri Naga Sri Varshini")</f>
        <v>Uda Devi Sri Naga Sri Varshini</v>
      </c>
      <c r="B755" s="96" t="str">
        <f>IFERROR(__xludf.DUMMYFUNCTION("""COMPUTED_VALUE"""),"19331A05H6")</f>
        <v>19331A05H6</v>
      </c>
      <c r="C755" s="97" t="str">
        <f>IFERROR(__xludf.DUMMYFUNCTION("""COMPUTED_VALUE"""),"Create User Directory and Files with Linux Commands")</f>
        <v>Create User Directory and Files with Linux Commands</v>
      </c>
      <c r="D755" s="96" t="str">
        <f>IFERROR(__xludf.DUMMYFUNCTION("""COMPUTED_VALUE"""),"Coursera")</f>
        <v>Coursera</v>
      </c>
      <c r="E755" s="96" t="str">
        <f>IFERROR(__xludf.DUMMYFUNCTION("""COMPUTED_VALUE"""),"2 weeks")</f>
        <v>2 weeks</v>
      </c>
      <c r="F755" s="98">
        <f>IFERROR(__xludf.DUMMYFUNCTION("""COMPUTED_VALUE"""),44045.0)</f>
        <v>44045</v>
      </c>
      <c r="G755" s="98">
        <f>IFERROR(__xludf.DUMMYFUNCTION("""COMPUTED_VALUE"""),44061.0)</f>
        <v>44061</v>
      </c>
      <c r="H755" s="99">
        <f>IFERROR(__xludf.DUMMYFUNCTION("""COMPUTED_VALUE"""),44061.0)</f>
        <v>44061</v>
      </c>
      <c r="I755" s="100">
        <f>IFERROR(__xludf.DUMMYFUNCTION("""COMPUTED_VALUE"""),0.8)</f>
        <v>0.8</v>
      </c>
      <c r="J755" s="96" t="str">
        <f>IFERROR(__xludf.DUMMYFUNCTION("""COMPUTED_VALUE"""),"David Delsveen")</f>
        <v>David Delsveen</v>
      </c>
      <c r="K755" s="101" t="str">
        <f>IFERROR(__xludf.DUMMYFUNCTION("""COMPUTED_VALUE"""),"https://drive.google.com/open?id=1EeB4cYRC6U7x2-0Kbv6ha-nDZPooXwTp")</f>
        <v>https://drive.google.com/open?id=1EeB4cYRC6U7x2-0Kbv6ha-nDZPooXwTp</v>
      </c>
      <c r="L755" s="96" t="str">
        <f>IFERROR(__xludf.DUMMYFUNCTION("""COMPUTED_VALUE"""),"2019-2023")</f>
        <v>2019-2023</v>
      </c>
      <c r="M755" s="96" t="str">
        <f>IFERROR(__xludf.DUMMYFUNCTION("""COMPUTED_VALUE"""),"S4: Student Certifications")</f>
        <v>S4: Student Certifications</v>
      </c>
      <c r="N755" s="96" t="str">
        <f>IFERROR(__xludf.DUMMYFUNCTION("""COMPUTED_VALUE"""),"udasrivarshini@gmail.com")</f>
        <v>udasrivarshini@gmail.com</v>
      </c>
      <c r="O755" s="96" t="str">
        <f>IFERROR(__xludf.DUMMYFUNCTION("""COMPUTED_VALUE"""),"SEM-6")</f>
        <v>SEM-6</v>
      </c>
      <c r="P755" s="96"/>
      <c r="Q755" s="96"/>
      <c r="R755" s="96"/>
      <c r="S755" s="96"/>
      <c r="T755" s="96"/>
      <c r="U755" s="96"/>
      <c r="V755" s="96"/>
      <c r="W755" s="96"/>
      <c r="X755" s="96"/>
      <c r="Y755" s="96"/>
    </row>
    <row r="756" ht="26.25" customHeight="1">
      <c r="A756" s="96" t="str">
        <f>IFERROR(__xludf.DUMMYFUNCTION("""COMPUTED_VALUE"""),"Mohan Subha Varshith Pechetti")</f>
        <v>Mohan Subha Varshith Pechetti</v>
      </c>
      <c r="B756" s="96" t="str">
        <f>IFERROR(__xludf.DUMMYFUNCTION("""COMPUTED_VALUE"""),"19331A05C7")</f>
        <v>19331A05C7</v>
      </c>
      <c r="C756" s="97" t="str">
        <f>IFERROR(__xludf.DUMMYFUNCTION("""COMPUTED_VALUE"""),"Programming Essentials in Python")</f>
        <v>Programming Essentials in Python</v>
      </c>
      <c r="D756" s="96" t="str">
        <f>IFERROR(__xludf.DUMMYFUNCTION("""COMPUTED_VALUE"""),"Cisco Networking Academy")</f>
        <v>Cisco Networking Academy</v>
      </c>
      <c r="E756" s="96" t="str">
        <f>IFERROR(__xludf.DUMMYFUNCTION("""COMPUTED_VALUE"""),"2 MONTHS")</f>
        <v>2 MONTHS</v>
      </c>
      <c r="F756" s="98">
        <f>IFERROR(__xludf.DUMMYFUNCTION("""COMPUTED_VALUE"""),44218.0)</f>
        <v>44218</v>
      </c>
      <c r="G756" s="98">
        <f>IFERROR(__xludf.DUMMYFUNCTION("""COMPUTED_VALUE"""),44263.0)</f>
        <v>44263</v>
      </c>
      <c r="H756" s="99">
        <f>IFERROR(__xludf.DUMMYFUNCTION("""COMPUTED_VALUE"""),44263.0)</f>
        <v>44263</v>
      </c>
      <c r="I756" s="100">
        <f>IFERROR(__xludf.DUMMYFUNCTION("""COMPUTED_VALUE"""),89.0)</f>
        <v>89</v>
      </c>
      <c r="J756" s="96" t="str">
        <f>IFERROR(__xludf.DUMMYFUNCTION("""COMPUTED_VALUE"""),"DR. RAVI KIRAN VARMA PENMATSA")</f>
        <v>DR. RAVI KIRAN VARMA PENMATSA</v>
      </c>
      <c r="K756" s="101" t="str">
        <f>IFERROR(__xludf.DUMMYFUNCTION("""COMPUTED_VALUE"""),"https://drive.google.com/open?id=11TXZibIns7mvQ6izHlt9xrZCWbWY4dLF")</f>
        <v>https://drive.google.com/open?id=11TXZibIns7mvQ6izHlt9xrZCWbWY4dLF</v>
      </c>
      <c r="L756" s="96" t="str">
        <f>IFERROR(__xludf.DUMMYFUNCTION("""COMPUTED_VALUE"""),"2019-2023")</f>
        <v>2019-2023</v>
      </c>
      <c r="M756" s="96" t="str">
        <f>IFERROR(__xludf.DUMMYFUNCTION("""COMPUTED_VALUE"""),"S4: Student Certifications")</f>
        <v>S4: Student Certifications</v>
      </c>
      <c r="N756" s="96" t="str">
        <f>IFERROR(__xludf.DUMMYFUNCTION("""COMPUTED_VALUE"""),"subhavarshith@gmail.com")</f>
        <v>subhavarshith@gmail.com</v>
      </c>
      <c r="O756" s="96" t="str">
        <f>IFERROR(__xludf.DUMMYFUNCTION("""COMPUTED_VALUE"""),"SEM-6")</f>
        <v>SEM-6</v>
      </c>
      <c r="P756" s="96"/>
      <c r="Q756" s="96"/>
      <c r="R756" s="96"/>
      <c r="S756" s="96"/>
      <c r="T756" s="96"/>
      <c r="U756" s="96"/>
      <c r="V756" s="96"/>
      <c r="W756" s="96"/>
      <c r="X756" s="96"/>
      <c r="Y756" s="96"/>
    </row>
    <row r="757" ht="26.25" customHeight="1">
      <c r="A757" s="96" t="str">
        <f>IFERROR(__xludf.DUMMYFUNCTION("""COMPUTED_VALUE"""),"T HARI KRISHNA PRIYA")</f>
        <v>T HARI KRISHNA PRIYA</v>
      </c>
      <c r="B757" s="96" t="str">
        <f>IFERROR(__xludf.DUMMYFUNCTION("""COMPUTED_VALUE"""),"19331A05H4")</f>
        <v>19331A05H4</v>
      </c>
      <c r="C757" s="97" t="str">
        <f>IFERROR(__xludf.DUMMYFUNCTION("""COMPUTED_VALUE"""),"Python Data Structures")</f>
        <v>Python Data Structures</v>
      </c>
      <c r="D757" s="96" t="str">
        <f>IFERROR(__xludf.DUMMYFUNCTION("""COMPUTED_VALUE"""),"University of Michigan")</f>
        <v>University of Michigan</v>
      </c>
      <c r="E757" s="96" t="str">
        <f>IFERROR(__xludf.DUMMYFUNCTION("""COMPUTED_VALUE"""),"4 weeks")</f>
        <v>4 weeks</v>
      </c>
      <c r="F757" s="98">
        <f>IFERROR(__xludf.DUMMYFUNCTION("""COMPUTED_VALUE"""),44069.0)</f>
        <v>44069</v>
      </c>
      <c r="G757" s="98">
        <f>IFERROR(__xludf.DUMMYFUNCTION("""COMPUTED_VALUE"""),44100.0)</f>
        <v>44100</v>
      </c>
      <c r="H757" s="99">
        <f>IFERROR(__xludf.DUMMYFUNCTION("""COMPUTED_VALUE"""),44100.0)</f>
        <v>44100</v>
      </c>
      <c r="I757" s="100">
        <f>IFERROR(__xludf.DUMMYFUNCTION("""COMPUTED_VALUE"""),1.0)</f>
        <v>1</v>
      </c>
      <c r="J757" s="96" t="str">
        <f>IFERROR(__xludf.DUMMYFUNCTION("""COMPUTED_VALUE"""),"Charles Severance")</f>
        <v>Charles Severance</v>
      </c>
      <c r="K757" s="101" t="str">
        <f>IFERROR(__xludf.DUMMYFUNCTION("""COMPUTED_VALUE"""),"https://drive.google.com/open?id=1pc7N8j3srgy1vhd_haYAPZ9Sex7v_cBA")</f>
        <v>https://drive.google.com/open?id=1pc7N8j3srgy1vhd_haYAPZ9Sex7v_cBA</v>
      </c>
      <c r="L757" s="96" t="str">
        <f>IFERROR(__xludf.DUMMYFUNCTION("""COMPUTED_VALUE"""),"2019-2023")</f>
        <v>2019-2023</v>
      </c>
      <c r="M757" s="96" t="str">
        <f>IFERROR(__xludf.DUMMYFUNCTION("""COMPUTED_VALUE"""),"S4: Student Certifications")</f>
        <v>S4: Student Certifications</v>
      </c>
      <c r="N757" s="96" t="str">
        <f>IFERROR(__xludf.DUMMYFUNCTION("""COMPUTED_VALUE"""),"harikpriyatirumalaraju@gmail.com")</f>
        <v>harikpriyatirumalaraju@gmail.com</v>
      </c>
      <c r="O757" s="96" t="str">
        <f>IFERROR(__xludf.DUMMYFUNCTION("""COMPUTED_VALUE"""),"SEM-6")</f>
        <v>SEM-6</v>
      </c>
      <c r="P757" s="96"/>
      <c r="Q757" s="96"/>
      <c r="R757" s="96"/>
      <c r="S757" s="96"/>
      <c r="T757" s="96"/>
      <c r="U757" s="96"/>
      <c r="V757" s="96"/>
      <c r="W757" s="96"/>
      <c r="X757" s="96"/>
      <c r="Y757" s="96"/>
    </row>
    <row r="758" ht="26.25" customHeight="1">
      <c r="A758" s="96" t="str">
        <f>IFERROR(__xludf.DUMMYFUNCTION("""COMPUTED_VALUE"""),"Kambala Sai Vamsi")</f>
        <v>Kambala Sai Vamsi</v>
      </c>
      <c r="B758" s="96" t="str">
        <f>IFERROR(__xludf.DUMMYFUNCTION("""COMPUTED_VALUE"""),"19331A0571")</f>
        <v>19331A0571</v>
      </c>
      <c r="C758" s="97" t="str">
        <f>IFERROR(__xludf.DUMMYFUNCTION("""COMPUTED_VALUE"""),"Programming essentials in C")</f>
        <v>Programming essentials in C</v>
      </c>
      <c r="D758" s="96" t="str">
        <f>IFERROR(__xludf.DUMMYFUNCTION("""COMPUTED_VALUE"""),"Cisco")</f>
        <v>Cisco</v>
      </c>
      <c r="E758" s="96" t="str">
        <f>IFERROR(__xludf.DUMMYFUNCTION("""COMPUTED_VALUE"""),"3 months")</f>
        <v>3 months</v>
      </c>
      <c r="F758" s="98">
        <f>IFERROR(__xludf.DUMMYFUNCTION("""COMPUTED_VALUE"""),43957.0)</f>
        <v>43957</v>
      </c>
      <c r="G758" s="98">
        <f>IFERROR(__xludf.DUMMYFUNCTION("""COMPUTED_VALUE"""),44037.0)</f>
        <v>44037</v>
      </c>
      <c r="H758" s="99">
        <f>IFERROR(__xludf.DUMMYFUNCTION("""COMPUTED_VALUE"""),44037.0)</f>
        <v>44037</v>
      </c>
      <c r="I758" s="100">
        <f>IFERROR(__xludf.DUMMYFUNCTION("""COMPUTED_VALUE"""),80.0)</f>
        <v>80</v>
      </c>
      <c r="J758" s="96" t="str">
        <f>IFERROR(__xludf.DUMMYFUNCTION("""COMPUTED_VALUE"""),"Subba Raju")</f>
        <v>Subba Raju</v>
      </c>
      <c r="K758" s="101" t="str">
        <f>IFERROR(__xludf.DUMMYFUNCTION("""COMPUTED_VALUE"""),"https://drive.google.com/open?id=1YphZpIhw5XLTSe6ao9LoikNjHa6p5MjI")</f>
        <v>https://drive.google.com/open?id=1YphZpIhw5XLTSe6ao9LoikNjHa6p5MjI</v>
      </c>
      <c r="L758" s="96" t="str">
        <f>IFERROR(__xludf.DUMMYFUNCTION("""COMPUTED_VALUE"""),"2019-2023")</f>
        <v>2019-2023</v>
      </c>
      <c r="M758" s="96" t="str">
        <f>IFERROR(__xludf.DUMMYFUNCTION("""COMPUTED_VALUE"""),"S4: Student Certifications")</f>
        <v>S4: Student Certifications</v>
      </c>
      <c r="N758" s="96" t="str">
        <f>IFERROR(__xludf.DUMMYFUNCTION("""COMPUTED_VALUE"""),"svamsi215@gmail.com")</f>
        <v>svamsi215@gmail.com</v>
      </c>
      <c r="O758" s="96" t="str">
        <f>IFERROR(__xludf.DUMMYFUNCTION("""COMPUTED_VALUE"""),"SEM-6")</f>
        <v>SEM-6</v>
      </c>
      <c r="P758" s="96"/>
      <c r="Q758" s="96"/>
      <c r="R758" s="96"/>
      <c r="S758" s="96"/>
      <c r="T758" s="96"/>
      <c r="U758" s="96"/>
      <c r="V758" s="96"/>
      <c r="W758" s="96"/>
      <c r="X758" s="96"/>
      <c r="Y758" s="96"/>
    </row>
    <row r="759" ht="26.25" customHeight="1">
      <c r="A759" s="74" t="str">
        <f>IFERROR(__xludf.DUMMYFUNCTION("""COMPUTED_VALUE"""),"Thatimalla Niveditha")</f>
        <v>Thatimalla Niveditha</v>
      </c>
      <c r="B759" s="74" t="str">
        <f>IFERROR(__xludf.DUMMYFUNCTION("""COMPUTED_VALUE"""),"19331A05H1")</f>
        <v>19331A05H1</v>
      </c>
      <c r="C759" s="90" t="str">
        <f>IFERROR(__xludf.DUMMYFUNCTION("""COMPUTED_VALUE"""),"Programming Essentials in Python")</f>
        <v>Programming Essentials in Python</v>
      </c>
      <c r="D759" s="74" t="str">
        <f>IFERROR(__xludf.DUMMYFUNCTION("""COMPUTED_VALUE"""),"Cisco Networking Academy")</f>
        <v>Cisco Networking Academy</v>
      </c>
      <c r="E759" s="74" t="str">
        <f>IFERROR(__xludf.DUMMYFUNCTION("""COMPUTED_VALUE"""),"13 weeks")</f>
        <v>13 weeks</v>
      </c>
      <c r="F759" s="91">
        <f>IFERROR(__xludf.DUMMYFUNCTION("""COMPUTED_VALUE"""),44203.0)</f>
        <v>44203</v>
      </c>
      <c r="G759" s="91">
        <f>IFERROR(__xludf.DUMMYFUNCTION("""COMPUTED_VALUE"""),44300.0)</f>
        <v>44300</v>
      </c>
      <c r="H759" s="79">
        <f>IFERROR(__xludf.DUMMYFUNCTION("""COMPUTED_VALUE"""),44300.0)</f>
        <v>44300</v>
      </c>
      <c r="I759" s="92">
        <f>IFERROR(__xludf.DUMMYFUNCTION("""COMPUTED_VALUE"""),0.9)</f>
        <v>0.9</v>
      </c>
      <c r="J759" s="74" t="str">
        <f>IFERROR(__xludf.DUMMYFUNCTION("""COMPUTED_VALUE"""),"M Beulah Rani")</f>
        <v>M Beulah Rani</v>
      </c>
      <c r="K759" s="80" t="str">
        <f>IFERROR(__xludf.DUMMYFUNCTION("""COMPUTED_VALUE"""),"https://drive.google.com/open?id=1QMEd_tbSrf51UmCFYiWNxFMhOMr-EEPa")</f>
        <v>https://drive.google.com/open?id=1QMEd_tbSrf51UmCFYiWNxFMhOMr-EEPa</v>
      </c>
      <c r="L759" s="74" t="str">
        <f>IFERROR(__xludf.DUMMYFUNCTION("""COMPUTED_VALUE"""),"2019-2023")</f>
        <v>2019-2023</v>
      </c>
      <c r="M759" s="74" t="str">
        <f>IFERROR(__xludf.DUMMYFUNCTION("""COMPUTED_VALUE"""),"S4: Student Certifications")</f>
        <v>S4: Student Certifications</v>
      </c>
      <c r="N759" s="74" t="str">
        <f>IFERROR(__xludf.DUMMYFUNCTION("""COMPUTED_VALUE"""),"thatimallaniveditha@gmail.com")</f>
        <v>thatimallaniveditha@gmail.com</v>
      </c>
      <c r="O759" s="74" t="str">
        <f>IFERROR(__xludf.DUMMYFUNCTION("""COMPUTED_VALUE"""),"SEM-3")</f>
        <v>SEM-3</v>
      </c>
      <c r="P759" s="74"/>
      <c r="Q759" s="74"/>
      <c r="R759" s="74"/>
      <c r="S759" s="74"/>
      <c r="T759" s="74"/>
      <c r="U759" s="74"/>
      <c r="V759" s="74"/>
      <c r="W759" s="74"/>
      <c r="X759" s="74"/>
      <c r="Y759" s="74"/>
    </row>
    <row r="760" ht="26.25" customHeight="1">
      <c r="A760" s="96" t="str">
        <f>IFERROR(__xludf.DUMMYFUNCTION("""COMPUTED_VALUE"""),"N CHANDRA SEKHAR REDDY ")</f>
        <v>N CHANDRA SEKHAR REDDY </v>
      </c>
      <c r="B760" s="96" t="str">
        <f>IFERROR(__xludf.DUMMYFUNCTION("""COMPUTED_VALUE"""),"19331A05B7")</f>
        <v>19331A05B7</v>
      </c>
      <c r="C760" s="97" t="str">
        <f>IFERROR(__xludf.DUMMYFUNCTION("""COMPUTED_VALUE"""),"IT Essentials ")</f>
        <v>IT Essentials </v>
      </c>
      <c r="D760" s="96" t="str">
        <f>IFERROR(__xludf.DUMMYFUNCTION("""COMPUTED_VALUE"""),"Cisco Networking Academy ")</f>
        <v>Cisco Networking Academy </v>
      </c>
      <c r="E760" s="96" t="str">
        <f>IFERROR(__xludf.DUMMYFUNCTION("""COMPUTED_VALUE"""),"1month ")</f>
        <v>1month </v>
      </c>
      <c r="F760" s="98">
        <f>IFERROR(__xludf.DUMMYFUNCTION("""COMPUTED_VALUE"""),44102.0)</f>
        <v>44102</v>
      </c>
      <c r="G760" s="98">
        <f>IFERROR(__xludf.DUMMYFUNCTION("""COMPUTED_VALUE"""),44132.0)</f>
        <v>44132</v>
      </c>
      <c r="H760" s="99">
        <f>IFERROR(__xludf.DUMMYFUNCTION("""COMPUTED_VALUE"""),44132.0)</f>
        <v>44132</v>
      </c>
      <c r="I760" s="100">
        <f>IFERROR(__xludf.DUMMYFUNCTION("""COMPUTED_VALUE"""),0.95)</f>
        <v>0.95</v>
      </c>
      <c r="J760" s="96" t="str">
        <f>IFERROR(__xludf.DUMMYFUNCTION("""COMPUTED_VALUE"""),"Dr. Suvarna Kumar Gogula ")</f>
        <v>Dr. Suvarna Kumar Gogula </v>
      </c>
      <c r="K760" s="101" t="str">
        <f>IFERROR(__xludf.DUMMYFUNCTION("""COMPUTED_VALUE"""),"https://drive.google.com/open?id=1ThfMNbY8oMfSSAkHJAb4oKClNdc8WOmB")</f>
        <v>https://drive.google.com/open?id=1ThfMNbY8oMfSSAkHJAb4oKClNdc8WOmB</v>
      </c>
      <c r="L760" s="96" t="str">
        <f>IFERROR(__xludf.DUMMYFUNCTION("""COMPUTED_VALUE"""),"2019-2023")</f>
        <v>2019-2023</v>
      </c>
      <c r="M760" s="96" t="str">
        <f>IFERROR(__xludf.DUMMYFUNCTION("""COMPUTED_VALUE"""),"S4: Student Certifications")</f>
        <v>S4: Student Certifications</v>
      </c>
      <c r="N760" s="96" t="str">
        <f>IFERROR(__xludf.DUMMYFUNCTION("""COMPUTED_VALUE"""),"ncsreddy143@gmail.com")</f>
        <v>ncsreddy143@gmail.com</v>
      </c>
      <c r="O760" s="96" t="str">
        <f>IFERROR(__xludf.DUMMYFUNCTION("""COMPUTED_VALUE"""),"SEM-6")</f>
        <v>SEM-6</v>
      </c>
      <c r="P760" s="96"/>
      <c r="Q760" s="96"/>
      <c r="R760" s="96"/>
      <c r="S760" s="96"/>
      <c r="T760" s="96"/>
      <c r="U760" s="96"/>
      <c r="V760" s="96"/>
      <c r="W760" s="96"/>
      <c r="X760" s="96"/>
      <c r="Y760" s="96"/>
    </row>
    <row r="761" ht="26.25" customHeight="1">
      <c r="A761" s="96" t="str">
        <f>IFERROR(__xludf.DUMMYFUNCTION("""COMPUTED_VALUE"""),"LADI ADITYA PRASAD ")</f>
        <v>LADI ADITYA PRASAD </v>
      </c>
      <c r="B761" s="96" t="str">
        <f>IFERROR(__xludf.DUMMYFUNCTION("""COMPUTED_VALUE"""),"20335A0506")</f>
        <v>20335A0506</v>
      </c>
      <c r="C761" s="97" t="str">
        <f>IFERROR(__xludf.DUMMYFUNCTION("""COMPUTED_VALUE"""),"PCAP: Programming Essentials in Python")</f>
        <v>PCAP: Programming Essentials in Python</v>
      </c>
      <c r="D761" s="96" t="str">
        <f>IFERROR(__xludf.DUMMYFUNCTION("""COMPUTED_VALUE"""),"CISCO")</f>
        <v>CISCO</v>
      </c>
      <c r="E761" s="96" t="str">
        <f>IFERROR(__xludf.DUMMYFUNCTION("""COMPUTED_VALUE"""),"3 months")</f>
        <v>3 months</v>
      </c>
      <c r="F761" s="98">
        <f>IFERROR(__xludf.DUMMYFUNCTION("""COMPUTED_VALUE"""),44598.0)</f>
        <v>44598</v>
      </c>
      <c r="G761" s="98">
        <f>IFERROR(__xludf.DUMMYFUNCTION("""COMPUTED_VALUE"""),44322.0)</f>
        <v>44322</v>
      </c>
      <c r="H761" s="99">
        <f>IFERROR(__xludf.DUMMYFUNCTION("""COMPUTED_VALUE"""),44322.0)</f>
        <v>44322</v>
      </c>
      <c r="I761" s="100">
        <f>IFERROR(__xludf.DUMMYFUNCTION("""COMPUTED_VALUE"""),90.0)</f>
        <v>90</v>
      </c>
      <c r="J761" s="96" t="str">
        <f>IFERROR(__xludf.DUMMYFUNCTION("""COMPUTED_VALUE"""),"DR. RAVI KIRAN VARMA PENMATSA Instructor ")</f>
        <v>DR. RAVI KIRAN VARMA PENMATSA Instructor </v>
      </c>
      <c r="K761" s="101" t="str">
        <f>IFERROR(__xludf.DUMMYFUNCTION("""COMPUTED_VALUE"""),"https://drive.google.com/open?id=1Dqk1yXEF0cC_FY_5I8sQH2YPtT5Vs37B")</f>
        <v>https://drive.google.com/open?id=1Dqk1yXEF0cC_FY_5I8sQH2YPtT5Vs37B</v>
      </c>
      <c r="L761" s="96" t="str">
        <f>IFERROR(__xludf.DUMMYFUNCTION("""COMPUTED_VALUE"""),"2019-2023")</f>
        <v>2019-2023</v>
      </c>
      <c r="M761" s="96" t="str">
        <f>IFERROR(__xludf.DUMMYFUNCTION("""COMPUTED_VALUE"""),"S4: Student Certifications")</f>
        <v>S4: Student Certifications</v>
      </c>
      <c r="N761" s="96" t="str">
        <f>IFERROR(__xludf.DUMMYFUNCTION("""COMPUTED_VALUE"""),"adityaprasadladi@gmail.com")</f>
        <v>adityaprasadladi@gmail.com</v>
      </c>
      <c r="O761" s="96" t="str">
        <f>IFERROR(__xludf.DUMMYFUNCTION("""COMPUTED_VALUE"""),"SEM-6")</f>
        <v>SEM-6</v>
      </c>
      <c r="P761" s="96"/>
      <c r="Q761" s="96"/>
      <c r="R761" s="96"/>
      <c r="S761" s="96"/>
      <c r="T761" s="96"/>
      <c r="U761" s="96"/>
      <c r="V761" s="96"/>
      <c r="W761" s="96"/>
      <c r="X761" s="96"/>
      <c r="Y761" s="96"/>
    </row>
    <row r="762" ht="26.25" customHeight="1">
      <c r="A762" s="96" t="str">
        <f>IFERROR(__xludf.DUMMYFUNCTION("""COMPUTED_VALUE"""),"Karumoju Nehal Praveen")</f>
        <v>Karumoju Nehal Praveen</v>
      </c>
      <c r="B762" s="96" t="str">
        <f>IFERROR(__xludf.DUMMYFUNCTION("""COMPUTED_VALUE"""),"19331A0576")</f>
        <v>19331A0576</v>
      </c>
      <c r="C762" s="97" t="str">
        <f>IFERROR(__xludf.DUMMYFUNCTION("""COMPUTED_VALUE"""),"Programming for Everybody (Getting Started with python)")</f>
        <v>Programming for Everybody (Getting Started with python)</v>
      </c>
      <c r="D762" s="96" t="str">
        <f>IFERROR(__xludf.DUMMYFUNCTION("""COMPUTED_VALUE"""),"Coursera")</f>
        <v>Coursera</v>
      </c>
      <c r="E762" s="96" t="str">
        <f>IFERROR(__xludf.DUMMYFUNCTION("""COMPUTED_VALUE"""),"1 Month")</f>
        <v>1 Month</v>
      </c>
      <c r="F762" s="98">
        <f>IFERROR(__xludf.DUMMYFUNCTION("""COMPUTED_VALUE"""),43912.0)</f>
        <v>43912</v>
      </c>
      <c r="G762" s="98">
        <f>IFERROR(__xludf.DUMMYFUNCTION("""COMPUTED_VALUE"""),43943.0)</f>
        <v>43943</v>
      </c>
      <c r="H762" s="99">
        <f>IFERROR(__xludf.DUMMYFUNCTION("""COMPUTED_VALUE"""),43943.0)</f>
        <v>43943</v>
      </c>
      <c r="I762" s="100">
        <f>IFERROR(__xludf.DUMMYFUNCTION("""COMPUTED_VALUE"""),100.0)</f>
        <v>100</v>
      </c>
      <c r="J762" s="96" t="str">
        <f>IFERROR(__xludf.DUMMYFUNCTION("""COMPUTED_VALUE"""),"Charles Severance")</f>
        <v>Charles Severance</v>
      </c>
      <c r="K762" s="101" t="str">
        <f>IFERROR(__xludf.DUMMYFUNCTION("""COMPUTED_VALUE"""),"https://drive.google.com/open?id=1S-sa0bDw6pEogW6V06lra53ivgXymVQC")</f>
        <v>https://drive.google.com/open?id=1S-sa0bDw6pEogW6V06lra53ivgXymVQC</v>
      </c>
      <c r="L762" s="96" t="str">
        <f>IFERROR(__xludf.DUMMYFUNCTION("""COMPUTED_VALUE"""),"2019-2023")</f>
        <v>2019-2023</v>
      </c>
      <c r="M762" s="96" t="str">
        <f>IFERROR(__xludf.DUMMYFUNCTION("""COMPUTED_VALUE"""),"S4: Student Certifications")</f>
        <v>S4: Student Certifications</v>
      </c>
      <c r="N762" s="96" t="str">
        <f>IFERROR(__xludf.DUMMYFUNCTION("""COMPUTED_VALUE"""),"nehalpraveen@gmail.com")</f>
        <v>nehalpraveen@gmail.com</v>
      </c>
      <c r="O762" s="96" t="str">
        <f>IFERROR(__xludf.DUMMYFUNCTION("""COMPUTED_VALUE"""),"SEM-6")</f>
        <v>SEM-6</v>
      </c>
      <c r="P762" s="96"/>
      <c r="Q762" s="96"/>
      <c r="R762" s="96"/>
      <c r="S762" s="96"/>
      <c r="T762" s="96"/>
      <c r="U762" s="96"/>
      <c r="V762" s="96"/>
      <c r="W762" s="96"/>
      <c r="X762" s="96"/>
      <c r="Y762" s="96"/>
    </row>
    <row r="763" ht="26.25" customHeight="1">
      <c r="A763" s="96" t="str">
        <f>IFERROR(__xludf.DUMMYFUNCTION("""COMPUTED_VALUE"""),"KUNCHALA VAMSI")</f>
        <v>KUNCHALA VAMSI</v>
      </c>
      <c r="B763" s="96" t="str">
        <f>IFERROR(__xludf.DUMMYFUNCTION("""COMPUTED_VALUE"""),"19331A0591")</f>
        <v>19331A0591</v>
      </c>
      <c r="C763" s="97" t="str">
        <f>IFERROR(__xludf.DUMMYFUNCTION("""COMPUTED_VALUE"""),"Programming Essentials in C")</f>
        <v>Programming Essentials in C</v>
      </c>
      <c r="D763" s="96" t="str">
        <f>IFERROR(__xludf.DUMMYFUNCTION("""COMPUTED_VALUE"""),"Cisco")</f>
        <v>Cisco</v>
      </c>
      <c r="E763" s="96" t="str">
        <f>IFERROR(__xludf.DUMMYFUNCTION("""COMPUTED_VALUE"""),"1 month")</f>
        <v>1 month</v>
      </c>
      <c r="F763" s="98">
        <f>IFERROR(__xludf.DUMMYFUNCTION("""COMPUTED_VALUE"""),43957.0)</f>
        <v>43957</v>
      </c>
      <c r="G763" s="98">
        <f>IFERROR(__xludf.DUMMYFUNCTION("""COMPUTED_VALUE"""),43987.0)</f>
        <v>43987</v>
      </c>
      <c r="H763" s="99">
        <f>IFERROR(__xludf.DUMMYFUNCTION("""COMPUTED_VALUE"""),43987.0)</f>
        <v>43987</v>
      </c>
      <c r="I763" s="100"/>
      <c r="J763" s="96" t="str">
        <f>IFERROR(__xludf.DUMMYFUNCTION("""COMPUTED_VALUE"""),"Subba Raju")</f>
        <v>Subba Raju</v>
      </c>
      <c r="K763" s="101" t="str">
        <f>IFERROR(__xludf.DUMMYFUNCTION("""COMPUTED_VALUE"""),"https://drive.google.com/open?id=1i99vuhDdYPsj89C6yFHZwei1q06O4W3V")</f>
        <v>https://drive.google.com/open?id=1i99vuhDdYPsj89C6yFHZwei1q06O4W3V</v>
      </c>
      <c r="L763" s="96" t="str">
        <f>IFERROR(__xludf.DUMMYFUNCTION("""COMPUTED_VALUE"""),"2019-2023")</f>
        <v>2019-2023</v>
      </c>
      <c r="M763" s="96" t="str">
        <f>IFERROR(__xludf.DUMMYFUNCTION("""COMPUTED_VALUE"""),"S4: Student Certifications")</f>
        <v>S4: Student Certifications</v>
      </c>
      <c r="N763" s="96" t="str">
        <f>IFERROR(__xludf.DUMMYFUNCTION("""COMPUTED_VALUE"""),"vamsikunchala7.2001@gmail.con")</f>
        <v>vamsikunchala7.2001@gmail.con</v>
      </c>
      <c r="O763" s="96" t="str">
        <f>IFERROR(__xludf.DUMMYFUNCTION("""COMPUTED_VALUE"""),"SEM-6")</f>
        <v>SEM-6</v>
      </c>
      <c r="P763" s="96"/>
      <c r="Q763" s="96"/>
      <c r="R763" s="96"/>
      <c r="S763" s="96"/>
      <c r="T763" s="96"/>
      <c r="U763" s="96"/>
      <c r="V763" s="96"/>
      <c r="W763" s="96"/>
      <c r="X763" s="96"/>
      <c r="Y763" s="96"/>
    </row>
    <row r="764" ht="26.25" customHeight="1">
      <c r="A764" s="96" t="str">
        <f>IFERROR(__xludf.DUMMYFUNCTION("""COMPUTED_VALUE"""),"B.BHANU SAI PRAKASH")</f>
        <v>B.BHANU SAI PRAKASH</v>
      </c>
      <c r="B764" s="96" t="str">
        <f>IFERROR(__xludf.DUMMYFUNCTION("""COMPUTED_VALUE"""),"20335A0501")</f>
        <v>20335A0501</v>
      </c>
      <c r="C764" s="97" t="str">
        <f>IFERROR(__xludf.DUMMYFUNCTION("""COMPUTED_VALUE"""),"Programming Essentials in Python")</f>
        <v>Programming Essentials in Python</v>
      </c>
      <c r="D764" s="96" t="str">
        <f>IFERROR(__xludf.DUMMYFUNCTION("""COMPUTED_VALUE"""),"Cisco")</f>
        <v>Cisco</v>
      </c>
      <c r="E764" s="96" t="str">
        <f>IFERROR(__xludf.DUMMYFUNCTION("""COMPUTED_VALUE"""),"3 months")</f>
        <v>3 months</v>
      </c>
      <c r="F764" s="98">
        <f>IFERROR(__xludf.DUMMYFUNCTION("""COMPUTED_VALUE"""),44218.0)</f>
        <v>44218</v>
      </c>
      <c r="G764" s="98">
        <f>IFERROR(__xludf.DUMMYFUNCTION("""COMPUTED_VALUE"""),44308.0)</f>
        <v>44308</v>
      </c>
      <c r="H764" s="99">
        <f>IFERROR(__xludf.DUMMYFUNCTION("""COMPUTED_VALUE"""),44308.0)</f>
        <v>44308</v>
      </c>
      <c r="I764" s="100">
        <f>IFERROR(__xludf.DUMMYFUNCTION("""COMPUTED_VALUE"""),88.0)</f>
        <v>88</v>
      </c>
      <c r="J764" s="96" t="str">
        <f>IFERROR(__xludf.DUMMYFUNCTION("""COMPUTED_VALUE"""),"DR. RAVI KIRAN VARMA PENMATSA")</f>
        <v>DR. RAVI KIRAN VARMA PENMATSA</v>
      </c>
      <c r="K764" s="101" t="str">
        <f>IFERROR(__xludf.DUMMYFUNCTION("""COMPUTED_VALUE"""),"https://drive.google.com/open?id=1Y1lRJZRsNM4298cibgP6Hql_QBpJYvFE")</f>
        <v>https://drive.google.com/open?id=1Y1lRJZRsNM4298cibgP6Hql_QBpJYvFE</v>
      </c>
      <c r="L764" s="96" t="str">
        <f>IFERROR(__xludf.DUMMYFUNCTION("""COMPUTED_VALUE"""),"2019-2023")</f>
        <v>2019-2023</v>
      </c>
      <c r="M764" s="96" t="str">
        <f>IFERROR(__xludf.DUMMYFUNCTION("""COMPUTED_VALUE"""),"S4: Student Certifications")</f>
        <v>S4: Student Certifications</v>
      </c>
      <c r="N764" s="96" t="str">
        <f>IFERROR(__xludf.DUMMYFUNCTION("""COMPUTED_VALUE"""),"bhanusaiprakash04@gmail.com")</f>
        <v>bhanusaiprakash04@gmail.com</v>
      </c>
      <c r="O764" s="96" t="str">
        <f>IFERROR(__xludf.DUMMYFUNCTION("""COMPUTED_VALUE"""),"SEM-6")</f>
        <v>SEM-6</v>
      </c>
      <c r="P764" s="96"/>
      <c r="Q764" s="96"/>
      <c r="R764" s="96"/>
      <c r="S764" s="96"/>
      <c r="T764" s="96"/>
      <c r="U764" s="96"/>
      <c r="V764" s="96"/>
      <c r="W764" s="96"/>
      <c r="X764" s="96"/>
      <c r="Y764" s="96"/>
    </row>
    <row r="765" ht="26.25" customHeight="1">
      <c r="A765" s="96" t="str">
        <f>IFERROR(__xludf.DUMMYFUNCTION("""COMPUTED_VALUE"""),"Neelam Pavani Lakshmi")</f>
        <v>Neelam Pavani Lakshmi</v>
      </c>
      <c r="B765" s="96" t="str">
        <f>IFERROR(__xludf.DUMMYFUNCTION("""COMPUTED_VALUE"""),"19331A05C1")</f>
        <v>19331A05C1</v>
      </c>
      <c r="C765" s="97" t="str">
        <f>IFERROR(__xludf.DUMMYFUNCTION("""COMPUTED_VALUE"""),"Introduvtio to Networks")</f>
        <v>Introduvtio to Networks</v>
      </c>
      <c r="D765" s="96" t="str">
        <f>IFERROR(__xludf.DUMMYFUNCTION("""COMPUTED_VALUE"""),"Cisco Networking Academy")</f>
        <v>Cisco Networking Academy</v>
      </c>
      <c r="E765" s="96" t="str">
        <f>IFERROR(__xludf.DUMMYFUNCTION("""COMPUTED_VALUE"""),"2 months")</f>
        <v>2 months</v>
      </c>
      <c r="F765" s="98">
        <f>IFERROR(__xludf.DUMMYFUNCTION("""COMPUTED_VALUE"""),44562.0)</f>
        <v>44562</v>
      </c>
      <c r="G765" s="98">
        <f>IFERROR(__xludf.DUMMYFUNCTION("""COMPUTED_VALUE"""),44646.0)</f>
        <v>44646</v>
      </c>
      <c r="H765" s="99">
        <f>IFERROR(__xludf.DUMMYFUNCTION("""COMPUTED_VALUE"""),44646.0)</f>
        <v>44646</v>
      </c>
      <c r="I765" s="100">
        <f>IFERROR(__xludf.DUMMYFUNCTION("""COMPUTED_VALUE"""),0.98)</f>
        <v>0.98</v>
      </c>
      <c r="J765" s="96" t="str">
        <f>IFERROR(__xludf.DUMMYFUNCTION("""COMPUTED_VALUE"""),"Laura Quintana")</f>
        <v>Laura Quintana</v>
      </c>
      <c r="K765" s="101" t="str">
        <f>IFERROR(__xludf.DUMMYFUNCTION("""COMPUTED_VALUE"""),"https://drive.google.com/open?id=11WuTovLGheE5cgLipjVacII_ZKcAysoF")</f>
        <v>https://drive.google.com/open?id=11WuTovLGheE5cgLipjVacII_ZKcAysoF</v>
      </c>
      <c r="L765" s="96" t="str">
        <f>IFERROR(__xludf.DUMMYFUNCTION("""COMPUTED_VALUE"""),"2019-2023")</f>
        <v>2019-2023</v>
      </c>
      <c r="M765" s="96" t="str">
        <f>IFERROR(__xludf.DUMMYFUNCTION("""COMPUTED_VALUE"""),"S4: Student Certifications")</f>
        <v>S4: Student Certifications</v>
      </c>
      <c r="N765" s="96" t="str">
        <f>IFERROR(__xludf.DUMMYFUNCTION("""COMPUTED_VALUE"""),"npavanilaxmi@gmail.com")</f>
        <v>npavanilaxmi@gmail.com</v>
      </c>
      <c r="O765" s="96" t="str">
        <f>IFERROR(__xludf.DUMMYFUNCTION("""COMPUTED_VALUE"""),"SEM-6")</f>
        <v>SEM-6</v>
      </c>
      <c r="P765" s="96"/>
      <c r="Q765" s="96"/>
      <c r="R765" s="96"/>
      <c r="S765" s="96"/>
      <c r="T765" s="96"/>
      <c r="U765" s="96"/>
      <c r="V765" s="96"/>
      <c r="W765" s="96"/>
      <c r="X765" s="96"/>
      <c r="Y765" s="96"/>
    </row>
    <row r="766" ht="26.25" customHeight="1">
      <c r="A766" s="96" t="str">
        <f>IFERROR(__xludf.DUMMYFUNCTION("""COMPUTED_VALUE"""),"Mohan Subha Varshith Pechetti")</f>
        <v>Mohan Subha Varshith Pechetti</v>
      </c>
      <c r="B766" s="96" t="str">
        <f>IFERROR(__xludf.DUMMYFUNCTION("""COMPUTED_VALUE"""),"19331A05C7")</f>
        <v>19331A05C7</v>
      </c>
      <c r="C766" s="97" t="str">
        <f>IFERROR(__xludf.DUMMYFUNCTION("""COMPUTED_VALUE"""),"Switching, Routing, and Wireless Essentials")</f>
        <v>Switching, Routing, and Wireless Essentials</v>
      </c>
      <c r="D766" s="96" t="str">
        <f>IFERROR(__xludf.DUMMYFUNCTION("""COMPUTED_VALUE"""),"Cisco Networking Academy")</f>
        <v>Cisco Networking Academy</v>
      </c>
      <c r="E766" s="96" t="str">
        <f>IFERROR(__xludf.DUMMYFUNCTION("""COMPUTED_VALUE"""),"2 months")</f>
        <v>2 months</v>
      </c>
      <c r="F766" s="98">
        <f>IFERROR(__xludf.DUMMYFUNCTION("""COMPUTED_VALUE"""),44542.0)</f>
        <v>44542</v>
      </c>
      <c r="G766" s="98">
        <f>IFERROR(__xludf.DUMMYFUNCTION("""COMPUTED_VALUE"""),44604.0)</f>
        <v>44604</v>
      </c>
      <c r="H766" s="99">
        <f>IFERROR(__xludf.DUMMYFUNCTION("""COMPUTED_VALUE"""),44604.0)</f>
        <v>44604</v>
      </c>
      <c r="I766" s="100">
        <f>IFERROR(__xludf.DUMMYFUNCTION("""COMPUTED_VALUE"""),86.0)</f>
        <v>86</v>
      </c>
      <c r="J766" s="96" t="str">
        <f>IFERROR(__xludf.DUMMYFUNCTION("""COMPUTED_VALUE"""),"DR. RAVI KIRAN VARMA PENMATSA")</f>
        <v>DR. RAVI KIRAN VARMA PENMATSA</v>
      </c>
      <c r="K766" s="101" t="str">
        <f>IFERROR(__xludf.DUMMYFUNCTION("""COMPUTED_VALUE"""),"https://drive.google.com/open?id=1mk3sRRKl-NEUYwVS9X0-xDctCGhfWIYG")</f>
        <v>https://drive.google.com/open?id=1mk3sRRKl-NEUYwVS9X0-xDctCGhfWIYG</v>
      </c>
      <c r="L766" s="96" t="str">
        <f>IFERROR(__xludf.DUMMYFUNCTION("""COMPUTED_VALUE"""),"2019-2023")</f>
        <v>2019-2023</v>
      </c>
      <c r="M766" s="96" t="str">
        <f>IFERROR(__xludf.DUMMYFUNCTION("""COMPUTED_VALUE"""),"S4: Student Certifications")</f>
        <v>S4: Student Certifications</v>
      </c>
      <c r="N766" s="96" t="str">
        <f>IFERROR(__xludf.DUMMYFUNCTION("""COMPUTED_VALUE"""),"subhavarshith@gmail.com")</f>
        <v>subhavarshith@gmail.com</v>
      </c>
      <c r="O766" s="96" t="str">
        <f>IFERROR(__xludf.DUMMYFUNCTION("""COMPUTED_VALUE"""),"SEM-6")</f>
        <v>SEM-6</v>
      </c>
      <c r="P766" s="96"/>
      <c r="Q766" s="96"/>
      <c r="R766" s="96"/>
      <c r="S766" s="96"/>
      <c r="T766" s="96"/>
      <c r="U766" s="96"/>
      <c r="V766" s="96"/>
      <c r="W766" s="96"/>
      <c r="X766" s="96"/>
      <c r="Y766" s="96"/>
    </row>
    <row r="767" ht="26.25" customHeight="1">
      <c r="A767" s="96" t="str">
        <f>IFERROR(__xludf.DUMMYFUNCTION("""COMPUTED_VALUE"""),"N CHANDRA SEKHAR REDDY ")</f>
        <v>N CHANDRA SEKHAR REDDY </v>
      </c>
      <c r="B767" s="96" t="str">
        <f>IFERROR(__xludf.DUMMYFUNCTION("""COMPUTED_VALUE"""),"19331A05B7")</f>
        <v>19331A05B7</v>
      </c>
      <c r="C767" s="97" t="str">
        <f>IFERROR(__xludf.DUMMYFUNCTION("""COMPUTED_VALUE"""),"Programming Essentials in Python ")</f>
        <v>Programming Essentials in Python </v>
      </c>
      <c r="D767" s="96" t="str">
        <f>IFERROR(__xludf.DUMMYFUNCTION("""COMPUTED_VALUE"""),"Python institute ")</f>
        <v>Python institute </v>
      </c>
      <c r="E767" s="96" t="str">
        <f>IFERROR(__xludf.DUMMYFUNCTION("""COMPUTED_VALUE"""),"1 month")</f>
        <v>1 month</v>
      </c>
      <c r="F767" s="98">
        <f>IFERROR(__xludf.DUMMYFUNCTION("""COMPUTED_VALUE"""),44235.0)</f>
        <v>44235</v>
      </c>
      <c r="G767" s="98">
        <f>IFERROR(__xludf.DUMMYFUNCTION("""COMPUTED_VALUE"""),44263.0)</f>
        <v>44263</v>
      </c>
      <c r="H767" s="99">
        <f>IFERROR(__xludf.DUMMYFUNCTION("""COMPUTED_VALUE"""),44263.0)</f>
        <v>44263</v>
      </c>
      <c r="I767" s="100">
        <f>IFERROR(__xludf.DUMMYFUNCTION("""COMPUTED_VALUE"""),0.95)</f>
        <v>0.95</v>
      </c>
      <c r="J767" s="96" t="str">
        <f>IFERROR(__xludf.DUMMYFUNCTION("""COMPUTED_VALUE"""),"Subba Raju K V ")</f>
        <v>Subba Raju K V </v>
      </c>
      <c r="K767" s="101" t="str">
        <f>IFERROR(__xludf.DUMMYFUNCTION("""COMPUTED_VALUE"""),"https://drive.google.com/open?id=1G9rmmn-ZjZBxHhNYW_omxjVG_QBcI_y9")</f>
        <v>https://drive.google.com/open?id=1G9rmmn-ZjZBxHhNYW_omxjVG_QBcI_y9</v>
      </c>
      <c r="L767" s="96" t="str">
        <f>IFERROR(__xludf.DUMMYFUNCTION("""COMPUTED_VALUE"""),"2019-2023")</f>
        <v>2019-2023</v>
      </c>
      <c r="M767" s="96" t="str">
        <f>IFERROR(__xludf.DUMMYFUNCTION("""COMPUTED_VALUE"""),"S4: Student Certifications")</f>
        <v>S4: Student Certifications</v>
      </c>
      <c r="N767" s="96" t="str">
        <f>IFERROR(__xludf.DUMMYFUNCTION("""COMPUTED_VALUE"""),"ncsreddy143@gmail.com")</f>
        <v>ncsreddy143@gmail.com</v>
      </c>
      <c r="O767" s="96" t="str">
        <f>IFERROR(__xludf.DUMMYFUNCTION("""COMPUTED_VALUE"""),"SEM-6")</f>
        <v>SEM-6</v>
      </c>
      <c r="P767" s="96"/>
      <c r="Q767" s="96"/>
      <c r="R767" s="96"/>
      <c r="S767" s="96"/>
      <c r="T767" s="96"/>
      <c r="U767" s="96"/>
      <c r="V767" s="96"/>
      <c r="W767" s="96"/>
      <c r="X767" s="96"/>
      <c r="Y767" s="96"/>
    </row>
    <row r="768" ht="26.25" customHeight="1">
      <c r="A768" s="96" t="str">
        <f>IFERROR(__xludf.DUMMYFUNCTION("""COMPUTED_VALUE"""),"N CHANDRA SEKHAR REDDY ")</f>
        <v>N CHANDRA SEKHAR REDDY </v>
      </c>
      <c r="B768" s="96" t="str">
        <f>IFERROR(__xludf.DUMMYFUNCTION("""COMPUTED_VALUE"""),"19331A05B7")</f>
        <v>19331A05B7</v>
      </c>
      <c r="C768" s="97" t="str">
        <f>IFERROR(__xludf.DUMMYFUNCTION("""COMPUTED_VALUE"""),"Programming Essentials in Python ")</f>
        <v>Programming Essentials in Python </v>
      </c>
      <c r="D768" s="96" t="str">
        <f>IFERROR(__xludf.DUMMYFUNCTION("""COMPUTED_VALUE"""),"Cisco")</f>
        <v>Cisco</v>
      </c>
      <c r="E768" s="96" t="str">
        <f>IFERROR(__xludf.DUMMYFUNCTION("""COMPUTED_VALUE"""),"1 month")</f>
        <v>1 month</v>
      </c>
      <c r="F768" s="98">
        <f>IFERROR(__xludf.DUMMYFUNCTION("""COMPUTED_VALUE"""),44355.0)</f>
        <v>44355</v>
      </c>
      <c r="G768" s="98">
        <f>IFERROR(__xludf.DUMMYFUNCTION("""COMPUTED_VALUE"""),44385.0)</f>
        <v>44385</v>
      </c>
      <c r="H768" s="99">
        <f>IFERROR(__xludf.DUMMYFUNCTION("""COMPUTED_VALUE"""),44385.0)</f>
        <v>44385</v>
      </c>
      <c r="I768" s="100">
        <f>IFERROR(__xludf.DUMMYFUNCTION("""COMPUTED_VALUE"""),0.95)</f>
        <v>0.95</v>
      </c>
      <c r="J768" s="96" t="str">
        <f>IFERROR(__xludf.DUMMYFUNCTION("""COMPUTED_VALUE"""),"Dr. RAVI KIRAN VARMA PENMATSA ")</f>
        <v>Dr. RAVI KIRAN VARMA PENMATSA </v>
      </c>
      <c r="K768" s="101" t="str">
        <f>IFERROR(__xludf.DUMMYFUNCTION("""COMPUTED_VALUE"""),"https://drive.google.com/open?id=1BvJG3U0KECbQUfsMfSh39YPp73Wk0vZh")</f>
        <v>https://drive.google.com/open?id=1BvJG3U0KECbQUfsMfSh39YPp73Wk0vZh</v>
      </c>
      <c r="L768" s="96" t="str">
        <f>IFERROR(__xludf.DUMMYFUNCTION("""COMPUTED_VALUE"""),"2019-2023")</f>
        <v>2019-2023</v>
      </c>
      <c r="M768" s="96" t="str">
        <f>IFERROR(__xludf.DUMMYFUNCTION("""COMPUTED_VALUE"""),"S4: Student Certifications")</f>
        <v>S4: Student Certifications</v>
      </c>
      <c r="N768" s="96" t="str">
        <f>IFERROR(__xludf.DUMMYFUNCTION("""COMPUTED_VALUE"""),"ncsreddy143@gmail.com")</f>
        <v>ncsreddy143@gmail.com</v>
      </c>
      <c r="O768" s="96" t="str">
        <f>IFERROR(__xludf.DUMMYFUNCTION("""COMPUTED_VALUE"""),"SEM-6")</f>
        <v>SEM-6</v>
      </c>
      <c r="P768" s="96"/>
      <c r="Q768" s="96"/>
      <c r="R768" s="96"/>
      <c r="S768" s="96"/>
      <c r="T768" s="96"/>
      <c r="U768" s="96"/>
      <c r="V768" s="96"/>
      <c r="W768" s="96"/>
      <c r="X768" s="96"/>
      <c r="Y768" s="96"/>
    </row>
    <row r="769" ht="26.25" customHeight="1">
      <c r="A769" s="96" t="str">
        <f>IFERROR(__xludf.DUMMYFUNCTION("""COMPUTED_VALUE"""),"T HARI KRISHNA PRIYA")</f>
        <v>T HARI KRISHNA PRIYA</v>
      </c>
      <c r="B769" s="96" t="str">
        <f>IFERROR(__xludf.DUMMYFUNCTION("""COMPUTED_VALUE"""),"19331A05H4")</f>
        <v>19331A05H4</v>
      </c>
      <c r="C769" s="97" t="str">
        <f>IFERROR(__xludf.DUMMYFUNCTION("""COMPUTED_VALUE"""),"PCAP:Programming Essentials in Python")</f>
        <v>PCAP:Programming Essentials in Python</v>
      </c>
      <c r="D769" s="96" t="str">
        <f>IFERROR(__xludf.DUMMYFUNCTION("""COMPUTED_VALUE"""),"Python Institute")</f>
        <v>Python Institute</v>
      </c>
      <c r="E769" s="96" t="str">
        <f>IFERROR(__xludf.DUMMYFUNCTION("""COMPUTED_VALUE"""),"6 weeks")</f>
        <v>6 weeks</v>
      </c>
      <c r="F769" s="98">
        <f>IFERROR(__xludf.DUMMYFUNCTION("""COMPUTED_VALUE"""),44257.0)</f>
        <v>44257</v>
      </c>
      <c r="G769" s="98">
        <f>IFERROR(__xludf.DUMMYFUNCTION("""COMPUTED_VALUE"""),44304.0)</f>
        <v>44304</v>
      </c>
      <c r="H769" s="99">
        <f>IFERROR(__xludf.DUMMYFUNCTION("""COMPUTED_VALUE"""),44304.0)</f>
        <v>44304</v>
      </c>
      <c r="I769" s="100">
        <f>IFERROR(__xludf.DUMMYFUNCTION("""COMPUTED_VALUE"""),0.8)</f>
        <v>0.8</v>
      </c>
      <c r="J769" s="96" t="str">
        <f>IFERROR(__xludf.DUMMYFUNCTION("""COMPUTED_VALUE"""),"M Beluah Rani")</f>
        <v>M Beluah Rani</v>
      </c>
      <c r="K769" s="101" t="str">
        <f>IFERROR(__xludf.DUMMYFUNCTION("""COMPUTED_VALUE"""),"https://drive.google.com/open?id=1uPpc4heA-EIK7rzabSlGhnvGQL5O_O3D")</f>
        <v>https://drive.google.com/open?id=1uPpc4heA-EIK7rzabSlGhnvGQL5O_O3D</v>
      </c>
      <c r="L769" s="96" t="str">
        <f>IFERROR(__xludf.DUMMYFUNCTION("""COMPUTED_VALUE"""),"2019-2023")</f>
        <v>2019-2023</v>
      </c>
      <c r="M769" s="96" t="str">
        <f>IFERROR(__xludf.DUMMYFUNCTION("""COMPUTED_VALUE"""),"S4: Student Certifications")</f>
        <v>S4: Student Certifications</v>
      </c>
      <c r="N769" s="96" t="str">
        <f>IFERROR(__xludf.DUMMYFUNCTION("""COMPUTED_VALUE"""),"harikpriyatirumalaraju@gmail.com")</f>
        <v>harikpriyatirumalaraju@gmail.com</v>
      </c>
      <c r="O769" s="96" t="str">
        <f>IFERROR(__xludf.DUMMYFUNCTION("""COMPUTED_VALUE"""),"SEM-6")</f>
        <v>SEM-6</v>
      </c>
      <c r="P769" s="96"/>
      <c r="Q769" s="96"/>
      <c r="R769" s="96"/>
      <c r="S769" s="96"/>
      <c r="T769" s="96"/>
      <c r="U769" s="96"/>
      <c r="V769" s="96"/>
      <c r="W769" s="96"/>
      <c r="X769" s="96"/>
      <c r="Y769" s="96"/>
    </row>
    <row r="770" ht="26.25" customHeight="1">
      <c r="A770" s="96" t="str">
        <f>IFERROR(__xludf.DUMMYFUNCTION("""COMPUTED_VALUE"""),"BHARATH RAMA CHANDRA KAKARLA ")</f>
        <v>BHARATH RAMA CHANDRA KAKARLA </v>
      </c>
      <c r="B770" s="96" t="str">
        <f>IFERROR(__xludf.DUMMYFUNCTION("""COMPUTED_VALUE"""),"19331A0567")</f>
        <v>19331A0567</v>
      </c>
      <c r="C770" s="97" t="str">
        <f>IFERROR(__xludf.DUMMYFUNCTION("""COMPUTED_VALUE"""),"CODE RIDERS ")</f>
        <v>CODE RIDERS </v>
      </c>
      <c r="D770" s="96" t="str">
        <f>IFERROR(__xludf.DUMMYFUNCTION("""COMPUTED_VALUE"""),"Edu Skills")</f>
        <v>Edu Skills</v>
      </c>
      <c r="E770" s="96" t="str">
        <f>IFERROR(__xludf.DUMMYFUNCTION("""COMPUTED_VALUE"""),"2 months")</f>
        <v>2 months</v>
      </c>
      <c r="F770" s="98">
        <f>IFERROR(__xludf.DUMMYFUNCTION("""COMPUTED_VALUE"""),44357.0)</f>
        <v>44357</v>
      </c>
      <c r="G770" s="98">
        <f>IFERROR(__xludf.DUMMYFUNCTION("""COMPUTED_VALUE"""),44392.0)</f>
        <v>44392</v>
      </c>
      <c r="H770" s="99">
        <f>IFERROR(__xludf.DUMMYFUNCTION("""COMPUTED_VALUE"""),44390.0)</f>
        <v>44390</v>
      </c>
      <c r="I770" s="100">
        <f>IFERROR(__xludf.DUMMYFUNCTION("""COMPUTED_VALUE"""),80.0)</f>
        <v>80</v>
      </c>
      <c r="J770" s="96" t="str">
        <f>IFERROR(__xludf.DUMMYFUNCTION("""COMPUTED_VALUE"""),"DR . RAVI KIRAN VARMA PENMATSA ")</f>
        <v>DR . RAVI KIRAN VARMA PENMATSA </v>
      </c>
      <c r="K770" s="101" t="str">
        <f>IFERROR(__xludf.DUMMYFUNCTION("""COMPUTED_VALUE"""),"https://drive.google.com/open?id=1R-0tk38P5_l0xf4FOfM7kOkcGZHOhmeV")</f>
        <v>https://drive.google.com/open?id=1R-0tk38P5_l0xf4FOfM7kOkcGZHOhmeV</v>
      </c>
      <c r="L770" s="96" t="str">
        <f>IFERROR(__xludf.DUMMYFUNCTION("""COMPUTED_VALUE"""),"2019-2023")</f>
        <v>2019-2023</v>
      </c>
      <c r="M770" s="96" t="str">
        <f>IFERROR(__xludf.DUMMYFUNCTION("""COMPUTED_VALUE"""),"S4: Student Certifications")</f>
        <v>S4: Student Certifications</v>
      </c>
      <c r="N770" s="96" t="str">
        <f>IFERROR(__xludf.DUMMYFUNCTION("""COMPUTED_VALUE"""),"bharath007ram@gmail.com")</f>
        <v>bharath007ram@gmail.com</v>
      </c>
      <c r="O770" s="96" t="str">
        <f>IFERROR(__xludf.DUMMYFUNCTION("""COMPUTED_VALUE"""),"SEM-6")</f>
        <v>SEM-6</v>
      </c>
      <c r="P770" s="96"/>
      <c r="Q770" s="96"/>
      <c r="R770" s="96"/>
      <c r="S770" s="96"/>
      <c r="T770" s="96"/>
      <c r="U770" s="96"/>
      <c r="V770" s="96"/>
      <c r="W770" s="96"/>
      <c r="X770" s="96"/>
      <c r="Y770" s="96"/>
    </row>
    <row r="771" ht="26.25" customHeight="1">
      <c r="A771" s="96" t="str">
        <f>IFERROR(__xludf.DUMMYFUNCTION("""COMPUTED_VALUE"""),"Mohan Subha Varshith Pechetti")</f>
        <v>Mohan Subha Varshith Pechetti</v>
      </c>
      <c r="B771" s="96" t="str">
        <f>IFERROR(__xludf.DUMMYFUNCTION("""COMPUTED_VALUE"""),"19331A05C7")</f>
        <v>19331A05C7</v>
      </c>
      <c r="C771" s="97" t="str">
        <f>IFERROR(__xludf.DUMMYFUNCTION("""COMPUTED_VALUE"""),"JavaScript Essentials 1 ")</f>
        <v>JavaScript Essentials 1 </v>
      </c>
      <c r="D771" s="96" t="str">
        <f>IFERROR(__xludf.DUMMYFUNCTION("""COMPUTED_VALUE"""),"Cisco Networking Academy")</f>
        <v>Cisco Networking Academy</v>
      </c>
      <c r="E771" s="96" t="str">
        <f>IFERROR(__xludf.DUMMYFUNCTION("""COMPUTED_VALUE"""),"2months")</f>
        <v>2months</v>
      </c>
      <c r="F771" s="98">
        <f>IFERROR(__xludf.DUMMYFUNCTION("""COMPUTED_VALUE"""),44510.0)</f>
        <v>44510</v>
      </c>
      <c r="G771" s="98">
        <f>IFERROR(__xludf.DUMMYFUNCTION("""COMPUTED_VALUE"""),44571.0)</f>
        <v>44571</v>
      </c>
      <c r="H771" s="99">
        <f>IFERROR(__xludf.DUMMYFUNCTION("""COMPUTED_VALUE"""),44571.0)</f>
        <v>44571</v>
      </c>
      <c r="I771" s="100">
        <f>IFERROR(__xludf.DUMMYFUNCTION("""COMPUTED_VALUE"""),85.0)</f>
        <v>85</v>
      </c>
      <c r="J771" s="96" t="str">
        <f>IFERROR(__xludf.DUMMYFUNCTION("""COMPUTED_VALUE"""),"Maciek Wichary VP &amp; CEO, OpenEDG")</f>
        <v>Maciek Wichary VP &amp; CEO, OpenEDG</v>
      </c>
      <c r="K771" s="101" t="str">
        <f>IFERROR(__xludf.DUMMYFUNCTION("""COMPUTED_VALUE"""),"https://drive.google.com/open?id=1mXIiBi4y3Q6cPsF07qC3Th9jyDrqBH-t")</f>
        <v>https://drive.google.com/open?id=1mXIiBi4y3Q6cPsF07qC3Th9jyDrqBH-t</v>
      </c>
      <c r="L771" s="96" t="str">
        <f>IFERROR(__xludf.DUMMYFUNCTION("""COMPUTED_VALUE"""),"2019-2023")</f>
        <v>2019-2023</v>
      </c>
      <c r="M771" s="96" t="str">
        <f>IFERROR(__xludf.DUMMYFUNCTION("""COMPUTED_VALUE"""),"S4: Student Certifications")</f>
        <v>S4: Student Certifications</v>
      </c>
      <c r="N771" s="96" t="str">
        <f>IFERROR(__xludf.DUMMYFUNCTION("""COMPUTED_VALUE"""),"subhavarshith@gmail.com")</f>
        <v>subhavarshith@gmail.com</v>
      </c>
      <c r="O771" s="96" t="str">
        <f>IFERROR(__xludf.DUMMYFUNCTION("""COMPUTED_VALUE"""),"SEM-6")</f>
        <v>SEM-6</v>
      </c>
      <c r="P771" s="96"/>
      <c r="Q771" s="96"/>
      <c r="R771" s="96"/>
      <c r="S771" s="96"/>
      <c r="T771" s="96"/>
      <c r="U771" s="96"/>
      <c r="V771" s="96"/>
      <c r="W771" s="96"/>
      <c r="X771" s="96"/>
      <c r="Y771" s="96"/>
    </row>
    <row r="772" ht="26.25" customHeight="1">
      <c r="A772" s="96" t="str">
        <f>IFERROR(__xludf.DUMMYFUNCTION("""COMPUTED_VALUE"""),"KOTARI SAHITHI")</f>
        <v>KOTARI SAHITHI</v>
      </c>
      <c r="B772" s="96" t="str">
        <f>IFERROR(__xludf.DUMMYFUNCTION("""COMPUTED_VALUE"""),"19331A0583")</f>
        <v>19331A0583</v>
      </c>
      <c r="C772" s="97" t="str">
        <f>IFERROR(__xludf.DUMMYFUNCTION("""COMPUTED_VALUE"""),"Programming Essentials in Python ")</f>
        <v>Programming Essentials in Python </v>
      </c>
      <c r="D772" s="96" t="str">
        <f>IFERROR(__xludf.DUMMYFUNCTION("""COMPUTED_VALUE"""),"OpenEDG Python Institute ")</f>
        <v>OpenEDG Python Institute </v>
      </c>
      <c r="E772" s="96" t="str">
        <f>IFERROR(__xludf.DUMMYFUNCTION("""COMPUTED_VALUE"""),"2 months")</f>
        <v>2 months</v>
      </c>
      <c r="F772" s="98">
        <f>IFERROR(__xludf.DUMMYFUNCTION("""COMPUTED_VALUE"""),44262.0)</f>
        <v>44262</v>
      </c>
      <c r="G772" s="98">
        <f>IFERROR(__xludf.DUMMYFUNCTION("""COMPUTED_VALUE"""),44322.0)</f>
        <v>44322</v>
      </c>
      <c r="H772" s="99">
        <f>IFERROR(__xludf.DUMMYFUNCTION("""COMPUTED_VALUE"""),44322.0)</f>
        <v>44322</v>
      </c>
      <c r="I772" s="100">
        <f>IFERROR(__xludf.DUMMYFUNCTION("""COMPUTED_VALUE"""),80.0)</f>
        <v>80</v>
      </c>
      <c r="J772" s="96" t="str">
        <f>IFERROR(__xludf.DUMMYFUNCTION("""COMPUTED_VALUE"""),"Dr.Ravi Kiran Varma Penmatsa")</f>
        <v>Dr.Ravi Kiran Varma Penmatsa</v>
      </c>
      <c r="K772" s="101" t="str">
        <f>IFERROR(__xludf.DUMMYFUNCTION("""COMPUTED_VALUE"""),"https://drive.google.com/open?id=1mGcJmtdKI0e6tX0ijKwkoEth9z6r1EpZ")</f>
        <v>https://drive.google.com/open?id=1mGcJmtdKI0e6tX0ijKwkoEth9z6r1EpZ</v>
      </c>
      <c r="L772" s="96" t="str">
        <f>IFERROR(__xludf.DUMMYFUNCTION("""COMPUTED_VALUE"""),"2019-2023")</f>
        <v>2019-2023</v>
      </c>
      <c r="M772" s="96" t="str">
        <f>IFERROR(__xludf.DUMMYFUNCTION("""COMPUTED_VALUE"""),"S4: Student Certifications")</f>
        <v>S4: Student Certifications</v>
      </c>
      <c r="N772" s="96" t="str">
        <f>IFERROR(__xludf.DUMMYFUNCTION("""COMPUTED_VALUE"""),"kotarisahithi@gmail.com")</f>
        <v>kotarisahithi@gmail.com</v>
      </c>
      <c r="O772" s="96" t="str">
        <f>IFERROR(__xludf.DUMMYFUNCTION("""COMPUTED_VALUE"""),"SEM-6")</f>
        <v>SEM-6</v>
      </c>
      <c r="P772" s="96"/>
      <c r="Q772" s="96"/>
      <c r="R772" s="96"/>
      <c r="S772" s="96"/>
      <c r="T772" s="96"/>
      <c r="U772" s="96"/>
      <c r="V772" s="96"/>
      <c r="W772" s="96"/>
      <c r="X772" s="96"/>
      <c r="Y772" s="96"/>
    </row>
    <row r="773" ht="26.25" customHeight="1">
      <c r="A773" s="96" t="str">
        <f>IFERROR(__xludf.DUMMYFUNCTION("""COMPUTED_VALUE"""),"Kantubhukta Hemanth")</f>
        <v>Kantubhukta Hemanth</v>
      </c>
      <c r="B773" s="96" t="str">
        <f>IFERROR(__xludf.DUMMYFUNCTION("""COMPUTED_VALUE"""),"19331A0573")</f>
        <v>19331A0573</v>
      </c>
      <c r="C773" s="97" t="str">
        <f>IFERROR(__xludf.DUMMYFUNCTION("""COMPUTED_VALUE"""),"Introduction to Python by Code Riders")</f>
        <v>Introduction to Python by Code Riders</v>
      </c>
      <c r="D773" s="96" t="str">
        <f>IFERROR(__xludf.DUMMYFUNCTION("""COMPUTED_VALUE"""),"Eduskills")</f>
        <v>Eduskills</v>
      </c>
      <c r="E773" s="96" t="str">
        <f>IFERROR(__xludf.DUMMYFUNCTION("""COMPUTED_VALUE"""),"2 Months")</f>
        <v>2 Months</v>
      </c>
      <c r="F773" s="98">
        <f>IFERROR(__xludf.DUMMYFUNCTION("""COMPUTED_VALUE"""),44348.0)</f>
        <v>44348</v>
      </c>
      <c r="G773" s="98">
        <f>IFERROR(__xludf.DUMMYFUNCTION("""COMPUTED_VALUE"""),44408.0)</f>
        <v>44408</v>
      </c>
      <c r="H773" s="99">
        <f>IFERROR(__xludf.DUMMYFUNCTION("""COMPUTED_VALUE"""),44407.0)</f>
        <v>44407</v>
      </c>
      <c r="I773" s="100">
        <f>IFERROR(__xludf.DUMMYFUNCTION("""COMPUTED_VALUE"""),0.94)</f>
        <v>0.94</v>
      </c>
      <c r="J773" s="96" t="str">
        <f>IFERROR(__xludf.DUMMYFUNCTION("""COMPUTED_VALUE"""),"DR RAVI KIRAN VARMA PENMATSA")</f>
        <v>DR RAVI KIRAN VARMA PENMATSA</v>
      </c>
      <c r="K773" s="101" t="str">
        <f>IFERROR(__xludf.DUMMYFUNCTION("""COMPUTED_VALUE"""),"https://drive.google.com/open?id=1W1pFFSrqS6-eeHjQR7iDVnkyi9L-7R60")</f>
        <v>https://drive.google.com/open?id=1W1pFFSrqS6-eeHjQR7iDVnkyi9L-7R60</v>
      </c>
      <c r="L773" s="96" t="str">
        <f>IFERROR(__xludf.DUMMYFUNCTION("""COMPUTED_VALUE"""),"2019-2023")</f>
        <v>2019-2023</v>
      </c>
      <c r="M773" s="96" t="str">
        <f>IFERROR(__xludf.DUMMYFUNCTION("""COMPUTED_VALUE"""),"S4: Student Certifications")</f>
        <v>S4: Student Certifications</v>
      </c>
      <c r="N773" s="96" t="str">
        <f>IFERROR(__xludf.DUMMYFUNCTION("""COMPUTED_VALUE"""),"hemanthkantubhukta2232@gmail.com")</f>
        <v>hemanthkantubhukta2232@gmail.com</v>
      </c>
      <c r="O773" s="96" t="str">
        <f>IFERROR(__xludf.DUMMYFUNCTION("""COMPUTED_VALUE"""),"SEM-6")</f>
        <v>SEM-6</v>
      </c>
      <c r="P773" s="96"/>
      <c r="Q773" s="96"/>
      <c r="R773" s="96"/>
      <c r="S773" s="96"/>
      <c r="T773" s="96"/>
      <c r="U773" s="96"/>
      <c r="V773" s="96"/>
      <c r="W773" s="96"/>
      <c r="X773" s="96"/>
      <c r="Y773" s="96"/>
    </row>
    <row r="774" ht="26.25" customHeight="1">
      <c r="A774" s="96" t="str">
        <f>IFERROR(__xludf.DUMMYFUNCTION("""COMPUTED_VALUE"""),"MOTAMARRI AKSHAYA")</f>
        <v>MOTAMARRI AKSHAYA</v>
      </c>
      <c r="B774" s="96" t="str">
        <f>IFERROR(__xludf.DUMMYFUNCTION("""COMPUTED_VALUE"""),"19331A05A9")</f>
        <v>19331A05A9</v>
      </c>
      <c r="C774" s="97" t="str">
        <f>IFERROR(__xludf.DUMMYFUNCTION("""COMPUTED_VALUE"""),"Programming Essentials in Python")</f>
        <v>Programming Essentials in Python</v>
      </c>
      <c r="D774" s="96" t="str">
        <f>IFERROR(__xludf.DUMMYFUNCTION("""COMPUTED_VALUE"""),"Cisco")</f>
        <v>Cisco</v>
      </c>
      <c r="E774" s="96" t="str">
        <f>IFERROR(__xludf.DUMMYFUNCTION("""COMPUTED_VALUE"""),"2 months")</f>
        <v>2 months</v>
      </c>
      <c r="F774" s="98">
        <f>IFERROR(__xludf.DUMMYFUNCTION("""COMPUTED_VALUE"""),44207.0)</f>
        <v>44207</v>
      </c>
      <c r="G774" s="98">
        <f>IFERROR(__xludf.DUMMYFUNCTION("""COMPUTED_VALUE"""),44265.0)</f>
        <v>44265</v>
      </c>
      <c r="H774" s="99">
        <f>IFERROR(__xludf.DUMMYFUNCTION("""COMPUTED_VALUE"""),44265.0)</f>
        <v>44265</v>
      </c>
      <c r="I774" s="100">
        <f>IFERROR(__xludf.DUMMYFUNCTION("""COMPUTED_VALUE"""),0.9)</f>
        <v>0.9</v>
      </c>
      <c r="J774" s="96" t="str">
        <f>IFERROR(__xludf.DUMMYFUNCTION("""COMPUTED_VALUE"""),"DR. RAVI KIRAN VARMA PENMATSA")</f>
        <v>DR. RAVI KIRAN VARMA PENMATSA</v>
      </c>
      <c r="K774" s="101" t="str">
        <f>IFERROR(__xludf.DUMMYFUNCTION("""COMPUTED_VALUE"""),"https://drive.google.com/open?id=13c7eutRTZ8_H73FZU26Xvs9uZjst_J1b")</f>
        <v>https://drive.google.com/open?id=13c7eutRTZ8_H73FZU26Xvs9uZjst_J1b</v>
      </c>
      <c r="L774" s="96" t="str">
        <f>IFERROR(__xludf.DUMMYFUNCTION("""COMPUTED_VALUE"""),"2019-2023")</f>
        <v>2019-2023</v>
      </c>
      <c r="M774" s="96" t="str">
        <f>IFERROR(__xludf.DUMMYFUNCTION("""COMPUTED_VALUE"""),"S4: Student Certifications")</f>
        <v>S4: Student Certifications</v>
      </c>
      <c r="N774" s="96" t="str">
        <f>IFERROR(__xludf.DUMMYFUNCTION("""COMPUTED_VALUE"""),"akshayamotamarri2108@gmail.com")</f>
        <v>akshayamotamarri2108@gmail.com</v>
      </c>
      <c r="O774" s="96" t="str">
        <f>IFERROR(__xludf.DUMMYFUNCTION("""COMPUTED_VALUE"""),"SEM-6")</f>
        <v>SEM-6</v>
      </c>
      <c r="P774" s="96"/>
      <c r="Q774" s="96"/>
      <c r="R774" s="96"/>
      <c r="S774" s="96"/>
      <c r="T774" s="96"/>
      <c r="U774" s="96"/>
      <c r="V774" s="96"/>
      <c r="W774" s="96"/>
      <c r="X774" s="96"/>
      <c r="Y774" s="96"/>
    </row>
    <row r="775" ht="26.25" customHeight="1">
      <c r="A775" s="96" t="str">
        <f>IFERROR(__xludf.DUMMYFUNCTION("""COMPUTED_VALUE"""),"Karumoju Nehal Praveen")</f>
        <v>Karumoju Nehal Praveen</v>
      </c>
      <c r="B775" s="96" t="str">
        <f>IFERROR(__xludf.DUMMYFUNCTION("""COMPUTED_VALUE"""),"19331A0576")</f>
        <v>19331A0576</v>
      </c>
      <c r="C775" s="97" t="str">
        <f>IFERROR(__xludf.DUMMYFUNCTION("""COMPUTED_VALUE"""),"CCNAv7: Introduction to Networks")</f>
        <v>CCNAv7: Introduction to Networks</v>
      </c>
      <c r="D775" s="96" t="str">
        <f>IFERROR(__xludf.DUMMYFUNCTION("""COMPUTED_VALUE"""),"Cisco")</f>
        <v>Cisco</v>
      </c>
      <c r="E775" s="96" t="str">
        <f>IFERROR(__xludf.DUMMYFUNCTION("""COMPUTED_VALUE"""),"2 Months")</f>
        <v>2 Months</v>
      </c>
      <c r="F775" s="98">
        <f>IFERROR(__xludf.DUMMYFUNCTION("""COMPUTED_VALUE"""),44571.0)</f>
        <v>44571</v>
      </c>
      <c r="G775" s="98">
        <f>IFERROR(__xludf.DUMMYFUNCTION("""COMPUTED_VALUE"""),44630.0)</f>
        <v>44630</v>
      </c>
      <c r="H775" s="99">
        <f>IFERROR(__xludf.DUMMYFUNCTION("""COMPUTED_VALUE"""),44630.0)</f>
        <v>44630</v>
      </c>
      <c r="I775" s="100">
        <f>IFERROR(__xludf.DUMMYFUNCTION("""COMPUTED_VALUE"""),100.0)</f>
        <v>100</v>
      </c>
      <c r="J775" s="96" t="str">
        <f>IFERROR(__xludf.DUMMYFUNCTION("""COMPUTED_VALUE"""),"DR. RAVI KIRAN VARMA PENMATSA")</f>
        <v>DR. RAVI KIRAN VARMA PENMATSA</v>
      </c>
      <c r="K775" s="101" t="str">
        <f>IFERROR(__xludf.DUMMYFUNCTION("""COMPUTED_VALUE"""),"https://drive.google.com/open?id=1c1vqszmBR4WNC79iwuQE8tCSGD2RgYFu")</f>
        <v>https://drive.google.com/open?id=1c1vqszmBR4WNC79iwuQE8tCSGD2RgYFu</v>
      </c>
      <c r="L775" s="96" t="str">
        <f>IFERROR(__xludf.DUMMYFUNCTION("""COMPUTED_VALUE"""),"2019-2023")</f>
        <v>2019-2023</v>
      </c>
      <c r="M775" s="96" t="str">
        <f>IFERROR(__xludf.DUMMYFUNCTION("""COMPUTED_VALUE"""),"S4: Student Certifications")</f>
        <v>S4: Student Certifications</v>
      </c>
      <c r="N775" s="96" t="str">
        <f>IFERROR(__xludf.DUMMYFUNCTION("""COMPUTED_VALUE"""),"nehalpraveen@gmail.com")</f>
        <v>nehalpraveen@gmail.com</v>
      </c>
      <c r="O775" s="96" t="str">
        <f>IFERROR(__xludf.DUMMYFUNCTION("""COMPUTED_VALUE"""),"SEM-6")</f>
        <v>SEM-6</v>
      </c>
      <c r="P775" s="96"/>
      <c r="Q775" s="96"/>
      <c r="R775" s="96"/>
      <c r="S775" s="96"/>
      <c r="T775" s="96"/>
      <c r="U775" s="96"/>
      <c r="V775" s="96"/>
      <c r="W775" s="96"/>
      <c r="X775" s="96"/>
      <c r="Y775" s="96"/>
    </row>
    <row r="776" ht="26.25" customHeight="1">
      <c r="A776" s="96" t="str">
        <f>IFERROR(__xludf.DUMMYFUNCTION("""COMPUTED_VALUE"""),"Mohan Subha Varshith Pechetti")</f>
        <v>Mohan Subha Varshith Pechetti</v>
      </c>
      <c r="B776" s="96" t="str">
        <f>IFERROR(__xludf.DUMMYFUNCTION("""COMPUTED_VALUE"""),"19331A05C7")</f>
        <v>19331A05C7</v>
      </c>
      <c r="C776" s="97" t="str">
        <f>IFERROR(__xludf.DUMMYFUNCTION("""COMPUTED_VALUE"""),"Programming Essentials in C")</f>
        <v>Programming Essentials in C</v>
      </c>
      <c r="D776" s="96" t="str">
        <f>IFERROR(__xludf.DUMMYFUNCTION("""COMPUTED_VALUE""")," Cisco Networking Academy")</f>
        <v> Cisco Networking Academy</v>
      </c>
      <c r="E776" s="96" t="str">
        <f>IFERROR(__xludf.DUMMYFUNCTION("""COMPUTED_VALUE"""),"2months")</f>
        <v>2months</v>
      </c>
      <c r="F776" s="98">
        <f>IFERROR(__xludf.DUMMYFUNCTION("""COMPUTED_VALUE"""),43926.0)</f>
        <v>43926</v>
      </c>
      <c r="G776" s="98">
        <f>IFERROR(__xludf.DUMMYFUNCTION("""COMPUTED_VALUE"""),43987.0)</f>
        <v>43987</v>
      </c>
      <c r="H776" s="99">
        <f>IFERROR(__xludf.DUMMYFUNCTION("""COMPUTED_VALUE"""),43987.0)</f>
        <v>43987</v>
      </c>
      <c r="I776" s="100">
        <f>IFERROR(__xludf.DUMMYFUNCTION("""COMPUTED_VALUE"""),85.0)</f>
        <v>85</v>
      </c>
      <c r="J776" s="96" t="str">
        <f>IFERROR(__xludf.DUMMYFUNCTION("""COMPUTED_VALUE"""),"DR. RAVI KIRAN VARMA PENMATSA")</f>
        <v>DR. RAVI KIRAN VARMA PENMATSA</v>
      </c>
      <c r="K776" s="101" t="str">
        <f>IFERROR(__xludf.DUMMYFUNCTION("""COMPUTED_VALUE"""),"https://drive.google.com/open?id=1uw3vOl4uk5ozK0NLJH4VnV9XJ4awr8JQ")</f>
        <v>https://drive.google.com/open?id=1uw3vOl4uk5ozK0NLJH4VnV9XJ4awr8JQ</v>
      </c>
      <c r="L776" s="96" t="str">
        <f>IFERROR(__xludf.DUMMYFUNCTION("""COMPUTED_VALUE"""),"2019-2023")</f>
        <v>2019-2023</v>
      </c>
      <c r="M776" s="96" t="str">
        <f>IFERROR(__xludf.DUMMYFUNCTION("""COMPUTED_VALUE"""),"S4: Student Certifications")</f>
        <v>S4: Student Certifications</v>
      </c>
      <c r="N776" s="96" t="str">
        <f>IFERROR(__xludf.DUMMYFUNCTION("""COMPUTED_VALUE"""),"subhavarshith@gmail.com")</f>
        <v>subhavarshith@gmail.com</v>
      </c>
      <c r="O776" s="96" t="str">
        <f>IFERROR(__xludf.DUMMYFUNCTION("""COMPUTED_VALUE"""),"SEM-6")</f>
        <v>SEM-6</v>
      </c>
      <c r="P776" s="96"/>
      <c r="Q776" s="96"/>
      <c r="R776" s="96"/>
      <c r="S776" s="96"/>
      <c r="T776" s="96"/>
      <c r="U776" s="96"/>
      <c r="V776" s="96"/>
      <c r="W776" s="96"/>
      <c r="X776" s="96"/>
      <c r="Y776" s="96"/>
    </row>
    <row r="777" ht="26.25" customHeight="1">
      <c r="A777" s="96" t="str">
        <f>IFERROR(__xludf.DUMMYFUNCTION("""COMPUTED_VALUE"""),"PALAVALASA DEEPAK")</f>
        <v>PALAVALASA DEEPAK</v>
      </c>
      <c r="B777" s="96" t="str">
        <f>IFERROR(__xludf.DUMMYFUNCTION("""COMPUTED_VALUE"""),"19331A05C4")</f>
        <v>19331A05C4</v>
      </c>
      <c r="C777" s="97" t="str">
        <f>IFERROR(__xludf.DUMMYFUNCTION("""COMPUTED_VALUE"""),"CAPGEMINI TECH CHALLENGE")</f>
        <v>CAPGEMINI TECH CHALLENGE</v>
      </c>
      <c r="D777" s="96" t="str">
        <f>IFERROR(__xludf.DUMMYFUNCTION("""COMPUTED_VALUE"""),"CAPGEMINI")</f>
        <v>CAPGEMINI</v>
      </c>
      <c r="E777" s="96" t="str">
        <f>IFERROR(__xludf.DUMMYFUNCTION("""COMPUTED_VALUE"""),"10days")</f>
        <v>10days</v>
      </c>
      <c r="F777" s="98">
        <f>IFERROR(__xludf.DUMMYFUNCTION("""COMPUTED_VALUE"""),44375.0)</f>
        <v>44375</v>
      </c>
      <c r="G777" s="98">
        <f>IFERROR(__xludf.DUMMYFUNCTION("""COMPUTED_VALUE"""),44385.0)</f>
        <v>44385</v>
      </c>
      <c r="H777" s="99">
        <f>IFERROR(__xludf.DUMMYFUNCTION("""COMPUTED_VALUE"""),44385.0)</f>
        <v>44385</v>
      </c>
      <c r="I777" s="100"/>
      <c r="J777" s="96" t="str">
        <f>IFERROR(__xludf.DUMMYFUNCTION("""COMPUTED_VALUE"""),"CAPGEMINI")</f>
        <v>CAPGEMINI</v>
      </c>
      <c r="K777" s="101" t="str">
        <f>IFERROR(__xludf.DUMMYFUNCTION("""COMPUTED_VALUE"""),"https://drive.google.com/open?id=1hCFBgVRd0S5A6bQiL4Hlvz9ke_hhzfM3")</f>
        <v>https://drive.google.com/open?id=1hCFBgVRd0S5A6bQiL4Hlvz9ke_hhzfM3</v>
      </c>
      <c r="L777" s="96" t="str">
        <f>IFERROR(__xludf.DUMMYFUNCTION("""COMPUTED_VALUE"""),"2019-2023")</f>
        <v>2019-2023</v>
      </c>
      <c r="M777" s="96" t="str">
        <f>IFERROR(__xludf.DUMMYFUNCTION("""COMPUTED_VALUE"""),"S4: Student Certifications")</f>
        <v>S4: Student Certifications</v>
      </c>
      <c r="N777" s="96" t="str">
        <f>IFERROR(__xludf.DUMMYFUNCTION("""COMPUTED_VALUE"""),"palavalasadeepak@gmail.com")</f>
        <v>palavalasadeepak@gmail.com</v>
      </c>
      <c r="O777" s="96" t="str">
        <f>IFERROR(__xludf.DUMMYFUNCTION("""COMPUTED_VALUE"""),"SEM-6")</f>
        <v>SEM-6</v>
      </c>
      <c r="P777" s="96"/>
      <c r="Q777" s="96"/>
      <c r="R777" s="96"/>
      <c r="S777" s="96"/>
      <c r="T777" s="96"/>
      <c r="U777" s="96"/>
      <c r="V777" s="96"/>
      <c r="W777" s="96"/>
      <c r="X777" s="96"/>
      <c r="Y777" s="96"/>
    </row>
    <row r="778" ht="26.25" customHeight="1">
      <c r="A778" s="96" t="str">
        <f>IFERROR(__xludf.DUMMYFUNCTION("""COMPUTED_VALUE"""),"T HARI KRISHNA PRIYA")</f>
        <v>T HARI KRISHNA PRIYA</v>
      </c>
      <c r="B778" s="96" t="str">
        <f>IFERROR(__xludf.DUMMYFUNCTION("""COMPUTED_VALUE"""),"19331A05H4")</f>
        <v>19331A05H4</v>
      </c>
      <c r="C778" s="97" t="str">
        <f>IFERROR(__xludf.DUMMYFUNCTION("""COMPUTED_VALUE"""),"CCNAv7:Introduction to Networks")</f>
        <v>CCNAv7:Introduction to Networks</v>
      </c>
      <c r="D778" s="96" t="str">
        <f>IFERROR(__xludf.DUMMYFUNCTION("""COMPUTED_VALUE"""),"Cisco")</f>
        <v>Cisco</v>
      </c>
      <c r="E778" s="96" t="str">
        <f>IFERROR(__xludf.DUMMYFUNCTION("""COMPUTED_VALUE"""),"3 months")</f>
        <v>3 months</v>
      </c>
      <c r="F778" s="98">
        <f>IFERROR(__xludf.DUMMYFUNCTION("""COMPUTED_VALUE"""),44563.0)</f>
        <v>44563</v>
      </c>
      <c r="G778" s="98">
        <f>IFERROR(__xludf.DUMMYFUNCTION("""COMPUTED_VALUE"""),44650.0)</f>
        <v>44650</v>
      </c>
      <c r="H778" s="99">
        <f>IFERROR(__xludf.DUMMYFUNCTION("""COMPUTED_VALUE"""),44650.0)</f>
        <v>44650</v>
      </c>
      <c r="I778" s="100">
        <f>IFERROR(__xludf.DUMMYFUNCTION("""COMPUTED_VALUE"""),0.8)</f>
        <v>0.8</v>
      </c>
      <c r="J778" s="96" t="str">
        <f>IFERROR(__xludf.DUMMYFUNCTION("""COMPUTED_VALUE"""),"Ravi Kiran Varma")</f>
        <v>Ravi Kiran Varma</v>
      </c>
      <c r="K778" s="101" t="str">
        <f>IFERROR(__xludf.DUMMYFUNCTION("""COMPUTED_VALUE"""),"https://drive.google.com/open?id=1kzOGPnP1bZon3UB8-XK6StD-4SjhH4ko")</f>
        <v>https://drive.google.com/open?id=1kzOGPnP1bZon3UB8-XK6StD-4SjhH4ko</v>
      </c>
      <c r="L778" s="96" t="str">
        <f>IFERROR(__xludf.DUMMYFUNCTION("""COMPUTED_VALUE"""),"2019-2023")</f>
        <v>2019-2023</v>
      </c>
      <c r="M778" s="96" t="str">
        <f>IFERROR(__xludf.DUMMYFUNCTION("""COMPUTED_VALUE"""),"S4: Student Certifications")</f>
        <v>S4: Student Certifications</v>
      </c>
      <c r="N778" s="96" t="str">
        <f>IFERROR(__xludf.DUMMYFUNCTION("""COMPUTED_VALUE"""),"harikpriyatirumalaraju@gmail.com")</f>
        <v>harikpriyatirumalaraju@gmail.com</v>
      </c>
      <c r="O778" s="96" t="str">
        <f>IFERROR(__xludf.DUMMYFUNCTION("""COMPUTED_VALUE"""),"SEM-6")</f>
        <v>SEM-6</v>
      </c>
      <c r="P778" s="96"/>
      <c r="Q778" s="96"/>
      <c r="R778" s="96"/>
      <c r="S778" s="96"/>
      <c r="T778" s="96"/>
      <c r="U778" s="96"/>
      <c r="V778" s="96"/>
      <c r="W778" s="96"/>
      <c r="X778" s="96"/>
      <c r="Y778" s="96"/>
    </row>
    <row r="779" ht="26.25" customHeight="1">
      <c r="A779" s="96" t="str">
        <f>IFERROR(__xludf.DUMMYFUNCTION("""COMPUTED_VALUE"""),"ANJANI ROUTHU")</f>
        <v>ANJANI ROUTHU</v>
      </c>
      <c r="B779" s="96" t="str">
        <f>IFERROR(__xludf.DUMMYFUNCTION("""COMPUTED_VALUE"""),"20335A0515")</f>
        <v>20335A0515</v>
      </c>
      <c r="C779" s="97" t="str">
        <f>IFERROR(__xludf.DUMMYFUNCTION("""COMPUTED_VALUE"""),"Programming Essentials in Python ")</f>
        <v>Programming Essentials in Python </v>
      </c>
      <c r="D779" s="96" t="str">
        <f>IFERROR(__xludf.DUMMYFUNCTION("""COMPUTED_VALUE"""),"Python Institute ")</f>
        <v>Python Institute </v>
      </c>
      <c r="E779" s="96" t="str">
        <f>IFERROR(__xludf.DUMMYFUNCTION("""COMPUTED_VALUE"""),"3 months ")</f>
        <v>3 months </v>
      </c>
      <c r="F779" s="98">
        <f>IFERROR(__xludf.DUMMYFUNCTION("""COMPUTED_VALUE"""),44233.0)</f>
        <v>44233</v>
      </c>
      <c r="G779" s="98">
        <f>IFERROR(__xludf.DUMMYFUNCTION("""COMPUTED_VALUE"""),44322.0)</f>
        <v>44322</v>
      </c>
      <c r="H779" s="99">
        <f>IFERROR(__xludf.DUMMYFUNCTION("""COMPUTED_VALUE"""),44322.0)</f>
        <v>44322</v>
      </c>
      <c r="I779" s="100">
        <f>IFERROR(__xludf.DUMMYFUNCTION("""COMPUTED_VALUE"""),100.0)</f>
        <v>100</v>
      </c>
      <c r="J779" s="96" t="str">
        <f>IFERROR(__xludf.DUMMYFUNCTION("""COMPUTED_VALUE"""),"Mrs. M. Beulah Rani")</f>
        <v>Mrs. M. Beulah Rani</v>
      </c>
      <c r="K779" s="101" t="str">
        <f>IFERROR(__xludf.DUMMYFUNCTION("""COMPUTED_VALUE"""),"https://drive.google.com/open?id=159SGl2epRTkON-1gKAs9-GJpTzd7mYQo")</f>
        <v>https://drive.google.com/open?id=159SGl2epRTkON-1gKAs9-GJpTzd7mYQo</v>
      </c>
      <c r="L779" s="96" t="str">
        <f>IFERROR(__xludf.DUMMYFUNCTION("""COMPUTED_VALUE"""),"2019-2023")</f>
        <v>2019-2023</v>
      </c>
      <c r="M779" s="96" t="str">
        <f>IFERROR(__xludf.DUMMYFUNCTION("""COMPUTED_VALUE"""),"S4: Student Certifications")</f>
        <v>S4: Student Certifications</v>
      </c>
      <c r="N779" s="96" t="str">
        <f>IFERROR(__xludf.DUMMYFUNCTION("""COMPUTED_VALUE"""),"anjanirouthu@gmail.com")</f>
        <v>anjanirouthu@gmail.com</v>
      </c>
      <c r="O779" s="96" t="str">
        <f>IFERROR(__xludf.DUMMYFUNCTION("""COMPUTED_VALUE"""),"SEM-6")</f>
        <v>SEM-6</v>
      </c>
      <c r="P779" s="96"/>
      <c r="Q779" s="96"/>
      <c r="R779" s="96"/>
      <c r="S779" s="96"/>
      <c r="T779" s="96"/>
      <c r="U779" s="96"/>
      <c r="V779" s="96"/>
      <c r="W779" s="96"/>
      <c r="X779" s="96"/>
      <c r="Y779" s="96"/>
    </row>
    <row r="780" ht="26.25" customHeight="1">
      <c r="A780" s="96" t="str">
        <f>IFERROR(__xludf.DUMMYFUNCTION("""COMPUTED_VALUE"""),"Neelam Pavani Lakshmi")</f>
        <v>Neelam Pavani Lakshmi</v>
      </c>
      <c r="B780" s="96" t="str">
        <f>IFERROR(__xludf.DUMMYFUNCTION("""COMPUTED_VALUE"""),"19331A05C1")</f>
        <v>19331A05C1</v>
      </c>
      <c r="C780" s="97" t="str">
        <f>IFERROR(__xludf.DUMMYFUNCTION("""COMPUTED_VALUE"""),"PROGRAMMING ESSENTIALS IN PYTHON")</f>
        <v>PROGRAMMING ESSENTIALS IN PYTHON</v>
      </c>
      <c r="D780" s="96" t="str">
        <f>IFERROR(__xludf.DUMMYFUNCTION("""COMPUTED_VALUE"""),"CISCO ")</f>
        <v>CISCO </v>
      </c>
      <c r="E780" s="96" t="str">
        <f>IFERROR(__xludf.DUMMYFUNCTION("""COMPUTED_VALUE"""),"2 MONTHS")</f>
        <v>2 MONTHS</v>
      </c>
      <c r="F780" s="98">
        <f>IFERROR(__xludf.DUMMYFUNCTION("""COMPUTED_VALUE"""),44204.0)</f>
        <v>44204</v>
      </c>
      <c r="G780" s="98">
        <f>IFERROR(__xludf.DUMMYFUNCTION("""COMPUTED_VALUE"""),44263.0)</f>
        <v>44263</v>
      </c>
      <c r="H780" s="99">
        <f>IFERROR(__xludf.DUMMYFUNCTION("""COMPUTED_VALUE"""),-613174.0)</f>
        <v>-613174</v>
      </c>
      <c r="I780" s="100">
        <f>IFERROR(__xludf.DUMMYFUNCTION("""COMPUTED_VALUE"""),90.0)</f>
        <v>90</v>
      </c>
      <c r="J780" s="96" t="str">
        <f>IFERROR(__xludf.DUMMYFUNCTION("""COMPUTED_VALUE"""),"DR RAVI KIRAN VARMA ")</f>
        <v>DR RAVI KIRAN VARMA </v>
      </c>
      <c r="K780" s="101" t="str">
        <f>IFERROR(__xludf.DUMMYFUNCTION("""COMPUTED_VALUE"""),"https://drive.google.com/open?id=19xd92YSkvJWCnTC3nVtnoVauqBW7sOrd")</f>
        <v>https://drive.google.com/open?id=19xd92YSkvJWCnTC3nVtnoVauqBW7sOrd</v>
      </c>
      <c r="L780" s="96" t="str">
        <f>IFERROR(__xludf.DUMMYFUNCTION("""COMPUTED_VALUE"""),"2019-2023")</f>
        <v>2019-2023</v>
      </c>
      <c r="M780" s="96" t="str">
        <f>IFERROR(__xludf.DUMMYFUNCTION("""COMPUTED_VALUE"""),"S4: Student Certifications")</f>
        <v>S4: Student Certifications</v>
      </c>
      <c r="N780" s="96" t="str">
        <f>IFERROR(__xludf.DUMMYFUNCTION("""COMPUTED_VALUE"""),"npavanilaxmi@gmail.com")</f>
        <v>npavanilaxmi@gmail.com</v>
      </c>
      <c r="O780" s="96" t="str">
        <f>IFERROR(__xludf.DUMMYFUNCTION("""COMPUTED_VALUE"""),"SEM-6")</f>
        <v>SEM-6</v>
      </c>
      <c r="P780" s="96"/>
      <c r="Q780" s="96"/>
      <c r="R780" s="96"/>
      <c r="S780" s="96"/>
      <c r="T780" s="96"/>
      <c r="U780" s="96"/>
      <c r="V780" s="96"/>
      <c r="W780" s="96"/>
      <c r="X780" s="96"/>
      <c r="Y780" s="96"/>
    </row>
    <row r="781" ht="26.25" customHeight="1">
      <c r="A781" s="96" t="str">
        <f>IFERROR(__xludf.DUMMYFUNCTION("""COMPUTED_VALUE"""),"Karumoju Nehal Praveen")</f>
        <v>Karumoju Nehal Praveen</v>
      </c>
      <c r="B781" s="96" t="str">
        <f>IFERROR(__xludf.DUMMYFUNCTION("""COMPUTED_VALUE"""),"19331A0576")</f>
        <v>19331A0576</v>
      </c>
      <c r="C781" s="97" t="str">
        <f>IFERROR(__xludf.DUMMYFUNCTION("""COMPUTED_VALUE"""),"Programming Essentials in Python")</f>
        <v>Programming Essentials in Python</v>
      </c>
      <c r="D781" s="96" t="str">
        <f>IFERROR(__xludf.DUMMYFUNCTION("""COMPUTED_VALUE"""),"Cisco Netcad")</f>
        <v>Cisco Netcad</v>
      </c>
      <c r="E781" s="96" t="str">
        <f>IFERROR(__xludf.DUMMYFUNCTION("""COMPUTED_VALUE"""),"2 MONTHS")</f>
        <v>2 MONTHS</v>
      </c>
      <c r="F781" s="98">
        <f>IFERROR(__xludf.DUMMYFUNCTION("""COMPUTED_VALUE"""),44322.0)</f>
        <v>44322</v>
      </c>
      <c r="G781" s="98">
        <f>IFERROR(__xludf.DUMMYFUNCTION("""COMPUTED_VALUE"""),44383.0)</f>
        <v>44383</v>
      </c>
      <c r="H781" s="99">
        <f>IFERROR(__xludf.DUMMYFUNCTION("""COMPUTED_VALUE"""),44383.0)</f>
        <v>44383</v>
      </c>
      <c r="I781" s="100">
        <f>IFERROR(__xludf.DUMMYFUNCTION("""COMPUTED_VALUE"""),100.0)</f>
        <v>100</v>
      </c>
      <c r="J781" s="96" t="str">
        <f>IFERROR(__xludf.DUMMYFUNCTION("""COMPUTED_VALUE"""),"DR. RAVI KIRAN VARMA PENMATSA")</f>
        <v>DR. RAVI KIRAN VARMA PENMATSA</v>
      </c>
      <c r="K781" s="101" t="str">
        <f>IFERROR(__xludf.DUMMYFUNCTION("""COMPUTED_VALUE"""),"https://drive.google.com/open?id=1eRpMF9ns_UhyCA6QFnqIRKYL6FkaeKvi")</f>
        <v>https://drive.google.com/open?id=1eRpMF9ns_UhyCA6QFnqIRKYL6FkaeKvi</v>
      </c>
      <c r="L781" s="96" t="str">
        <f>IFERROR(__xludf.DUMMYFUNCTION("""COMPUTED_VALUE"""),"2019-2023")</f>
        <v>2019-2023</v>
      </c>
      <c r="M781" s="96" t="str">
        <f>IFERROR(__xludf.DUMMYFUNCTION("""COMPUTED_VALUE"""),"S4: Student Certifications")</f>
        <v>S4: Student Certifications</v>
      </c>
      <c r="N781" s="96" t="str">
        <f>IFERROR(__xludf.DUMMYFUNCTION("""COMPUTED_VALUE"""),"nehalpraveen@gmail.com")</f>
        <v>nehalpraveen@gmail.com</v>
      </c>
      <c r="O781" s="96" t="str">
        <f>IFERROR(__xludf.DUMMYFUNCTION("""COMPUTED_VALUE"""),"SEM-6")</f>
        <v>SEM-6</v>
      </c>
      <c r="P781" s="96"/>
      <c r="Q781" s="96"/>
      <c r="R781" s="96"/>
      <c r="S781" s="96"/>
      <c r="T781" s="96"/>
      <c r="U781" s="96"/>
      <c r="V781" s="96"/>
      <c r="W781" s="96"/>
      <c r="X781" s="96"/>
      <c r="Y781" s="96"/>
    </row>
    <row r="782" ht="26.25" customHeight="1">
      <c r="A782" s="96" t="str">
        <f>IFERROR(__xludf.DUMMYFUNCTION("""COMPUTED_VALUE"""),"LAKKIMSETTI CHANDRA SIRISHA")</f>
        <v>LAKKIMSETTI CHANDRA SIRISHA</v>
      </c>
      <c r="B782" s="96" t="str">
        <f>IFERROR(__xludf.DUMMYFUNCTION("""COMPUTED_VALUE"""),"19331a0594")</f>
        <v>19331a0594</v>
      </c>
      <c r="C782" s="97" t="str">
        <f>IFERROR(__xludf.DUMMYFUNCTION("""COMPUTED_VALUE"""),"6 TECHNOLOGY IN 1 INTRODUCTION : INTERVIEW PREPARATION")</f>
        <v>6 TECHNOLOGY IN 1 INTRODUCTION : INTERVIEW PREPARATION</v>
      </c>
      <c r="D782" s="96" t="str">
        <f>IFERROR(__xludf.DUMMYFUNCTION("""COMPUTED_VALUE"""),"LEARNMALL")</f>
        <v>LEARNMALL</v>
      </c>
      <c r="E782" s="96" t="str">
        <f>IFERROR(__xludf.DUMMYFUNCTION("""COMPUTED_VALUE"""),"6 HOURS")</f>
        <v>6 HOURS</v>
      </c>
      <c r="F782" s="98">
        <f>IFERROR(__xludf.DUMMYFUNCTION("""COMPUTED_VALUE"""),44567.0)</f>
        <v>44567</v>
      </c>
      <c r="G782" s="98">
        <f>IFERROR(__xludf.DUMMYFUNCTION("""COMPUTED_VALUE"""),44567.0)</f>
        <v>44567</v>
      </c>
      <c r="H782" s="99">
        <f>IFERROR(__xludf.DUMMYFUNCTION("""COMPUTED_VALUE"""),44567.0)</f>
        <v>44567</v>
      </c>
      <c r="I782" s="100">
        <f>IFERROR(__xludf.DUMMYFUNCTION("""COMPUTED_VALUE"""),0.9)</f>
        <v>0.9</v>
      </c>
      <c r="J782" s="96" t="str">
        <f>IFERROR(__xludf.DUMMYFUNCTION("""COMPUTED_VALUE"""),"LEARNMALL")</f>
        <v>LEARNMALL</v>
      </c>
      <c r="K782" s="101" t="str">
        <f>IFERROR(__xludf.DUMMYFUNCTION("""COMPUTED_VALUE"""),"https://drive.google.com/open?id=1CZ5qJFLgv3hyoBa0vTnaFk3poGx9RWEv")</f>
        <v>https://drive.google.com/open?id=1CZ5qJFLgv3hyoBa0vTnaFk3poGx9RWEv</v>
      </c>
      <c r="L782" s="96" t="str">
        <f>IFERROR(__xludf.DUMMYFUNCTION("""COMPUTED_VALUE"""),"2019-2023")</f>
        <v>2019-2023</v>
      </c>
      <c r="M782" s="96" t="str">
        <f>IFERROR(__xludf.DUMMYFUNCTION("""COMPUTED_VALUE"""),"S4: Student Certifications")</f>
        <v>S4: Student Certifications</v>
      </c>
      <c r="N782" s="96" t="str">
        <f>IFERROR(__xludf.DUMMYFUNCTION("""COMPUTED_VALUE"""),"sirishalakkimsetti1729@gmail.com")</f>
        <v>sirishalakkimsetti1729@gmail.com</v>
      </c>
      <c r="O782" s="96" t="str">
        <f>IFERROR(__xludf.DUMMYFUNCTION("""COMPUTED_VALUE"""),"SEM-6")</f>
        <v>SEM-6</v>
      </c>
      <c r="P782" s="96"/>
      <c r="Q782" s="96"/>
      <c r="R782" s="96"/>
      <c r="S782" s="96"/>
      <c r="T782" s="96"/>
      <c r="U782" s="96"/>
      <c r="V782" s="96"/>
      <c r="W782" s="96"/>
      <c r="X782" s="96"/>
      <c r="Y782" s="96"/>
    </row>
    <row r="783" ht="26.25" customHeight="1">
      <c r="A783" s="74" t="str">
        <f>IFERROR(__xludf.DUMMYFUNCTION("""COMPUTED_VALUE"""),"KUDA SRAVANI SANDHYA SREE ")</f>
        <v>KUDA SRAVANI SANDHYA SREE </v>
      </c>
      <c r="B783" s="74" t="str">
        <f>IFERROR(__xludf.DUMMYFUNCTION("""COMPUTED_VALUE"""),"19331A0589")</f>
        <v>19331A0589</v>
      </c>
      <c r="C783" s="90" t="str">
        <f>IFERROR(__xludf.DUMMYFUNCTION("""COMPUTED_VALUE"""),"Python")</f>
        <v>Python</v>
      </c>
      <c r="D783" s="74" t="str">
        <f>IFERROR(__xludf.DUMMYFUNCTION("""COMPUTED_VALUE"""),"CISCO")</f>
        <v>CISCO</v>
      </c>
      <c r="E783" s="74" t="str">
        <f>IFERROR(__xludf.DUMMYFUNCTION("""COMPUTED_VALUE"""),"2019-2021")</f>
        <v>2019-2021</v>
      </c>
      <c r="F783" s="91">
        <f>IFERROR(__xludf.DUMMYFUNCTION("""COMPUTED_VALUE"""),44470.0)</f>
        <v>44470</v>
      </c>
      <c r="G783" s="91">
        <f>IFERROR(__xludf.DUMMYFUNCTION("""COMPUTED_VALUE"""),44470.0)</f>
        <v>44470</v>
      </c>
      <c r="H783" s="79">
        <f>IFERROR(__xludf.DUMMYFUNCTION("""COMPUTED_VALUE"""),44561.0)</f>
        <v>44561</v>
      </c>
      <c r="I783" s="92">
        <f>IFERROR(__xludf.DUMMYFUNCTION("""COMPUTED_VALUE"""),0.9)</f>
        <v>0.9</v>
      </c>
      <c r="J783" s="74" t="str">
        <f>IFERROR(__xludf.DUMMYFUNCTION("""COMPUTED_VALUE"""),"P.RAVI KIRAM VARMA")</f>
        <v>P.RAVI KIRAM VARMA</v>
      </c>
      <c r="K783" s="80" t="str">
        <f>IFERROR(__xludf.DUMMYFUNCTION("""COMPUTED_VALUE"""),"https://drive.google.com/open?id=1Fk-eF-dHwPdK-isVKUqvXhCwaw3aqPtQ")</f>
        <v>https://drive.google.com/open?id=1Fk-eF-dHwPdK-isVKUqvXhCwaw3aqPtQ</v>
      </c>
      <c r="L783" s="74" t="str">
        <f>IFERROR(__xludf.DUMMYFUNCTION("""COMPUTED_VALUE"""),"2019-2023")</f>
        <v>2019-2023</v>
      </c>
      <c r="M783" s="74" t="str">
        <f>IFERROR(__xludf.DUMMYFUNCTION("""COMPUTED_VALUE"""),"S4: Student Certifications")</f>
        <v>S4: Student Certifications</v>
      </c>
      <c r="N783" s="74" t="str">
        <f>IFERROR(__xludf.DUMMYFUNCTION("""COMPUTED_VALUE"""),"sravanisandhyasree@gmail.com")</f>
        <v>sravanisandhyasree@gmail.com</v>
      </c>
      <c r="O783" s="74" t="str">
        <f>IFERROR(__xludf.DUMMYFUNCTION("""COMPUTED_VALUE"""),"SEM-6")</f>
        <v>SEM-6</v>
      </c>
      <c r="P783" s="74"/>
      <c r="Q783" s="74"/>
      <c r="R783" s="74"/>
      <c r="S783" s="74"/>
      <c r="T783" s="74"/>
      <c r="U783" s="74"/>
      <c r="V783" s="74"/>
      <c r="W783" s="74"/>
      <c r="X783" s="74"/>
      <c r="Y783" s="74"/>
    </row>
    <row r="784" ht="26.25" customHeight="1">
      <c r="A784" s="96" t="str">
        <f>IFERROR(__xludf.DUMMYFUNCTION("""COMPUTED_VALUE"""),"Neelam Pavani Lakshmi")</f>
        <v>Neelam Pavani Lakshmi</v>
      </c>
      <c r="B784" s="96" t="str">
        <f>IFERROR(__xludf.DUMMYFUNCTION("""COMPUTED_VALUE"""),"19331A05C1")</f>
        <v>19331A05C1</v>
      </c>
      <c r="C784" s="97" t="str">
        <f>IFERROR(__xludf.DUMMYFUNCTION("""COMPUTED_VALUE"""),"PROGRAMMING ESSENTIALS IN C")</f>
        <v>PROGRAMMING ESSENTIALS IN C</v>
      </c>
      <c r="D784" s="96" t="str">
        <f>IFERROR(__xludf.DUMMYFUNCTION("""COMPUTED_VALUE"""),"CISCO")</f>
        <v>CISCO</v>
      </c>
      <c r="E784" s="96" t="str">
        <f>IFERROR(__xludf.DUMMYFUNCTION("""COMPUTED_VALUE"""),"2 MONTHS")</f>
        <v>2 MONTHS</v>
      </c>
      <c r="F784" s="98">
        <f>IFERROR(__xludf.DUMMYFUNCTION("""COMPUTED_VALUE"""),43905.0)</f>
        <v>43905</v>
      </c>
      <c r="G784" s="98">
        <f>IFERROR(__xludf.DUMMYFUNCTION("""COMPUTED_VALUE"""),43966.0)</f>
        <v>43966</v>
      </c>
      <c r="H784" s="99">
        <f>IFERROR(__xludf.DUMMYFUNCTION("""COMPUTED_VALUE"""),43966.0)</f>
        <v>43966</v>
      </c>
      <c r="I784" s="100">
        <f>IFERROR(__xludf.DUMMYFUNCTION("""COMPUTED_VALUE"""),95.0)</f>
        <v>95</v>
      </c>
      <c r="J784" s="96" t="str">
        <f>IFERROR(__xludf.DUMMYFUNCTION("""COMPUTED_VALUE"""),"DR RAVI KIRAN VARMA ")</f>
        <v>DR RAVI KIRAN VARMA </v>
      </c>
      <c r="K784" s="101" t="str">
        <f>IFERROR(__xludf.DUMMYFUNCTION("""COMPUTED_VALUE"""),"https://drive.google.com/open?id=1sYqyDPGKGnqq3tyBxXiJzgDk6Y8dnLXk")</f>
        <v>https://drive.google.com/open?id=1sYqyDPGKGnqq3tyBxXiJzgDk6Y8dnLXk</v>
      </c>
      <c r="L784" s="96" t="str">
        <f>IFERROR(__xludf.DUMMYFUNCTION("""COMPUTED_VALUE"""),"2019-2023")</f>
        <v>2019-2023</v>
      </c>
      <c r="M784" s="96" t="str">
        <f>IFERROR(__xludf.DUMMYFUNCTION("""COMPUTED_VALUE"""),"S4: Student Certifications")</f>
        <v>S4: Student Certifications</v>
      </c>
      <c r="N784" s="96" t="str">
        <f>IFERROR(__xludf.DUMMYFUNCTION("""COMPUTED_VALUE"""),"npavanilaxmi@gmail.com")</f>
        <v>npavanilaxmi@gmail.com</v>
      </c>
      <c r="O784" s="96" t="str">
        <f>IFERROR(__xludf.DUMMYFUNCTION("""COMPUTED_VALUE"""),"SEM-6")</f>
        <v>SEM-6</v>
      </c>
      <c r="P784" s="96"/>
      <c r="Q784" s="96"/>
      <c r="R784" s="96"/>
      <c r="S784" s="96"/>
      <c r="T784" s="96"/>
      <c r="U784" s="96"/>
      <c r="V784" s="96"/>
      <c r="W784" s="96"/>
      <c r="X784" s="96"/>
      <c r="Y784" s="96"/>
    </row>
    <row r="785" ht="26.25" customHeight="1">
      <c r="A785" s="96" t="str">
        <f>IFERROR(__xludf.DUMMYFUNCTION("""COMPUTED_VALUE"""),"NITIN SAMPATH ROHAN ROHAN BHEEMAVARAPU")</f>
        <v>NITIN SAMPATH ROHAN ROHAN BHEEMAVARAPU</v>
      </c>
      <c r="B785" s="96" t="str">
        <f>IFERROR(__xludf.DUMMYFUNCTION("""COMPUTED_VALUE"""),"19331A05C2")</f>
        <v>19331A05C2</v>
      </c>
      <c r="C785" s="97" t="str">
        <f>IFERROR(__xludf.DUMMYFUNCTION("""COMPUTED_VALUE"""),"Pcap: Programming essentials in python")</f>
        <v>Pcap: Programming essentials in python</v>
      </c>
      <c r="D785" s="96" t="str">
        <f>IFERROR(__xludf.DUMMYFUNCTION("""COMPUTED_VALUE"""),"Netcad ")</f>
        <v>Netcad </v>
      </c>
      <c r="E785" s="96" t="str">
        <f>IFERROR(__xludf.DUMMYFUNCTION("""COMPUTED_VALUE"""),"6 months")</f>
        <v>6 months</v>
      </c>
      <c r="F785" s="98">
        <f>IFERROR(__xludf.DUMMYFUNCTION("""COMPUTED_VALUE"""),44180.0)</f>
        <v>44180</v>
      </c>
      <c r="G785" s="98">
        <f>IFERROR(__xludf.DUMMYFUNCTION("""COMPUTED_VALUE"""),44322.0)</f>
        <v>44322</v>
      </c>
      <c r="H785" s="99">
        <f>IFERROR(__xludf.DUMMYFUNCTION("""COMPUTED_VALUE"""),44322.0)</f>
        <v>44322</v>
      </c>
      <c r="I785" s="100">
        <f>IFERROR(__xludf.DUMMYFUNCTION("""COMPUTED_VALUE"""),80.0)</f>
        <v>80</v>
      </c>
      <c r="J785" s="96" t="str">
        <f>IFERROR(__xludf.DUMMYFUNCTION("""COMPUTED_VALUE"""),"Dr.Ravi Kiran Varma Penmatsa")</f>
        <v>Dr.Ravi Kiran Varma Penmatsa</v>
      </c>
      <c r="K785" s="101" t="str">
        <f>IFERROR(__xludf.DUMMYFUNCTION("""COMPUTED_VALUE"""),"https://drive.google.com/open?id=1xmSdM3nDHfIkMdMT8PdMg_2GiJ4NLhct")</f>
        <v>https://drive.google.com/open?id=1xmSdM3nDHfIkMdMT8PdMg_2GiJ4NLhct</v>
      </c>
      <c r="L785" s="96" t="str">
        <f>IFERROR(__xludf.DUMMYFUNCTION("""COMPUTED_VALUE"""),"2019-2023")</f>
        <v>2019-2023</v>
      </c>
      <c r="M785" s="96" t="str">
        <f>IFERROR(__xludf.DUMMYFUNCTION("""COMPUTED_VALUE"""),"S4: Student Certifications")</f>
        <v>S4: Student Certifications</v>
      </c>
      <c r="N785" s="96" t="str">
        <f>IFERROR(__xludf.DUMMYFUNCTION("""COMPUTED_VALUE"""),"nitinrohan56@gmail.com")</f>
        <v>nitinrohan56@gmail.com</v>
      </c>
      <c r="O785" s="96" t="str">
        <f>IFERROR(__xludf.DUMMYFUNCTION("""COMPUTED_VALUE"""),"SEM-6")</f>
        <v>SEM-6</v>
      </c>
      <c r="P785" s="96"/>
      <c r="Q785" s="96"/>
      <c r="R785" s="96"/>
      <c r="S785" s="96"/>
      <c r="T785" s="96"/>
      <c r="U785" s="96"/>
      <c r="V785" s="96"/>
      <c r="W785" s="96"/>
      <c r="X785" s="96"/>
      <c r="Y785" s="96"/>
    </row>
    <row r="786" ht="26.25" customHeight="1">
      <c r="A786" s="96" t="str">
        <f>IFERROR(__xludf.DUMMYFUNCTION("""COMPUTED_VALUE"""),"Karumoju Nehal Praveen")</f>
        <v>Karumoju Nehal Praveen</v>
      </c>
      <c r="B786" s="96" t="str">
        <f>IFERROR(__xludf.DUMMYFUNCTION("""COMPUTED_VALUE"""),"19331A0576")</f>
        <v>19331A0576</v>
      </c>
      <c r="C786" s="97" t="str">
        <f>IFERROR(__xludf.DUMMYFUNCTION("""COMPUTED_VALUE"""),"Programming Essentials in C")</f>
        <v>Programming Essentials in C</v>
      </c>
      <c r="D786" s="96" t="str">
        <f>IFERROR(__xludf.DUMMYFUNCTION("""COMPUTED_VALUE"""),"Cisco Netacad")</f>
        <v>Cisco Netacad</v>
      </c>
      <c r="E786" s="96" t="str">
        <f>IFERROR(__xludf.DUMMYFUNCTION("""COMPUTED_VALUE"""),"2 MONTHS")</f>
        <v>2 MONTHS</v>
      </c>
      <c r="F786" s="98">
        <f>IFERROR(__xludf.DUMMYFUNCTION("""COMPUTED_VALUE"""),43961.0)</f>
        <v>43961</v>
      </c>
      <c r="G786" s="98">
        <f>IFERROR(__xludf.DUMMYFUNCTION("""COMPUTED_VALUE"""),44027.0)</f>
        <v>44027</v>
      </c>
      <c r="H786" s="99">
        <f>IFERROR(__xludf.DUMMYFUNCTION("""COMPUTED_VALUE"""),44027.0)</f>
        <v>44027</v>
      </c>
      <c r="I786" s="100">
        <f>IFERROR(__xludf.DUMMYFUNCTION("""COMPUTED_VALUE"""),100.0)</f>
        <v>100</v>
      </c>
      <c r="J786" s="96" t="str">
        <f>IFERROR(__xludf.DUMMYFUNCTION("""COMPUTED_VALUE"""),"DR. RAVI KIRAN VARMA PENMATSA")</f>
        <v>DR. RAVI KIRAN VARMA PENMATSA</v>
      </c>
      <c r="K786" s="101" t="str">
        <f>IFERROR(__xludf.DUMMYFUNCTION("""COMPUTED_VALUE"""),"https://drive.google.com/open?id=1ZenK_hqLENL2KDPV5sxTLur4Mj5zAyFB")</f>
        <v>https://drive.google.com/open?id=1ZenK_hqLENL2KDPV5sxTLur4Mj5zAyFB</v>
      </c>
      <c r="L786" s="96" t="str">
        <f>IFERROR(__xludf.DUMMYFUNCTION("""COMPUTED_VALUE"""),"2019-2023")</f>
        <v>2019-2023</v>
      </c>
      <c r="M786" s="96" t="str">
        <f>IFERROR(__xludf.DUMMYFUNCTION("""COMPUTED_VALUE"""),"S4: Student Certifications")</f>
        <v>S4: Student Certifications</v>
      </c>
      <c r="N786" s="96" t="str">
        <f>IFERROR(__xludf.DUMMYFUNCTION("""COMPUTED_VALUE"""),"nehalpraveen@gmail.com")</f>
        <v>nehalpraveen@gmail.com</v>
      </c>
      <c r="O786" s="96" t="str">
        <f>IFERROR(__xludf.DUMMYFUNCTION("""COMPUTED_VALUE"""),"SEM-6")</f>
        <v>SEM-6</v>
      </c>
      <c r="P786" s="96"/>
      <c r="Q786" s="96"/>
      <c r="R786" s="96"/>
      <c r="S786" s="96"/>
      <c r="T786" s="96"/>
      <c r="U786" s="96"/>
      <c r="V786" s="96"/>
      <c r="W786" s="96"/>
      <c r="X786" s="96"/>
      <c r="Y786" s="96"/>
    </row>
    <row r="787" ht="26.25" customHeight="1">
      <c r="A787" s="96" t="str">
        <f>IFERROR(__xludf.DUMMYFUNCTION("""COMPUTED_VALUE"""),"MOTAMARRI AKSHAYA")</f>
        <v>MOTAMARRI AKSHAYA</v>
      </c>
      <c r="B787" s="96" t="str">
        <f>IFERROR(__xludf.DUMMYFUNCTION("""COMPUTED_VALUE"""),"19331A05A9")</f>
        <v>19331A05A9</v>
      </c>
      <c r="C787" s="97" t="str">
        <f>IFERROR(__xludf.DUMMYFUNCTION("""COMPUTED_VALUE"""),"CODE RIDERS 2021")</f>
        <v>CODE RIDERS 2021</v>
      </c>
      <c r="D787" s="96" t="str">
        <f>IFERROR(__xludf.DUMMYFUNCTION("""COMPUTED_VALUE"""),"Cisco Networking Academy")</f>
        <v>Cisco Networking Academy</v>
      </c>
      <c r="E787" s="96" t="str">
        <f>IFERROR(__xludf.DUMMYFUNCTION("""COMPUTED_VALUE"""),"2 months")</f>
        <v>2 months</v>
      </c>
      <c r="F787" s="98">
        <f>IFERROR(__xludf.DUMMYFUNCTION("""COMPUTED_VALUE"""),44348.0)</f>
        <v>44348</v>
      </c>
      <c r="G787" s="98">
        <f>IFERROR(__xludf.DUMMYFUNCTION("""COMPUTED_VALUE"""),44407.0)</f>
        <v>44407</v>
      </c>
      <c r="H787" s="99">
        <f>IFERROR(__xludf.DUMMYFUNCTION("""COMPUTED_VALUE"""),44407.0)</f>
        <v>44407</v>
      </c>
      <c r="I787" s="100">
        <f>IFERROR(__xludf.DUMMYFUNCTION("""COMPUTED_VALUE"""),0.92)</f>
        <v>0.92</v>
      </c>
      <c r="J787" s="96" t="str">
        <f>IFERROR(__xludf.DUMMYFUNCTION("""COMPUTED_VALUE"""),"DR RAVI KIRAN VARMA PENMATSA")</f>
        <v>DR RAVI KIRAN VARMA PENMATSA</v>
      </c>
      <c r="K787" s="101" t="str">
        <f>IFERROR(__xludf.DUMMYFUNCTION("""COMPUTED_VALUE"""),"https://drive.google.com/open?id=1DAEL4LwNlRVMaF7wlnfDKNnjcWDN5TrR")</f>
        <v>https://drive.google.com/open?id=1DAEL4LwNlRVMaF7wlnfDKNnjcWDN5TrR</v>
      </c>
      <c r="L787" s="96" t="str">
        <f>IFERROR(__xludf.DUMMYFUNCTION("""COMPUTED_VALUE"""),"2019-2023")</f>
        <v>2019-2023</v>
      </c>
      <c r="M787" s="96" t="str">
        <f>IFERROR(__xludf.DUMMYFUNCTION("""COMPUTED_VALUE"""),"S4: Student Certifications")</f>
        <v>S4: Student Certifications</v>
      </c>
      <c r="N787" s="96" t="str">
        <f>IFERROR(__xludf.DUMMYFUNCTION("""COMPUTED_VALUE"""),"akshayamotamarri2108@gmail.com")</f>
        <v>akshayamotamarri2108@gmail.com</v>
      </c>
      <c r="O787" s="96" t="str">
        <f>IFERROR(__xludf.DUMMYFUNCTION("""COMPUTED_VALUE"""),"SEM-6")</f>
        <v>SEM-6</v>
      </c>
      <c r="P787" s="96"/>
      <c r="Q787" s="96"/>
      <c r="R787" s="96"/>
      <c r="S787" s="96"/>
      <c r="T787" s="96"/>
      <c r="U787" s="96"/>
      <c r="V787" s="96"/>
      <c r="W787" s="96"/>
      <c r="X787" s="96"/>
      <c r="Y787" s="96"/>
    </row>
    <row r="788" ht="26.25" customHeight="1">
      <c r="A788" s="96" t="str">
        <f>IFERROR(__xludf.DUMMYFUNCTION("""COMPUTED_VALUE"""),"Neelam Pavani Lakshmi")</f>
        <v>Neelam Pavani Lakshmi</v>
      </c>
      <c r="B788" s="96" t="str">
        <f>IFERROR(__xludf.DUMMYFUNCTION("""COMPUTED_VALUE"""),"19331A05C1")</f>
        <v>19331A05C1</v>
      </c>
      <c r="C788" s="108" t="str">
        <f>IFERROR(__xludf.DUMMYFUNCTION("""COMPUTED_VALUE"""),"DATABASE MANAGEMENT ESSENTIALS")</f>
        <v>DATABASE MANAGEMENT ESSENTIALS</v>
      </c>
      <c r="D788" s="96" t="str">
        <f>IFERROR(__xludf.DUMMYFUNCTION("""COMPUTED_VALUE"""),"COURSERA")</f>
        <v>COURSERA</v>
      </c>
      <c r="E788" s="96" t="str">
        <f>IFERROR(__xludf.DUMMYFUNCTION("""COMPUTED_VALUE"""),"2 MONTHS")</f>
        <v>2 MONTHS</v>
      </c>
      <c r="F788" s="98">
        <f>IFERROR(__xludf.DUMMYFUNCTION("""COMPUTED_VALUE"""),43928.0)</f>
        <v>43928</v>
      </c>
      <c r="G788" s="98">
        <f>IFERROR(__xludf.DUMMYFUNCTION("""COMPUTED_VALUE"""),43989.0)</f>
        <v>43989</v>
      </c>
      <c r="H788" s="99">
        <f>IFERROR(__xludf.DUMMYFUNCTION("""COMPUTED_VALUE"""),43989.0)</f>
        <v>43989</v>
      </c>
      <c r="I788" s="100">
        <f>IFERROR(__xludf.DUMMYFUNCTION("""COMPUTED_VALUE"""),95.0)</f>
        <v>95</v>
      </c>
      <c r="J788" s="96" t="str">
        <f>IFERROR(__xludf.DUMMYFUNCTION("""COMPUTED_VALUE"""),"MICHAEL MANNINO")</f>
        <v>MICHAEL MANNINO</v>
      </c>
      <c r="K788" s="101" t="str">
        <f>IFERROR(__xludf.DUMMYFUNCTION("""COMPUTED_VALUE"""),"https://drive.google.com/open?id=1PAVAZVXXGyMyJJTfxGDmbGLQhiNNpPXr")</f>
        <v>https://drive.google.com/open?id=1PAVAZVXXGyMyJJTfxGDmbGLQhiNNpPXr</v>
      </c>
      <c r="L788" s="96" t="str">
        <f>IFERROR(__xludf.DUMMYFUNCTION("""COMPUTED_VALUE"""),"2019-2023")</f>
        <v>2019-2023</v>
      </c>
      <c r="M788" s="96" t="str">
        <f>IFERROR(__xludf.DUMMYFUNCTION("""COMPUTED_VALUE"""),"S4: Student Certifications")</f>
        <v>S4: Student Certifications</v>
      </c>
      <c r="N788" s="96" t="str">
        <f>IFERROR(__xludf.DUMMYFUNCTION("""COMPUTED_VALUE"""),"npavanilaxmi@gmail.com")</f>
        <v>npavanilaxmi@gmail.com</v>
      </c>
      <c r="O788" s="96" t="str">
        <f>IFERROR(__xludf.DUMMYFUNCTION("""COMPUTED_VALUE"""),"SEM-6")</f>
        <v>SEM-6</v>
      </c>
      <c r="P788" s="96"/>
      <c r="Q788" s="96"/>
      <c r="R788" s="96"/>
      <c r="S788" s="96"/>
      <c r="T788" s="96"/>
      <c r="U788" s="96"/>
      <c r="V788" s="96"/>
      <c r="W788" s="96"/>
      <c r="X788" s="96"/>
      <c r="Y788" s="96"/>
    </row>
    <row r="789" ht="26.25" customHeight="1">
      <c r="A789" s="96" t="str">
        <f>IFERROR(__xludf.DUMMYFUNCTION("""COMPUTED_VALUE"""),"ANJANI ROUTHU")</f>
        <v>ANJANI ROUTHU</v>
      </c>
      <c r="B789" s="96" t="str">
        <f>IFERROR(__xludf.DUMMYFUNCTION("""COMPUTED_VALUE"""),"20335A0515")</f>
        <v>20335A0515</v>
      </c>
      <c r="C789" s="97" t="str">
        <f>IFERROR(__xludf.DUMMYFUNCTION("""COMPUTED_VALUE"""),"Master Class on Artificial Intelligence ")</f>
        <v>Master Class on Artificial Intelligence </v>
      </c>
      <c r="D789" s="96" t="str">
        <f>IFERROR(__xludf.DUMMYFUNCTION("""COMPUTED_VALUE"""),"Pantech e Learning ")</f>
        <v>Pantech e Learning </v>
      </c>
      <c r="E789" s="96" t="str">
        <f>IFERROR(__xludf.DUMMYFUNCTION("""COMPUTED_VALUE"""),"1 month")</f>
        <v>1 month</v>
      </c>
      <c r="F789" s="98">
        <f>IFERROR(__xludf.DUMMYFUNCTION("""COMPUTED_VALUE"""),44536.0)</f>
        <v>44536</v>
      </c>
      <c r="G789" s="98">
        <f>IFERROR(__xludf.DUMMYFUNCTION("""COMPUTED_VALUE"""),44565.0)</f>
        <v>44565</v>
      </c>
      <c r="H789" s="99">
        <f>IFERROR(__xludf.DUMMYFUNCTION("""COMPUTED_VALUE"""),44565.0)</f>
        <v>44565</v>
      </c>
      <c r="I789" s="100">
        <f>IFERROR(__xludf.DUMMYFUNCTION("""COMPUTED_VALUE"""),100.0)</f>
        <v>100</v>
      </c>
      <c r="J789" s="96" t="str">
        <f>IFERROR(__xludf.DUMMYFUNCTION("""COMPUTED_VALUE"""),"M.Malaiappan")</f>
        <v>M.Malaiappan</v>
      </c>
      <c r="K789" s="101" t="str">
        <f>IFERROR(__xludf.DUMMYFUNCTION("""COMPUTED_VALUE"""),"https://drive.google.com/open?id=1HgbIVOcZBSMq2XhWYzfHNp-kee0-_v-T")</f>
        <v>https://drive.google.com/open?id=1HgbIVOcZBSMq2XhWYzfHNp-kee0-_v-T</v>
      </c>
      <c r="L789" s="96" t="str">
        <f>IFERROR(__xludf.DUMMYFUNCTION("""COMPUTED_VALUE"""),"2019-2023")</f>
        <v>2019-2023</v>
      </c>
      <c r="M789" s="96" t="str">
        <f>IFERROR(__xludf.DUMMYFUNCTION("""COMPUTED_VALUE"""),"S4: Student Certifications")</f>
        <v>S4: Student Certifications</v>
      </c>
      <c r="N789" s="96" t="str">
        <f>IFERROR(__xludf.DUMMYFUNCTION("""COMPUTED_VALUE"""),"anjanirouthu@gmail.com")</f>
        <v>anjanirouthu@gmail.com</v>
      </c>
      <c r="O789" s="96" t="str">
        <f>IFERROR(__xludf.DUMMYFUNCTION("""COMPUTED_VALUE"""),"SEM-6")</f>
        <v>SEM-6</v>
      </c>
      <c r="P789" s="96"/>
      <c r="Q789" s="96"/>
      <c r="R789" s="96"/>
      <c r="S789" s="96"/>
      <c r="T789" s="96"/>
      <c r="U789" s="96"/>
      <c r="V789" s="96"/>
      <c r="W789" s="96"/>
      <c r="X789" s="96"/>
      <c r="Y789" s="96"/>
    </row>
    <row r="790" ht="26.25" customHeight="1">
      <c r="A790" s="96" t="str">
        <f>IFERROR(__xludf.DUMMYFUNCTION("""COMPUTED_VALUE"""),"Mohan Subha Varshith Pechetti")</f>
        <v>Mohan Subha Varshith Pechetti</v>
      </c>
      <c r="B790" s="96" t="str">
        <f>IFERROR(__xludf.DUMMYFUNCTION("""COMPUTED_VALUE"""),"19331A05C7")</f>
        <v>19331A05C7</v>
      </c>
      <c r="C790" s="97" t="str">
        <f>IFERROR(__xludf.DUMMYFUNCTION("""COMPUTED_VALUE"""),"Introduction to Networks")</f>
        <v>Introduction to Networks</v>
      </c>
      <c r="D790" s="96" t="str">
        <f>IFERROR(__xludf.DUMMYFUNCTION("""COMPUTED_VALUE"""),"Cisco Networking Academy")</f>
        <v>Cisco Networking Academy</v>
      </c>
      <c r="E790" s="96" t="str">
        <f>IFERROR(__xludf.DUMMYFUNCTION("""COMPUTED_VALUE"""),"2months")</f>
        <v>2months</v>
      </c>
      <c r="F790" s="98">
        <f>IFERROR(__xludf.DUMMYFUNCTION("""COMPUTED_VALUE"""),44484.0)</f>
        <v>44484</v>
      </c>
      <c r="G790" s="98">
        <f>IFERROR(__xludf.DUMMYFUNCTION("""COMPUTED_VALUE"""),44545.0)</f>
        <v>44545</v>
      </c>
      <c r="H790" s="99">
        <f>IFERROR(__xludf.DUMMYFUNCTION("""COMPUTED_VALUE"""),44545.0)</f>
        <v>44545</v>
      </c>
      <c r="I790" s="100">
        <f>IFERROR(__xludf.DUMMYFUNCTION("""COMPUTED_VALUE"""),85.0)</f>
        <v>85</v>
      </c>
      <c r="J790" s="96" t="str">
        <f>IFERROR(__xludf.DUMMYFUNCTION("""COMPUTED_VALUE"""),"DR. RAVI KIRAN VARMA PENMATSA")</f>
        <v>DR. RAVI KIRAN VARMA PENMATSA</v>
      </c>
      <c r="K790" s="101" t="str">
        <f>IFERROR(__xludf.DUMMYFUNCTION("""COMPUTED_VALUE"""),"https://drive.google.com/open?id=1RD7j6TrWObr1R4uYHL6EJE56vb3f-7ju")</f>
        <v>https://drive.google.com/open?id=1RD7j6TrWObr1R4uYHL6EJE56vb3f-7ju</v>
      </c>
      <c r="L790" s="96" t="str">
        <f>IFERROR(__xludf.DUMMYFUNCTION("""COMPUTED_VALUE"""),"2019-2023")</f>
        <v>2019-2023</v>
      </c>
      <c r="M790" s="96" t="str">
        <f>IFERROR(__xludf.DUMMYFUNCTION("""COMPUTED_VALUE"""),"S4: Student Certifications")</f>
        <v>S4: Student Certifications</v>
      </c>
      <c r="N790" s="96" t="str">
        <f>IFERROR(__xludf.DUMMYFUNCTION("""COMPUTED_VALUE"""),"subhavarshith@gmail.com")</f>
        <v>subhavarshith@gmail.com</v>
      </c>
      <c r="O790" s="96" t="str">
        <f>IFERROR(__xludf.DUMMYFUNCTION("""COMPUTED_VALUE"""),"SEM-6")</f>
        <v>SEM-6</v>
      </c>
      <c r="P790" s="96"/>
      <c r="Q790" s="96"/>
      <c r="R790" s="96"/>
      <c r="S790" s="96"/>
      <c r="T790" s="96"/>
      <c r="U790" s="96"/>
      <c r="V790" s="96"/>
      <c r="W790" s="96"/>
      <c r="X790" s="96"/>
      <c r="Y790" s="96"/>
    </row>
    <row r="791" ht="26.25" customHeight="1">
      <c r="A791" s="74" t="str">
        <f>IFERROR(__xludf.DUMMYFUNCTION("""COMPUTED_VALUE"""),"KUDA SRAVANI SANDHYA SREE")</f>
        <v>KUDA SRAVANI SANDHYA SREE</v>
      </c>
      <c r="B791" s="74" t="str">
        <f>IFERROR(__xludf.DUMMYFUNCTION("""COMPUTED_VALUE"""),"19331A0589")</f>
        <v>19331A0589</v>
      </c>
      <c r="C791" s="90" t="str">
        <f>IFERROR(__xludf.DUMMYFUNCTION("""COMPUTED_VALUE"""),"ITN")</f>
        <v>ITN</v>
      </c>
      <c r="D791" s="74" t="str">
        <f>IFERROR(__xludf.DUMMYFUNCTION("""COMPUTED_VALUE"""),"CISCO")</f>
        <v>CISCO</v>
      </c>
      <c r="E791" s="74" t="str">
        <f>IFERROR(__xludf.DUMMYFUNCTION("""COMPUTED_VALUE"""),"2021")</f>
        <v>2021</v>
      </c>
      <c r="F791" s="91">
        <f>IFERROR(__xludf.DUMMYFUNCTION("""COMPUTED_VALUE"""),44470.0)</f>
        <v>44470</v>
      </c>
      <c r="G791" s="91">
        <f>IFERROR(__xludf.DUMMYFUNCTION("""COMPUTED_VALUE"""),44501.0)</f>
        <v>44501</v>
      </c>
      <c r="H791" s="79">
        <f>IFERROR(__xludf.DUMMYFUNCTION("""COMPUTED_VALUE"""),44502.0)</f>
        <v>44502</v>
      </c>
      <c r="I791" s="92">
        <f>IFERROR(__xludf.DUMMYFUNCTION("""COMPUTED_VALUE"""),0.95)</f>
        <v>0.95</v>
      </c>
      <c r="J791" s="74" t="str">
        <f>IFERROR(__xludf.DUMMYFUNCTION("""COMPUTED_VALUE"""),"P.RAVI KIRAM VARMA")</f>
        <v>P.RAVI KIRAM VARMA</v>
      </c>
      <c r="K791" s="80" t="str">
        <f>IFERROR(__xludf.DUMMYFUNCTION("""COMPUTED_VALUE"""),"https://drive.google.com/open?id=1baCaxgRpu-StZgYCoquu8Bfhsx5ba9_t")</f>
        <v>https://drive.google.com/open?id=1baCaxgRpu-StZgYCoquu8Bfhsx5ba9_t</v>
      </c>
      <c r="L791" s="74" t="str">
        <f>IFERROR(__xludf.DUMMYFUNCTION("""COMPUTED_VALUE"""),"2019-2023")</f>
        <v>2019-2023</v>
      </c>
      <c r="M791" s="74" t="str">
        <f>IFERROR(__xludf.DUMMYFUNCTION("""COMPUTED_VALUE"""),"S4: Student Certifications")</f>
        <v>S4: Student Certifications</v>
      </c>
      <c r="N791" s="74" t="str">
        <f>IFERROR(__xludf.DUMMYFUNCTION("""COMPUTED_VALUE"""),"sravanisandhyasree@gmail.com")</f>
        <v>sravanisandhyasree@gmail.com</v>
      </c>
      <c r="O791" s="74" t="str">
        <f>IFERROR(__xludf.DUMMYFUNCTION("""COMPUTED_VALUE"""),"SEM-6")</f>
        <v>SEM-6</v>
      </c>
      <c r="P791" s="74"/>
      <c r="Q791" s="74"/>
      <c r="R791" s="74"/>
      <c r="S791" s="74"/>
      <c r="T791" s="74"/>
      <c r="U791" s="74"/>
      <c r="V791" s="74"/>
      <c r="W791" s="74"/>
      <c r="X791" s="74"/>
      <c r="Y791" s="74"/>
    </row>
    <row r="792" ht="26.25" customHeight="1">
      <c r="A792" s="96" t="str">
        <f>IFERROR(__xludf.DUMMYFUNCTION("""COMPUTED_VALUE"""),"NITIN SAMPATH ROHAN ROHAN BHEEMAVARAPU")</f>
        <v>NITIN SAMPATH ROHAN ROHAN BHEEMAVARAPU</v>
      </c>
      <c r="B792" s="96" t="str">
        <f>IFERROR(__xludf.DUMMYFUNCTION("""COMPUTED_VALUE"""),"19331A05C2")</f>
        <v>19331A05C2</v>
      </c>
      <c r="C792" s="97" t="str">
        <f>IFERROR(__xludf.DUMMYFUNCTION("""COMPUTED_VALUE"""),"Python programming")</f>
        <v>Python programming</v>
      </c>
      <c r="D792" s="96" t="str">
        <f>IFERROR(__xludf.DUMMYFUNCTION("""COMPUTED_VALUE"""),"My captain")</f>
        <v>My captain</v>
      </c>
      <c r="E792" s="96" t="str">
        <f>IFERROR(__xludf.DUMMYFUNCTION("""COMPUTED_VALUE"""),"1 month")</f>
        <v>1 month</v>
      </c>
      <c r="F792" s="98">
        <f>IFERROR(__xludf.DUMMYFUNCTION("""COMPUTED_VALUE"""),44044.0)</f>
        <v>44044</v>
      </c>
      <c r="G792" s="98">
        <f>IFERROR(__xludf.DUMMYFUNCTION("""COMPUTED_VALUE"""),44074.0)</f>
        <v>44074</v>
      </c>
      <c r="H792" s="99">
        <f>IFERROR(__xludf.DUMMYFUNCTION("""COMPUTED_VALUE"""),44074.0)</f>
        <v>44074</v>
      </c>
      <c r="I792" s="100">
        <f>IFERROR(__xludf.DUMMYFUNCTION("""COMPUTED_VALUE"""),0.85)</f>
        <v>0.85</v>
      </c>
      <c r="J792" s="96" t="str">
        <f>IFERROR(__xludf.DUMMYFUNCTION("""COMPUTED_VALUE"""),"MOHAMMAD SAMEERUDDIN")</f>
        <v>MOHAMMAD SAMEERUDDIN</v>
      </c>
      <c r="K792" s="101" t="str">
        <f>IFERROR(__xludf.DUMMYFUNCTION("""COMPUTED_VALUE"""),"https://drive.google.com/open?id=1gT8dpUDYk5NlC5HDx65ZrZxQ8FzsQYgf")</f>
        <v>https://drive.google.com/open?id=1gT8dpUDYk5NlC5HDx65ZrZxQ8FzsQYgf</v>
      </c>
      <c r="L792" s="96" t="str">
        <f>IFERROR(__xludf.DUMMYFUNCTION("""COMPUTED_VALUE"""),"2019-2023")</f>
        <v>2019-2023</v>
      </c>
      <c r="M792" s="96" t="str">
        <f>IFERROR(__xludf.DUMMYFUNCTION("""COMPUTED_VALUE"""),"S4: Student Certifications")</f>
        <v>S4: Student Certifications</v>
      </c>
      <c r="N792" s="96" t="str">
        <f>IFERROR(__xludf.DUMMYFUNCTION("""COMPUTED_VALUE"""),"nitinrohan56@gmail.com")</f>
        <v>nitinrohan56@gmail.com</v>
      </c>
      <c r="O792" s="96" t="str">
        <f>IFERROR(__xludf.DUMMYFUNCTION("""COMPUTED_VALUE"""),"SEM-6")</f>
        <v>SEM-6</v>
      </c>
      <c r="P792" s="96"/>
      <c r="Q792" s="96"/>
      <c r="R792" s="96"/>
      <c r="S792" s="96"/>
      <c r="T792" s="96"/>
      <c r="U792" s="96"/>
      <c r="V792" s="96"/>
      <c r="W792" s="96"/>
      <c r="X792" s="96"/>
      <c r="Y792" s="96"/>
    </row>
    <row r="793" ht="26.25" customHeight="1">
      <c r="A793" s="96" t="str">
        <f>IFERROR(__xludf.DUMMYFUNCTION("""COMPUTED_VALUE"""),"Karumoju Nehal Praveen")</f>
        <v>Karumoju Nehal Praveen</v>
      </c>
      <c r="B793" s="96" t="str">
        <f>IFERROR(__xludf.DUMMYFUNCTION("""COMPUTED_VALUE"""),"19331A0576")</f>
        <v>19331A0576</v>
      </c>
      <c r="C793" s="97" t="str">
        <f>IFERROR(__xludf.DUMMYFUNCTION("""COMPUTED_VALUE"""),"IT Essentials")</f>
        <v>IT Essentials</v>
      </c>
      <c r="D793" s="96" t="str">
        <f>IFERROR(__xludf.DUMMYFUNCTION("""COMPUTED_VALUE"""),"Cisco Netacad")</f>
        <v>Cisco Netacad</v>
      </c>
      <c r="E793" s="96" t="str">
        <f>IFERROR(__xludf.DUMMYFUNCTION("""COMPUTED_VALUE"""),"2 MONTHS")</f>
        <v>2 MONTHS</v>
      </c>
      <c r="F793" s="98">
        <f>IFERROR(__xludf.DUMMYFUNCTION("""COMPUTED_VALUE"""),44075.0)</f>
        <v>44075</v>
      </c>
      <c r="G793" s="98">
        <f>IFERROR(__xludf.DUMMYFUNCTION("""COMPUTED_VALUE"""),44136.0)</f>
        <v>44136</v>
      </c>
      <c r="H793" s="99">
        <f>IFERROR(__xludf.DUMMYFUNCTION("""COMPUTED_VALUE"""),44136.0)</f>
        <v>44136</v>
      </c>
      <c r="I793" s="100">
        <f>IFERROR(__xludf.DUMMYFUNCTION("""COMPUTED_VALUE"""),100.0)</f>
        <v>100</v>
      </c>
      <c r="J793" s="96" t="str">
        <f>IFERROR(__xludf.DUMMYFUNCTION("""COMPUTED_VALUE"""),"Dr. Suvarna Kumar Gogula")</f>
        <v>Dr. Suvarna Kumar Gogula</v>
      </c>
      <c r="K793" s="101" t="str">
        <f>IFERROR(__xludf.DUMMYFUNCTION("""COMPUTED_VALUE"""),"https://drive.google.com/open?id=106qEdUwNpJoW4vDxpGQzaRXHRHD4YaGm")</f>
        <v>https://drive.google.com/open?id=106qEdUwNpJoW4vDxpGQzaRXHRHD4YaGm</v>
      </c>
      <c r="L793" s="96" t="str">
        <f>IFERROR(__xludf.DUMMYFUNCTION("""COMPUTED_VALUE"""),"2019-2023")</f>
        <v>2019-2023</v>
      </c>
      <c r="M793" s="96" t="str">
        <f>IFERROR(__xludf.DUMMYFUNCTION("""COMPUTED_VALUE"""),"S4: Student Certifications")</f>
        <v>S4: Student Certifications</v>
      </c>
      <c r="N793" s="96" t="str">
        <f>IFERROR(__xludf.DUMMYFUNCTION("""COMPUTED_VALUE"""),"nehalpraveen@gmail.com")</f>
        <v>nehalpraveen@gmail.com</v>
      </c>
      <c r="O793" s="96" t="str">
        <f>IFERROR(__xludf.DUMMYFUNCTION("""COMPUTED_VALUE"""),"SEM-6")</f>
        <v>SEM-6</v>
      </c>
      <c r="P793" s="96"/>
      <c r="Q793" s="96"/>
      <c r="R793" s="96"/>
      <c r="S793" s="96"/>
      <c r="T793" s="96"/>
      <c r="U793" s="96"/>
      <c r="V793" s="96"/>
      <c r="W793" s="96"/>
      <c r="X793" s="96"/>
      <c r="Y793" s="96"/>
    </row>
    <row r="794" ht="26.25" customHeight="1">
      <c r="A794" s="96" t="str">
        <f>IFERROR(__xludf.DUMMYFUNCTION("""COMPUTED_VALUE"""),"Jayanthi lahari katta ")</f>
        <v>Jayanthi lahari katta </v>
      </c>
      <c r="B794" s="96" t="str">
        <f>IFERROR(__xludf.DUMMYFUNCTION("""COMPUTED_VALUE"""),"20335A0505")</f>
        <v>20335A0505</v>
      </c>
      <c r="C794" s="97" t="str">
        <f>IFERROR(__xludf.DUMMYFUNCTION("""COMPUTED_VALUE"""),"Introduction to networks")</f>
        <v>Introduction to networks</v>
      </c>
      <c r="D794" s="96" t="str">
        <f>IFERROR(__xludf.DUMMYFUNCTION("""COMPUTED_VALUE"""),"Cisco networking academy ")</f>
        <v>Cisco networking academy </v>
      </c>
      <c r="E794" s="96" t="str">
        <f>IFERROR(__xludf.DUMMYFUNCTION("""COMPUTED_VALUE"""),"3 months")</f>
        <v>3 months</v>
      </c>
      <c r="F794" s="98">
        <f>IFERROR(__xludf.DUMMYFUNCTION("""COMPUTED_VALUE"""),44448.0)</f>
        <v>44448</v>
      </c>
      <c r="G794" s="98">
        <f>IFERROR(__xludf.DUMMYFUNCTION("""COMPUTED_VALUE"""),44539.0)</f>
        <v>44539</v>
      </c>
      <c r="H794" s="99">
        <f>IFERROR(__xludf.DUMMYFUNCTION("""COMPUTED_VALUE"""),44539.0)</f>
        <v>44539</v>
      </c>
      <c r="I794" s="100">
        <f>IFERROR(__xludf.DUMMYFUNCTION("""COMPUTED_VALUE"""),92.0)</f>
        <v>92</v>
      </c>
      <c r="J794" s="96" t="str">
        <f>IFERROR(__xludf.DUMMYFUNCTION("""COMPUTED_VALUE"""),"DR. RAVI KIRAN VARMA PENMATSA")</f>
        <v>DR. RAVI KIRAN VARMA PENMATSA</v>
      </c>
      <c r="K794" s="101" t="str">
        <f>IFERROR(__xludf.DUMMYFUNCTION("""COMPUTED_VALUE"""),"https://drive.google.com/open?id=1aYDchKBi_Fd8fvIkYaLoTfqb-AiZkQ4U")</f>
        <v>https://drive.google.com/open?id=1aYDchKBi_Fd8fvIkYaLoTfqb-AiZkQ4U</v>
      </c>
      <c r="L794" s="96" t="str">
        <f>IFERROR(__xludf.DUMMYFUNCTION("""COMPUTED_VALUE"""),"2019-2023")</f>
        <v>2019-2023</v>
      </c>
      <c r="M794" s="96" t="str">
        <f>IFERROR(__xludf.DUMMYFUNCTION("""COMPUTED_VALUE"""),"S4: Student Certifications")</f>
        <v>S4: Student Certifications</v>
      </c>
      <c r="N794" s="96" t="str">
        <f>IFERROR(__xludf.DUMMYFUNCTION("""COMPUTED_VALUE"""),"laharijayanthi10@gmail.com")</f>
        <v>laharijayanthi10@gmail.com</v>
      </c>
      <c r="O794" s="96" t="str">
        <f>IFERROR(__xludf.DUMMYFUNCTION("""COMPUTED_VALUE"""),"SEM-6")</f>
        <v>SEM-6</v>
      </c>
      <c r="P794" s="96"/>
      <c r="Q794" s="96"/>
      <c r="R794" s="96"/>
      <c r="S794" s="96"/>
      <c r="T794" s="96"/>
      <c r="U794" s="96"/>
      <c r="V794" s="96"/>
      <c r="W794" s="96"/>
      <c r="X794" s="96"/>
      <c r="Y794" s="96"/>
    </row>
    <row r="795" ht="26.25" customHeight="1">
      <c r="A795" s="96" t="str">
        <f>IFERROR(__xludf.DUMMYFUNCTION("""COMPUTED_VALUE"""),"Neelam Pavani Lakshmi")</f>
        <v>Neelam Pavani Lakshmi</v>
      </c>
      <c r="B795" s="96" t="str">
        <f>IFERROR(__xludf.DUMMYFUNCTION("""COMPUTED_VALUE"""),"19331A05C1")</f>
        <v>19331A05C1</v>
      </c>
      <c r="C795" s="97" t="str">
        <f>IFERROR(__xludf.DUMMYFUNCTION("""COMPUTED_VALUE"""),"GOOGLE CLOUD FUNDAMENTALS ")</f>
        <v>GOOGLE CLOUD FUNDAMENTALS </v>
      </c>
      <c r="D795" s="96" t="str">
        <f>IFERROR(__xludf.DUMMYFUNCTION("""COMPUTED_VALUE"""),"COURSERA")</f>
        <v>COURSERA</v>
      </c>
      <c r="E795" s="96" t="str">
        <f>IFERROR(__xludf.DUMMYFUNCTION("""COMPUTED_VALUE"""),"2 MONTHS")</f>
        <v>2 MONTHS</v>
      </c>
      <c r="F795" s="98">
        <f>IFERROR(__xludf.DUMMYFUNCTION("""COMPUTED_VALUE"""),43934.0)</f>
        <v>43934</v>
      </c>
      <c r="G795" s="98">
        <f>IFERROR(__xludf.DUMMYFUNCTION("""COMPUTED_VALUE"""),43995.0)</f>
        <v>43995</v>
      </c>
      <c r="H795" s="99">
        <f>IFERROR(__xludf.DUMMYFUNCTION("""COMPUTED_VALUE"""),43995.0)</f>
        <v>43995</v>
      </c>
      <c r="I795" s="100">
        <f>IFERROR(__xludf.DUMMYFUNCTION("""COMPUTED_VALUE"""),95.0)</f>
        <v>95</v>
      </c>
      <c r="J795" s="96" t="str">
        <f>IFERROR(__xludf.DUMMYFUNCTION("""COMPUTED_VALUE"""),"GOOGLE CLOUD TRAINING")</f>
        <v>GOOGLE CLOUD TRAINING</v>
      </c>
      <c r="K795" s="101" t="str">
        <f>IFERROR(__xludf.DUMMYFUNCTION("""COMPUTED_VALUE"""),"https://drive.google.com/open?id=1Gk9_hZN3bZbtquBEOy98aeWsNdjARYg0")</f>
        <v>https://drive.google.com/open?id=1Gk9_hZN3bZbtquBEOy98aeWsNdjARYg0</v>
      </c>
      <c r="L795" s="96" t="str">
        <f>IFERROR(__xludf.DUMMYFUNCTION("""COMPUTED_VALUE"""),"2019-2023")</f>
        <v>2019-2023</v>
      </c>
      <c r="M795" s="96" t="str">
        <f>IFERROR(__xludf.DUMMYFUNCTION("""COMPUTED_VALUE"""),"S4: Student Certifications")</f>
        <v>S4: Student Certifications</v>
      </c>
      <c r="N795" s="96" t="str">
        <f>IFERROR(__xludf.DUMMYFUNCTION("""COMPUTED_VALUE"""),"npavanilaxmi@gmail.com")</f>
        <v>npavanilaxmi@gmail.com</v>
      </c>
      <c r="O795" s="96" t="str">
        <f>IFERROR(__xludf.DUMMYFUNCTION("""COMPUTED_VALUE"""),"SEM-6")</f>
        <v>SEM-6</v>
      </c>
      <c r="P795" s="96"/>
      <c r="Q795" s="96"/>
      <c r="R795" s="96"/>
      <c r="S795" s="96"/>
      <c r="T795" s="96"/>
      <c r="U795" s="96"/>
      <c r="V795" s="96"/>
      <c r="W795" s="96"/>
      <c r="X795" s="96"/>
      <c r="Y795" s="96"/>
    </row>
    <row r="796" ht="26.25" customHeight="1">
      <c r="A796" s="96" t="str">
        <f>IFERROR(__xludf.DUMMYFUNCTION("""COMPUTED_VALUE"""),"LAKKIMSETTI CHANDRA SIRISHA")</f>
        <v>LAKKIMSETTI CHANDRA SIRISHA</v>
      </c>
      <c r="B796" s="96" t="str">
        <f>IFERROR(__xludf.DUMMYFUNCTION("""COMPUTED_VALUE"""),"19331A0594")</f>
        <v>19331A0594</v>
      </c>
      <c r="C796" s="97" t="str">
        <f>IFERROR(__xludf.DUMMYFUNCTION("""COMPUTED_VALUE"""),"PROGRAMMING ESSENTIALS IN C++")</f>
        <v>PROGRAMMING ESSENTIALS IN C++</v>
      </c>
      <c r="D796" s="96" t="str">
        <f>IFERROR(__xludf.DUMMYFUNCTION("""COMPUTED_VALUE"""),"CISCO")</f>
        <v>CISCO</v>
      </c>
      <c r="E796" s="96" t="str">
        <f>IFERROR(__xludf.DUMMYFUNCTION("""COMPUTED_VALUE"""),"2 MONTHS")</f>
        <v>2 MONTHS</v>
      </c>
      <c r="F796" s="98">
        <f>IFERROR(__xludf.DUMMYFUNCTION("""COMPUTED_VALUE"""),43960.0)</f>
        <v>43960</v>
      </c>
      <c r="G796" s="98">
        <f>IFERROR(__xludf.DUMMYFUNCTION("""COMPUTED_VALUE"""),43960.0)</f>
        <v>43960</v>
      </c>
      <c r="H796" s="99">
        <f>IFERROR(__xludf.DUMMYFUNCTION("""COMPUTED_VALUE"""),43960.0)</f>
        <v>43960</v>
      </c>
      <c r="I796" s="100">
        <f>IFERROR(__xludf.DUMMYFUNCTION("""COMPUTED_VALUE"""),1.0)</f>
        <v>1</v>
      </c>
      <c r="J796" s="96" t="str">
        <f>IFERROR(__xludf.DUMMYFUNCTION("""COMPUTED_VALUE"""),"DR.RAVI KIRAN VARMA")</f>
        <v>DR.RAVI KIRAN VARMA</v>
      </c>
      <c r="K796" s="101" t="str">
        <f>IFERROR(__xludf.DUMMYFUNCTION("""COMPUTED_VALUE"""),"https://drive.google.com/open?id=1uAFzHIJO6p_JQlRULCTzq34BJNEg-Eox")</f>
        <v>https://drive.google.com/open?id=1uAFzHIJO6p_JQlRULCTzq34BJNEg-Eox</v>
      </c>
      <c r="L796" s="96" t="str">
        <f>IFERROR(__xludf.DUMMYFUNCTION("""COMPUTED_VALUE"""),"2019-2023")</f>
        <v>2019-2023</v>
      </c>
      <c r="M796" s="96" t="str">
        <f>IFERROR(__xludf.DUMMYFUNCTION("""COMPUTED_VALUE"""),"S4: Student Certifications")</f>
        <v>S4: Student Certifications</v>
      </c>
      <c r="N796" s="96" t="str">
        <f>IFERROR(__xludf.DUMMYFUNCTION("""COMPUTED_VALUE"""),"sirishalakkimsetti1729@gmail.com")</f>
        <v>sirishalakkimsetti1729@gmail.com</v>
      </c>
      <c r="O796" s="96" t="str">
        <f>IFERROR(__xludf.DUMMYFUNCTION("""COMPUTED_VALUE"""),"SEM-6")</f>
        <v>SEM-6</v>
      </c>
      <c r="P796" s="96"/>
      <c r="Q796" s="96"/>
      <c r="R796" s="96"/>
      <c r="S796" s="96"/>
      <c r="T796" s="96"/>
      <c r="U796" s="96"/>
      <c r="V796" s="96"/>
      <c r="W796" s="96"/>
      <c r="X796" s="96"/>
      <c r="Y796" s="96"/>
    </row>
    <row r="797" ht="26.25" customHeight="1">
      <c r="A797" s="96" t="str">
        <f>IFERROR(__xludf.DUMMYFUNCTION("""COMPUTED_VALUE"""),"MOTAMARRI AKSHAYA")</f>
        <v>MOTAMARRI AKSHAYA</v>
      </c>
      <c r="B797" s="96" t="str">
        <f>IFERROR(__xludf.DUMMYFUNCTION("""COMPUTED_VALUE"""),"19331A05A9")</f>
        <v>19331A05A9</v>
      </c>
      <c r="C797" s="97" t="str">
        <f>IFERROR(__xludf.DUMMYFUNCTION("""COMPUTED_VALUE"""),"Programming Essentials in C++")</f>
        <v>Programming Essentials in C++</v>
      </c>
      <c r="D797" s="96" t="str">
        <f>IFERROR(__xludf.DUMMYFUNCTION("""COMPUTED_VALUE"""),"Cisco Networking Academy")</f>
        <v>Cisco Networking Academy</v>
      </c>
      <c r="E797" s="96" t="str">
        <f>IFERROR(__xludf.DUMMYFUNCTION("""COMPUTED_VALUE"""),"2 months")</f>
        <v>2 months</v>
      </c>
      <c r="F797" s="98">
        <f>IFERROR(__xludf.DUMMYFUNCTION("""COMPUTED_VALUE"""),43895.0)</f>
        <v>43895</v>
      </c>
      <c r="G797" s="98">
        <f>IFERROR(__xludf.DUMMYFUNCTION("""COMPUTED_VALUE"""),43955.0)</f>
        <v>43955</v>
      </c>
      <c r="H797" s="99">
        <f>IFERROR(__xludf.DUMMYFUNCTION("""COMPUTED_VALUE"""),43955.0)</f>
        <v>43955</v>
      </c>
      <c r="I797" s="100">
        <f>IFERROR(__xludf.DUMMYFUNCTION("""COMPUTED_VALUE"""),0.95)</f>
        <v>0.95</v>
      </c>
      <c r="J797" s="96" t="str">
        <f>IFERROR(__xludf.DUMMYFUNCTION("""COMPUTED_VALUE"""),"DR RAVI KIRAN VARMA PENMATSA")</f>
        <v>DR RAVI KIRAN VARMA PENMATSA</v>
      </c>
      <c r="K797" s="101" t="str">
        <f>IFERROR(__xludf.DUMMYFUNCTION("""COMPUTED_VALUE"""),"https://drive.google.com/open?id=1DT-qLV0ZYLjE49xcz5iC6H5gLAHCxtFH")</f>
        <v>https://drive.google.com/open?id=1DT-qLV0ZYLjE49xcz5iC6H5gLAHCxtFH</v>
      </c>
      <c r="L797" s="96" t="str">
        <f>IFERROR(__xludf.DUMMYFUNCTION("""COMPUTED_VALUE"""),"2019-2023")</f>
        <v>2019-2023</v>
      </c>
      <c r="M797" s="96" t="str">
        <f>IFERROR(__xludf.DUMMYFUNCTION("""COMPUTED_VALUE"""),"S4: Student Certifications")</f>
        <v>S4: Student Certifications</v>
      </c>
      <c r="N797" s="96" t="str">
        <f>IFERROR(__xludf.DUMMYFUNCTION("""COMPUTED_VALUE"""),"akshayamotamarri2108@gmail.com")</f>
        <v>akshayamotamarri2108@gmail.com</v>
      </c>
      <c r="O797" s="96" t="str">
        <f>IFERROR(__xludf.DUMMYFUNCTION("""COMPUTED_VALUE"""),"SEM-6")</f>
        <v>SEM-6</v>
      </c>
      <c r="P797" s="96"/>
      <c r="Q797" s="96"/>
      <c r="R797" s="96"/>
      <c r="S797" s="96"/>
      <c r="T797" s="96"/>
      <c r="U797" s="96"/>
      <c r="V797" s="96"/>
      <c r="W797" s="96"/>
      <c r="X797" s="96"/>
      <c r="Y797" s="96"/>
    </row>
    <row r="798" ht="26.25" customHeight="1">
      <c r="A798" s="74" t="str">
        <f>IFERROR(__xludf.DUMMYFUNCTION("""COMPUTED_VALUE"""),"KUDA SRAVANI SANDHYA SREE")</f>
        <v>KUDA SRAVANI SANDHYA SREE</v>
      </c>
      <c r="B798" s="74" t="str">
        <f>IFERROR(__xludf.DUMMYFUNCTION("""COMPUTED_VALUE"""),"19331A0589")</f>
        <v>19331A0589</v>
      </c>
      <c r="C798" s="90" t="str">
        <f>IFERROR(__xludf.DUMMYFUNCTION("""COMPUTED_VALUE"""),"SRWE")</f>
        <v>SRWE</v>
      </c>
      <c r="D798" s="74" t="str">
        <f>IFERROR(__xludf.DUMMYFUNCTION("""COMPUTED_VALUE"""),"CISCO")</f>
        <v>CISCO</v>
      </c>
      <c r="E798" s="74" t="str">
        <f>IFERROR(__xludf.DUMMYFUNCTION("""COMPUTED_VALUE"""),"2021-2022")</f>
        <v>2021-2022</v>
      </c>
      <c r="F798" s="91">
        <f>IFERROR(__xludf.DUMMYFUNCTION("""COMPUTED_VALUE"""),44522.0)</f>
        <v>44522</v>
      </c>
      <c r="G798" s="91">
        <f>IFERROR(__xludf.DUMMYFUNCTION("""COMPUTED_VALUE"""),44590.0)</f>
        <v>44590</v>
      </c>
      <c r="H798" s="79">
        <f>IFERROR(__xludf.DUMMYFUNCTION("""COMPUTED_VALUE"""),44591.0)</f>
        <v>44591</v>
      </c>
      <c r="I798" s="92">
        <f>IFERROR(__xludf.DUMMYFUNCTION("""COMPUTED_VALUE"""),0.98)</f>
        <v>0.98</v>
      </c>
      <c r="J798" s="74" t="str">
        <f>IFERROR(__xludf.DUMMYFUNCTION("""COMPUTED_VALUE"""),"P.RAVI KIRAN VARMA SIR")</f>
        <v>P.RAVI KIRAN VARMA SIR</v>
      </c>
      <c r="K798" s="80" t="str">
        <f>IFERROR(__xludf.DUMMYFUNCTION("""COMPUTED_VALUE"""),"https://drive.google.com/open?id=1khTl359AdbJGJSfFUIWlXLQUHZs4u5o4")</f>
        <v>https://drive.google.com/open?id=1khTl359AdbJGJSfFUIWlXLQUHZs4u5o4</v>
      </c>
      <c r="L798" s="74" t="str">
        <f>IFERROR(__xludf.DUMMYFUNCTION("""COMPUTED_VALUE"""),"2019-2023")</f>
        <v>2019-2023</v>
      </c>
      <c r="M798" s="74" t="str">
        <f>IFERROR(__xludf.DUMMYFUNCTION("""COMPUTED_VALUE"""),"S4: Student Certifications")</f>
        <v>S4: Student Certifications</v>
      </c>
      <c r="N798" s="74" t="str">
        <f>IFERROR(__xludf.DUMMYFUNCTION("""COMPUTED_VALUE"""),"sravanisandhyasree@gmail.com")</f>
        <v>sravanisandhyasree@gmail.com</v>
      </c>
      <c r="O798" s="74" t="str">
        <f>IFERROR(__xludf.DUMMYFUNCTION("""COMPUTED_VALUE"""),"SEM-6")</f>
        <v>SEM-6</v>
      </c>
      <c r="P798" s="74"/>
      <c r="Q798" s="74"/>
      <c r="R798" s="74"/>
      <c r="S798" s="74"/>
      <c r="T798" s="74"/>
      <c r="U798" s="74"/>
      <c r="V798" s="74"/>
      <c r="W798" s="74"/>
      <c r="X798" s="74"/>
      <c r="Y798" s="74"/>
    </row>
    <row r="799" ht="26.25" customHeight="1">
      <c r="A799" s="96" t="str">
        <f>IFERROR(__xludf.DUMMYFUNCTION("""COMPUTED_VALUE"""),"Karumoju Nehal Praveen")</f>
        <v>Karumoju Nehal Praveen</v>
      </c>
      <c r="B799" s="96" t="str">
        <f>IFERROR(__xludf.DUMMYFUNCTION("""COMPUTED_VALUE"""),"19331A0576")</f>
        <v>19331A0576</v>
      </c>
      <c r="C799" s="97" t="str">
        <f>IFERROR(__xludf.DUMMYFUNCTION("""COMPUTED_VALUE"""),"Programming Essentials in Python")</f>
        <v>Programming Essentials in Python</v>
      </c>
      <c r="D799" s="96" t="str">
        <f>IFERROR(__xludf.DUMMYFUNCTION("""COMPUTED_VALUE"""),"Cisco Netacad")</f>
        <v>Cisco Netacad</v>
      </c>
      <c r="E799" s="96" t="str">
        <f>IFERROR(__xludf.DUMMYFUNCTION("""COMPUTED_VALUE"""),"2 MONTHS")</f>
        <v>2 MONTHS</v>
      </c>
      <c r="F799" s="98">
        <f>IFERROR(__xludf.DUMMYFUNCTION("""COMPUTED_VALUE"""),44204.0)</f>
        <v>44204</v>
      </c>
      <c r="G799" s="98">
        <f>IFERROR(__xludf.DUMMYFUNCTION("""COMPUTED_VALUE"""),44263.0)</f>
        <v>44263</v>
      </c>
      <c r="H799" s="99">
        <f>IFERROR(__xludf.DUMMYFUNCTION("""COMPUTED_VALUE"""),44263.0)</f>
        <v>44263</v>
      </c>
      <c r="I799" s="100">
        <f>IFERROR(__xludf.DUMMYFUNCTION("""COMPUTED_VALUE"""),100.0)</f>
        <v>100</v>
      </c>
      <c r="J799" s="96" t="str">
        <f>IFERROR(__xludf.DUMMYFUNCTION("""COMPUTED_VALUE"""),"DR. RAVI KIRAN VARMA PENMATSA")</f>
        <v>DR. RAVI KIRAN VARMA PENMATSA</v>
      </c>
      <c r="K799" s="101" t="str">
        <f>IFERROR(__xludf.DUMMYFUNCTION("""COMPUTED_VALUE"""),"https://drive.google.com/open?id=1W2VNq_eVOrzeF4ZYEQW-8dpshOk8h0vk")</f>
        <v>https://drive.google.com/open?id=1W2VNq_eVOrzeF4ZYEQW-8dpshOk8h0vk</v>
      </c>
      <c r="L799" s="96" t="str">
        <f>IFERROR(__xludf.DUMMYFUNCTION("""COMPUTED_VALUE"""),"2019-2023")</f>
        <v>2019-2023</v>
      </c>
      <c r="M799" s="96" t="str">
        <f>IFERROR(__xludf.DUMMYFUNCTION("""COMPUTED_VALUE"""),"S4: Student Certifications")</f>
        <v>S4: Student Certifications</v>
      </c>
      <c r="N799" s="96" t="str">
        <f>IFERROR(__xludf.DUMMYFUNCTION("""COMPUTED_VALUE"""),"nehalpraveen@gmail.com")</f>
        <v>nehalpraveen@gmail.com</v>
      </c>
      <c r="O799" s="96" t="str">
        <f>IFERROR(__xludf.DUMMYFUNCTION("""COMPUTED_VALUE"""),"SEM-6")</f>
        <v>SEM-6</v>
      </c>
      <c r="P799" s="96"/>
      <c r="Q799" s="96"/>
      <c r="R799" s="96"/>
      <c r="S799" s="96"/>
      <c r="T799" s="96"/>
      <c r="U799" s="96"/>
      <c r="V799" s="96"/>
      <c r="W799" s="96"/>
      <c r="X799" s="96"/>
      <c r="Y799" s="96"/>
    </row>
    <row r="800" ht="26.25" customHeight="1">
      <c r="A800" s="96" t="str">
        <f>IFERROR(__xludf.DUMMYFUNCTION("""COMPUTED_VALUE"""),"Neelam Pavani Lakshmi")</f>
        <v>Neelam Pavani Lakshmi</v>
      </c>
      <c r="B800" s="96" t="str">
        <f>IFERROR(__xludf.DUMMYFUNCTION("""COMPUTED_VALUE"""),"19331A05C1")</f>
        <v>19331A05C1</v>
      </c>
      <c r="C800" s="97" t="str">
        <f>IFERROR(__xludf.DUMMYFUNCTION("""COMPUTED_VALUE"""),"AI FOR EVERYONE")</f>
        <v>AI FOR EVERYONE</v>
      </c>
      <c r="D800" s="96" t="str">
        <f>IFERROR(__xludf.DUMMYFUNCTION("""COMPUTED_VALUE"""),"COURSERA")</f>
        <v>COURSERA</v>
      </c>
      <c r="E800" s="96" t="str">
        <f>IFERROR(__xludf.DUMMYFUNCTION("""COMPUTED_VALUE"""),"2 MONTHS")</f>
        <v>2 MONTHS</v>
      </c>
      <c r="F800" s="98">
        <f>IFERROR(__xludf.DUMMYFUNCTION("""COMPUTED_VALUE"""),43907.0)</f>
        <v>43907</v>
      </c>
      <c r="G800" s="98">
        <f>IFERROR(__xludf.DUMMYFUNCTION("""COMPUTED_VALUE"""),43968.0)</f>
        <v>43968</v>
      </c>
      <c r="H800" s="99">
        <f>IFERROR(__xludf.DUMMYFUNCTION("""COMPUTED_VALUE"""),43968.0)</f>
        <v>43968</v>
      </c>
      <c r="I800" s="100">
        <f>IFERROR(__xludf.DUMMYFUNCTION("""COMPUTED_VALUE"""),95.0)</f>
        <v>95</v>
      </c>
      <c r="J800" s="96" t="str">
        <f>IFERROR(__xludf.DUMMYFUNCTION("""COMPUTED_VALUE"""),"ANDREW NG")</f>
        <v>ANDREW NG</v>
      </c>
      <c r="K800" s="101" t="str">
        <f>IFERROR(__xludf.DUMMYFUNCTION("""COMPUTED_VALUE"""),"https://drive.google.com/open?id=1fP0wbMByjU4qMFYJq-9LTJvy3Jlfc5ks")</f>
        <v>https://drive.google.com/open?id=1fP0wbMByjU4qMFYJq-9LTJvy3Jlfc5ks</v>
      </c>
      <c r="L800" s="96" t="str">
        <f>IFERROR(__xludf.DUMMYFUNCTION("""COMPUTED_VALUE"""),"2019-2023")</f>
        <v>2019-2023</v>
      </c>
      <c r="M800" s="96" t="str">
        <f>IFERROR(__xludf.DUMMYFUNCTION("""COMPUTED_VALUE"""),"S4: Student Certifications")</f>
        <v>S4: Student Certifications</v>
      </c>
      <c r="N800" s="96" t="str">
        <f>IFERROR(__xludf.DUMMYFUNCTION("""COMPUTED_VALUE"""),"npavanilaxmi@gmail.com")</f>
        <v>npavanilaxmi@gmail.com</v>
      </c>
      <c r="O800" s="96" t="str">
        <f>IFERROR(__xludf.DUMMYFUNCTION("""COMPUTED_VALUE"""),"SEM-6")</f>
        <v>SEM-6</v>
      </c>
      <c r="P800" s="96"/>
      <c r="Q800" s="96"/>
      <c r="R800" s="96"/>
      <c r="S800" s="96"/>
      <c r="T800" s="96"/>
      <c r="U800" s="96"/>
      <c r="V800" s="96"/>
      <c r="W800" s="96"/>
      <c r="X800" s="96"/>
      <c r="Y800" s="96"/>
    </row>
    <row r="801" ht="26.25" customHeight="1">
      <c r="A801" s="96" t="str">
        <f>IFERROR(__xludf.DUMMYFUNCTION("""COMPUTED_VALUE"""),"Mohan Subha Varshith Pechetti")</f>
        <v>Mohan Subha Varshith Pechetti</v>
      </c>
      <c r="B801" s="96" t="str">
        <f>IFERROR(__xludf.DUMMYFUNCTION("""COMPUTED_VALUE"""),"19331A05C7")</f>
        <v>19331A05C7</v>
      </c>
      <c r="C801" s="97" t="str">
        <f>IFERROR(__xludf.DUMMYFUNCTION("""COMPUTED_VALUE"""),"IT Essentials")</f>
        <v>IT Essentials</v>
      </c>
      <c r="D801" s="96" t="str">
        <f>IFERROR(__xludf.DUMMYFUNCTION("""COMPUTED_VALUE"""),"Cisco Networking Academy")</f>
        <v>Cisco Networking Academy</v>
      </c>
      <c r="E801" s="96" t="str">
        <f>IFERROR(__xludf.DUMMYFUNCTION("""COMPUTED_VALUE"""),"2months")</f>
        <v>2months</v>
      </c>
      <c r="F801" s="98">
        <f>IFERROR(__xludf.DUMMYFUNCTION("""COMPUTED_VALUE"""),44075.0)</f>
        <v>44075</v>
      </c>
      <c r="G801" s="98">
        <f>IFERROR(__xludf.DUMMYFUNCTION("""COMPUTED_VALUE"""),44136.0)</f>
        <v>44136</v>
      </c>
      <c r="H801" s="99">
        <f>IFERROR(__xludf.DUMMYFUNCTION("""COMPUTED_VALUE"""),44136.0)</f>
        <v>44136</v>
      </c>
      <c r="I801" s="100">
        <f>IFERROR(__xludf.DUMMYFUNCTION("""COMPUTED_VALUE"""),86.0)</f>
        <v>86</v>
      </c>
      <c r="J801" s="96" t="str">
        <f>IFERROR(__xludf.DUMMYFUNCTION("""COMPUTED_VALUE"""),"Dr. Suvarna Kumar Gogula")</f>
        <v>Dr. Suvarna Kumar Gogula</v>
      </c>
      <c r="K801" s="101" t="str">
        <f>IFERROR(__xludf.DUMMYFUNCTION("""COMPUTED_VALUE"""),"https://drive.google.com/open?id=1UTdLN093ULs_opm2gWLhbT4nxxEA7xrK")</f>
        <v>https://drive.google.com/open?id=1UTdLN093ULs_opm2gWLhbT4nxxEA7xrK</v>
      </c>
      <c r="L801" s="96" t="str">
        <f>IFERROR(__xludf.DUMMYFUNCTION("""COMPUTED_VALUE"""),"2019-2023")</f>
        <v>2019-2023</v>
      </c>
      <c r="M801" s="96" t="str">
        <f>IFERROR(__xludf.DUMMYFUNCTION("""COMPUTED_VALUE"""),"S4: Student Certifications")</f>
        <v>S4: Student Certifications</v>
      </c>
      <c r="N801" s="96" t="str">
        <f>IFERROR(__xludf.DUMMYFUNCTION("""COMPUTED_VALUE"""),"subhavarshith@gmail.com")</f>
        <v>subhavarshith@gmail.com</v>
      </c>
      <c r="O801" s="96" t="str">
        <f>IFERROR(__xludf.DUMMYFUNCTION("""COMPUTED_VALUE"""),"SEM-6")</f>
        <v>SEM-6</v>
      </c>
      <c r="P801" s="96"/>
      <c r="Q801" s="96"/>
      <c r="R801" s="96"/>
      <c r="S801" s="96"/>
      <c r="T801" s="96"/>
      <c r="U801" s="96"/>
      <c r="V801" s="96"/>
      <c r="W801" s="96"/>
      <c r="X801" s="96"/>
      <c r="Y801" s="96"/>
    </row>
    <row r="802" ht="26.25" customHeight="1">
      <c r="A802" s="96" t="str">
        <f>IFERROR(__xludf.DUMMYFUNCTION("""COMPUTED_VALUE"""),"LAKKIMSETTI CHANDRA SIRISHA")</f>
        <v>LAKKIMSETTI CHANDRA SIRISHA</v>
      </c>
      <c r="B802" s="96" t="str">
        <f>IFERROR(__xludf.DUMMYFUNCTION("""COMPUTED_VALUE"""),"19331A0594")</f>
        <v>19331A0594</v>
      </c>
      <c r="C802" s="97" t="str">
        <f>IFERROR(__xludf.DUMMYFUNCTION("""COMPUTED_VALUE"""),"CODE RIDERS PYTHON")</f>
        <v>CODE RIDERS PYTHON</v>
      </c>
      <c r="D802" s="96" t="str">
        <f>IFERROR(__xludf.DUMMYFUNCTION("""COMPUTED_VALUE"""),"CISCO")</f>
        <v>CISCO</v>
      </c>
      <c r="E802" s="96" t="str">
        <f>IFERROR(__xludf.DUMMYFUNCTION("""COMPUTED_VALUE"""),"2 MONTHS")</f>
        <v>2 MONTHS</v>
      </c>
      <c r="F802" s="98">
        <f>IFERROR(__xludf.DUMMYFUNCTION("""COMPUTED_VALUE"""),44382.0)</f>
        <v>44382</v>
      </c>
      <c r="G802" s="98">
        <f>IFERROR(__xludf.DUMMYFUNCTION("""COMPUTED_VALUE"""),44384.0)</f>
        <v>44384</v>
      </c>
      <c r="H802" s="99">
        <f>IFERROR(__xludf.DUMMYFUNCTION("""COMPUTED_VALUE"""),44384.0)</f>
        <v>44384</v>
      </c>
      <c r="I802" s="100">
        <f>IFERROR(__xludf.DUMMYFUNCTION("""COMPUTED_VALUE"""),0.95)</f>
        <v>0.95</v>
      </c>
      <c r="J802" s="96" t="str">
        <f>IFERROR(__xludf.DUMMYFUNCTION("""COMPUTED_VALUE"""),"SUBBA RAJU K V")</f>
        <v>SUBBA RAJU K V</v>
      </c>
      <c r="K802" s="101" t="str">
        <f>IFERROR(__xludf.DUMMYFUNCTION("""COMPUTED_VALUE"""),"https://drive.google.com/open?id=1CEru8dTh4f7rj9U5F6onvoodMXKKH0LG")</f>
        <v>https://drive.google.com/open?id=1CEru8dTh4f7rj9U5F6onvoodMXKKH0LG</v>
      </c>
      <c r="L802" s="96" t="str">
        <f>IFERROR(__xludf.DUMMYFUNCTION("""COMPUTED_VALUE"""),"2019-2023")</f>
        <v>2019-2023</v>
      </c>
      <c r="M802" s="96" t="str">
        <f>IFERROR(__xludf.DUMMYFUNCTION("""COMPUTED_VALUE"""),"S4: Student Certifications")</f>
        <v>S4: Student Certifications</v>
      </c>
      <c r="N802" s="96" t="str">
        <f>IFERROR(__xludf.DUMMYFUNCTION("""COMPUTED_VALUE"""),"sirishalakkimsetti1729@gmail.com")</f>
        <v>sirishalakkimsetti1729@gmail.com</v>
      </c>
      <c r="O802" s="96" t="str">
        <f>IFERROR(__xludf.DUMMYFUNCTION("""COMPUTED_VALUE"""),"SEM-6")</f>
        <v>SEM-6</v>
      </c>
      <c r="P802" s="96"/>
      <c r="Q802" s="96"/>
      <c r="R802" s="96"/>
      <c r="S802" s="96"/>
      <c r="T802" s="96"/>
      <c r="U802" s="96"/>
      <c r="V802" s="96"/>
      <c r="W802" s="96"/>
      <c r="X802" s="96"/>
      <c r="Y802" s="96"/>
    </row>
    <row r="803" ht="26.25" customHeight="1">
      <c r="A803" s="96" t="str">
        <f>IFERROR(__xludf.DUMMYFUNCTION("""COMPUTED_VALUE"""),"Sunkari Chitra Deepika")</f>
        <v>Sunkari Chitra Deepika</v>
      </c>
      <c r="B803" s="96" t="str">
        <f>IFERROR(__xludf.DUMMYFUNCTION("""COMPUTED_VALUE"""),"19331A05G5")</f>
        <v>19331A05G5</v>
      </c>
      <c r="C803" s="97" t="str">
        <f>IFERROR(__xludf.DUMMYFUNCTION("""COMPUTED_VALUE"""),"Code Riders")</f>
        <v>Code Riders</v>
      </c>
      <c r="D803" s="96" t="str">
        <f>IFERROR(__xludf.DUMMYFUNCTION("""COMPUTED_VALUE"""),"Cisco Networking Academy")</f>
        <v>Cisco Networking Academy</v>
      </c>
      <c r="E803" s="96" t="str">
        <f>IFERROR(__xludf.DUMMYFUNCTION("""COMPUTED_VALUE"""),"1 montg")</f>
        <v>1 montg</v>
      </c>
      <c r="F803" s="98">
        <f>IFERROR(__xludf.DUMMYFUNCTION("""COMPUTED_VALUE"""),44362.0)</f>
        <v>44362</v>
      </c>
      <c r="G803" s="98">
        <f>IFERROR(__xludf.DUMMYFUNCTION("""COMPUTED_VALUE"""),44392.0)</f>
        <v>44392</v>
      </c>
      <c r="H803" s="99">
        <f>IFERROR(__xludf.DUMMYFUNCTION("""COMPUTED_VALUE"""),44392.0)</f>
        <v>44392</v>
      </c>
      <c r="I803" s="100">
        <f>IFERROR(__xludf.DUMMYFUNCTION("""COMPUTED_VALUE"""),1.0)</f>
        <v>1</v>
      </c>
      <c r="J803" s="96" t="str">
        <f>IFERROR(__xludf.DUMMYFUNCTION("""COMPUTED_VALUE"""),"Mr. Subbaraju ")</f>
        <v>Mr. Subbaraju </v>
      </c>
      <c r="K803" s="101" t="str">
        <f>IFERROR(__xludf.DUMMYFUNCTION("""COMPUTED_VALUE"""),"https://drive.google.com/open?id=1rMdt-L1CXt6MCuVpkNfkCGb1mZhRY_MH")</f>
        <v>https://drive.google.com/open?id=1rMdt-L1CXt6MCuVpkNfkCGb1mZhRY_MH</v>
      </c>
      <c r="L803" s="96" t="str">
        <f>IFERROR(__xludf.DUMMYFUNCTION("""COMPUTED_VALUE"""),"2019-2023")</f>
        <v>2019-2023</v>
      </c>
      <c r="M803" s="96" t="str">
        <f>IFERROR(__xludf.DUMMYFUNCTION("""COMPUTED_VALUE"""),"S4: Student Certifications")</f>
        <v>S4: Student Certifications</v>
      </c>
      <c r="N803" s="96" t="str">
        <f>IFERROR(__xludf.DUMMYFUNCTION("""COMPUTED_VALUE"""),"chitradeepika3124@gmail.com")</f>
        <v>chitradeepika3124@gmail.com</v>
      </c>
      <c r="O803" s="96" t="str">
        <f>IFERROR(__xludf.DUMMYFUNCTION("""COMPUTED_VALUE"""),"SEM-6")</f>
        <v>SEM-6</v>
      </c>
      <c r="P803" s="96"/>
      <c r="Q803" s="96"/>
      <c r="R803" s="96"/>
      <c r="S803" s="96"/>
      <c r="T803" s="96"/>
      <c r="U803" s="96"/>
      <c r="V803" s="96"/>
      <c r="W803" s="96"/>
      <c r="X803" s="96"/>
      <c r="Y803" s="96"/>
    </row>
    <row r="804" ht="26.25" customHeight="1">
      <c r="A804" s="96" t="str">
        <f>IFERROR(__xludf.DUMMYFUNCTION("""COMPUTED_VALUE"""),"JAHNAVI PATNALA")</f>
        <v>JAHNAVI PATNALA</v>
      </c>
      <c r="B804" s="96" t="str">
        <f>IFERROR(__xludf.DUMMYFUNCTION("""COMPUTED_VALUE"""),"20335A0513")</f>
        <v>20335A0513</v>
      </c>
      <c r="C804" s="97" t="str">
        <f>IFERROR(__xludf.DUMMYFUNCTION("""COMPUTED_VALUE"""),"Master Class on Artificial Intelligence ")</f>
        <v>Master Class on Artificial Intelligence </v>
      </c>
      <c r="D804" s="96" t="str">
        <f>IFERROR(__xludf.DUMMYFUNCTION("""COMPUTED_VALUE"""),"Pantech e Learning ")</f>
        <v>Pantech e Learning </v>
      </c>
      <c r="E804" s="96" t="str">
        <f>IFERROR(__xludf.DUMMYFUNCTION("""COMPUTED_VALUE"""),"1 month ")</f>
        <v>1 month </v>
      </c>
      <c r="F804" s="98">
        <f>IFERROR(__xludf.DUMMYFUNCTION("""COMPUTED_VALUE"""),44536.0)</f>
        <v>44536</v>
      </c>
      <c r="G804" s="98">
        <f>IFERROR(__xludf.DUMMYFUNCTION("""COMPUTED_VALUE"""),44565.0)</f>
        <v>44565</v>
      </c>
      <c r="H804" s="99">
        <f>IFERROR(__xludf.DUMMYFUNCTION("""COMPUTED_VALUE"""),44565.0)</f>
        <v>44565</v>
      </c>
      <c r="I804" s="100">
        <f>IFERROR(__xludf.DUMMYFUNCTION("""COMPUTED_VALUE"""),100.0)</f>
        <v>100</v>
      </c>
      <c r="J804" s="96" t="str">
        <f>IFERROR(__xludf.DUMMYFUNCTION("""COMPUTED_VALUE"""),"M.Malaiapan")</f>
        <v>M.Malaiapan</v>
      </c>
      <c r="K804" s="101" t="str">
        <f>IFERROR(__xludf.DUMMYFUNCTION("""COMPUTED_VALUE"""),"https://drive.google.com/open?id=1D4GEXH2SAV5VEE4QhU5a0SH1aHjM7GrQ")</f>
        <v>https://drive.google.com/open?id=1D4GEXH2SAV5VEE4QhU5a0SH1aHjM7GrQ</v>
      </c>
      <c r="L804" s="96" t="str">
        <f>IFERROR(__xludf.DUMMYFUNCTION("""COMPUTED_VALUE"""),"2019-2023")</f>
        <v>2019-2023</v>
      </c>
      <c r="M804" s="96" t="str">
        <f>IFERROR(__xludf.DUMMYFUNCTION("""COMPUTED_VALUE"""),"S4: Student Certifications")</f>
        <v>S4: Student Certifications</v>
      </c>
      <c r="N804" s="96" t="str">
        <f>IFERROR(__xludf.DUMMYFUNCTION("""COMPUTED_VALUE"""),"jahnavipatnalaa222@gmail.com")</f>
        <v>jahnavipatnalaa222@gmail.com</v>
      </c>
      <c r="O804" s="96" t="str">
        <f>IFERROR(__xludf.DUMMYFUNCTION("""COMPUTED_VALUE"""),"SEM-6")</f>
        <v>SEM-6</v>
      </c>
      <c r="P804" s="96"/>
      <c r="Q804" s="96"/>
      <c r="R804" s="96"/>
      <c r="S804" s="96"/>
      <c r="T804" s="96"/>
      <c r="U804" s="96"/>
      <c r="V804" s="96"/>
      <c r="W804" s="96"/>
      <c r="X804" s="96"/>
      <c r="Y804" s="96"/>
    </row>
    <row r="805" ht="26.25" customHeight="1">
      <c r="A805" s="96" t="str">
        <f>IFERROR(__xludf.DUMMYFUNCTION("""COMPUTED_VALUE"""),"Sai Greeshma Pathivada")</f>
        <v>Sai Greeshma Pathivada</v>
      </c>
      <c r="B805" s="96" t="str">
        <f>IFERROR(__xludf.DUMMYFUNCTION("""COMPUTED_VALUE"""),"19331A05C6")</f>
        <v>19331A05C6</v>
      </c>
      <c r="C805" s="97" t="str">
        <f>IFERROR(__xludf.DUMMYFUNCTION("""COMPUTED_VALUE"""),"IT Essentials")</f>
        <v>IT Essentials</v>
      </c>
      <c r="D805" s="96" t="str">
        <f>IFERROR(__xludf.DUMMYFUNCTION("""COMPUTED_VALUE"""),"CISCO")</f>
        <v>CISCO</v>
      </c>
      <c r="E805" s="96" t="str">
        <f>IFERROR(__xludf.DUMMYFUNCTION("""COMPUTED_VALUE"""),"2 months ")</f>
        <v>2 months </v>
      </c>
      <c r="F805" s="98">
        <f>IFERROR(__xludf.DUMMYFUNCTION("""COMPUTED_VALUE"""),44075.0)</f>
        <v>44075</v>
      </c>
      <c r="G805" s="98">
        <f>IFERROR(__xludf.DUMMYFUNCTION("""COMPUTED_VALUE"""),44136.0)</f>
        <v>44136</v>
      </c>
      <c r="H805" s="99">
        <f>IFERROR(__xludf.DUMMYFUNCTION("""COMPUTED_VALUE"""),44136.0)</f>
        <v>44136</v>
      </c>
      <c r="I805" s="100">
        <f>IFERROR(__xludf.DUMMYFUNCTION("""COMPUTED_VALUE"""),95.0)</f>
        <v>95</v>
      </c>
      <c r="J805" s="96" t="str">
        <f>IFERROR(__xludf.DUMMYFUNCTION("""COMPUTED_VALUE"""),"Dr.Suvarna Kumar Gogula")</f>
        <v>Dr.Suvarna Kumar Gogula</v>
      </c>
      <c r="K805" s="101" t="str">
        <f>IFERROR(__xludf.DUMMYFUNCTION("""COMPUTED_VALUE"""),"https://drive.google.com/open?id=14eXy96fCqreoiYmXDBBIwJdrJh-NT4wc")</f>
        <v>https://drive.google.com/open?id=14eXy96fCqreoiYmXDBBIwJdrJh-NT4wc</v>
      </c>
      <c r="L805" s="96" t="str">
        <f>IFERROR(__xludf.DUMMYFUNCTION("""COMPUTED_VALUE"""),"2019-2023")</f>
        <v>2019-2023</v>
      </c>
      <c r="M805" s="96" t="str">
        <f>IFERROR(__xludf.DUMMYFUNCTION("""COMPUTED_VALUE"""),"S4: Student Certifications")</f>
        <v>S4: Student Certifications</v>
      </c>
      <c r="N805" s="96" t="str">
        <f>IFERROR(__xludf.DUMMYFUNCTION("""COMPUTED_VALUE"""),"greeshmapathivada29@gmail.com")</f>
        <v>greeshmapathivada29@gmail.com</v>
      </c>
      <c r="O805" s="96" t="str">
        <f>IFERROR(__xludf.DUMMYFUNCTION("""COMPUTED_VALUE"""),"SEM-6")</f>
        <v>SEM-6</v>
      </c>
      <c r="P805" s="96"/>
      <c r="Q805" s="96"/>
      <c r="R805" s="96"/>
      <c r="S805" s="96"/>
      <c r="T805" s="96"/>
      <c r="U805" s="96"/>
      <c r="V805" s="96"/>
      <c r="W805" s="96"/>
      <c r="X805" s="96"/>
      <c r="Y805" s="96"/>
    </row>
    <row r="806" ht="26.25" customHeight="1">
      <c r="A806" s="96" t="str">
        <f>IFERROR(__xludf.DUMMYFUNCTION("""COMPUTED_VALUE"""),"MOTAMARRI AKSHAYA")</f>
        <v>MOTAMARRI AKSHAYA</v>
      </c>
      <c r="B806" s="96" t="str">
        <f>IFERROR(__xludf.DUMMYFUNCTION("""COMPUTED_VALUE"""),"19331A05A9")</f>
        <v>19331A05A9</v>
      </c>
      <c r="C806" s="97" t="str">
        <f>IFERROR(__xludf.DUMMYFUNCTION("""COMPUTED_VALUE"""),"Programming Essentials in C")</f>
        <v>Programming Essentials in C</v>
      </c>
      <c r="D806" s="96" t="str">
        <f>IFERROR(__xludf.DUMMYFUNCTION("""COMPUTED_VALUE"""),"Cisco Networking Academy")</f>
        <v>Cisco Networking Academy</v>
      </c>
      <c r="E806" s="96" t="str">
        <f>IFERROR(__xludf.DUMMYFUNCTION("""COMPUTED_VALUE"""),"2 months")</f>
        <v>2 months</v>
      </c>
      <c r="F806" s="98">
        <f>IFERROR(__xludf.DUMMYFUNCTION("""COMPUTED_VALUE"""),43936.0)</f>
        <v>43936</v>
      </c>
      <c r="G806" s="98">
        <f>IFERROR(__xludf.DUMMYFUNCTION("""COMPUTED_VALUE"""),43996.0)</f>
        <v>43996</v>
      </c>
      <c r="H806" s="99">
        <f>IFERROR(__xludf.DUMMYFUNCTION("""COMPUTED_VALUE"""),43996.0)</f>
        <v>43996</v>
      </c>
      <c r="I806" s="100">
        <f>IFERROR(__xludf.DUMMYFUNCTION("""COMPUTED_VALUE"""),0.9)</f>
        <v>0.9</v>
      </c>
      <c r="J806" s="96" t="str">
        <f>IFERROR(__xludf.DUMMYFUNCTION("""COMPUTED_VALUE"""),"DR RAVI KIRAN VARMA PENMATSA")</f>
        <v>DR RAVI KIRAN VARMA PENMATSA</v>
      </c>
      <c r="K806" s="101" t="str">
        <f>IFERROR(__xludf.DUMMYFUNCTION("""COMPUTED_VALUE"""),"https://drive.google.com/open?id=1AAnZB2oSp-Ha8UK9UYXlq_3Rt2kyjD_4")</f>
        <v>https://drive.google.com/open?id=1AAnZB2oSp-Ha8UK9UYXlq_3Rt2kyjD_4</v>
      </c>
      <c r="L806" s="96" t="str">
        <f>IFERROR(__xludf.DUMMYFUNCTION("""COMPUTED_VALUE"""),"2019-2023")</f>
        <v>2019-2023</v>
      </c>
      <c r="M806" s="96" t="str">
        <f>IFERROR(__xludf.DUMMYFUNCTION("""COMPUTED_VALUE"""),"S4: Student Certifications")</f>
        <v>S4: Student Certifications</v>
      </c>
      <c r="N806" s="96" t="str">
        <f>IFERROR(__xludf.DUMMYFUNCTION("""COMPUTED_VALUE"""),"akshayamotamarri2108@gmail.com")</f>
        <v>akshayamotamarri2108@gmail.com</v>
      </c>
      <c r="O806" s="96" t="str">
        <f>IFERROR(__xludf.DUMMYFUNCTION("""COMPUTED_VALUE"""),"SEM-6")</f>
        <v>SEM-6</v>
      </c>
      <c r="P806" s="96"/>
      <c r="Q806" s="96"/>
      <c r="R806" s="96"/>
      <c r="S806" s="96"/>
      <c r="T806" s="96"/>
      <c r="U806" s="96"/>
      <c r="V806" s="96"/>
      <c r="W806" s="96"/>
      <c r="X806" s="96"/>
      <c r="Y806" s="96"/>
    </row>
    <row r="807" ht="26.25" customHeight="1">
      <c r="A807" s="96" t="str">
        <f>IFERROR(__xludf.DUMMYFUNCTION("""COMPUTED_VALUE"""),"Bankapalli Bhargavi ")</f>
        <v>Bankapalli Bhargavi </v>
      </c>
      <c r="B807" s="96" t="str">
        <f>IFERROR(__xludf.DUMMYFUNCTION("""COMPUTED_VALUE"""),"20335A0502")</f>
        <v>20335A0502</v>
      </c>
      <c r="C807" s="97" t="str">
        <f>IFERROR(__xludf.DUMMYFUNCTION("""COMPUTED_VALUE"""),"Switching, Routing, and Wireless Essentials")</f>
        <v>Switching, Routing, and Wireless Essentials</v>
      </c>
      <c r="D807" s="96" t="str">
        <f>IFERROR(__xludf.DUMMYFUNCTION("""COMPUTED_VALUE"""),"Cisco ")</f>
        <v>Cisco </v>
      </c>
      <c r="E807" s="96" t="str">
        <f>IFERROR(__xludf.DUMMYFUNCTION("""COMPUTED_VALUE"""),"3 months")</f>
        <v>3 months</v>
      </c>
      <c r="F807" s="98">
        <f>IFERROR(__xludf.DUMMYFUNCTION("""COMPUTED_VALUE"""),44512.0)</f>
        <v>44512</v>
      </c>
      <c r="G807" s="98">
        <f>IFERROR(__xludf.DUMMYFUNCTION("""COMPUTED_VALUE"""),44604.0)</f>
        <v>44604</v>
      </c>
      <c r="H807" s="99">
        <f>IFERROR(__xludf.DUMMYFUNCTION("""COMPUTED_VALUE"""),44604.0)</f>
        <v>44604</v>
      </c>
      <c r="I807" s="100">
        <f>IFERROR(__xludf.DUMMYFUNCTION("""COMPUTED_VALUE"""),98.0)</f>
        <v>98</v>
      </c>
      <c r="J807" s="96" t="str">
        <f>IFERROR(__xludf.DUMMYFUNCTION("""COMPUTED_VALUE"""),"DR. RAVI KIRAN VARMA PENMATSA")</f>
        <v>DR. RAVI KIRAN VARMA PENMATSA</v>
      </c>
      <c r="K807" s="101" t="str">
        <f>IFERROR(__xludf.DUMMYFUNCTION("""COMPUTED_VALUE"""),"https://drive.google.com/open?id=13zrr5rsPYOON-9ElRKxEmu1OwwEmPLdu")</f>
        <v>https://drive.google.com/open?id=13zrr5rsPYOON-9ElRKxEmu1OwwEmPLdu</v>
      </c>
      <c r="L807" s="96" t="str">
        <f>IFERROR(__xludf.DUMMYFUNCTION("""COMPUTED_VALUE"""),"2019-2023")</f>
        <v>2019-2023</v>
      </c>
      <c r="M807" s="96" t="str">
        <f>IFERROR(__xludf.DUMMYFUNCTION("""COMPUTED_VALUE"""),"S4: Student Certifications")</f>
        <v>S4: Student Certifications</v>
      </c>
      <c r="N807" s="96" t="str">
        <f>IFERROR(__xludf.DUMMYFUNCTION("""COMPUTED_VALUE"""),"bhargavicme003@gmail.com")</f>
        <v>bhargavicme003@gmail.com</v>
      </c>
      <c r="O807" s="96" t="str">
        <f>IFERROR(__xludf.DUMMYFUNCTION("""COMPUTED_VALUE"""),"SEM-6")</f>
        <v>SEM-6</v>
      </c>
      <c r="P807" s="96"/>
      <c r="Q807" s="96"/>
      <c r="R807" s="96"/>
      <c r="S807" s="96"/>
      <c r="T807" s="96"/>
      <c r="U807" s="96"/>
      <c r="V807" s="96"/>
      <c r="W807" s="96"/>
      <c r="X807" s="96"/>
      <c r="Y807" s="96"/>
    </row>
    <row r="808" ht="26.25" customHeight="1">
      <c r="A808" s="96" t="str">
        <f>IFERROR(__xludf.DUMMYFUNCTION("""COMPUTED_VALUE"""),"LAKKIMSETTI CHANDRA SIRISHA")</f>
        <v>LAKKIMSETTI CHANDRA SIRISHA</v>
      </c>
      <c r="B808" s="96" t="str">
        <f>IFERROR(__xludf.DUMMYFUNCTION("""COMPUTED_VALUE"""),"19331A0594")</f>
        <v>19331A0594</v>
      </c>
      <c r="C808" s="97" t="str">
        <f>IFERROR(__xludf.DUMMYFUNCTION("""COMPUTED_VALUE"""),"PROGRAMMING ESSENTIALS IN C")</f>
        <v>PROGRAMMING ESSENTIALS IN C</v>
      </c>
      <c r="D808" s="96" t="str">
        <f>IFERROR(__xludf.DUMMYFUNCTION("""COMPUTED_VALUE"""),"CISCO")</f>
        <v>CISCO</v>
      </c>
      <c r="E808" s="96" t="str">
        <f>IFERROR(__xludf.DUMMYFUNCTION("""COMPUTED_VALUE"""),"2 MONTHS")</f>
        <v>2 MONTHS</v>
      </c>
      <c r="F808" s="98">
        <f>IFERROR(__xludf.DUMMYFUNCTION("""COMPUTED_VALUE"""),43935.0)</f>
        <v>43935</v>
      </c>
      <c r="G808" s="98">
        <f>IFERROR(__xludf.DUMMYFUNCTION("""COMPUTED_VALUE"""),43996.0)</f>
        <v>43996</v>
      </c>
      <c r="H808" s="99">
        <f>IFERROR(__xludf.DUMMYFUNCTION("""COMPUTED_VALUE"""),43996.0)</f>
        <v>43996</v>
      </c>
      <c r="I808" s="100">
        <f>IFERROR(__xludf.DUMMYFUNCTION("""COMPUTED_VALUE"""),0.95)</f>
        <v>0.95</v>
      </c>
      <c r="J808" s="96" t="str">
        <f>IFERROR(__xludf.DUMMYFUNCTION("""COMPUTED_VALUE"""),"DR. RAVI KIRAN VARMA ")</f>
        <v>DR. RAVI KIRAN VARMA </v>
      </c>
      <c r="K808" s="101" t="str">
        <f>IFERROR(__xludf.DUMMYFUNCTION("""COMPUTED_VALUE"""),"https://drive.google.com/open?id=1YFG6xR_-ADfNDfQWwb38Z8FqOFx8Yspl")</f>
        <v>https://drive.google.com/open?id=1YFG6xR_-ADfNDfQWwb38Z8FqOFx8Yspl</v>
      </c>
      <c r="L808" s="96" t="str">
        <f>IFERROR(__xludf.DUMMYFUNCTION("""COMPUTED_VALUE"""),"2019-2023")</f>
        <v>2019-2023</v>
      </c>
      <c r="M808" s="96" t="str">
        <f>IFERROR(__xludf.DUMMYFUNCTION("""COMPUTED_VALUE"""),"S4: Student Certifications")</f>
        <v>S4: Student Certifications</v>
      </c>
      <c r="N808" s="96" t="str">
        <f>IFERROR(__xludf.DUMMYFUNCTION("""COMPUTED_VALUE"""),"sirishalakkimsetti1729@gmail.com")</f>
        <v>sirishalakkimsetti1729@gmail.com</v>
      </c>
      <c r="O808" s="96" t="str">
        <f>IFERROR(__xludf.DUMMYFUNCTION("""COMPUTED_VALUE"""),"SEM-6")</f>
        <v>SEM-6</v>
      </c>
      <c r="P808" s="96"/>
      <c r="Q808" s="96"/>
      <c r="R808" s="96"/>
      <c r="S808" s="96"/>
      <c r="T808" s="96"/>
      <c r="U808" s="96"/>
      <c r="V808" s="96"/>
      <c r="W808" s="96"/>
      <c r="X808" s="96"/>
      <c r="Y808" s="96"/>
    </row>
    <row r="809" ht="26.25" customHeight="1">
      <c r="A809" s="96" t="str">
        <f>IFERROR(__xludf.DUMMYFUNCTION("""COMPUTED_VALUE"""),"JAHNAVI PATNALA ")</f>
        <v>JAHNAVI PATNALA </v>
      </c>
      <c r="B809" s="96" t="str">
        <f>IFERROR(__xludf.DUMMYFUNCTION("""COMPUTED_VALUE"""),"20335A0513")</f>
        <v>20335A0513</v>
      </c>
      <c r="C809" s="97" t="str">
        <f>IFERROR(__xludf.DUMMYFUNCTION("""COMPUTED_VALUE"""),"Master Class on Data Science and Analytics ")</f>
        <v>Master Class on Data Science and Analytics </v>
      </c>
      <c r="D809" s="96" t="str">
        <f>IFERROR(__xludf.DUMMYFUNCTION("""COMPUTED_VALUE"""),"Pantech e Learning ")</f>
        <v>Pantech e Learning </v>
      </c>
      <c r="E809" s="96" t="str">
        <f>IFERROR(__xludf.DUMMYFUNCTION("""COMPUTED_VALUE"""),"1 month ")</f>
        <v>1 month </v>
      </c>
      <c r="F809" s="98">
        <f>IFERROR(__xludf.DUMMYFUNCTION("""COMPUTED_VALUE"""),44581.0)</f>
        <v>44581</v>
      </c>
      <c r="G809" s="98">
        <f>IFERROR(__xludf.DUMMYFUNCTION("""COMPUTED_VALUE"""),44610.0)</f>
        <v>44610</v>
      </c>
      <c r="H809" s="99">
        <f>IFERROR(__xludf.DUMMYFUNCTION("""COMPUTED_VALUE"""),44610.0)</f>
        <v>44610</v>
      </c>
      <c r="I809" s="100">
        <f>IFERROR(__xludf.DUMMYFUNCTION("""COMPUTED_VALUE"""),100.0)</f>
        <v>100</v>
      </c>
      <c r="J809" s="96" t="str">
        <f>IFERROR(__xludf.DUMMYFUNCTION("""COMPUTED_VALUE"""),"M.Malaiappan")</f>
        <v>M.Malaiappan</v>
      </c>
      <c r="K809" s="101" t="str">
        <f>IFERROR(__xludf.DUMMYFUNCTION("""COMPUTED_VALUE"""),"https://drive.google.com/open?id=1llYo10JQs3t2yqtSU4o1hl2_WS4jzYWJ")</f>
        <v>https://drive.google.com/open?id=1llYo10JQs3t2yqtSU4o1hl2_WS4jzYWJ</v>
      </c>
      <c r="L809" s="96" t="str">
        <f>IFERROR(__xludf.DUMMYFUNCTION("""COMPUTED_VALUE"""),"2019-2023")</f>
        <v>2019-2023</v>
      </c>
      <c r="M809" s="96" t="str">
        <f>IFERROR(__xludf.DUMMYFUNCTION("""COMPUTED_VALUE"""),"S4: Student Certifications")</f>
        <v>S4: Student Certifications</v>
      </c>
      <c r="N809" s="96" t="str">
        <f>IFERROR(__xludf.DUMMYFUNCTION("""COMPUTED_VALUE"""),"jahnavipatnala222@gmail.com")</f>
        <v>jahnavipatnala222@gmail.com</v>
      </c>
      <c r="O809" s="96" t="str">
        <f>IFERROR(__xludf.DUMMYFUNCTION("""COMPUTED_VALUE"""),"SEM-6")</f>
        <v>SEM-6</v>
      </c>
      <c r="P809" s="96"/>
      <c r="Q809" s="96"/>
      <c r="R809" s="96"/>
      <c r="S809" s="96"/>
      <c r="T809" s="96"/>
      <c r="U809" s="96"/>
      <c r="V809" s="96"/>
      <c r="W809" s="96"/>
      <c r="X809" s="96"/>
      <c r="Y809" s="96"/>
    </row>
    <row r="810" ht="26.25" customHeight="1">
      <c r="A810" s="96" t="str">
        <f>IFERROR(__xludf.DUMMYFUNCTION("""COMPUTED_VALUE"""),"Pechetti Mohan Subha Varshith")</f>
        <v>Pechetti Mohan Subha Varshith</v>
      </c>
      <c r="B810" s="96" t="str">
        <f>IFERROR(__xludf.DUMMYFUNCTION("""COMPUTED_VALUE"""),"19331A05C7")</f>
        <v>19331A05C7</v>
      </c>
      <c r="C810" s="97" t="str">
        <f>IFERROR(__xludf.DUMMYFUNCTION("""COMPUTED_VALUE"""),"NDG Linux Unhatched course")</f>
        <v>NDG Linux Unhatched course</v>
      </c>
      <c r="D810" s="96" t="str">
        <f>IFERROR(__xludf.DUMMYFUNCTION("""COMPUTED_VALUE"""),"Cisco Networking Academy")</f>
        <v>Cisco Networking Academy</v>
      </c>
      <c r="E810" s="96" t="str">
        <f>IFERROR(__xludf.DUMMYFUNCTION("""COMPUTED_VALUE"""),"2months")</f>
        <v>2months</v>
      </c>
      <c r="F810" s="98">
        <f>IFERROR(__xludf.DUMMYFUNCTION("""COMPUTED_VALUE"""),44082.0)</f>
        <v>44082</v>
      </c>
      <c r="G810" s="98">
        <f>IFERROR(__xludf.DUMMYFUNCTION("""COMPUTED_VALUE"""),44143.0)</f>
        <v>44143</v>
      </c>
      <c r="H810" s="99">
        <f>IFERROR(__xludf.DUMMYFUNCTION("""COMPUTED_VALUE"""),44143.0)</f>
        <v>44143</v>
      </c>
      <c r="I810" s="100">
        <f>IFERROR(__xludf.DUMMYFUNCTION("""COMPUTED_VALUE"""),85.0)</f>
        <v>85</v>
      </c>
      <c r="J810" s="96" t="str">
        <f>IFERROR(__xludf.DUMMYFUNCTION("""COMPUTED_VALUE"""),"The NDG Team")</f>
        <v>The NDG Team</v>
      </c>
      <c r="K810" s="101" t="str">
        <f>IFERROR(__xludf.DUMMYFUNCTION("""COMPUTED_VALUE"""),"https://drive.google.com/open?id=1vfCTXCS2ZNJ8gCEBvF7GD47mHNd239iX")</f>
        <v>https://drive.google.com/open?id=1vfCTXCS2ZNJ8gCEBvF7GD47mHNd239iX</v>
      </c>
      <c r="L810" s="96" t="str">
        <f>IFERROR(__xludf.DUMMYFUNCTION("""COMPUTED_VALUE"""),"2019-2023")</f>
        <v>2019-2023</v>
      </c>
      <c r="M810" s="96" t="str">
        <f>IFERROR(__xludf.DUMMYFUNCTION("""COMPUTED_VALUE"""),"S4: Student Certifications")</f>
        <v>S4: Student Certifications</v>
      </c>
      <c r="N810" s="96" t="str">
        <f>IFERROR(__xludf.DUMMYFUNCTION("""COMPUTED_VALUE"""),"subhavarshith@gmail.com")</f>
        <v>subhavarshith@gmail.com</v>
      </c>
      <c r="O810" s="96" t="str">
        <f>IFERROR(__xludf.DUMMYFUNCTION("""COMPUTED_VALUE"""),"SEM-6")</f>
        <v>SEM-6</v>
      </c>
      <c r="P810" s="96"/>
      <c r="Q810" s="96"/>
      <c r="R810" s="96"/>
      <c r="S810" s="96"/>
      <c r="T810" s="96"/>
      <c r="U810" s="96"/>
      <c r="V810" s="96"/>
      <c r="W810" s="96"/>
      <c r="X810" s="96"/>
      <c r="Y810" s="96"/>
    </row>
    <row r="811" ht="26.25" customHeight="1">
      <c r="A811" s="96" t="str">
        <f>IFERROR(__xludf.DUMMYFUNCTION("""COMPUTED_VALUE"""),"T HARI KRISHNA PRIYA")</f>
        <v>T HARI KRISHNA PRIYA</v>
      </c>
      <c r="B811" s="96" t="str">
        <f>IFERROR(__xludf.DUMMYFUNCTION("""COMPUTED_VALUE"""),"19331A05H4")</f>
        <v>19331A05H4</v>
      </c>
      <c r="C811" s="97" t="str">
        <f>IFERROR(__xludf.DUMMYFUNCTION("""COMPUTED_VALUE"""),"Machine Learning")</f>
        <v>Machine Learning</v>
      </c>
      <c r="D811" s="96" t="str">
        <f>IFERROR(__xludf.DUMMYFUNCTION("""COMPUTED_VALUE"""),"Internshala Trainings")</f>
        <v>Internshala Trainings</v>
      </c>
      <c r="E811" s="96" t="str">
        <f>IFERROR(__xludf.DUMMYFUNCTION("""COMPUTED_VALUE"""),"3 months")</f>
        <v>3 months</v>
      </c>
      <c r="F811" s="98">
        <f>IFERROR(__xludf.DUMMYFUNCTION("""COMPUTED_VALUE"""),44502.0)</f>
        <v>44502</v>
      </c>
      <c r="G811" s="98">
        <f>IFERROR(__xludf.DUMMYFUNCTION("""COMPUTED_VALUE"""),44574.0)</f>
        <v>44574</v>
      </c>
      <c r="H811" s="99">
        <f>IFERROR(__xludf.DUMMYFUNCTION("""COMPUTED_VALUE"""),44574.0)</f>
        <v>44574</v>
      </c>
      <c r="I811" s="100">
        <f>IFERROR(__xludf.DUMMYFUNCTION("""COMPUTED_VALUE"""),0.67)</f>
        <v>0.67</v>
      </c>
      <c r="J811" s="96" t="str">
        <f>IFERROR(__xludf.DUMMYFUNCTION("""COMPUTED_VALUE"""),"Sarvesh Agarwal")</f>
        <v>Sarvesh Agarwal</v>
      </c>
      <c r="K811" s="101" t="str">
        <f>IFERROR(__xludf.DUMMYFUNCTION("""COMPUTED_VALUE"""),"https://drive.google.com/open?id=1V542U69KICJNdgr5q0GKWubYnUKObulA")</f>
        <v>https://drive.google.com/open?id=1V542U69KICJNdgr5q0GKWubYnUKObulA</v>
      </c>
      <c r="L811" s="96" t="str">
        <f>IFERROR(__xludf.DUMMYFUNCTION("""COMPUTED_VALUE"""),"2019-2023")</f>
        <v>2019-2023</v>
      </c>
      <c r="M811" s="96" t="str">
        <f>IFERROR(__xludf.DUMMYFUNCTION("""COMPUTED_VALUE"""),"S4: Student Certifications")</f>
        <v>S4: Student Certifications</v>
      </c>
      <c r="N811" s="96" t="str">
        <f>IFERROR(__xludf.DUMMYFUNCTION("""COMPUTED_VALUE"""),"harikpriyatirumalaraju@gmail.com")</f>
        <v>harikpriyatirumalaraju@gmail.com</v>
      </c>
      <c r="O811" s="96" t="str">
        <f>IFERROR(__xludf.DUMMYFUNCTION("""COMPUTED_VALUE"""),"SEM-6")</f>
        <v>SEM-6</v>
      </c>
      <c r="P811" s="96"/>
      <c r="Q811" s="96"/>
      <c r="R811" s="96"/>
      <c r="S811" s="96"/>
      <c r="T811" s="96"/>
      <c r="U811" s="96"/>
      <c r="V811" s="96"/>
      <c r="W811" s="96"/>
      <c r="X811" s="96"/>
      <c r="Y811" s="96"/>
    </row>
    <row r="812" ht="26.25" customHeight="1">
      <c r="A812" s="96" t="str">
        <f>IFERROR(__xludf.DUMMYFUNCTION("""COMPUTED_VALUE"""),"Sunkari Chitra Deepika")</f>
        <v>Sunkari Chitra Deepika</v>
      </c>
      <c r="B812" s="96" t="str">
        <f>IFERROR(__xludf.DUMMYFUNCTION("""COMPUTED_VALUE"""),"19331A05G5")</f>
        <v>19331A05G5</v>
      </c>
      <c r="C812" s="97" t="str">
        <f>IFERROR(__xludf.DUMMYFUNCTION("""COMPUTED_VALUE"""),"Data Science")</f>
        <v>Data Science</v>
      </c>
      <c r="D812" s="96" t="str">
        <f>IFERROR(__xludf.DUMMYFUNCTION("""COMPUTED_VALUE"""),"1stop")</f>
        <v>1stop</v>
      </c>
      <c r="E812" s="96" t="str">
        <f>IFERROR(__xludf.DUMMYFUNCTION("""COMPUTED_VALUE"""),"3 months")</f>
        <v>3 months</v>
      </c>
      <c r="F812" s="98">
        <f>IFERROR(__xludf.DUMMYFUNCTION("""COMPUTED_VALUE"""),44362.0)</f>
        <v>44362</v>
      </c>
      <c r="G812" s="98">
        <f>IFERROR(__xludf.DUMMYFUNCTION("""COMPUTED_VALUE"""),44423.0)</f>
        <v>44423</v>
      </c>
      <c r="H812" s="99">
        <f>IFERROR(__xludf.DUMMYFUNCTION("""COMPUTED_VALUE"""),44423.0)</f>
        <v>44423</v>
      </c>
      <c r="I812" s="100">
        <f>IFERROR(__xludf.DUMMYFUNCTION("""COMPUTED_VALUE"""),1.0)</f>
        <v>1</v>
      </c>
      <c r="J812" s="96" t="str">
        <f>IFERROR(__xludf.DUMMYFUNCTION("""COMPUTED_VALUE"""),"Paul Mathew. I")</f>
        <v>Paul Mathew. I</v>
      </c>
      <c r="K812" s="101" t="str">
        <f>IFERROR(__xludf.DUMMYFUNCTION("""COMPUTED_VALUE"""),"https://drive.google.com/open?id=1AP7xsJ5H4n3GlPR2iCv46b_VMVn4We2K")</f>
        <v>https://drive.google.com/open?id=1AP7xsJ5H4n3GlPR2iCv46b_VMVn4We2K</v>
      </c>
      <c r="L812" s="96" t="str">
        <f>IFERROR(__xludf.DUMMYFUNCTION("""COMPUTED_VALUE"""),"2019-2023")</f>
        <v>2019-2023</v>
      </c>
      <c r="M812" s="96" t="str">
        <f>IFERROR(__xludf.DUMMYFUNCTION("""COMPUTED_VALUE"""),"S4: Student Certifications")</f>
        <v>S4: Student Certifications</v>
      </c>
      <c r="N812" s="96" t="str">
        <f>IFERROR(__xludf.DUMMYFUNCTION("""COMPUTED_VALUE"""),"chitradeepika3124@gmail.com")</f>
        <v>chitradeepika3124@gmail.com</v>
      </c>
      <c r="O812" s="96" t="str">
        <f>IFERROR(__xludf.DUMMYFUNCTION("""COMPUTED_VALUE"""),"SEM-6")</f>
        <v>SEM-6</v>
      </c>
      <c r="P812" s="96"/>
      <c r="Q812" s="96"/>
      <c r="R812" s="96"/>
      <c r="S812" s="96"/>
      <c r="T812" s="96"/>
      <c r="U812" s="96"/>
      <c r="V812" s="96"/>
      <c r="W812" s="96"/>
      <c r="X812" s="96"/>
      <c r="Y812" s="96"/>
    </row>
    <row r="813" ht="26.25" customHeight="1">
      <c r="A813" s="96" t="str">
        <f>IFERROR(__xludf.DUMMYFUNCTION("""COMPUTED_VALUE"""),"MOTAMARRI AKSHAYA")</f>
        <v>MOTAMARRI AKSHAYA</v>
      </c>
      <c r="B813" s="96" t="str">
        <f>IFERROR(__xludf.DUMMYFUNCTION("""COMPUTED_VALUE"""),"19331A05A9")</f>
        <v>19331A05A9</v>
      </c>
      <c r="C813" s="97" t="str">
        <f>IFERROR(__xludf.DUMMYFUNCTION("""COMPUTED_VALUE"""),"IT Essentials")</f>
        <v>IT Essentials</v>
      </c>
      <c r="D813" s="96" t="str">
        <f>IFERROR(__xludf.DUMMYFUNCTION("""COMPUTED_VALUE"""),"Cisco Networking Academy")</f>
        <v>Cisco Networking Academy</v>
      </c>
      <c r="E813" s="96" t="str">
        <f>IFERROR(__xludf.DUMMYFUNCTION("""COMPUTED_VALUE"""),"2 months")</f>
        <v>2 months</v>
      </c>
      <c r="F813" s="98">
        <f>IFERROR(__xludf.DUMMYFUNCTION("""COMPUTED_VALUE"""),44048.0)</f>
        <v>44048</v>
      </c>
      <c r="G813" s="98">
        <f>IFERROR(__xludf.DUMMYFUNCTION("""COMPUTED_VALUE"""),44108.0)</f>
        <v>44108</v>
      </c>
      <c r="H813" s="99">
        <f>IFERROR(__xludf.DUMMYFUNCTION("""COMPUTED_VALUE"""),44108.0)</f>
        <v>44108</v>
      </c>
      <c r="I813" s="100">
        <f>IFERROR(__xludf.DUMMYFUNCTION("""COMPUTED_VALUE"""),0.94)</f>
        <v>0.94</v>
      </c>
      <c r="J813" s="96" t="str">
        <f>IFERROR(__xludf.DUMMYFUNCTION("""COMPUTED_VALUE"""),"DR SUVARNA KUMAR GOGULA")</f>
        <v>DR SUVARNA KUMAR GOGULA</v>
      </c>
      <c r="K813" s="101" t="str">
        <f>IFERROR(__xludf.DUMMYFUNCTION("""COMPUTED_VALUE"""),"https://drive.google.com/open?id=1zwsMr-WEvBo2uXWKf2lvfAxQNjy4bQzK")</f>
        <v>https://drive.google.com/open?id=1zwsMr-WEvBo2uXWKf2lvfAxQNjy4bQzK</v>
      </c>
      <c r="L813" s="96" t="str">
        <f>IFERROR(__xludf.DUMMYFUNCTION("""COMPUTED_VALUE"""),"2019-2023")</f>
        <v>2019-2023</v>
      </c>
      <c r="M813" s="96" t="str">
        <f>IFERROR(__xludf.DUMMYFUNCTION("""COMPUTED_VALUE"""),"S4: Student Certifications")</f>
        <v>S4: Student Certifications</v>
      </c>
      <c r="N813" s="96" t="str">
        <f>IFERROR(__xludf.DUMMYFUNCTION("""COMPUTED_VALUE"""),"akshayamotamarri2108@gmail.com")</f>
        <v>akshayamotamarri2108@gmail.com</v>
      </c>
      <c r="O813" s="96" t="str">
        <f>IFERROR(__xludf.DUMMYFUNCTION("""COMPUTED_VALUE"""),"SEM-6")</f>
        <v>SEM-6</v>
      </c>
      <c r="P813" s="96"/>
      <c r="Q813" s="96"/>
      <c r="R813" s="96"/>
      <c r="S813" s="96"/>
      <c r="T813" s="96"/>
      <c r="U813" s="96"/>
      <c r="V813" s="96"/>
      <c r="W813" s="96"/>
      <c r="X813" s="96"/>
      <c r="Y813" s="96"/>
    </row>
    <row r="814" ht="26.25" customHeight="1">
      <c r="A814" s="96" t="str">
        <f>IFERROR(__xludf.DUMMYFUNCTION("""COMPUTED_VALUE"""),"BANKAPALLI BHARGAVI ")</f>
        <v>BANKAPALLI BHARGAVI </v>
      </c>
      <c r="B814" s="96" t="str">
        <f>IFERROR(__xludf.DUMMYFUNCTION("""COMPUTED_VALUE"""),"20335A0502")</f>
        <v>20335A0502</v>
      </c>
      <c r="C814" s="97" t="str">
        <f>IFERROR(__xludf.DUMMYFUNCTION("""COMPUTED_VALUE"""),"CCNAv7: Introduction to Networks")</f>
        <v>CCNAv7: Introduction to Networks</v>
      </c>
      <c r="D814" s="96" t="str">
        <f>IFERROR(__xludf.DUMMYFUNCTION("""COMPUTED_VALUE"""),"CISCO")</f>
        <v>CISCO</v>
      </c>
      <c r="E814" s="96" t="str">
        <f>IFERROR(__xludf.DUMMYFUNCTION("""COMPUTED_VALUE"""),"3 months")</f>
        <v>3 months</v>
      </c>
      <c r="F814" s="98">
        <f>IFERROR(__xludf.DUMMYFUNCTION("""COMPUTED_VALUE"""),44454.0)</f>
        <v>44454</v>
      </c>
      <c r="G814" s="98">
        <f>IFERROR(__xludf.DUMMYFUNCTION("""COMPUTED_VALUE"""),44545.0)</f>
        <v>44545</v>
      </c>
      <c r="H814" s="99">
        <f>IFERROR(__xludf.DUMMYFUNCTION("""COMPUTED_VALUE"""),44545.0)</f>
        <v>44545</v>
      </c>
      <c r="I814" s="100">
        <f>IFERROR(__xludf.DUMMYFUNCTION("""COMPUTED_VALUE"""),90.0)</f>
        <v>90</v>
      </c>
      <c r="J814" s="96" t="str">
        <f>IFERROR(__xludf.DUMMYFUNCTION("""COMPUTED_VALUE"""),"DR. RAVI KIRAN VARMA PENMATSA")</f>
        <v>DR. RAVI KIRAN VARMA PENMATSA</v>
      </c>
      <c r="K814" s="101" t="str">
        <f>IFERROR(__xludf.DUMMYFUNCTION("""COMPUTED_VALUE"""),"https://drive.google.com/open?id=1oTuyRXjsB3JLHEDEgXqa7DYjl56zixIy")</f>
        <v>https://drive.google.com/open?id=1oTuyRXjsB3JLHEDEgXqa7DYjl56zixIy</v>
      </c>
      <c r="L814" s="96" t="str">
        <f>IFERROR(__xludf.DUMMYFUNCTION("""COMPUTED_VALUE"""),"2019-2023")</f>
        <v>2019-2023</v>
      </c>
      <c r="M814" s="96" t="str">
        <f>IFERROR(__xludf.DUMMYFUNCTION("""COMPUTED_VALUE"""),"S4: Student Certifications")</f>
        <v>S4: Student Certifications</v>
      </c>
      <c r="N814" s="96" t="str">
        <f>IFERROR(__xludf.DUMMYFUNCTION("""COMPUTED_VALUE"""),"bhargavicme003@gmail.com")</f>
        <v>bhargavicme003@gmail.com</v>
      </c>
      <c r="O814" s="96" t="str">
        <f>IFERROR(__xludf.DUMMYFUNCTION("""COMPUTED_VALUE"""),"SEM-6")</f>
        <v>SEM-6</v>
      </c>
      <c r="P814" s="96"/>
      <c r="Q814" s="96"/>
      <c r="R814" s="96"/>
      <c r="S814" s="96"/>
      <c r="T814" s="96"/>
      <c r="U814" s="96"/>
      <c r="V814" s="96"/>
      <c r="W814" s="96"/>
      <c r="X814" s="96"/>
      <c r="Y814" s="96"/>
    </row>
    <row r="815" ht="26.25" customHeight="1">
      <c r="A815" s="96" t="str">
        <f>IFERROR(__xludf.DUMMYFUNCTION("""COMPUTED_VALUE"""),"NAMBURI NAVYA GEETHIKA")</f>
        <v>NAMBURI NAVYA GEETHIKA</v>
      </c>
      <c r="B815" s="96" t="str">
        <f>IFERROR(__xludf.DUMMYFUNCTION("""COMPUTED_VALUE"""),"19331A05C0")</f>
        <v>19331A05C0</v>
      </c>
      <c r="C815" s="97" t="str">
        <f>IFERROR(__xludf.DUMMYFUNCTION("""COMPUTED_VALUE"""),"PROGRAMMING ESSENTIALS IN C")</f>
        <v>PROGRAMMING ESSENTIALS IN C</v>
      </c>
      <c r="D815" s="96" t="str">
        <f>IFERROR(__xludf.DUMMYFUNCTION("""COMPUTED_VALUE"""),"CISCO")</f>
        <v>CISCO</v>
      </c>
      <c r="E815" s="96" t="str">
        <f>IFERROR(__xludf.DUMMYFUNCTION("""COMPUTED_VALUE"""),"5 months")</f>
        <v>5 months</v>
      </c>
      <c r="F815" s="98">
        <f>IFERROR(__xludf.DUMMYFUNCTION("""COMPUTED_VALUE"""),43888.0)</f>
        <v>43888</v>
      </c>
      <c r="G815" s="98">
        <f>IFERROR(__xludf.DUMMYFUNCTION("""COMPUTED_VALUE"""),44043.0)</f>
        <v>44043</v>
      </c>
      <c r="H815" s="99">
        <f>IFERROR(__xludf.DUMMYFUNCTION("""COMPUTED_VALUE"""),43966.0)</f>
        <v>43966</v>
      </c>
      <c r="I815" s="100">
        <f>IFERROR(__xludf.DUMMYFUNCTION("""COMPUTED_VALUE"""),85.0)</f>
        <v>85</v>
      </c>
      <c r="J815" s="96" t="str">
        <f>IFERROR(__xludf.DUMMYFUNCTION("""COMPUTED_VALUE"""),"DR. RAVI KIRAN VARMA PENMATSA")</f>
        <v>DR. RAVI KIRAN VARMA PENMATSA</v>
      </c>
      <c r="K815" s="101" t="str">
        <f>IFERROR(__xludf.DUMMYFUNCTION("""COMPUTED_VALUE"""),"https://drive.google.com/open?id=1XV-oGvH2CnjBVNBDxsyHLjWaMFSxsivW")</f>
        <v>https://drive.google.com/open?id=1XV-oGvH2CnjBVNBDxsyHLjWaMFSxsivW</v>
      </c>
      <c r="L815" s="96" t="str">
        <f>IFERROR(__xludf.DUMMYFUNCTION("""COMPUTED_VALUE"""),"2019-2023")</f>
        <v>2019-2023</v>
      </c>
      <c r="M815" s="96" t="str">
        <f>IFERROR(__xludf.DUMMYFUNCTION("""COMPUTED_VALUE"""),"S4: Student Certifications")</f>
        <v>S4: Student Certifications</v>
      </c>
      <c r="N815" s="96" t="str">
        <f>IFERROR(__xludf.DUMMYFUNCTION("""COMPUTED_VALUE"""),"namburinavyageethika123@gmail.com")</f>
        <v>namburinavyageethika123@gmail.com</v>
      </c>
      <c r="O815" s="96" t="str">
        <f>IFERROR(__xludf.DUMMYFUNCTION("""COMPUTED_VALUE"""),"SEM-6")</f>
        <v>SEM-6</v>
      </c>
      <c r="P815" s="96"/>
      <c r="Q815" s="96"/>
      <c r="R815" s="96"/>
      <c r="S815" s="96"/>
      <c r="T815" s="96"/>
      <c r="U815" s="96"/>
      <c r="V815" s="96"/>
      <c r="W815" s="96"/>
      <c r="X815" s="96"/>
      <c r="Y815" s="96"/>
    </row>
    <row r="816" ht="26.25" customHeight="1">
      <c r="A816" s="96" t="str">
        <f>IFERROR(__xludf.DUMMYFUNCTION("""COMPUTED_VALUE"""),"Sai Greeshma Pathivada")</f>
        <v>Sai Greeshma Pathivada</v>
      </c>
      <c r="B816" s="96" t="str">
        <f>IFERROR(__xludf.DUMMYFUNCTION("""COMPUTED_VALUE"""),"19331A05C6")</f>
        <v>19331A05C6</v>
      </c>
      <c r="C816" s="97" t="str">
        <f>IFERROR(__xludf.DUMMYFUNCTION("""COMPUTED_VALUE"""),"Programming Essentials in Python")</f>
        <v>Programming Essentials in Python</v>
      </c>
      <c r="D816" s="96" t="str">
        <f>IFERROR(__xludf.DUMMYFUNCTION("""COMPUTED_VALUE"""),"cisco")</f>
        <v>cisco</v>
      </c>
      <c r="E816" s="96" t="str">
        <f>IFERROR(__xludf.DUMMYFUNCTION("""COMPUTED_VALUE"""),"2 months")</f>
        <v>2 months</v>
      </c>
      <c r="F816" s="98">
        <f>IFERROR(__xludf.DUMMYFUNCTION("""COMPUTED_VALUE"""),44261.0)</f>
        <v>44261</v>
      </c>
      <c r="G816" s="98">
        <f>IFERROR(__xludf.DUMMYFUNCTION("""COMPUTED_VALUE"""),44322.0)</f>
        <v>44322</v>
      </c>
      <c r="H816" s="99">
        <f>IFERROR(__xludf.DUMMYFUNCTION("""COMPUTED_VALUE"""),44322.0)</f>
        <v>44322</v>
      </c>
      <c r="I816" s="100">
        <f>IFERROR(__xludf.DUMMYFUNCTION("""COMPUTED_VALUE"""),95.0)</f>
        <v>95</v>
      </c>
      <c r="J816" s="96" t="str">
        <f>IFERROR(__xludf.DUMMYFUNCTION("""COMPUTED_VALUE"""),"Dr. Ravi Kiran Varma Penmatsa")</f>
        <v>Dr. Ravi Kiran Varma Penmatsa</v>
      </c>
      <c r="K816" s="101" t="str">
        <f>IFERROR(__xludf.DUMMYFUNCTION("""COMPUTED_VALUE"""),"https://drive.google.com/open?id=1NHsodfni68pTQYL0rmU6U92-wuVN4rm5")</f>
        <v>https://drive.google.com/open?id=1NHsodfni68pTQYL0rmU6U92-wuVN4rm5</v>
      </c>
      <c r="L816" s="96" t="str">
        <f>IFERROR(__xludf.DUMMYFUNCTION("""COMPUTED_VALUE"""),"2019-2023")</f>
        <v>2019-2023</v>
      </c>
      <c r="M816" s="96" t="str">
        <f>IFERROR(__xludf.DUMMYFUNCTION("""COMPUTED_VALUE"""),"S4: Student Certifications")</f>
        <v>S4: Student Certifications</v>
      </c>
      <c r="N816" s="96" t="str">
        <f>IFERROR(__xludf.DUMMYFUNCTION("""COMPUTED_VALUE"""),"greeshmapathivada29@gmail.com")</f>
        <v>greeshmapathivada29@gmail.com</v>
      </c>
      <c r="O816" s="96" t="str">
        <f>IFERROR(__xludf.DUMMYFUNCTION("""COMPUTED_VALUE"""),"SEM-6")</f>
        <v>SEM-6</v>
      </c>
      <c r="P816" s="96"/>
      <c r="Q816" s="96"/>
      <c r="R816" s="96"/>
      <c r="S816" s="96"/>
      <c r="T816" s="96"/>
      <c r="U816" s="96"/>
      <c r="V816" s="96"/>
      <c r="W816" s="96"/>
      <c r="X816" s="96"/>
      <c r="Y816" s="96"/>
    </row>
    <row r="817" ht="26.25" customHeight="1">
      <c r="A817" s="96" t="str">
        <f>IFERROR(__xludf.DUMMYFUNCTION("""COMPUTED_VALUE"""),"LAKKIMSETTI CHANDRA SIRISHA")</f>
        <v>LAKKIMSETTI CHANDRA SIRISHA</v>
      </c>
      <c r="B817" s="96" t="str">
        <f>IFERROR(__xludf.DUMMYFUNCTION("""COMPUTED_VALUE"""),"19331A0594")</f>
        <v>19331A0594</v>
      </c>
      <c r="C817" s="97" t="str">
        <f>IFERROR(__xludf.DUMMYFUNCTION("""COMPUTED_VALUE"""),"IT ESSENTIALS")</f>
        <v>IT ESSENTIALS</v>
      </c>
      <c r="D817" s="96" t="str">
        <f>IFERROR(__xludf.DUMMYFUNCTION("""COMPUTED_VALUE"""),"CISCO")</f>
        <v>CISCO</v>
      </c>
      <c r="E817" s="96" t="str">
        <f>IFERROR(__xludf.DUMMYFUNCTION("""COMPUTED_VALUE"""),"2 MONTHS")</f>
        <v>2 MONTHS</v>
      </c>
      <c r="F817" s="98">
        <f>IFERROR(__xludf.DUMMYFUNCTION("""COMPUTED_VALUE"""),44044.0)</f>
        <v>44044</v>
      </c>
      <c r="G817" s="98">
        <f>IFERROR(__xludf.DUMMYFUNCTION("""COMPUTED_VALUE"""),44108.0)</f>
        <v>44108</v>
      </c>
      <c r="H817" s="99">
        <f>IFERROR(__xludf.DUMMYFUNCTION("""COMPUTED_VALUE"""),44108.0)</f>
        <v>44108</v>
      </c>
      <c r="I817" s="100">
        <f>IFERROR(__xludf.DUMMYFUNCTION("""COMPUTED_VALUE"""),0.95)</f>
        <v>0.95</v>
      </c>
      <c r="J817" s="96" t="str">
        <f>IFERROR(__xludf.DUMMYFUNCTION("""COMPUTED_VALUE"""),"DR . SUVARNA KUMAR GOGULA")</f>
        <v>DR . SUVARNA KUMAR GOGULA</v>
      </c>
      <c r="K817" s="101" t="str">
        <f>IFERROR(__xludf.DUMMYFUNCTION("""COMPUTED_VALUE"""),"https://drive.google.com/open?id=13A3ZGI3-aKzyu4l-RKDu_GzOljxk8Rxp")</f>
        <v>https://drive.google.com/open?id=13A3ZGI3-aKzyu4l-RKDu_GzOljxk8Rxp</v>
      </c>
      <c r="L817" s="96" t="str">
        <f>IFERROR(__xludf.DUMMYFUNCTION("""COMPUTED_VALUE"""),"2019-2023")</f>
        <v>2019-2023</v>
      </c>
      <c r="M817" s="96" t="str">
        <f>IFERROR(__xludf.DUMMYFUNCTION("""COMPUTED_VALUE"""),"S4: Student Certifications")</f>
        <v>S4: Student Certifications</v>
      </c>
      <c r="N817" s="96" t="str">
        <f>IFERROR(__xludf.DUMMYFUNCTION("""COMPUTED_VALUE"""),"sirishalakkimsetti1729@gmail.com")</f>
        <v>sirishalakkimsetti1729@gmail.com</v>
      </c>
      <c r="O817" s="96" t="str">
        <f>IFERROR(__xludf.DUMMYFUNCTION("""COMPUTED_VALUE"""),"SEM-6")</f>
        <v>SEM-6</v>
      </c>
      <c r="P817" s="96"/>
      <c r="Q817" s="96"/>
      <c r="R817" s="96"/>
      <c r="S817" s="96"/>
      <c r="T817" s="96"/>
      <c r="U817" s="96"/>
      <c r="V817" s="96"/>
      <c r="W817" s="96"/>
      <c r="X817" s="96"/>
      <c r="Y817" s="96"/>
    </row>
    <row r="818" ht="26.25" customHeight="1">
      <c r="A818" s="96" t="str">
        <f>IFERROR(__xludf.DUMMYFUNCTION("""COMPUTED_VALUE"""),"Jayanthi lahari katta ")</f>
        <v>Jayanthi lahari katta </v>
      </c>
      <c r="B818" s="96" t="str">
        <f>IFERROR(__xludf.DUMMYFUNCTION("""COMPUTED_VALUE"""),"20335A0505")</f>
        <v>20335A0505</v>
      </c>
      <c r="C818" s="97" t="str">
        <f>IFERROR(__xludf.DUMMYFUNCTION("""COMPUTED_VALUE""")," Switching, Routing, and Wireless Essentials")</f>
        <v> Switching, Routing, and Wireless Essentials</v>
      </c>
      <c r="D818" s="96" t="str">
        <f>IFERROR(__xludf.DUMMYFUNCTION("""COMPUTED_VALUE"""),"Cisco networking academy ")</f>
        <v>Cisco networking academy </v>
      </c>
      <c r="E818" s="96" t="str">
        <f>IFERROR(__xludf.DUMMYFUNCTION("""COMPUTED_VALUE"""),"3 months ")</f>
        <v>3 months </v>
      </c>
      <c r="F818" s="98">
        <f>IFERROR(__xludf.DUMMYFUNCTION("""COMPUTED_VALUE"""),44512.0)</f>
        <v>44512</v>
      </c>
      <c r="G818" s="98">
        <f>IFERROR(__xludf.DUMMYFUNCTION("""COMPUTED_VALUE"""),44604.0)</f>
        <v>44604</v>
      </c>
      <c r="H818" s="99">
        <f>IFERROR(__xludf.DUMMYFUNCTION("""COMPUTED_VALUE"""),44604.0)</f>
        <v>44604</v>
      </c>
      <c r="I818" s="100">
        <f>IFERROR(__xludf.DUMMYFUNCTION("""COMPUTED_VALUE"""),95.8)</f>
        <v>95.8</v>
      </c>
      <c r="J818" s="96" t="str">
        <f>IFERROR(__xludf.DUMMYFUNCTION("""COMPUTED_VALUE"""),"DR. RAVI KIRAN VARMA PENMATSA")</f>
        <v>DR. RAVI KIRAN VARMA PENMATSA</v>
      </c>
      <c r="K818" s="101" t="str">
        <f>IFERROR(__xludf.DUMMYFUNCTION("""COMPUTED_VALUE"""),"https://drive.google.com/open?id=1Bq_0XEtbKimEG2yjQyPsHER_AEGePV_d")</f>
        <v>https://drive.google.com/open?id=1Bq_0XEtbKimEG2yjQyPsHER_AEGePV_d</v>
      </c>
      <c r="L818" s="96" t="str">
        <f>IFERROR(__xludf.DUMMYFUNCTION("""COMPUTED_VALUE"""),"2019-2023")</f>
        <v>2019-2023</v>
      </c>
      <c r="M818" s="96" t="str">
        <f>IFERROR(__xludf.DUMMYFUNCTION("""COMPUTED_VALUE"""),"S4: Student Certifications")</f>
        <v>S4: Student Certifications</v>
      </c>
      <c r="N818" s="96" t="str">
        <f>IFERROR(__xludf.DUMMYFUNCTION("""COMPUTED_VALUE"""),"jayanthilaharikatta@gmail.com")</f>
        <v>jayanthilaharikatta@gmail.com</v>
      </c>
      <c r="O818" s="96" t="str">
        <f>IFERROR(__xludf.DUMMYFUNCTION("""COMPUTED_VALUE"""),"SEM-6")</f>
        <v>SEM-6</v>
      </c>
      <c r="P818" s="96"/>
      <c r="Q818" s="96"/>
      <c r="R818" s="96"/>
      <c r="S818" s="96"/>
      <c r="T818" s="96"/>
      <c r="U818" s="96"/>
      <c r="V818" s="96"/>
      <c r="W818" s="96"/>
      <c r="X818" s="96"/>
      <c r="Y818" s="96"/>
    </row>
    <row r="819" ht="26.25" customHeight="1">
      <c r="A819" s="96" t="str">
        <f>IFERROR(__xludf.DUMMYFUNCTION("""COMPUTED_VALUE"""),"JAHNAVI PATNALA ")</f>
        <v>JAHNAVI PATNALA </v>
      </c>
      <c r="B819" s="96" t="str">
        <f>IFERROR(__xludf.DUMMYFUNCTION("""COMPUTED_VALUE"""),"20335A0513")</f>
        <v>20335A0513</v>
      </c>
      <c r="C819" s="97" t="str">
        <f>IFERROR(__xludf.DUMMYFUNCTION("""COMPUTED_VALUE"""),"Master Class on Artificial Intelligence ")</f>
        <v>Master Class on Artificial Intelligence </v>
      </c>
      <c r="D819" s="96" t="str">
        <f>IFERROR(__xludf.DUMMYFUNCTION("""COMPUTED_VALUE"""),"Pantech e Learning ")</f>
        <v>Pantech e Learning </v>
      </c>
      <c r="E819" s="96" t="str">
        <f>IFERROR(__xludf.DUMMYFUNCTION("""COMPUTED_VALUE"""),"1 month ")</f>
        <v>1 month </v>
      </c>
      <c r="F819" s="98">
        <f>IFERROR(__xludf.DUMMYFUNCTION("""COMPUTED_VALUE"""),44536.0)</f>
        <v>44536</v>
      </c>
      <c r="G819" s="98">
        <f>IFERROR(__xludf.DUMMYFUNCTION("""COMPUTED_VALUE"""),44565.0)</f>
        <v>44565</v>
      </c>
      <c r="H819" s="99">
        <f>IFERROR(__xludf.DUMMYFUNCTION("""COMPUTED_VALUE"""),44565.0)</f>
        <v>44565</v>
      </c>
      <c r="I819" s="100">
        <f>IFERROR(__xludf.DUMMYFUNCTION("""COMPUTED_VALUE"""),100.0)</f>
        <v>100</v>
      </c>
      <c r="J819" s="96" t="str">
        <f>IFERROR(__xludf.DUMMYFUNCTION("""COMPUTED_VALUE"""),"M.Malaippan")</f>
        <v>M.Malaippan</v>
      </c>
      <c r="K819" s="101" t="str">
        <f>IFERROR(__xludf.DUMMYFUNCTION("""COMPUTED_VALUE"""),"https://drive.google.com/open?id=16zDYjlKxB-E6mF9kyKMC0ZDkEJ7qeviZ")</f>
        <v>https://drive.google.com/open?id=16zDYjlKxB-E6mF9kyKMC0ZDkEJ7qeviZ</v>
      </c>
      <c r="L819" s="96" t="str">
        <f>IFERROR(__xludf.DUMMYFUNCTION("""COMPUTED_VALUE"""),"2019-2023")</f>
        <v>2019-2023</v>
      </c>
      <c r="M819" s="96" t="str">
        <f>IFERROR(__xludf.DUMMYFUNCTION("""COMPUTED_VALUE"""),"S4: Student Certifications")</f>
        <v>S4: Student Certifications</v>
      </c>
      <c r="N819" s="96" t="str">
        <f>IFERROR(__xludf.DUMMYFUNCTION("""COMPUTED_VALUE"""),"jahnavipatnala222@gmail.com")</f>
        <v>jahnavipatnala222@gmail.com</v>
      </c>
      <c r="O819" s="96" t="str">
        <f>IFERROR(__xludf.DUMMYFUNCTION("""COMPUTED_VALUE"""),"SEM-6")</f>
        <v>SEM-6</v>
      </c>
      <c r="P819" s="96"/>
      <c r="Q819" s="96"/>
      <c r="R819" s="96"/>
      <c r="S819" s="96"/>
      <c r="T819" s="96"/>
      <c r="U819" s="96"/>
      <c r="V819" s="96"/>
      <c r="W819" s="96"/>
      <c r="X819" s="96"/>
      <c r="Y819" s="96"/>
    </row>
    <row r="820" ht="26.25" customHeight="1">
      <c r="A820" s="96" t="str">
        <f>IFERROR(__xludf.DUMMYFUNCTION("""COMPUTED_VALUE"""),"Mohan Subha Varshith Pechetti")</f>
        <v>Mohan Subha Varshith Pechetti</v>
      </c>
      <c r="B820" s="96" t="str">
        <f>IFERROR(__xludf.DUMMYFUNCTION("""COMPUTED_VALUE"""),"19331A05C7")</f>
        <v>19331A05C7</v>
      </c>
      <c r="C820" s="97" t="str">
        <f>IFERROR(__xludf.DUMMYFUNCTION("""COMPUTED_VALUE"""),"NDG Linux Essentials course")</f>
        <v>NDG Linux Essentials course</v>
      </c>
      <c r="D820" s="96" t="str">
        <f>IFERROR(__xludf.DUMMYFUNCTION("""COMPUTED_VALUE"""),"Cisco Networking Academy")</f>
        <v>Cisco Networking Academy</v>
      </c>
      <c r="E820" s="96" t="str">
        <f>IFERROR(__xludf.DUMMYFUNCTION("""COMPUTED_VALUE"""),"2months")</f>
        <v>2months</v>
      </c>
      <c r="F820" s="98">
        <f>IFERROR(__xludf.DUMMYFUNCTION("""COMPUTED_VALUE"""),44283.0)</f>
        <v>44283</v>
      </c>
      <c r="G820" s="98">
        <f>IFERROR(__xludf.DUMMYFUNCTION("""COMPUTED_VALUE"""),44344.0)</f>
        <v>44344</v>
      </c>
      <c r="H820" s="99">
        <f>IFERROR(__xludf.DUMMYFUNCTION("""COMPUTED_VALUE"""),44344.0)</f>
        <v>44344</v>
      </c>
      <c r="I820" s="100">
        <f>IFERROR(__xludf.DUMMYFUNCTION("""COMPUTED_VALUE"""),84.0)</f>
        <v>84</v>
      </c>
      <c r="J820" s="96" t="str">
        <f>IFERROR(__xludf.DUMMYFUNCTION("""COMPUTED_VALUE"""),"The NDG Team")</f>
        <v>The NDG Team</v>
      </c>
      <c r="K820" s="101" t="str">
        <f>IFERROR(__xludf.DUMMYFUNCTION("""COMPUTED_VALUE"""),"https://drive.google.com/open?id=1Vh8ABGI71P-aBtCM8owKTl1FjxUNIuag")</f>
        <v>https://drive.google.com/open?id=1Vh8ABGI71P-aBtCM8owKTl1FjxUNIuag</v>
      </c>
      <c r="L820" s="96" t="str">
        <f>IFERROR(__xludf.DUMMYFUNCTION("""COMPUTED_VALUE"""),"2019-2023")</f>
        <v>2019-2023</v>
      </c>
      <c r="M820" s="96" t="str">
        <f>IFERROR(__xludf.DUMMYFUNCTION("""COMPUTED_VALUE"""),"S4: Student Certifications")</f>
        <v>S4: Student Certifications</v>
      </c>
      <c r="N820" s="96" t="str">
        <f>IFERROR(__xludf.DUMMYFUNCTION("""COMPUTED_VALUE"""),"subhavarshith@gmail.com")</f>
        <v>subhavarshith@gmail.com</v>
      </c>
      <c r="O820" s="96" t="str">
        <f>IFERROR(__xludf.DUMMYFUNCTION("""COMPUTED_VALUE"""),"SEM-6")</f>
        <v>SEM-6</v>
      </c>
      <c r="P820" s="96"/>
      <c r="Q820" s="96"/>
      <c r="R820" s="96"/>
      <c r="S820" s="96"/>
      <c r="T820" s="96"/>
      <c r="U820" s="96"/>
      <c r="V820" s="96"/>
      <c r="W820" s="96"/>
      <c r="X820" s="96"/>
      <c r="Y820" s="96"/>
    </row>
    <row r="821" ht="26.25" customHeight="1">
      <c r="A821" s="96" t="str">
        <f>IFERROR(__xludf.DUMMYFUNCTION("""COMPUTED_VALUE"""),"KOMMU ANKITHA")</f>
        <v>KOMMU ANKITHA</v>
      </c>
      <c r="B821" s="96" t="str">
        <f>IFERROR(__xludf.DUMMYFUNCTION("""COMPUTED_VALUE"""),"19331A0582")</f>
        <v>19331A0582</v>
      </c>
      <c r="C821" s="97" t="str">
        <f>IFERROR(__xludf.DUMMYFUNCTION("""COMPUTED_VALUE"""),"PROGRAMMING ESSENTIALS IN C")</f>
        <v>PROGRAMMING ESSENTIALS IN C</v>
      </c>
      <c r="D821" s="96" t="str">
        <f>IFERROR(__xludf.DUMMYFUNCTION("""COMPUTED_VALUE"""),"CISCO")</f>
        <v>CISCO</v>
      </c>
      <c r="E821" s="96" t="str">
        <f>IFERROR(__xludf.DUMMYFUNCTION("""COMPUTED_VALUE"""),"5 months")</f>
        <v>5 months</v>
      </c>
      <c r="F821" s="98">
        <f>IFERROR(__xludf.DUMMYFUNCTION("""COMPUTED_VALUE"""),43888.0)</f>
        <v>43888</v>
      </c>
      <c r="G821" s="98">
        <f>IFERROR(__xludf.DUMMYFUNCTION("""COMPUTED_VALUE"""),44043.0)</f>
        <v>44043</v>
      </c>
      <c r="H821" s="99">
        <f>IFERROR(__xludf.DUMMYFUNCTION("""COMPUTED_VALUE"""),44027.0)</f>
        <v>44027</v>
      </c>
      <c r="I821" s="100">
        <f>IFERROR(__xludf.DUMMYFUNCTION("""COMPUTED_VALUE"""),85.0)</f>
        <v>85</v>
      </c>
      <c r="J821" s="96" t="str">
        <f>IFERROR(__xludf.DUMMYFUNCTION("""COMPUTED_VALUE"""),"DR.RAVI KIRAN VARMA PENMATSA")</f>
        <v>DR.RAVI KIRAN VARMA PENMATSA</v>
      </c>
      <c r="K821" s="101" t="str">
        <f>IFERROR(__xludf.DUMMYFUNCTION("""COMPUTED_VALUE"""),"https://drive.google.com/open?id=1GUjw0lg4-4x7waMJncM25HPMl4oXyiFM")</f>
        <v>https://drive.google.com/open?id=1GUjw0lg4-4x7waMJncM25HPMl4oXyiFM</v>
      </c>
      <c r="L821" s="96" t="str">
        <f>IFERROR(__xludf.DUMMYFUNCTION("""COMPUTED_VALUE"""),"2019-2023")</f>
        <v>2019-2023</v>
      </c>
      <c r="M821" s="96" t="str">
        <f>IFERROR(__xludf.DUMMYFUNCTION("""COMPUTED_VALUE"""),"S4: Student Certifications")</f>
        <v>S4: Student Certifications</v>
      </c>
      <c r="N821" s="96" t="str">
        <f>IFERROR(__xludf.DUMMYFUNCTION("""COMPUTED_VALUE"""),"kommublessy5@gmail.com")</f>
        <v>kommublessy5@gmail.com</v>
      </c>
      <c r="O821" s="96" t="str">
        <f>IFERROR(__xludf.DUMMYFUNCTION("""COMPUTED_VALUE"""),"SEM-6")</f>
        <v>SEM-6</v>
      </c>
      <c r="P821" s="96"/>
      <c r="Q821" s="96"/>
      <c r="R821" s="96"/>
      <c r="S821" s="96"/>
      <c r="T821" s="96"/>
      <c r="U821" s="96"/>
      <c r="V821" s="96"/>
      <c r="W821" s="96"/>
      <c r="X821" s="96"/>
      <c r="Y821" s="96"/>
    </row>
    <row r="822" ht="26.25" customHeight="1">
      <c r="A822" s="96" t="str">
        <f>IFERROR(__xludf.DUMMYFUNCTION("""COMPUTED_VALUE"""),"BANKAPALLI BHARGAVI ")</f>
        <v>BANKAPALLI BHARGAVI </v>
      </c>
      <c r="B822" s="96" t="str">
        <f>IFERROR(__xludf.DUMMYFUNCTION("""COMPUTED_VALUE"""),"20335A0502")</f>
        <v>20335A0502</v>
      </c>
      <c r="C822" s="97" t="str">
        <f>IFERROR(__xludf.DUMMYFUNCTION("""COMPUTED_VALUE"""),"PCAP: Programming Essentials in Python")</f>
        <v>PCAP: Programming Essentials in Python</v>
      </c>
      <c r="D822" s="96" t="str">
        <f>IFERROR(__xludf.DUMMYFUNCTION("""COMPUTED_VALUE"""),"Cisco")</f>
        <v>Cisco</v>
      </c>
      <c r="E822" s="96" t="str">
        <f>IFERROR(__xludf.DUMMYFUNCTION("""COMPUTED_VALUE"""),"3 months")</f>
        <v>3 months</v>
      </c>
      <c r="F822" s="98">
        <f>IFERROR(__xludf.DUMMYFUNCTION("""COMPUTED_VALUE"""),44583.0)</f>
        <v>44583</v>
      </c>
      <c r="G822" s="98">
        <f>IFERROR(__xludf.DUMMYFUNCTION("""COMPUTED_VALUE"""),44673.0)</f>
        <v>44673</v>
      </c>
      <c r="H822" s="99">
        <f>IFERROR(__xludf.DUMMYFUNCTION("""COMPUTED_VALUE"""),44673.0)</f>
        <v>44673</v>
      </c>
      <c r="I822" s="100">
        <f>IFERROR(__xludf.DUMMYFUNCTION("""COMPUTED_VALUE"""),90.0)</f>
        <v>90</v>
      </c>
      <c r="J822" s="96" t="str">
        <f>IFERROR(__xludf.DUMMYFUNCTION("""COMPUTED_VALUE"""),"JAYASRI SAI VENKATA ANGARA")</f>
        <v>JAYASRI SAI VENKATA ANGARA</v>
      </c>
      <c r="K822" s="101" t="str">
        <f>IFERROR(__xludf.DUMMYFUNCTION("""COMPUTED_VALUE"""),"https://drive.google.com/open?id=1ckBgqeBk-jk45Jsh7zTPKjezRHSQNEmQ")</f>
        <v>https://drive.google.com/open?id=1ckBgqeBk-jk45Jsh7zTPKjezRHSQNEmQ</v>
      </c>
      <c r="L822" s="96" t="str">
        <f>IFERROR(__xludf.DUMMYFUNCTION("""COMPUTED_VALUE"""),"2019-2023")</f>
        <v>2019-2023</v>
      </c>
      <c r="M822" s="96" t="str">
        <f>IFERROR(__xludf.DUMMYFUNCTION("""COMPUTED_VALUE"""),"S4: Student Certifications")</f>
        <v>S4: Student Certifications</v>
      </c>
      <c r="N822" s="96" t="str">
        <f>IFERROR(__xludf.DUMMYFUNCTION("""COMPUTED_VALUE"""),"bhargavicme003@gmail.com")</f>
        <v>bhargavicme003@gmail.com</v>
      </c>
      <c r="O822" s="96" t="str">
        <f>IFERROR(__xludf.DUMMYFUNCTION("""COMPUTED_VALUE"""),"SEM-6")</f>
        <v>SEM-6</v>
      </c>
      <c r="P822" s="96"/>
      <c r="Q822" s="96"/>
      <c r="R822" s="96"/>
      <c r="S822" s="96"/>
      <c r="T822" s="96"/>
      <c r="U822" s="96"/>
      <c r="V822" s="96"/>
      <c r="W822" s="96"/>
      <c r="X822" s="96"/>
      <c r="Y822" s="96"/>
    </row>
    <row r="823" ht="26.25" customHeight="1">
      <c r="A823" s="96" t="str">
        <f>IFERROR(__xludf.DUMMYFUNCTION("""COMPUTED_VALUE"""),"Harshitha Kilari")</f>
        <v>Harshitha Kilari</v>
      </c>
      <c r="B823" s="96" t="str">
        <f>IFERROR(__xludf.DUMMYFUNCTION("""COMPUTED_VALUE"""),"19331A0579")</f>
        <v>19331A0579</v>
      </c>
      <c r="C823" s="97" t="str">
        <f>IFERROR(__xludf.DUMMYFUNCTION("""COMPUTED_VALUE"""),"Programming Essentials in Python")</f>
        <v>Programming Essentials in Python</v>
      </c>
      <c r="D823" s="96" t="str">
        <f>IFERROR(__xludf.DUMMYFUNCTION("""COMPUTED_VALUE"""),"cisco")</f>
        <v>cisco</v>
      </c>
      <c r="E823" s="96" t="str">
        <f>IFERROR(__xludf.DUMMYFUNCTION("""COMPUTED_VALUE"""),"2 months")</f>
        <v>2 months</v>
      </c>
      <c r="F823" s="98">
        <f>IFERROR(__xludf.DUMMYFUNCTION("""COMPUTED_VALUE"""),44204.0)</f>
        <v>44204</v>
      </c>
      <c r="G823" s="98">
        <f>IFERROR(__xludf.DUMMYFUNCTION("""COMPUTED_VALUE"""),44263.0)</f>
        <v>44263</v>
      </c>
      <c r="H823" s="99">
        <f>IFERROR(__xludf.DUMMYFUNCTION("""COMPUTED_VALUE"""),44263.0)</f>
        <v>44263</v>
      </c>
      <c r="I823" s="100">
        <f>IFERROR(__xludf.DUMMYFUNCTION("""COMPUTED_VALUE"""),95.0)</f>
        <v>95</v>
      </c>
      <c r="J823" s="96" t="str">
        <f>IFERROR(__xludf.DUMMYFUNCTION("""COMPUTED_VALUE"""),"Dr. Ravi Kiran Varma Penmatsa")</f>
        <v>Dr. Ravi Kiran Varma Penmatsa</v>
      </c>
      <c r="K823" s="101" t="str">
        <f>IFERROR(__xludf.DUMMYFUNCTION("""COMPUTED_VALUE"""),"https://drive.google.com/open?id=1PSx_mpgKks0HuNg6kc8vqJVi3gk46oHo")</f>
        <v>https://drive.google.com/open?id=1PSx_mpgKks0HuNg6kc8vqJVi3gk46oHo</v>
      </c>
      <c r="L823" s="96" t="str">
        <f>IFERROR(__xludf.DUMMYFUNCTION("""COMPUTED_VALUE"""),"2019-2023")</f>
        <v>2019-2023</v>
      </c>
      <c r="M823" s="96" t="str">
        <f>IFERROR(__xludf.DUMMYFUNCTION("""COMPUTED_VALUE"""),"S4: Student Certifications")</f>
        <v>S4: Student Certifications</v>
      </c>
      <c r="N823" s="96" t="str">
        <f>IFERROR(__xludf.DUMMYFUNCTION("""COMPUTED_VALUE"""),"harshithakilari10@gmail.com")</f>
        <v>harshithakilari10@gmail.com</v>
      </c>
      <c r="O823" s="96" t="str">
        <f>IFERROR(__xludf.DUMMYFUNCTION("""COMPUTED_VALUE"""),"SEM-6")</f>
        <v>SEM-6</v>
      </c>
      <c r="P823" s="96"/>
      <c r="Q823" s="96"/>
      <c r="R823" s="96"/>
      <c r="S823" s="96"/>
      <c r="T823" s="96"/>
      <c r="U823" s="96"/>
      <c r="V823" s="96"/>
      <c r="W823" s="96"/>
      <c r="X823" s="96"/>
      <c r="Y823" s="96"/>
    </row>
    <row r="824" ht="26.25" customHeight="1">
      <c r="A824" s="96" t="str">
        <f>IFERROR(__xludf.DUMMYFUNCTION("""COMPUTED_VALUE"""),"JAHNAVI PATNALA ")</f>
        <v>JAHNAVI PATNALA </v>
      </c>
      <c r="B824" s="96" t="str">
        <f>IFERROR(__xludf.DUMMYFUNCTION("""COMPUTED_VALUE"""),"20335A0513")</f>
        <v>20335A0513</v>
      </c>
      <c r="C824" s="97" t="str">
        <f>IFERROR(__xludf.DUMMYFUNCTION("""COMPUTED_VALUE"""),"Programming Essentials in Python ")</f>
        <v>Programming Essentials in Python </v>
      </c>
      <c r="D824" s="96" t="str">
        <f>IFERROR(__xludf.DUMMYFUNCTION("""COMPUTED_VALUE"""),"Python Institute ")</f>
        <v>Python Institute </v>
      </c>
      <c r="E824" s="96" t="str">
        <f>IFERROR(__xludf.DUMMYFUNCTION("""COMPUTED_VALUE"""),"3 months ")</f>
        <v>3 months </v>
      </c>
      <c r="F824" s="98">
        <f>IFERROR(__xludf.DUMMYFUNCTION("""COMPUTED_VALUE"""),44233.0)</f>
        <v>44233</v>
      </c>
      <c r="G824" s="98">
        <f>IFERROR(__xludf.DUMMYFUNCTION("""COMPUTED_VALUE"""),44322.0)</f>
        <v>44322</v>
      </c>
      <c r="H824" s="99">
        <f>IFERROR(__xludf.DUMMYFUNCTION("""COMPUTED_VALUE"""),44322.0)</f>
        <v>44322</v>
      </c>
      <c r="I824" s="100">
        <f>IFERROR(__xludf.DUMMYFUNCTION("""COMPUTED_VALUE"""),100.0)</f>
        <v>100</v>
      </c>
      <c r="J824" s="96" t="str">
        <f>IFERROR(__xludf.DUMMYFUNCTION("""COMPUTED_VALUE"""),"Mrs. M. Beulah Rani ")</f>
        <v>Mrs. M. Beulah Rani </v>
      </c>
      <c r="K824" s="101" t="str">
        <f>IFERROR(__xludf.DUMMYFUNCTION("""COMPUTED_VALUE"""),"https://drive.google.com/open?id=1xwL2bGI2Bx4EwdOilD1iFgqPIv_loDHd")</f>
        <v>https://drive.google.com/open?id=1xwL2bGI2Bx4EwdOilD1iFgqPIv_loDHd</v>
      </c>
      <c r="L824" s="96" t="str">
        <f>IFERROR(__xludf.DUMMYFUNCTION("""COMPUTED_VALUE"""),"2019-2023")</f>
        <v>2019-2023</v>
      </c>
      <c r="M824" s="96" t="str">
        <f>IFERROR(__xludf.DUMMYFUNCTION("""COMPUTED_VALUE"""),"S4: Student Certifications")</f>
        <v>S4: Student Certifications</v>
      </c>
      <c r="N824" s="96" t="str">
        <f>IFERROR(__xludf.DUMMYFUNCTION("""COMPUTED_VALUE"""),"jahnavipatnala222@gmail.com")</f>
        <v>jahnavipatnala222@gmail.com</v>
      </c>
      <c r="O824" s="96" t="str">
        <f>IFERROR(__xludf.DUMMYFUNCTION("""COMPUTED_VALUE"""),"SEM-6")</f>
        <v>SEM-6</v>
      </c>
      <c r="P824" s="96"/>
      <c r="Q824" s="96"/>
      <c r="R824" s="96"/>
      <c r="S824" s="96"/>
      <c r="T824" s="96"/>
      <c r="U824" s="96"/>
      <c r="V824" s="96"/>
      <c r="W824" s="96"/>
      <c r="X824" s="96"/>
      <c r="Y824" s="96"/>
    </row>
    <row r="825" ht="26.25" customHeight="1">
      <c r="A825" s="96" t="str">
        <f>IFERROR(__xludf.DUMMYFUNCTION("""COMPUTED_VALUE"""),"Sunkari Chitra Deepika")</f>
        <v>Sunkari Chitra Deepika</v>
      </c>
      <c r="B825" s="96" t="str">
        <f>IFERROR(__xludf.DUMMYFUNCTION("""COMPUTED_VALUE"""),"19331A05G5")</f>
        <v>19331A05G5</v>
      </c>
      <c r="C825" s="97" t="str">
        <f>IFERROR(__xludf.DUMMYFUNCTION("""COMPUTED_VALUE"""),"AI for everyone")</f>
        <v>AI for everyone</v>
      </c>
      <c r="D825" s="96" t="str">
        <f>IFERROR(__xludf.DUMMYFUNCTION("""COMPUTED_VALUE"""),"Coursera")</f>
        <v>Coursera</v>
      </c>
      <c r="E825" s="96" t="str">
        <f>IFERROR(__xludf.DUMMYFUNCTION("""COMPUTED_VALUE"""),"3 months")</f>
        <v>3 months</v>
      </c>
      <c r="F825" s="98">
        <f>IFERROR(__xludf.DUMMYFUNCTION("""COMPUTED_VALUE"""),43939.0)</f>
        <v>43939</v>
      </c>
      <c r="G825" s="98">
        <f>IFERROR(__xludf.DUMMYFUNCTION("""COMPUTED_VALUE"""),44000.0)</f>
        <v>44000</v>
      </c>
      <c r="H825" s="99">
        <f>IFERROR(__xludf.DUMMYFUNCTION("""COMPUTED_VALUE"""),44000.0)</f>
        <v>44000</v>
      </c>
      <c r="I825" s="100">
        <f>IFERROR(__xludf.DUMMYFUNCTION("""COMPUTED_VALUE"""),1.0)</f>
        <v>1</v>
      </c>
      <c r="J825" s="96" t="str">
        <f>IFERROR(__xludf.DUMMYFUNCTION("""COMPUTED_VALUE"""),"Andrew NG")</f>
        <v>Andrew NG</v>
      </c>
      <c r="K825" s="101" t="str">
        <f>IFERROR(__xludf.DUMMYFUNCTION("""COMPUTED_VALUE"""),"https://drive.google.com/open?id=1y--C6xLPcjEkf1n0bUS-ZYOmGxPounz0")</f>
        <v>https://drive.google.com/open?id=1y--C6xLPcjEkf1n0bUS-ZYOmGxPounz0</v>
      </c>
      <c r="L825" s="96" t="str">
        <f>IFERROR(__xludf.DUMMYFUNCTION("""COMPUTED_VALUE"""),"2019-2023")</f>
        <v>2019-2023</v>
      </c>
      <c r="M825" s="96" t="str">
        <f>IFERROR(__xludf.DUMMYFUNCTION("""COMPUTED_VALUE"""),"S4: Student Certifications")</f>
        <v>S4: Student Certifications</v>
      </c>
      <c r="N825" s="96" t="str">
        <f>IFERROR(__xludf.DUMMYFUNCTION("""COMPUTED_VALUE"""),"chitradeepika3124@gmail.com")</f>
        <v>chitradeepika3124@gmail.com</v>
      </c>
      <c r="O825" s="96" t="str">
        <f>IFERROR(__xludf.DUMMYFUNCTION("""COMPUTED_VALUE"""),"SEM-6")</f>
        <v>SEM-6</v>
      </c>
      <c r="P825" s="96"/>
      <c r="Q825" s="96"/>
      <c r="R825" s="96"/>
      <c r="S825" s="96"/>
      <c r="T825" s="96"/>
      <c r="U825" s="96"/>
      <c r="V825" s="96"/>
      <c r="W825" s="96"/>
      <c r="X825" s="96"/>
      <c r="Y825" s="96"/>
    </row>
    <row r="826" ht="26.25" customHeight="1">
      <c r="A826" s="96" t="str">
        <f>IFERROR(__xludf.DUMMYFUNCTION("""COMPUTED_VALUE"""),"ELURU DIVYA DEEPTHI")</f>
        <v>ELURU DIVYA DEEPTHI</v>
      </c>
      <c r="B826" s="96" t="str">
        <f>IFERROR(__xludf.DUMMYFUNCTION("""COMPUTED_VALUE"""),"20335A0503")</f>
        <v>20335A0503</v>
      </c>
      <c r="C826" s="97" t="str">
        <f>IFERROR(__xludf.DUMMYFUNCTION("""COMPUTED_VALUE"""),"PCAP: Programming Essentials in Python")</f>
        <v>PCAP: Programming Essentials in Python</v>
      </c>
      <c r="D826" s="96" t="str">
        <f>IFERROR(__xludf.DUMMYFUNCTION("""COMPUTED_VALUE"""),"Cisco ")</f>
        <v>Cisco </v>
      </c>
      <c r="E826" s="96" t="str">
        <f>IFERROR(__xludf.DUMMYFUNCTION("""COMPUTED_VALUE"""),"3 months")</f>
        <v>3 months</v>
      </c>
      <c r="F826" s="98">
        <f>IFERROR(__xludf.DUMMYFUNCTION("""COMPUTED_VALUE"""),44564.0)</f>
        <v>44564</v>
      </c>
      <c r="G826" s="98">
        <f>IFERROR(__xludf.DUMMYFUNCTION("""COMPUTED_VALUE"""),44258.0)</f>
        <v>44258</v>
      </c>
      <c r="H826" s="99">
        <f>IFERROR(__xludf.DUMMYFUNCTION("""COMPUTED_VALUE"""),44673.0)</f>
        <v>44673</v>
      </c>
      <c r="I826" s="100">
        <f>IFERROR(__xludf.DUMMYFUNCTION("""COMPUTED_VALUE"""),90.0)</f>
        <v>90</v>
      </c>
      <c r="J826" s="96" t="str">
        <f>IFERROR(__xludf.DUMMYFUNCTION("""COMPUTED_VALUE"""),"JAYASRI SAI VENKATA ANGARA")</f>
        <v>JAYASRI SAI VENKATA ANGARA</v>
      </c>
      <c r="K826" s="101" t="str">
        <f>IFERROR(__xludf.DUMMYFUNCTION("""COMPUTED_VALUE"""),"https://drive.google.com/open?id=15Ogt03ZV1jfFdoBSByeuzZBQQrfcRtDT")</f>
        <v>https://drive.google.com/open?id=15Ogt03ZV1jfFdoBSByeuzZBQQrfcRtDT</v>
      </c>
      <c r="L826" s="96" t="str">
        <f>IFERROR(__xludf.DUMMYFUNCTION("""COMPUTED_VALUE"""),"2019-2023")</f>
        <v>2019-2023</v>
      </c>
      <c r="M826" s="96" t="str">
        <f>IFERROR(__xludf.DUMMYFUNCTION("""COMPUTED_VALUE"""),"S4: Student Certifications")</f>
        <v>S4: Student Certifications</v>
      </c>
      <c r="N826" s="96" t="str">
        <f>IFERROR(__xludf.DUMMYFUNCTION("""COMPUTED_VALUE"""),"elurudivyadeepthi216@gmail.com")</f>
        <v>elurudivyadeepthi216@gmail.com</v>
      </c>
      <c r="O826" s="96" t="str">
        <f>IFERROR(__xludf.DUMMYFUNCTION("""COMPUTED_VALUE"""),"SEM-6")</f>
        <v>SEM-6</v>
      </c>
      <c r="P826" s="96"/>
      <c r="Q826" s="96"/>
      <c r="R826" s="96"/>
      <c r="S826" s="96"/>
      <c r="T826" s="96"/>
      <c r="U826" s="96"/>
      <c r="V826" s="96"/>
      <c r="W826" s="96"/>
      <c r="X826" s="96"/>
      <c r="Y826" s="96"/>
    </row>
    <row r="827" ht="26.25" customHeight="1">
      <c r="A827" s="96" t="str">
        <f>IFERROR(__xludf.DUMMYFUNCTION("""COMPUTED_VALUE"""),"Jayanthi lahari katta ")</f>
        <v>Jayanthi lahari katta </v>
      </c>
      <c r="B827" s="96" t="str">
        <f>IFERROR(__xludf.DUMMYFUNCTION("""COMPUTED_VALUE"""),"20335A0505")</f>
        <v>20335A0505</v>
      </c>
      <c r="C827" s="97" t="str">
        <f>IFERROR(__xludf.DUMMYFUNCTION("""COMPUTED_VALUE"""),"Programming Essentials in Python")</f>
        <v>Programming Essentials in Python</v>
      </c>
      <c r="D827" s="96" t="str">
        <f>IFERROR(__xludf.DUMMYFUNCTION("""COMPUTED_VALUE"""),"Cisco ")</f>
        <v>Cisco </v>
      </c>
      <c r="E827" s="96" t="str">
        <f>IFERROR(__xludf.DUMMYFUNCTION("""COMPUTED_VALUE"""),"3 months ")</f>
        <v>3 months </v>
      </c>
      <c r="F827" s="98">
        <f>IFERROR(__xludf.DUMMYFUNCTION("""COMPUTED_VALUE"""),44574.0)</f>
        <v>44574</v>
      </c>
      <c r="G827" s="98">
        <f>IFERROR(__xludf.DUMMYFUNCTION("""COMPUTED_VALUE"""),44308.0)</f>
        <v>44308</v>
      </c>
      <c r="H827" s="99">
        <f>IFERROR(__xludf.DUMMYFUNCTION("""COMPUTED_VALUE"""),44308.0)</f>
        <v>44308</v>
      </c>
      <c r="I827" s="100">
        <f>IFERROR(__xludf.DUMMYFUNCTION("""COMPUTED_VALUE"""),96.0)</f>
        <v>96</v>
      </c>
      <c r="J827" s="96" t="str">
        <f>IFERROR(__xludf.DUMMYFUNCTION("""COMPUTED_VALUE"""),"Jayasri sai venkata anagra")</f>
        <v>Jayasri sai venkata anagra</v>
      </c>
      <c r="K827" s="101" t="str">
        <f>IFERROR(__xludf.DUMMYFUNCTION("""COMPUTED_VALUE"""),"https://drive.google.com/open?id=18e0vdU2AMtLaA6e223826psRNdrMumqa")</f>
        <v>https://drive.google.com/open?id=18e0vdU2AMtLaA6e223826psRNdrMumqa</v>
      </c>
      <c r="L827" s="96" t="str">
        <f>IFERROR(__xludf.DUMMYFUNCTION("""COMPUTED_VALUE"""),"2019-2023")</f>
        <v>2019-2023</v>
      </c>
      <c r="M827" s="96" t="str">
        <f>IFERROR(__xludf.DUMMYFUNCTION("""COMPUTED_VALUE"""),"S4: Student Certifications")</f>
        <v>S4: Student Certifications</v>
      </c>
      <c r="N827" s="96" t="str">
        <f>IFERROR(__xludf.DUMMYFUNCTION("""COMPUTED_VALUE"""),"jayanthilaharikatta@gmail.com")</f>
        <v>jayanthilaharikatta@gmail.com</v>
      </c>
      <c r="O827" s="96" t="str">
        <f>IFERROR(__xludf.DUMMYFUNCTION("""COMPUTED_VALUE"""),"SEM-6")</f>
        <v>SEM-6</v>
      </c>
      <c r="P827" s="96"/>
      <c r="Q827" s="96"/>
      <c r="R827" s="96"/>
      <c r="S827" s="96"/>
      <c r="T827" s="96"/>
      <c r="U827" s="96"/>
      <c r="V827" s="96"/>
      <c r="W827" s="96"/>
      <c r="X827" s="96"/>
      <c r="Y827" s="96"/>
    </row>
    <row r="828" ht="26.25" customHeight="1">
      <c r="A828" s="96" t="str">
        <f>IFERROR(__xludf.DUMMYFUNCTION("""COMPUTED_VALUE"""),"Mohan Subha Varshith Pehetti ")</f>
        <v>Mohan Subha Varshith Pehetti </v>
      </c>
      <c r="B828" s="96" t="str">
        <f>IFERROR(__xludf.DUMMYFUNCTION("""COMPUTED_VALUE"""),"19331A05C7")</f>
        <v>19331A05C7</v>
      </c>
      <c r="C828" s="97" t="str">
        <f>IFERROR(__xludf.DUMMYFUNCTION("""COMPUTED_VALUE"""),"Programming for Everybody (Getting Started with Python)")</f>
        <v>Programming for Everybody (Getting Started with Python)</v>
      </c>
      <c r="D828" s="96" t="str">
        <f>IFERROR(__xludf.DUMMYFUNCTION("""COMPUTED_VALUE"""),"Coursera")</f>
        <v>Coursera</v>
      </c>
      <c r="E828" s="96" t="str">
        <f>IFERROR(__xludf.DUMMYFUNCTION("""COMPUTED_VALUE"""),"2months")</f>
        <v>2months</v>
      </c>
      <c r="F828" s="98">
        <f>IFERROR(__xludf.DUMMYFUNCTION("""COMPUTED_VALUE"""),43881.0)</f>
        <v>43881</v>
      </c>
      <c r="G828" s="98">
        <f>IFERROR(__xludf.DUMMYFUNCTION("""COMPUTED_VALUE"""),43942.0)</f>
        <v>43942</v>
      </c>
      <c r="H828" s="99">
        <f>IFERROR(__xludf.DUMMYFUNCTION("""COMPUTED_VALUE"""),43942.0)</f>
        <v>43942</v>
      </c>
      <c r="I828" s="100">
        <f>IFERROR(__xludf.DUMMYFUNCTION("""COMPUTED_VALUE"""),95.0)</f>
        <v>95</v>
      </c>
      <c r="J828" s="96" t="str">
        <f>IFERROR(__xludf.DUMMYFUNCTION("""COMPUTED_VALUE"""),"Charles Severance Clinical Professor, School ofInformation University of Michigan")</f>
        <v>Charles Severance Clinical Professor, School ofInformation University of Michigan</v>
      </c>
      <c r="K828" s="101" t="str">
        <f>IFERROR(__xludf.DUMMYFUNCTION("""COMPUTED_VALUE"""),"https://drive.google.com/open?id=1p97L5qAnBKl657IDsRyvIgHR-GCY-bLz")</f>
        <v>https://drive.google.com/open?id=1p97L5qAnBKl657IDsRyvIgHR-GCY-bLz</v>
      </c>
      <c r="L828" s="96" t="str">
        <f>IFERROR(__xludf.DUMMYFUNCTION("""COMPUTED_VALUE"""),"2019-2023")</f>
        <v>2019-2023</v>
      </c>
      <c r="M828" s="96" t="str">
        <f>IFERROR(__xludf.DUMMYFUNCTION("""COMPUTED_VALUE"""),"S4: Student Certifications")</f>
        <v>S4: Student Certifications</v>
      </c>
      <c r="N828" s="96" t="str">
        <f>IFERROR(__xludf.DUMMYFUNCTION("""COMPUTED_VALUE"""),"subhavarshith@gmail.com")</f>
        <v>subhavarshith@gmail.com</v>
      </c>
      <c r="O828" s="96" t="str">
        <f>IFERROR(__xludf.DUMMYFUNCTION("""COMPUTED_VALUE"""),"SEM-6")</f>
        <v>SEM-6</v>
      </c>
      <c r="P828" s="96"/>
      <c r="Q828" s="96"/>
      <c r="R828" s="96"/>
      <c r="S828" s="96"/>
      <c r="T828" s="96"/>
      <c r="U828" s="96"/>
      <c r="V828" s="96"/>
      <c r="W828" s="96"/>
      <c r="X828" s="96"/>
      <c r="Y828" s="96"/>
    </row>
    <row r="829" ht="26.25" customHeight="1">
      <c r="A829" s="96" t="str">
        <f>IFERROR(__xludf.DUMMYFUNCTION("""COMPUTED_VALUE"""),"ANJANI ROUTHU")</f>
        <v>ANJANI ROUTHU</v>
      </c>
      <c r="B829" s="96" t="str">
        <f>IFERROR(__xludf.DUMMYFUNCTION("""COMPUTED_VALUE"""),"20335A0515")</f>
        <v>20335A0515</v>
      </c>
      <c r="C829" s="97" t="str">
        <f>IFERROR(__xludf.DUMMYFUNCTION("""COMPUTED_VALUE"""),"Blue Prism Associate Developer ")</f>
        <v>Blue Prism Associate Developer </v>
      </c>
      <c r="D829" s="96" t="str">
        <f>IFERROR(__xludf.DUMMYFUNCTION("""COMPUTED_VALUE"""),"Blue Prism University ")</f>
        <v>Blue Prism University </v>
      </c>
      <c r="E829" s="96" t="str">
        <f>IFERROR(__xludf.DUMMYFUNCTION("""COMPUTED_VALUE"""),"1 month ")</f>
        <v>1 month </v>
      </c>
      <c r="F829" s="98">
        <f>IFERROR(__xludf.DUMMYFUNCTION("""COMPUTED_VALUE"""),44451.0)</f>
        <v>44451</v>
      </c>
      <c r="G829" s="98">
        <f>IFERROR(__xludf.DUMMYFUNCTION("""COMPUTED_VALUE"""),44481.0)</f>
        <v>44481</v>
      </c>
      <c r="H829" s="99">
        <f>IFERROR(__xludf.DUMMYFUNCTION("""COMPUTED_VALUE"""),44481.0)</f>
        <v>44481</v>
      </c>
      <c r="I829" s="100">
        <f>IFERROR(__xludf.DUMMYFUNCTION("""COMPUTED_VALUE"""),100.0)</f>
        <v>100</v>
      </c>
      <c r="J829" s="96" t="str">
        <f>IFERROR(__xludf.DUMMYFUNCTION("""COMPUTED_VALUE"""),"Mrs. Shoba Rani")</f>
        <v>Mrs. Shoba Rani</v>
      </c>
      <c r="K829" s="101" t="str">
        <f>IFERROR(__xludf.DUMMYFUNCTION("""COMPUTED_VALUE"""),"https://drive.google.com/open?id=1TNyg_nhP-TuaMnKxRlTDVzaCrbMg1A7W")</f>
        <v>https://drive.google.com/open?id=1TNyg_nhP-TuaMnKxRlTDVzaCrbMg1A7W</v>
      </c>
      <c r="L829" s="96" t="str">
        <f>IFERROR(__xludf.DUMMYFUNCTION("""COMPUTED_VALUE"""),"2019-2023")</f>
        <v>2019-2023</v>
      </c>
      <c r="M829" s="96" t="str">
        <f>IFERROR(__xludf.DUMMYFUNCTION("""COMPUTED_VALUE"""),"S4: Student Certifications")</f>
        <v>S4: Student Certifications</v>
      </c>
      <c r="N829" s="96" t="str">
        <f>IFERROR(__xludf.DUMMYFUNCTION("""COMPUTED_VALUE"""),"anjanirouthu@gmail.com")</f>
        <v>anjanirouthu@gmail.com</v>
      </c>
      <c r="O829" s="96" t="str">
        <f>IFERROR(__xludf.DUMMYFUNCTION("""COMPUTED_VALUE"""),"SEM-6")</f>
        <v>SEM-6</v>
      </c>
      <c r="P829" s="96"/>
      <c r="Q829" s="96"/>
      <c r="R829" s="96"/>
      <c r="S829" s="96"/>
      <c r="T829" s="96"/>
      <c r="U829" s="96"/>
      <c r="V829" s="96"/>
      <c r="W829" s="96"/>
      <c r="X829" s="96"/>
      <c r="Y829" s="96"/>
    </row>
    <row r="830" ht="26.25" customHeight="1">
      <c r="A830" s="96" t="str">
        <f>IFERROR(__xludf.DUMMYFUNCTION("""COMPUTED_VALUE"""),"ELURU DIVYA DEEPTHI")</f>
        <v>ELURU DIVYA DEEPTHI</v>
      </c>
      <c r="B830" s="96" t="str">
        <f>IFERROR(__xludf.DUMMYFUNCTION("""COMPUTED_VALUE"""),"20335A0503")</f>
        <v>20335A0503</v>
      </c>
      <c r="C830" s="97" t="str">
        <f>IFERROR(__xludf.DUMMYFUNCTION("""COMPUTED_VALUE"""),"CCNAv7: Switching, Routing, and Wireless Essentials")</f>
        <v>CCNAv7: Switching, Routing, and Wireless Essentials</v>
      </c>
      <c r="D830" s="96" t="str">
        <f>IFERROR(__xludf.DUMMYFUNCTION("""COMPUTED_VALUE"""),"CISCO")</f>
        <v>CISCO</v>
      </c>
      <c r="E830" s="96" t="str">
        <f>IFERROR(__xludf.DUMMYFUNCTION("""COMPUTED_VALUE"""),"3 months")</f>
        <v>3 months</v>
      </c>
      <c r="F830" s="98">
        <f>IFERROR(__xludf.DUMMYFUNCTION("""COMPUTED_VALUE"""),44513.0)</f>
        <v>44513</v>
      </c>
      <c r="G830" s="98">
        <f>IFERROR(__xludf.DUMMYFUNCTION("""COMPUTED_VALUE"""),44605.0)</f>
        <v>44605</v>
      </c>
      <c r="H830" s="99">
        <f>IFERROR(__xludf.DUMMYFUNCTION("""COMPUTED_VALUE"""),44605.0)</f>
        <v>44605</v>
      </c>
      <c r="I830" s="100">
        <f>IFERROR(__xludf.DUMMYFUNCTION("""COMPUTED_VALUE"""),90.0)</f>
        <v>90</v>
      </c>
      <c r="J830" s="96" t="str">
        <f>IFERROR(__xludf.DUMMYFUNCTION("""COMPUTED_VALUE"""),"DR. RAVI KIRAN VARMA PENMATSA")</f>
        <v>DR. RAVI KIRAN VARMA PENMATSA</v>
      </c>
      <c r="K830" s="101" t="str">
        <f>IFERROR(__xludf.DUMMYFUNCTION("""COMPUTED_VALUE"""),"https://drive.google.com/open?id=1YWU_dCA5YuTZNpI-8_s2xxirCMjSZ6j_")</f>
        <v>https://drive.google.com/open?id=1YWU_dCA5YuTZNpI-8_s2xxirCMjSZ6j_</v>
      </c>
      <c r="L830" s="96" t="str">
        <f>IFERROR(__xludf.DUMMYFUNCTION("""COMPUTED_VALUE"""),"2019-2023")</f>
        <v>2019-2023</v>
      </c>
      <c r="M830" s="96" t="str">
        <f>IFERROR(__xludf.DUMMYFUNCTION("""COMPUTED_VALUE"""),"S4: Student Certifications")</f>
        <v>S4: Student Certifications</v>
      </c>
      <c r="N830" s="96" t="str">
        <f>IFERROR(__xludf.DUMMYFUNCTION("""COMPUTED_VALUE"""),"elurudivyadeepthi216@gmail.com")</f>
        <v>elurudivyadeepthi216@gmail.com</v>
      </c>
      <c r="O830" s="96" t="str">
        <f>IFERROR(__xludf.DUMMYFUNCTION("""COMPUTED_VALUE"""),"SEM-6")</f>
        <v>SEM-6</v>
      </c>
      <c r="P830" s="96"/>
      <c r="Q830" s="96"/>
      <c r="R830" s="96"/>
      <c r="S830" s="96"/>
      <c r="T830" s="96"/>
      <c r="U830" s="96"/>
      <c r="V830" s="96"/>
      <c r="W830" s="96"/>
      <c r="X830" s="96"/>
      <c r="Y830" s="96"/>
    </row>
    <row r="831" ht="26.25" customHeight="1">
      <c r="A831" s="96" t="str">
        <f>IFERROR(__xludf.DUMMYFUNCTION("""COMPUTED_VALUE"""),"Neelam Pavani Lakshmi")</f>
        <v>Neelam Pavani Lakshmi</v>
      </c>
      <c r="B831" s="96" t="str">
        <f>IFERROR(__xludf.DUMMYFUNCTION("""COMPUTED_VALUE"""),"19331A05C1")</f>
        <v>19331A05C1</v>
      </c>
      <c r="C831" s="97" t="str">
        <f>IFERROR(__xludf.DUMMYFUNCTION("""COMPUTED_VALUE"""),"Introduction to IOT")</f>
        <v>Introduction to IOT</v>
      </c>
      <c r="D831" s="96" t="str">
        <f>IFERROR(__xludf.DUMMYFUNCTION("""COMPUTED_VALUE"""),"Cisco")</f>
        <v>Cisco</v>
      </c>
      <c r="E831" s="96" t="str">
        <f>IFERROR(__xludf.DUMMYFUNCTION("""COMPUTED_VALUE"""),"2 months")</f>
        <v>2 months</v>
      </c>
      <c r="F831" s="98">
        <f>IFERROR(__xludf.DUMMYFUNCTION("""COMPUTED_VALUE"""),43962.0)</f>
        <v>43962</v>
      </c>
      <c r="G831" s="98">
        <f>IFERROR(__xludf.DUMMYFUNCTION("""COMPUTED_VALUE"""),44023.0)</f>
        <v>44023</v>
      </c>
      <c r="H831" s="99">
        <f>IFERROR(__xludf.DUMMYFUNCTION("""COMPUTED_VALUE"""),44023.0)</f>
        <v>44023</v>
      </c>
      <c r="I831" s="100">
        <f>IFERROR(__xludf.DUMMYFUNCTION("""COMPUTED_VALUE"""),95.0)</f>
        <v>95</v>
      </c>
      <c r="J831" s="96" t="str">
        <f>IFERROR(__xludf.DUMMYFUNCTION("""COMPUTED_VALUE"""),"Laura Quintana")</f>
        <v>Laura Quintana</v>
      </c>
      <c r="K831" s="101" t="str">
        <f>IFERROR(__xludf.DUMMYFUNCTION("""COMPUTED_VALUE"""),"https://drive.google.com/open?id=1RHTPiPKI9-CjzscxP-nDYDLT81tyhwh-")</f>
        <v>https://drive.google.com/open?id=1RHTPiPKI9-CjzscxP-nDYDLT81tyhwh-</v>
      </c>
      <c r="L831" s="96" t="str">
        <f>IFERROR(__xludf.DUMMYFUNCTION("""COMPUTED_VALUE"""),"2019-2023")</f>
        <v>2019-2023</v>
      </c>
      <c r="M831" s="96" t="str">
        <f>IFERROR(__xludf.DUMMYFUNCTION("""COMPUTED_VALUE"""),"S4: Student Certifications")</f>
        <v>S4: Student Certifications</v>
      </c>
      <c r="N831" s="96" t="str">
        <f>IFERROR(__xludf.DUMMYFUNCTION("""COMPUTED_VALUE"""),"npavanilaxmi@gmail.com")</f>
        <v>npavanilaxmi@gmail.com</v>
      </c>
      <c r="O831" s="96" t="str">
        <f>IFERROR(__xludf.DUMMYFUNCTION("""COMPUTED_VALUE"""),"SEM-6")</f>
        <v>SEM-6</v>
      </c>
      <c r="P831" s="96"/>
      <c r="Q831" s="96"/>
      <c r="R831" s="96"/>
      <c r="S831" s="96"/>
      <c r="T831" s="96"/>
      <c r="U831" s="96"/>
      <c r="V831" s="96"/>
      <c r="W831" s="96"/>
      <c r="X831" s="96"/>
      <c r="Y831" s="96"/>
    </row>
    <row r="832" ht="26.25" customHeight="1">
      <c r="A832" s="96" t="str">
        <f>IFERROR(__xludf.DUMMYFUNCTION("""COMPUTED_VALUE"""),"ELURU DIVYA DEEPTHI")</f>
        <v>ELURU DIVYA DEEPTHI</v>
      </c>
      <c r="B832" s="96" t="str">
        <f>IFERROR(__xludf.DUMMYFUNCTION("""COMPUTED_VALUE"""),"20335A0503")</f>
        <v>20335A0503</v>
      </c>
      <c r="C832" s="97" t="str">
        <f>IFERROR(__xludf.DUMMYFUNCTION("""COMPUTED_VALUE"""),"CCNAv7: Introduction to Networks")</f>
        <v>CCNAv7: Introduction to Networks</v>
      </c>
      <c r="D832" s="96" t="str">
        <f>IFERROR(__xludf.DUMMYFUNCTION("""COMPUTED_VALUE"""),"CISCO")</f>
        <v>CISCO</v>
      </c>
      <c r="E832" s="96" t="str">
        <f>IFERROR(__xludf.DUMMYFUNCTION("""COMPUTED_VALUE"""),"3 months")</f>
        <v>3 months</v>
      </c>
      <c r="F832" s="98">
        <f>IFERROR(__xludf.DUMMYFUNCTION("""COMPUTED_VALUE"""),44454.0)</f>
        <v>44454</v>
      </c>
      <c r="G832" s="98">
        <f>IFERROR(__xludf.DUMMYFUNCTION("""COMPUTED_VALUE"""),44545.0)</f>
        <v>44545</v>
      </c>
      <c r="H832" s="99">
        <f>IFERROR(__xludf.DUMMYFUNCTION("""COMPUTED_VALUE"""),44545.0)</f>
        <v>44545</v>
      </c>
      <c r="I832" s="100">
        <f>IFERROR(__xludf.DUMMYFUNCTION("""COMPUTED_VALUE"""),90.0)</f>
        <v>90</v>
      </c>
      <c r="J832" s="96" t="str">
        <f>IFERROR(__xludf.DUMMYFUNCTION("""COMPUTED_VALUE"""),"DR. RAVI KIRAN VARMA PENMATSA")</f>
        <v>DR. RAVI KIRAN VARMA PENMATSA</v>
      </c>
      <c r="K832" s="101" t="str">
        <f>IFERROR(__xludf.DUMMYFUNCTION("""COMPUTED_VALUE"""),"https://drive.google.com/open?id=169dTjHD4kNz07CRxjGDEbNPSmTISD66T")</f>
        <v>https://drive.google.com/open?id=169dTjHD4kNz07CRxjGDEbNPSmTISD66T</v>
      </c>
      <c r="L832" s="96" t="str">
        <f>IFERROR(__xludf.DUMMYFUNCTION("""COMPUTED_VALUE"""),"2019-2023")</f>
        <v>2019-2023</v>
      </c>
      <c r="M832" s="96" t="str">
        <f>IFERROR(__xludf.DUMMYFUNCTION("""COMPUTED_VALUE"""),"S4: Student Certifications")</f>
        <v>S4: Student Certifications</v>
      </c>
      <c r="N832" s="96" t="str">
        <f>IFERROR(__xludf.DUMMYFUNCTION("""COMPUTED_VALUE"""),"elurudivyadeepthi216@gmail.com")</f>
        <v>elurudivyadeepthi216@gmail.com</v>
      </c>
      <c r="O832" s="96" t="str">
        <f>IFERROR(__xludf.DUMMYFUNCTION("""COMPUTED_VALUE"""),"SEM-6")</f>
        <v>SEM-6</v>
      </c>
      <c r="P832" s="96"/>
      <c r="Q832" s="96"/>
      <c r="R832" s="96"/>
      <c r="S832" s="96"/>
      <c r="T832" s="96"/>
      <c r="U832" s="96"/>
      <c r="V832" s="96"/>
      <c r="W832" s="96"/>
      <c r="X832" s="96"/>
      <c r="Y832" s="96"/>
    </row>
    <row r="833" ht="26.25" customHeight="1">
      <c r="A833" s="96" t="str">
        <f>IFERROR(__xludf.DUMMYFUNCTION("""COMPUTED_VALUE"""),"Mohan Subha Varshith Pechetti")</f>
        <v>Mohan Subha Varshith Pechetti</v>
      </c>
      <c r="B833" s="96" t="str">
        <f>IFERROR(__xludf.DUMMYFUNCTION("""COMPUTED_VALUE"""),"19331A05C7")</f>
        <v>19331A05C7</v>
      </c>
      <c r="C833" s="97" t="str">
        <f>IFERROR(__xludf.DUMMYFUNCTION("""COMPUTED_VALUE"""),"Nasscom Python")</f>
        <v>Nasscom Python</v>
      </c>
      <c r="D833" s="96" t="str">
        <f>IFERROR(__xludf.DUMMYFUNCTION("""COMPUTED_VALUE"""),"Coding Ninjas")</f>
        <v>Coding Ninjas</v>
      </c>
      <c r="E833" s="96" t="str">
        <f>IFERROR(__xludf.DUMMYFUNCTION("""COMPUTED_VALUE"""),"3months")</f>
        <v>3months</v>
      </c>
      <c r="F833" s="98">
        <f>IFERROR(__xludf.DUMMYFUNCTION("""COMPUTED_VALUE"""),44195.0)</f>
        <v>44195</v>
      </c>
      <c r="G833" s="98">
        <f>IFERROR(__xludf.DUMMYFUNCTION("""COMPUTED_VALUE"""),44270.0)</f>
        <v>44270</v>
      </c>
      <c r="H833" s="99">
        <f>IFERROR(__xludf.DUMMYFUNCTION("""COMPUTED_VALUE"""),44270.0)</f>
        <v>44270</v>
      </c>
      <c r="I833" s="100">
        <f>IFERROR(__xludf.DUMMYFUNCTION("""COMPUTED_VALUE"""),95.0)</f>
        <v>95</v>
      </c>
      <c r="J833" s="96" t="str">
        <f>IFERROR(__xludf.DUMMYFUNCTION("""COMPUTED_VALUE"""),"Parikh Jain Mentor / Instructor")</f>
        <v>Parikh Jain Mentor / Instructor</v>
      </c>
      <c r="K833" s="101" t="str">
        <f>IFERROR(__xludf.DUMMYFUNCTION("""COMPUTED_VALUE"""),"https://drive.google.com/open?id=1kzO8Rkz8zuwzUO5XqHfqdfkxioA1-KzY")</f>
        <v>https://drive.google.com/open?id=1kzO8Rkz8zuwzUO5XqHfqdfkxioA1-KzY</v>
      </c>
      <c r="L833" s="96" t="str">
        <f>IFERROR(__xludf.DUMMYFUNCTION("""COMPUTED_VALUE"""),"2019-2023")</f>
        <v>2019-2023</v>
      </c>
      <c r="M833" s="96" t="str">
        <f>IFERROR(__xludf.DUMMYFUNCTION("""COMPUTED_VALUE"""),"S4: Student Certifications")</f>
        <v>S4: Student Certifications</v>
      </c>
      <c r="N833" s="96" t="str">
        <f>IFERROR(__xludf.DUMMYFUNCTION("""COMPUTED_VALUE"""),"subhavarshith@gmail.com")</f>
        <v>subhavarshith@gmail.com</v>
      </c>
      <c r="O833" s="96" t="str">
        <f>IFERROR(__xludf.DUMMYFUNCTION("""COMPUTED_VALUE"""),"SEM-6")</f>
        <v>SEM-6</v>
      </c>
      <c r="P833" s="96"/>
      <c r="Q833" s="96"/>
      <c r="R833" s="96"/>
      <c r="S833" s="96"/>
      <c r="T833" s="96"/>
      <c r="U833" s="96"/>
      <c r="V833" s="96"/>
      <c r="W833" s="96"/>
      <c r="X833" s="96"/>
      <c r="Y833" s="96"/>
    </row>
    <row r="834" ht="26.25" customHeight="1">
      <c r="A834" s="96" t="str">
        <f>IFERROR(__xludf.DUMMYFUNCTION("""COMPUTED_VALUE"""),"Sunkari Chitra Deepika ")</f>
        <v>Sunkari Chitra Deepika </v>
      </c>
      <c r="B834" s="96" t="str">
        <f>IFERROR(__xludf.DUMMYFUNCTION("""COMPUTED_VALUE"""),"193315A0G8")</f>
        <v>193315A0G8</v>
      </c>
      <c r="C834" s="97" t="str">
        <f>IFERROR(__xludf.DUMMYFUNCTION("""COMPUTED_VALUE"""),"Programming Essentials in C")</f>
        <v>Programming Essentials in C</v>
      </c>
      <c r="D834" s="96" t="str">
        <f>IFERROR(__xludf.DUMMYFUNCTION("""COMPUTED_VALUE"""),"C++ institute ")</f>
        <v>C++ institute </v>
      </c>
      <c r="E834" s="96" t="str">
        <f>IFERROR(__xludf.DUMMYFUNCTION("""COMPUTED_VALUE"""),"3 months")</f>
        <v>3 months</v>
      </c>
      <c r="F834" s="98">
        <f>IFERROR(__xludf.DUMMYFUNCTION("""COMPUTED_VALUE"""),43966.0)</f>
        <v>43966</v>
      </c>
      <c r="G834" s="98">
        <f>IFERROR(__xludf.DUMMYFUNCTION("""COMPUTED_VALUE"""),44027.0)</f>
        <v>44027</v>
      </c>
      <c r="H834" s="99">
        <f>IFERROR(__xludf.DUMMYFUNCTION("""COMPUTED_VALUE"""),44027.0)</f>
        <v>44027</v>
      </c>
      <c r="I834" s="100">
        <f>IFERROR(__xludf.DUMMYFUNCTION("""COMPUTED_VALUE"""),100.0)</f>
        <v>100</v>
      </c>
      <c r="J834" s="96" t="str">
        <f>IFERROR(__xludf.DUMMYFUNCTION("""COMPUTED_VALUE"""),"Laura Quintana")</f>
        <v>Laura Quintana</v>
      </c>
      <c r="K834" s="101" t="str">
        <f>IFERROR(__xludf.DUMMYFUNCTION("""COMPUTED_VALUE"""),"https://drive.google.com/open?id=1PMfeCuz1ry2XrzLvU98P5JrmIQBHKsHG")</f>
        <v>https://drive.google.com/open?id=1PMfeCuz1ry2XrzLvU98P5JrmIQBHKsHG</v>
      </c>
      <c r="L834" s="96" t="str">
        <f>IFERROR(__xludf.DUMMYFUNCTION("""COMPUTED_VALUE"""),"2019-2023")</f>
        <v>2019-2023</v>
      </c>
      <c r="M834" s="96" t="str">
        <f>IFERROR(__xludf.DUMMYFUNCTION("""COMPUTED_VALUE"""),"S4: Student Certifications")</f>
        <v>S4: Student Certifications</v>
      </c>
      <c r="N834" s="96" t="str">
        <f>IFERROR(__xludf.DUMMYFUNCTION("""COMPUTED_VALUE"""),"chitradeepika3124@gmail.com")</f>
        <v>chitradeepika3124@gmail.com</v>
      </c>
      <c r="O834" s="96" t="str">
        <f>IFERROR(__xludf.DUMMYFUNCTION("""COMPUTED_VALUE"""),"SEM-6")</f>
        <v>SEM-6</v>
      </c>
      <c r="P834" s="96"/>
      <c r="Q834" s="96"/>
      <c r="R834" s="96"/>
      <c r="S834" s="96"/>
      <c r="T834" s="96"/>
      <c r="U834" s="96"/>
      <c r="V834" s="96"/>
      <c r="W834" s="96"/>
      <c r="X834" s="96"/>
      <c r="Y834" s="96"/>
    </row>
    <row r="835" ht="26.25" customHeight="1">
      <c r="A835" s="96" t="str">
        <f>IFERROR(__xludf.DUMMYFUNCTION("""COMPUTED_VALUE"""),"LAKKIMSETTI CAHNDRA SIRISHA")</f>
        <v>LAKKIMSETTI CAHNDRA SIRISHA</v>
      </c>
      <c r="B835" s="96" t="str">
        <f>IFERROR(__xludf.DUMMYFUNCTION("""COMPUTED_VALUE"""),"19331A0594")</f>
        <v>19331A0594</v>
      </c>
      <c r="C835" s="97" t="str">
        <f>IFERROR(__xludf.DUMMYFUNCTION("""COMPUTED_VALUE"""),"PROGRAMMING ESSENTIALS IN PYTHON")</f>
        <v>PROGRAMMING ESSENTIALS IN PYTHON</v>
      </c>
      <c r="D835" s="96" t="str">
        <f>IFERROR(__xludf.DUMMYFUNCTION("""COMPUTED_VALUE"""),"CISCO")</f>
        <v>CISCO</v>
      </c>
      <c r="E835" s="96" t="str">
        <f>IFERROR(__xludf.DUMMYFUNCTION("""COMPUTED_VALUE"""),"2 MONTHS")</f>
        <v>2 MONTHS</v>
      </c>
      <c r="F835" s="98">
        <f>IFERROR(__xludf.DUMMYFUNCTION("""COMPUTED_VALUE"""),44201.0)</f>
        <v>44201</v>
      </c>
      <c r="G835" s="98">
        <f>IFERROR(__xludf.DUMMYFUNCTION("""COMPUTED_VALUE"""),44260.0)</f>
        <v>44260</v>
      </c>
      <c r="H835" s="99">
        <f>IFERROR(__xludf.DUMMYFUNCTION("""COMPUTED_VALUE"""),44260.0)</f>
        <v>44260</v>
      </c>
      <c r="I835" s="100">
        <f>IFERROR(__xludf.DUMMYFUNCTION("""COMPUTED_VALUE"""),0.95)</f>
        <v>0.95</v>
      </c>
      <c r="J835" s="96" t="str">
        <f>IFERROR(__xludf.DUMMYFUNCTION("""COMPUTED_VALUE"""),"DR . RAVI KIRAN VARMA")</f>
        <v>DR . RAVI KIRAN VARMA</v>
      </c>
      <c r="K835" s="101" t="str">
        <f>IFERROR(__xludf.DUMMYFUNCTION("""COMPUTED_VALUE"""),"https://drive.google.com/open?id=1ybAw-ahHUjE2vqj887euHhxUAFGVaW2H")</f>
        <v>https://drive.google.com/open?id=1ybAw-ahHUjE2vqj887euHhxUAFGVaW2H</v>
      </c>
      <c r="L835" s="96" t="str">
        <f>IFERROR(__xludf.DUMMYFUNCTION("""COMPUTED_VALUE"""),"2019-2023")</f>
        <v>2019-2023</v>
      </c>
      <c r="M835" s="96" t="str">
        <f>IFERROR(__xludf.DUMMYFUNCTION("""COMPUTED_VALUE"""),"S4: Student Certifications")</f>
        <v>S4: Student Certifications</v>
      </c>
      <c r="N835" s="96" t="str">
        <f>IFERROR(__xludf.DUMMYFUNCTION("""COMPUTED_VALUE"""),"sirishalakkimsetti1729@gmail.com")</f>
        <v>sirishalakkimsetti1729@gmail.com</v>
      </c>
      <c r="O835" s="96" t="str">
        <f>IFERROR(__xludf.DUMMYFUNCTION("""COMPUTED_VALUE"""),"SEM-6")</f>
        <v>SEM-6</v>
      </c>
      <c r="P835" s="96"/>
      <c r="Q835" s="96"/>
      <c r="R835" s="96"/>
      <c r="S835" s="96"/>
      <c r="T835" s="96"/>
      <c r="U835" s="96"/>
      <c r="V835" s="96"/>
      <c r="W835" s="96"/>
      <c r="X835" s="96"/>
      <c r="Y835" s="96"/>
    </row>
    <row r="836" ht="26.25" customHeight="1">
      <c r="A836" s="96" t="str">
        <f>IFERROR(__xludf.DUMMYFUNCTION("""COMPUTED_VALUE"""),"Pechetti Mohan Subha Varshith")</f>
        <v>Pechetti Mohan Subha Varshith</v>
      </c>
      <c r="B836" s="96" t="str">
        <f>IFERROR(__xludf.DUMMYFUNCTION("""COMPUTED_VALUE"""),"19331A05C7")</f>
        <v>19331A05C7</v>
      </c>
      <c r="C836" s="97" t="str">
        <f>IFERROR(__xludf.DUMMYFUNCTION("""COMPUTED_VALUE"""),"AWS Academy Graduate - AWS Academy Cloud Foundations")</f>
        <v>AWS Academy Graduate - AWS Academy Cloud Foundations</v>
      </c>
      <c r="D836" s="96" t="str">
        <f>IFERROR(__xludf.DUMMYFUNCTION("""COMPUTED_VALUE"""),"AWS Academy")</f>
        <v>AWS Academy</v>
      </c>
      <c r="E836" s="96" t="str">
        <f>IFERROR(__xludf.DUMMYFUNCTION("""COMPUTED_VALUE"""),"20 hours")</f>
        <v>20 hours</v>
      </c>
      <c r="F836" s="98">
        <f>IFERROR(__xludf.DUMMYFUNCTION("""COMPUTED_VALUE"""),44532.0)</f>
        <v>44532</v>
      </c>
      <c r="G836" s="98">
        <f>IFERROR(__xludf.DUMMYFUNCTION("""COMPUTED_VALUE"""),44568.0)</f>
        <v>44568</v>
      </c>
      <c r="H836" s="99">
        <f>IFERROR(__xludf.DUMMYFUNCTION("""COMPUTED_VALUE"""),44568.0)</f>
        <v>44568</v>
      </c>
      <c r="I836" s="100">
        <f>IFERROR(__xludf.DUMMYFUNCTION("""COMPUTED_VALUE"""),85.0)</f>
        <v>85</v>
      </c>
      <c r="J836" s="96" t="str">
        <f>IFERROR(__xludf.DUMMYFUNCTION("""COMPUTED_VALUE"""),"APSSDC Team")</f>
        <v>APSSDC Team</v>
      </c>
      <c r="K836" s="101" t="str">
        <f>IFERROR(__xludf.DUMMYFUNCTION("""COMPUTED_VALUE"""),"https://drive.google.com/open?id=1OZ7vflVpCncDhDGBOEtNAXDDu-5S5ekD")</f>
        <v>https://drive.google.com/open?id=1OZ7vflVpCncDhDGBOEtNAXDDu-5S5ekD</v>
      </c>
      <c r="L836" s="96" t="str">
        <f>IFERROR(__xludf.DUMMYFUNCTION("""COMPUTED_VALUE"""),"2019-2023")</f>
        <v>2019-2023</v>
      </c>
      <c r="M836" s="96" t="str">
        <f>IFERROR(__xludf.DUMMYFUNCTION("""COMPUTED_VALUE"""),"S4: Student Certifications")</f>
        <v>S4: Student Certifications</v>
      </c>
      <c r="N836" s="96" t="str">
        <f>IFERROR(__xludf.DUMMYFUNCTION("""COMPUTED_VALUE"""),"subhavarshith@gmail.com")</f>
        <v>subhavarshith@gmail.com</v>
      </c>
      <c r="O836" s="96" t="str">
        <f>IFERROR(__xludf.DUMMYFUNCTION("""COMPUTED_VALUE"""),"SEM-6")</f>
        <v>SEM-6</v>
      </c>
      <c r="P836" s="96"/>
      <c r="Q836" s="96"/>
      <c r="R836" s="96"/>
      <c r="S836" s="96"/>
      <c r="T836" s="96"/>
      <c r="U836" s="96"/>
      <c r="V836" s="96"/>
      <c r="W836" s="96"/>
      <c r="X836" s="96"/>
      <c r="Y836" s="96"/>
    </row>
    <row r="837" ht="26.25" customHeight="1">
      <c r="A837" s="96" t="str">
        <f>IFERROR(__xludf.DUMMYFUNCTION("""COMPUTED_VALUE"""),"Pechetti Mohan Subha Varshith")</f>
        <v>Pechetti Mohan Subha Varshith</v>
      </c>
      <c r="B837" s="96" t="str">
        <f>IFERROR(__xludf.DUMMYFUNCTION("""COMPUTED_VALUE"""),"19331A05C7")</f>
        <v>19331A05C7</v>
      </c>
      <c r="C837" s="97" t="str">
        <f>IFERROR(__xludf.DUMMYFUNCTION("""COMPUTED_VALUE"""),"AWS Academy Graduate - AWS Academy Machine Learning")</f>
        <v>AWS Academy Graduate - AWS Academy Machine Learning</v>
      </c>
      <c r="D837" s="96" t="str">
        <f>IFERROR(__xludf.DUMMYFUNCTION("""COMPUTED_VALUE"""),"AWS Academy")</f>
        <v>AWS Academy</v>
      </c>
      <c r="E837" s="96" t="str">
        <f>IFERROR(__xludf.DUMMYFUNCTION("""COMPUTED_VALUE"""),"20 hours")</f>
        <v>20 hours</v>
      </c>
      <c r="F837" s="98">
        <f>IFERROR(__xludf.DUMMYFUNCTION("""COMPUTED_VALUE"""),44572.0)</f>
        <v>44572</v>
      </c>
      <c r="G837" s="98">
        <f>IFERROR(__xludf.DUMMYFUNCTION("""COMPUTED_VALUE"""),44603.0)</f>
        <v>44603</v>
      </c>
      <c r="H837" s="99">
        <f>IFERROR(__xludf.DUMMYFUNCTION("""COMPUTED_VALUE"""),44603.0)</f>
        <v>44603</v>
      </c>
      <c r="I837" s="100">
        <f>IFERROR(__xludf.DUMMYFUNCTION("""COMPUTED_VALUE"""),86.0)</f>
        <v>86</v>
      </c>
      <c r="J837" s="96" t="str">
        <f>IFERROR(__xludf.DUMMYFUNCTION("""COMPUTED_VALUE"""),"APSSDC Team")</f>
        <v>APSSDC Team</v>
      </c>
      <c r="K837" s="101" t="str">
        <f>IFERROR(__xludf.DUMMYFUNCTION("""COMPUTED_VALUE"""),"https://drive.google.com/open?id=1UlTYPHzRtctmCX2m7SOfcO_gVYDOL7Aa")</f>
        <v>https://drive.google.com/open?id=1UlTYPHzRtctmCX2m7SOfcO_gVYDOL7Aa</v>
      </c>
      <c r="L837" s="96" t="str">
        <f>IFERROR(__xludf.DUMMYFUNCTION("""COMPUTED_VALUE"""),"2019-2023")</f>
        <v>2019-2023</v>
      </c>
      <c r="M837" s="96" t="str">
        <f>IFERROR(__xludf.DUMMYFUNCTION("""COMPUTED_VALUE"""),"S4: Student Certifications")</f>
        <v>S4: Student Certifications</v>
      </c>
      <c r="N837" s="96" t="str">
        <f>IFERROR(__xludf.DUMMYFUNCTION("""COMPUTED_VALUE"""),"subhavarshith@gmail.com")</f>
        <v>subhavarshith@gmail.com</v>
      </c>
      <c r="O837" s="96" t="str">
        <f>IFERROR(__xludf.DUMMYFUNCTION("""COMPUTED_VALUE"""),"SEM-6")</f>
        <v>SEM-6</v>
      </c>
      <c r="P837" s="96"/>
      <c r="Q837" s="96"/>
      <c r="R837" s="96"/>
      <c r="S837" s="96"/>
      <c r="T837" s="96"/>
      <c r="U837" s="96"/>
      <c r="V837" s="96"/>
      <c r="W837" s="96"/>
      <c r="X837" s="96"/>
      <c r="Y837" s="96"/>
    </row>
    <row r="838" ht="26.25" customHeight="1">
      <c r="A838" s="96" t="str">
        <f>IFERROR(__xludf.DUMMYFUNCTION("""COMPUTED_VALUE"""),"Sunkari Chitra Deepika ")</f>
        <v>Sunkari Chitra Deepika </v>
      </c>
      <c r="B838" s="96" t="str">
        <f>IFERROR(__xludf.DUMMYFUNCTION("""COMPUTED_VALUE"""),"193315A0G8")</f>
        <v>193315A0G8</v>
      </c>
      <c r="C838" s="97" t="str">
        <f>IFERROR(__xludf.DUMMYFUNCTION("""COMPUTED_VALUE"""),"Blue Prism Associate Developer ")</f>
        <v>Blue Prism Associate Developer </v>
      </c>
      <c r="D838" s="96" t="str">
        <f>IFERROR(__xludf.DUMMYFUNCTION("""COMPUTED_VALUE"""),"Blue Prism University ")</f>
        <v>Blue Prism University </v>
      </c>
      <c r="E838" s="96" t="str">
        <f>IFERROR(__xludf.DUMMYFUNCTION("""COMPUTED_VALUE"""),"1 month ")</f>
        <v>1 month </v>
      </c>
      <c r="F838" s="98">
        <f>IFERROR(__xludf.DUMMYFUNCTION("""COMPUTED_VALUE"""),44481.0)</f>
        <v>44481</v>
      </c>
      <c r="G838" s="98">
        <f>IFERROR(__xludf.DUMMYFUNCTION("""COMPUTED_VALUE"""),44512.0)</f>
        <v>44512</v>
      </c>
      <c r="H838" s="99">
        <f>IFERROR(__xludf.DUMMYFUNCTION("""COMPUTED_VALUE"""),44512.0)</f>
        <v>44512</v>
      </c>
      <c r="I838" s="100">
        <f>IFERROR(__xludf.DUMMYFUNCTION("""COMPUTED_VALUE"""),100.0)</f>
        <v>100</v>
      </c>
      <c r="J838" s="96" t="str">
        <f>IFERROR(__xludf.DUMMYFUNCTION("""COMPUTED_VALUE"""),"Mrs. Shoba Rani")</f>
        <v>Mrs. Shoba Rani</v>
      </c>
      <c r="K838" s="101" t="str">
        <f>IFERROR(__xludf.DUMMYFUNCTION("""COMPUTED_VALUE"""),"https://drive.google.com/open?id=1wbQtX2jxd2cANVmiM5kcSR2sUp9obZz9")</f>
        <v>https://drive.google.com/open?id=1wbQtX2jxd2cANVmiM5kcSR2sUp9obZz9</v>
      </c>
      <c r="L838" s="96" t="str">
        <f>IFERROR(__xludf.DUMMYFUNCTION("""COMPUTED_VALUE"""),"2019-2023")</f>
        <v>2019-2023</v>
      </c>
      <c r="M838" s="96" t="str">
        <f>IFERROR(__xludf.DUMMYFUNCTION("""COMPUTED_VALUE"""),"S4: Student Certifications")</f>
        <v>S4: Student Certifications</v>
      </c>
      <c r="N838" s="96" t="str">
        <f>IFERROR(__xludf.DUMMYFUNCTION("""COMPUTED_VALUE"""),"chitradeepika3124@gmail.com")</f>
        <v>chitradeepika3124@gmail.com</v>
      </c>
      <c r="O838" s="96" t="str">
        <f>IFERROR(__xludf.DUMMYFUNCTION("""COMPUTED_VALUE"""),"SEM-6")</f>
        <v>SEM-6</v>
      </c>
      <c r="P838" s="96"/>
      <c r="Q838" s="96"/>
      <c r="R838" s="96"/>
      <c r="S838" s="96"/>
      <c r="T838" s="96"/>
      <c r="U838" s="96"/>
      <c r="V838" s="96"/>
      <c r="W838" s="96"/>
      <c r="X838" s="96"/>
      <c r="Y838" s="96"/>
    </row>
    <row r="839" ht="26.25" customHeight="1">
      <c r="A839" s="96" t="str">
        <f>IFERROR(__xludf.DUMMYFUNCTION("""COMPUTED_VALUE"""),"SAHITHI KOTARI")</f>
        <v>SAHITHI KOTARI</v>
      </c>
      <c r="B839" s="96" t="str">
        <f>IFERROR(__xludf.DUMMYFUNCTION("""COMPUTED_VALUE"""),"19331A0583")</f>
        <v>19331A0583</v>
      </c>
      <c r="C839" s="97" t="str">
        <f>IFERROR(__xludf.DUMMYFUNCTION("""COMPUTED_VALUE"""),"Programming Essentials in Python")</f>
        <v>Programming Essentials in Python</v>
      </c>
      <c r="D839" s="96" t="str">
        <f>IFERROR(__xludf.DUMMYFUNCTION("""COMPUTED_VALUE"""),"Cisco Networking Academy")</f>
        <v>Cisco Networking Academy</v>
      </c>
      <c r="E839" s="96" t="str">
        <f>IFERROR(__xludf.DUMMYFUNCTION("""COMPUTED_VALUE"""),"6 months")</f>
        <v>6 months</v>
      </c>
      <c r="F839" s="98">
        <f>IFERROR(__xludf.DUMMYFUNCTION("""COMPUTED_VALUE"""),44170.0)</f>
        <v>44170</v>
      </c>
      <c r="G839" s="98">
        <f>IFERROR(__xludf.DUMMYFUNCTION("""COMPUTED_VALUE"""),44322.0)</f>
        <v>44322</v>
      </c>
      <c r="H839" s="99">
        <f>IFERROR(__xludf.DUMMYFUNCTION("""COMPUTED_VALUE"""),44322.0)</f>
        <v>44322</v>
      </c>
      <c r="I839" s="100">
        <f>IFERROR(__xludf.DUMMYFUNCTION("""COMPUTED_VALUE"""),81.0)</f>
        <v>81</v>
      </c>
      <c r="J839" s="96" t="str">
        <f>IFERROR(__xludf.DUMMYFUNCTION("""COMPUTED_VALUE"""),"79")</f>
        <v>79</v>
      </c>
      <c r="K839" s="101" t="str">
        <f>IFERROR(__xludf.DUMMYFUNCTION("""COMPUTED_VALUE"""),"https://drive.google.com/open?id=18Gym7x1WJGt-D5eG6kCWRckF9bc1U7UT")</f>
        <v>https://drive.google.com/open?id=18Gym7x1WJGt-D5eG6kCWRckF9bc1U7UT</v>
      </c>
      <c r="L839" s="96" t="str">
        <f>IFERROR(__xludf.DUMMYFUNCTION("""COMPUTED_VALUE"""),"2019-2023")</f>
        <v>2019-2023</v>
      </c>
      <c r="M839" s="96" t="str">
        <f>IFERROR(__xludf.DUMMYFUNCTION("""COMPUTED_VALUE"""),"S4: Student Certifications")</f>
        <v>S4: Student Certifications</v>
      </c>
      <c r="N839" s="96" t="str">
        <f>IFERROR(__xludf.DUMMYFUNCTION("""COMPUTED_VALUE"""),"kotarisahithi@gmail.com")</f>
        <v>kotarisahithi@gmail.com</v>
      </c>
      <c r="O839" s="96" t="str">
        <f>IFERROR(__xludf.DUMMYFUNCTION("""COMPUTED_VALUE"""),"SEM-6")</f>
        <v>SEM-6</v>
      </c>
      <c r="P839" s="96"/>
      <c r="Q839" s="96"/>
      <c r="R839" s="96"/>
      <c r="S839" s="96"/>
      <c r="T839" s="96"/>
      <c r="U839" s="96"/>
      <c r="V839" s="96"/>
      <c r="W839" s="96"/>
      <c r="X839" s="96"/>
      <c r="Y839" s="96"/>
    </row>
    <row r="840" ht="26.25" customHeight="1">
      <c r="A840" s="96" t="str">
        <f>IFERROR(__xludf.DUMMYFUNCTION("""COMPUTED_VALUE"""),"Sunkari Chitra Deepika ")</f>
        <v>Sunkari Chitra Deepika </v>
      </c>
      <c r="B840" s="96" t="str">
        <f>IFERROR(__xludf.DUMMYFUNCTION("""COMPUTED_VALUE"""),"19331A05G5")</f>
        <v>19331A05G5</v>
      </c>
      <c r="C840" s="97" t="str">
        <f>IFERROR(__xludf.DUMMYFUNCTION("""COMPUTED_VALUE"""),"Python data structures ")</f>
        <v>Python data structures </v>
      </c>
      <c r="D840" s="96" t="str">
        <f>IFERROR(__xludf.DUMMYFUNCTION("""COMPUTED_VALUE"""),"Coursera")</f>
        <v>Coursera</v>
      </c>
      <c r="E840" s="96" t="str">
        <f>IFERROR(__xludf.DUMMYFUNCTION("""COMPUTED_VALUE"""),"3 months")</f>
        <v>3 months</v>
      </c>
      <c r="F840" s="98">
        <f>IFERROR(__xludf.DUMMYFUNCTION("""COMPUTED_VALUE"""),44042.0)</f>
        <v>44042</v>
      </c>
      <c r="G840" s="98">
        <f>IFERROR(__xludf.DUMMYFUNCTION("""COMPUTED_VALUE"""),44104.0)</f>
        <v>44104</v>
      </c>
      <c r="H840" s="99">
        <f>IFERROR(__xludf.DUMMYFUNCTION("""COMPUTED_VALUE"""),44104.0)</f>
        <v>44104</v>
      </c>
      <c r="I840" s="100">
        <f>IFERROR(__xludf.DUMMYFUNCTION("""COMPUTED_VALUE"""),100.0)</f>
        <v>100</v>
      </c>
      <c r="J840" s="96" t="str">
        <f>IFERROR(__xludf.DUMMYFUNCTION("""COMPUTED_VALUE"""),"Charles Severance")</f>
        <v>Charles Severance</v>
      </c>
      <c r="K840" s="101" t="str">
        <f>IFERROR(__xludf.DUMMYFUNCTION("""COMPUTED_VALUE"""),"https://drive.google.com/open?id=1QvUwrIQfinKbby4N8Oug9__l3z2KYHaC")</f>
        <v>https://drive.google.com/open?id=1QvUwrIQfinKbby4N8Oug9__l3z2KYHaC</v>
      </c>
      <c r="L840" s="96" t="str">
        <f>IFERROR(__xludf.DUMMYFUNCTION("""COMPUTED_VALUE"""),"2019-2023")</f>
        <v>2019-2023</v>
      </c>
      <c r="M840" s="96" t="str">
        <f>IFERROR(__xludf.DUMMYFUNCTION("""COMPUTED_VALUE"""),"S4: Student Certifications")</f>
        <v>S4: Student Certifications</v>
      </c>
      <c r="N840" s="96" t="str">
        <f>IFERROR(__xludf.DUMMYFUNCTION("""COMPUTED_VALUE"""),"chitradeepika3124@gmail.com")</f>
        <v>chitradeepika3124@gmail.com</v>
      </c>
      <c r="O840" s="96" t="str">
        <f>IFERROR(__xludf.DUMMYFUNCTION("""COMPUTED_VALUE"""),"SEM-6")</f>
        <v>SEM-6</v>
      </c>
      <c r="P840" s="96"/>
      <c r="Q840" s="96"/>
      <c r="R840" s="96"/>
      <c r="S840" s="96"/>
      <c r="T840" s="96"/>
      <c r="U840" s="96"/>
      <c r="V840" s="96"/>
      <c r="W840" s="96"/>
      <c r="X840" s="96"/>
      <c r="Y840" s="96"/>
    </row>
    <row r="841" ht="26.25" customHeight="1">
      <c r="A841" s="96" t="str">
        <f>IFERROR(__xludf.DUMMYFUNCTION("""COMPUTED_VALUE"""),"Sunkari Chitra Deepika")</f>
        <v>Sunkari Chitra Deepika</v>
      </c>
      <c r="B841" s="96" t="str">
        <f>IFERROR(__xludf.DUMMYFUNCTION("""COMPUTED_VALUE"""),"19331A05G5")</f>
        <v>19331A05G5</v>
      </c>
      <c r="C841" s="97" t="str">
        <f>IFERROR(__xludf.DUMMYFUNCTION("""COMPUTED_VALUE"""),"Programming for everybody (getting started with python) ")</f>
        <v>Programming for everybody (getting started with python) </v>
      </c>
      <c r="D841" s="96" t="str">
        <f>IFERROR(__xludf.DUMMYFUNCTION("""COMPUTED_VALUE"""),"Coursera")</f>
        <v>Coursera</v>
      </c>
      <c r="E841" s="96" t="str">
        <f>IFERROR(__xludf.DUMMYFUNCTION("""COMPUTED_VALUE"""),"3 months")</f>
        <v>3 months</v>
      </c>
      <c r="F841" s="98">
        <f>IFERROR(__xludf.DUMMYFUNCTION("""COMPUTED_VALUE"""),43939.0)</f>
        <v>43939</v>
      </c>
      <c r="G841" s="98">
        <f>IFERROR(__xludf.DUMMYFUNCTION("""COMPUTED_VALUE"""),44000.0)</f>
        <v>44000</v>
      </c>
      <c r="H841" s="99">
        <f>IFERROR(__xludf.DUMMYFUNCTION("""COMPUTED_VALUE"""),44000.0)</f>
        <v>44000</v>
      </c>
      <c r="I841" s="100">
        <f>IFERROR(__xludf.DUMMYFUNCTION("""COMPUTED_VALUE"""),1.0)</f>
        <v>1</v>
      </c>
      <c r="J841" s="96" t="str">
        <f>IFERROR(__xludf.DUMMYFUNCTION("""COMPUTED_VALUE"""),"Charles Severance")</f>
        <v>Charles Severance</v>
      </c>
      <c r="K841" s="101" t="str">
        <f>IFERROR(__xludf.DUMMYFUNCTION("""COMPUTED_VALUE"""),"https://drive.google.com/open?id=1JdldJvxrurjrw5a4ZytnwSvpbUTbFjlV")</f>
        <v>https://drive.google.com/open?id=1JdldJvxrurjrw5a4ZytnwSvpbUTbFjlV</v>
      </c>
      <c r="L841" s="96" t="str">
        <f>IFERROR(__xludf.DUMMYFUNCTION("""COMPUTED_VALUE"""),"2019-2023")</f>
        <v>2019-2023</v>
      </c>
      <c r="M841" s="96" t="str">
        <f>IFERROR(__xludf.DUMMYFUNCTION("""COMPUTED_VALUE"""),"S4: Student Certifications")</f>
        <v>S4: Student Certifications</v>
      </c>
      <c r="N841" s="96" t="str">
        <f>IFERROR(__xludf.DUMMYFUNCTION("""COMPUTED_VALUE"""),"chitradeepika3124@gmail.com")</f>
        <v>chitradeepika3124@gmail.com</v>
      </c>
      <c r="O841" s="96" t="str">
        <f>IFERROR(__xludf.DUMMYFUNCTION("""COMPUTED_VALUE"""),"SEM-6")</f>
        <v>SEM-6</v>
      </c>
      <c r="P841" s="96"/>
      <c r="Q841" s="96"/>
      <c r="R841" s="96"/>
      <c r="S841" s="96"/>
      <c r="T841" s="96"/>
      <c r="U841" s="96"/>
      <c r="V841" s="96"/>
      <c r="W841" s="96"/>
      <c r="X841" s="96"/>
      <c r="Y841" s="96"/>
    </row>
    <row r="842" ht="26.25" customHeight="1">
      <c r="A842" s="96" t="str">
        <f>IFERROR(__xludf.DUMMYFUNCTION("""COMPUTED_VALUE"""),"Sunkari Chitra Deepika ")</f>
        <v>Sunkari Chitra Deepika </v>
      </c>
      <c r="B842" s="96" t="str">
        <f>IFERROR(__xludf.DUMMYFUNCTION("""COMPUTED_VALUE"""),"19331A05G5")</f>
        <v>19331A05G5</v>
      </c>
      <c r="C842" s="97" t="str">
        <f>IFERROR(__xludf.DUMMYFUNCTION("""COMPUTED_VALUE"""),"Blue Prism Associate Developer ")</f>
        <v>Blue Prism Associate Developer </v>
      </c>
      <c r="D842" s="96" t="str">
        <f>IFERROR(__xludf.DUMMYFUNCTION("""COMPUTED_VALUE"""),"Blue Prism University ")</f>
        <v>Blue Prism University </v>
      </c>
      <c r="E842" s="96" t="str">
        <f>IFERROR(__xludf.DUMMYFUNCTION("""COMPUTED_VALUE"""),"1 month")</f>
        <v>1 month</v>
      </c>
      <c r="F842" s="98">
        <f>IFERROR(__xludf.DUMMYFUNCTION("""COMPUTED_VALUE"""),44481.0)</f>
        <v>44481</v>
      </c>
      <c r="G842" s="98">
        <f>IFERROR(__xludf.DUMMYFUNCTION("""COMPUTED_VALUE"""),44512.0)</f>
        <v>44512</v>
      </c>
      <c r="H842" s="99">
        <f>IFERROR(__xludf.DUMMYFUNCTION("""COMPUTED_VALUE"""),44512.0)</f>
        <v>44512</v>
      </c>
      <c r="I842" s="100">
        <f>IFERROR(__xludf.DUMMYFUNCTION("""COMPUTED_VALUE"""),100.0)</f>
        <v>100</v>
      </c>
      <c r="J842" s="96" t="str">
        <f>IFERROR(__xludf.DUMMYFUNCTION("""COMPUTED_VALUE"""),"Mrs. Shoba Rani ")</f>
        <v>Mrs. Shoba Rani </v>
      </c>
      <c r="K842" s="101" t="str">
        <f>IFERROR(__xludf.DUMMYFUNCTION("""COMPUTED_VALUE"""),"https://drive.google.com/open?id=1TzYUN3fZPNqLeO9BemH5turdTQhzjqh4")</f>
        <v>https://drive.google.com/open?id=1TzYUN3fZPNqLeO9BemH5turdTQhzjqh4</v>
      </c>
      <c r="L842" s="96" t="str">
        <f>IFERROR(__xludf.DUMMYFUNCTION("""COMPUTED_VALUE"""),"2019-2023")</f>
        <v>2019-2023</v>
      </c>
      <c r="M842" s="96" t="str">
        <f>IFERROR(__xludf.DUMMYFUNCTION("""COMPUTED_VALUE"""),"S4: Student Certifications")</f>
        <v>S4: Student Certifications</v>
      </c>
      <c r="N842" s="96" t="str">
        <f>IFERROR(__xludf.DUMMYFUNCTION("""COMPUTED_VALUE"""),"chitradeepika3124@gmail.com")</f>
        <v>chitradeepika3124@gmail.com</v>
      </c>
      <c r="O842" s="96" t="str">
        <f>IFERROR(__xludf.DUMMYFUNCTION("""COMPUTED_VALUE"""),"SEM-6")</f>
        <v>SEM-6</v>
      </c>
      <c r="P842" s="96"/>
      <c r="Q842" s="96"/>
      <c r="R842" s="96"/>
      <c r="S842" s="96"/>
      <c r="T842" s="96"/>
      <c r="U842" s="96"/>
      <c r="V842" s="96"/>
      <c r="W842" s="96"/>
      <c r="X842" s="96"/>
      <c r="Y842" s="96"/>
    </row>
    <row r="843" ht="26.25" customHeight="1">
      <c r="A843" s="74" t="str">
        <f>IFERROR(__xludf.DUMMYFUNCTION("""COMPUTED_VALUE"""),"Saiprasanna panthina ")</f>
        <v>Saiprasanna panthina </v>
      </c>
      <c r="B843" s="74" t="str">
        <f>IFERROR(__xludf.DUMMYFUNCTION("""COMPUTED_VALUE"""),"20335A0512")</f>
        <v>20335A0512</v>
      </c>
      <c r="C843" s="90" t="str">
        <f>IFERROR(__xludf.DUMMYFUNCTION("""COMPUTED_VALUE"""),"PCAP:PYTHON")</f>
        <v>PCAP:PYTHON</v>
      </c>
      <c r="D843" s="74" t="str">
        <f>IFERROR(__xludf.DUMMYFUNCTION("""COMPUTED_VALUE"""),"CISCO")</f>
        <v>CISCO</v>
      </c>
      <c r="E843" s="74" t="str">
        <f>IFERROR(__xludf.DUMMYFUNCTION("""COMPUTED_VALUE"""),"4 months ")</f>
        <v>4 months </v>
      </c>
      <c r="F843" s="91">
        <f>IFERROR(__xludf.DUMMYFUNCTION("""COMPUTED_VALUE"""),44206.0)</f>
        <v>44206</v>
      </c>
      <c r="G843" s="91">
        <f>IFERROR(__xludf.DUMMYFUNCTION("""COMPUTED_VALUE"""),44296.0)</f>
        <v>44296</v>
      </c>
      <c r="H843" s="79">
        <f>IFERROR(__xludf.DUMMYFUNCTION("""COMPUTED_VALUE"""),44296.0)</f>
        <v>44296</v>
      </c>
      <c r="I843" s="92">
        <f>IFERROR(__xludf.DUMMYFUNCTION("""COMPUTED_VALUE"""),93.0)</f>
        <v>93</v>
      </c>
      <c r="J843" s="74" t="str">
        <f>IFERROR(__xludf.DUMMYFUNCTION("""COMPUTED_VALUE"""),"RAVI KIRAN VARMA PENMATSA")</f>
        <v>RAVI KIRAN VARMA PENMATSA</v>
      </c>
      <c r="K843" s="80" t="str">
        <f>IFERROR(__xludf.DUMMYFUNCTION("""COMPUTED_VALUE"""),"https://drive.google.com/open?id=1FTV94cTNn13GYdK2Jt3N9XNczLWPf6E_")</f>
        <v>https://drive.google.com/open?id=1FTV94cTNn13GYdK2Jt3N9XNczLWPf6E_</v>
      </c>
      <c r="L843" s="74" t="str">
        <f>IFERROR(__xludf.DUMMYFUNCTION("""COMPUTED_VALUE"""),"2019-2023")</f>
        <v>2019-2023</v>
      </c>
      <c r="M843" s="74" t="str">
        <f>IFERROR(__xludf.DUMMYFUNCTION("""COMPUTED_VALUE"""),"S4: Student Certifications")</f>
        <v>S4: Student Certifications</v>
      </c>
      <c r="N843" s="74" t="str">
        <f>IFERROR(__xludf.DUMMYFUNCTION("""COMPUTED_VALUE"""),"saiprasanna.cme@gmail.com")</f>
        <v>saiprasanna.cme@gmail.com</v>
      </c>
      <c r="O843" s="74" t="str">
        <f>IFERROR(__xludf.DUMMYFUNCTION("""COMPUTED_VALUE"""),"SEM-6")</f>
        <v>SEM-6</v>
      </c>
      <c r="P843" s="74"/>
      <c r="Q843" s="74"/>
      <c r="R843" s="74"/>
      <c r="S843" s="74"/>
      <c r="T843" s="74"/>
      <c r="U843" s="74"/>
      <c r="V843" s="74"/>
      <c r="W843" s="74"/>
      <c r="X843" s="74"/>
      <c r="Y843" s="74"/>
    </row>
    <row r="844" ht="26.25" customHeight="1">
      <c r="A844" s="74" t="str">
        <f>IFERROR(__xludf.DUMMYFUNCTION("""COMPUTED_VALUE"""),"saiprasanna panthina")</f>
        <v>saiprasanna panthina</v>
      </c>
      <c r="B844" s="74" t="str">
        <f>IFERROR(__xludf.DUMMYFUNCTION("""COMPUTED_VALUE"""),"20335A0512")</f>
        <v>20335A0512</v>
      </c>
      <c r="C844" s="90" t="str">
        <f>IFERROR(__xludf.DUMMYFUNCTION("""COMPUTED_VALUE"""),"PCAP:PYTHON")</f>
        <v>PCAP:PYTHON</v>
      </c>
      <c r="D844" s="74" t="str">
        <f>IFERROR(__xludf.DUMMYFUNCTION("""COMPUTED_VALUE"""),"CISCO")</f>
        <v>CISCO</v>
      </c>
      <c r="E844" s="74" t="str">
        <f>IFERROR(__xludf.DUMMYFUNCTION("""COMPUTED_VALUE"""),"3months")</f>
        <v>3months</v>
      </c>
      <c r="F844" s="91">
        <f>IFERROR(__xludf.DUMMYFUNCTION("""COMPUTED_VALUE"""),44261.0)</f>
        <v>44261</v>
      </c>
      <c r="G844" s="91">
        <f>IFERROR(__xludf.DUMMYFUNCTION("""COMPUTED_VALUE"""),44322.0)</f>
        <v>44322</v>
      </c>
      <c r="H844" s="79">
        <f>IFERROR(__xludf.DUMMYFUNCTION("""COMPUTED_VALUE"""),44322.0)</f>
        <v>44322</v>
      </c>
      <c r="I844" s="92">
        <f>IFERROR(__xludf.DUMMYFUNCTION("""COMPUTED_VALUE"""),93.0)</f>
        <v>93</v>
      </c>
      <c r="J844" s="74" t="str">
        <f>IFERROR(__xludf.DUMMYFUNCTION("""COMPUTED_VALUE"""),"RAVI KIRAN VARMA PENMATSA")</f>
        <v>RAVI KIRAN VARMA PENMATSA</v>
      </c>
      <c r="K844" s="80" t="str">
        <f>IFERROR(__xludf.DUMMYFUNCTION("""COMPUTED_VALUE"""),"https://drive.google.com/open?id=1XvhTETicFpQDG3AA1I0cxOQskdIsbw3Q")</f>
        <v>https://drive.google.com/open?id=1XvhTETicFpQDG3AA1I0cxOQskdIsbw3Q</v>
      </c>
      <c r="L844" s="74" t="str">
        <f>IFERROR(__xludf.DUMMYFUNCTION("""COMPUTED_VALUE"""),"2019-2023")</f>
        <v>2019-2023</v>
      </c>
      <c r="M844" s="74" t="str">
        <f>IFERROR(__xludf.DUMMYFUNCTION("""COMPUTED_VALUE"""),"S4: Student Certifications")</f>
        <v>S4: Student Certifications</v>
      </c>
      <c r="N844" s="74" t="str">
        <f>IFERROR(__xludf.DUMMYFUNCTION("""COMPUTED_VALUE"""),"saiprasanna.cme@gmail.com")</f>
        <v>saiprasanna.cme@gmail.com</v>
      </c>
      <c r="O844" s="74" t="str">
        <f>IFERROR(__xludf.DUMMYFUNCTION("""COMPUTED_VALUE"""),"SEM-6")</f>
        <v>SEM-6</v>
      </c>
      <c r="P844" s="74"/>
      <c r="Q844" s="74"/>
      <c r="R844" s="74"/>
      <c r="S844" s="74"/>
      <c r="T844" s="74"/>
      <c r="U844" s="74"/>
      <c r="V844" s="74"/>
      <c r="W844" s="74"/>
      <c r="X844" s="74"/>
      <c r="Y844" s="74"/>
    </row>
    <row r="845" ht="26.25" customHeight="1">
      <c r="A845" s="74" t="str">
        <f>IFERROR(__xludf.DUMMYFUNCTION("""COMPUTED_VALUE"""),"saiprasanna panthina")</f>
        <v>saiprasanna panthina</v>
      </c>
      <c r="B845" s="74" t="str">
        <f>IFERROR(__xludf.DUMMYFUNCTION("""COMPUTED_VALUE"""),"20335A0512")</f>
        <v>20335A0512</v>
      </c>
      <c r="C845" s="90" t="str">
        <f>IFERROR(__xludf.DUMMYFUNCTION("""COMPUTED_VALUE"""),"introduction to networks")</f>
        <v>introduction to networks</v>
      </c>
      <c r="D845" s="74" t="str">
        <f>IFERROR(__xludf.DUMMYFUNCTION("""COMPUTED_VALUE"""),"CISCO")</f>
        <v>CISCO</v>
      </c>
      <c r="E845" s="74" t="str">
        <f>IFERROR(__xludf.DUMMYFUNCTION("""COMPUTED_VALUE"""),"6months")</f>
        <v>6months</v>
      </c>
      <c r="F845" s="91">
        <f>IFERROR(__xludf.DUMMYFUNCTION("""COMPUTED_VALUE"""),44382.0)</f>
        <v>44382</v>
      </c>
      <c r="G845" s="91">
        <f>IFERROR(__xludf.DUMMYFUNCTION("""COMPUTED_VALUE"""),44539.0)</f>
        <v>44539</v>
      </c>
      <c r="H845" s="79">
        <f>IFERROR(__xludf.DUMMYFUNCTION("""COMPUTED_VALUE"""),44539.0)</f>
        <v>44539</v>
      </c>
      <c r="I845" s="92">
        <f>IFERROR(__xludf.DUMMYFUNCTION("""COMPUTED_VALUE"""),93.51)</f>
        <v>93.51</v>
      </c>
      <c r="J845" s="74" t="str">
        <f>IFERROR(__xludf.DUMMYFUNCTION("""COMPUTED_VALUE"""),"RAVI KIRAN VARMA PANMATSA")</f>
        <v>RAVI KIRAN VARMA PANMATSA</v>
      </c>
      <c r="K845" s="80" t="str">
        <f>IFERROR(__xludf.DUMMYFUNCTION("""COMPUTED_VALUE"""),"https://drive.google.com/open?id=1kFIgWEYOOUSIxrRuV4poD4qlMMUgp4sY")</f>
        <v>https://drive.google.com/open?id=1kFIgWEYOOUSIxrRuV4poD4qlMMUgp4sY</v>
      </c>
      <c r="L845" s="74" t="str">
        <f>IFERROR(__xludf.DUMMYFUNCTION("""COMPUTED_VALUE"""),"2019-2023")</f>
        <v>2019-2023</v>
      </c>
      <c r="M845" s="74" t="str">
        <f>IFERROR(__xludf.DUMMYFUNCTION("""COMPUTED_VALUE"""),"S4: Student Certifications")</f>
        <v>S4: Student Certifications</v>
      </c>
      <c r="N845" s="74" t="str">
        <f>IFERROR(__xludf.DUMMYFUNCTION("""COMPUTED_VALUE"""),"saiprasanna.cme@gmail.com")</f>
        <v>saiprasanna.cme@gmail.com</v>
      </c>
      <c r="O845" s="74" t="str">
        <f>IFERROR(__xludf.DUMMYFUNCTION("""COMPUTED_VALUE"""),"SEM-6")</f>
        <v>SEM-6</v>
      </c>
      <c r="P845" s="74"/>
      <c r="Q845" s="74"/>
      <c r="R845" s="74"/>
      <c r="S845" s="74"/>
      <c r="T845" s="74"/>
      <c r="U845" s="74"/>
      <c r="V845" s="74"/>
      <c r="W845" s="74"/>
      <c r="X845" s="74"/>
      <c r="Y845" s="74"/>
    </row>
    <row r="846" ht="26.25" customHeight="1">
      <c r="A846" s="74" t="str">
        <f>IFERROR(__xludf.DUMMYFUNCTION("""COMPUTED_VALUE"""),"saiprasanna panthina")</f>
        <v>saiprasanna panthina</v>
      </c>
      <c r="B846" s="74" t="str">
        <f>IFERROR(__xludf.DUMMYFUNCTION("""COMPUTED_VALUE"""),"20335A0512")</f>
        <v>20335A0512</v>
      </c>
      <c r="C846" s="90" t="str">
        <f>IFERROR(__xludf.DUMMYFUNCTION("""COMPUTED_VALUE"""),"SRWE")</f>
        <v>SRWE</v>
      </c>
      <c r="D846" s="74" t="str">
        <f>IFERROR(__xludf.DUMMYFUNCTION("""COMPUTED_VALUE"""),"CISCO")</f>
        <v>CISCO</v>
      </c>
      <c r="E846" s="74" t="str">
        <f>IFERROR(__xludf.DUMMYFUNCTION("""COMPUTED_VALUE"""),"6months")</f>
        <v>6months</v>
      </c>
      <c r="F846" s="91">
        <f>IFERROR(__xludf.DUMMYFUNCTION("""COMPUTED_VALUE"""),44452.0)</f>
        <v>44452</v>
      </c>
      <c r="G846" s="91">
        <f>IFERROR(__xludf.DUMMYFUNCTION("""COMPUTED_VALUE"""),44604.0)</f>
        <v>44604</v>
      </c>
      <c r="H846" s="79">
        <f>IFERROR(__xludf.DUMMYFUNCTION("""COMPUTED_VALUE"""),44604.0)</f>
        <v>44604</v>
      </c>
      <c r="I846" s="92">
        <f>IFERROR(__xludf.DUMMYFUNCTION("""COMPUTED_VALUE"""),93.18)</f>
        <v>93.18</v>
      </c>
      <c r="J846" s="74" t="str">
        <f>IFERROR(__xludf.DUMMYFUNCTION("""COMPUTED_VALUE"""),"RAVI KIRAN VARMA PENMATSA")</f>
        <v>RAVI KIRAN VARMA PENMATSA</v>
      </c>
      <c r="K846" s="80" t="str">
        <f>IFERROR(__xludf.DUMMYFUNCTION("""COMPUTED_VALUE"""),"https://drive.google.com/open?id=19XdtABaX3jcuZ8D_dlD7m8ltI99f_5u3")</f>
        <v>https://drive.google.com/open?id=19XdtABaX3jcuZ8D_dlD7m8ltI99f_5u3</v>
      </c>
      <c r="L846" s="74" t="str">
        <f>IFERROR(__xludf.DUMMYFUNCTION("""COMPUTED_VALUE"""),"2019-2023")</f>
        <v>2019-2023</v>
      </c>
      <c r="M846" s="74" t="str">
        <f>IFERROR(__xludf.DUMMYFUNCTION("""COMPUTED_VALUE"""),"S4: Student Certifications")</f>
        <v>S4: Student Certifications</v>
      </c>
      <c r="N846" s="74" t="str">
        <f>IFERROR(__xludf.DUMMYFUNCTION("""COMPUTED_VALUE"""),"saiprasanna.cme@gmail.com")</f>
        <v>saiprasanna.cme@gmail.com</v>
      </c>
      <c r="O846" s="74" t="str">
        <f>IFERROR(__xludf.DUMMYFUNCTION("""COMPUTED_VALUE"""),"SEM-6")</f>
        <v>SEM-6</v>
      </c>
      <c r="P846" s="74"/>
      <c r="Q846" s="74"/>
      <c r="R846" s="74"/>
      <c r="S846" s="74"/>
      <c r="T846" s="74"/>
      <c r="U846" s="74"/>
      <c r="V846" s="74"/>
      <c r="W846" s="74"/>
      <c r="X846" s="74"/>
      <c r="Y846" s="74"/>
    </row>
    <row r="847" ht="26.25" customHeight="1">
      <c r="A847" s="74" t="str">
        <f>IFERROR(__xludf.DUMMYFUNCTION("""COMPUTED_VALUE"""),"saiprasanna panthina")</f>
        <v>saiprasanna panthina</v>
      </c>
      <c r="B847" s="74" t="str">
        <f>IFERROR(__xludf.DUMMYFUNCTION("""COMPUTED_VALUE"""),"20335A0512")</f>
        <v>20335A0512</v>
      </c>
      <c r="C847" s="90" t="str">
        <f>IFERROR(__xludf.DUMMYFUNCTION("""COMPUTED_VALUE"""),"networking essentials")</f>
        <v>networking essentials</v>
      </c>
      <c r="D847" s="74" t="str">
        <f>IFERROR(__xludf.DUMMYFUNCTION("""COMPUTED_VALUE"""),"CISCO")</f>
        <v>CISCO</v>
      </c>
      <c r="E847" s="74" t="str">
        <f>IFERROR(__xludf.DUMMYFUNCTION("""COMPUTED_VALUE"""),"6months")</f>
        <v>6months</v>
      </c>
      <c r="F847" s="91">
        <f>IFERROR(__xludf.DUMMYFUNCTION("""COMPUTED_VALUE"""),44406.0)</f>
        <v>44406</v>
      </c>
      <c r="G847" s="91">
        <f>IFERROR(__xludf.DUMMYFUNCTION("""COMPUTED_VALUE"""),44559.0)</f>
        <v>44559</v>
      </c>
      <c r="H847" s="79">
        <f>IFERROR(__xludf.DUMMYFUNCTION("""COMPUTED_VALUE"""),44559.0)</f>
        <v>44559</v>
      </c>
      <c r="I847" s="92">
        <f>IFERROR(__xludf.DUMMYFUNCTION("""COMPUTED_VALUE"""),93.59)</f>
        <v>93.59</v>
      </c>
      <c r="J847" s="74" t="str">
        <f>IFERROR(__xludf.DUMMYFUNCTION("""COMPUTED_VALUE"""),"RAVI KIRAN VARMA PENMATSA")</f>
        <v>RAVI KIRAN VARMA PENMATSA</v>
      </c>
      <c r="K847" s="80" t="str">
        <f>IFERROR(__xludf.DUMMYFUNCTION("""COMPUTED_VALUE"""),"https://drive.google.com/open?id=17aECMty8Ykh1imABMLRc4yauXyh1K0S1")</f>
        <v>https://drive.google.com/open?id=17aECMty8Ykh1imABMLRc4yauXyh1K0S1</v>
      </c>
      <c r="L847" s="74" t="str">
        <f>IFERROR(__xludf.DUMMYFUNCTION("""COMPUTED_VALUE"""),"2019-2023")</f>
        <v>2019-2023</v>
      </c>
      <c r="M847" s="74" t="str">
        <f>IFERROR(__xludf.DUMMYFUNCTION("""COMPUTED_VALUE"""),"S4: Student Certifications")</f>
        <v>S4: Student Certifications</v>
      </c>
      <c r="N847" s="74" t="str">
        <f>IFERROR(__xludf.DUMMYFUNCTION("""COMPUTED_VALUE"""),"saiprasanna.cme@gmail.com")</f>
        <v>saiprasanna.cme@gmail.com</v>
      </c>
      <c r="O847" s="74" t="str">
        <f>IFERROR(__xludf.DUMMYFUNCTION("""COMPUTED_VALUE"""),"SEM-6")</f>
        <v>SEM-6</v>
      </c>
      <c r="P847" s="74"/>
      <c r="Q847" s="74"/>
      <c r="R847" s="74"/>
      <c r="S847" s="74"/>
      <c r="T847" s="74"/>
      <c r="U847" s="74"/>
      <c r="V847" s="74"/>
      <c r="W847" s="74"/>
      <c r="X847" s="74"/>
      <c r="Y847" s="74"/>
    </row>
    <row r="848" ht="26.25" customHeight="1">
      <c r="A848" s="74" t="str">
        <f>IFERROR(__xludf.DUMMYFUNCTION("""COMPUTED_VALUE"""),"saiprasanna panthina")</f>
        <v>saiprasanna panthina</v>
      </c>
      <c r="B848" s="74" t="str">
        <f>IFERROR(__xludf.DUMMYFUNCTION("""COMPUTED_VALUE"""),"20335A0512")</f>
        <v>20335A0512</v>
      </c>
      <c r="C848" s="90" t="str">
        <f>IFERROR(__xludf.DUMMYFUNCTION("""COMPUTED_VALUE"""),"IOT")</f>
        <v>IOT</v>
      </c>
      <c r="D848" s="74" t="str">
        <f>IFERROR(__xludf.DUMMYFUNCTION("""COMPUTED_VALUE"""),"CISCO")</f>
        <v>CISCO</v>
      </c>
      <c r="E848" s="74" t="str">
        <f>IFERROR(__xludf.DUMMYFUNCTION("""COMPUTED_VALUE"""),"2months")</f>
        <v>2months</v>
      </c>
      <c r="F848" s="91">
        <f>IFERROR(__xludf.DUMMYFUNCTION("""COMPUTED_VALUE"""),44623.0)</f>
        <v>44623</v>
      </c>
      <c r="G848" s="91">
        <f>IFERROR(__xludf.DUMMYFUNCTION("""COMPUTED_VALUE"""),44669.0)</f>
        <v>44669</v>
      </c>
      <c r="H848" s="79">
        <f>IFERROR(__xludf.DUMMYFUNCTION("""COMPUTED_VALUE"""),44669.0)</f>
        <v>44669</v>
      </c>
      <c r="I848" s="92">
        <f>IFERROR(__xludf.DUMMYFUNCTION("""COMPUTED_VALUE"""),98.6)</f>
        <v>98.6</v>
      </c>
      <c r="J848" s="74" t="str">
        <f>IFERROR(__xludf.DUMMYFUNCTION("""COMPUTED_VALUE"""),"jackson smith")</f>
        <v>jackson smith</v>
      </c>
      <c r="K848" s="80" t="str">
        <f>IFERROR(__xludf.DUMMYFUNCTION("""COMPUTED_VALUE"""),"https://drive.google.com/open?id=1LPb_B_9ZcpX5lez3lB2AKrBa_I0x_wOX")</f>
        <v>https://drive.google.com/open?id=1LPb_B_9ZcpX5lez3lB2AKrBa_I0x_wOX</v>
      </c>
      <c r="L848" s="74" t="str">
        <f>IFERROR(__xludf.DUMMYFUNCTION("""COMPUTED_VALUE"""),"2019-2023")</f>
        <v>2019-2023</v>
      </c>
      <c r="M848" s="74" t="str">
        <f>IFERROR(__xludf.DUMMYFUNCTION("""COMPUTED_VALUE"""),"S4: Student Certifications")</f>
        <v>S4: Student Certifications</v>
      </c>
      <c r="N848" s="74" t="str">
        <f>IFERROR(__xludf.DUMMYFUNCTION("""COMPUTED_VALUE"""),"saiprasanna.cme@gmail.com")</f>
        <v>saiprasanna.cme@gmail.com</v>
      </c>
      <c r="O848" s="74" t="str">
        <f>IFERROR(__xludf.DUMMYFUNCTION("""COMPUTED_VALUE"""),"SEM-6")</f>
        <v>SEM-6</v>
      </c>
      <c r="P848" s="74"/>
      <c r="Q848" s="74"/>
      <c r="R848" s="74"/>
      <c r="S848" s="74"/>
      <c r="T848" s="74"/>
      <c r="U848" s="74"/>
      <c r="V848" s="74"/>
      <c r="W848" s="74"/>
      <c r="X848" s="74"/>
      <c r="Y848" s="74"/>
    </row>
    <row r="849" ht="26.25" customHeight="1">
      <c r="A849" s="78" t="str">
        <f>IFERROR(__xludf.DUMMYFUNCTION("""COMPUTED_VALUE"""),"saiprasanna panthina")</f>
        <v>saiprasanna panthina</v>
      </c>
      <c r="B849" s="78" t="str">
        <f>IFERROR(__xludf.DUMMYFUNCTION("""COMPUTED_VALUE"""),"20335A0512")</f>
        <v>20335A0512</v>
      </c>
      <c r="C849" s="93" t="str">
        <f>IFERROR(__xludf.DUMMYFUNCTION("""COMPUTED_VALUE"""),"National level coding ")</f>
        <v>National level coding </v>
      </c>
      <c r="D849" s="78" t="str">
        <f>IFERROR(__xludf.DUMMYFUNCTION("""COMPUTED_VALUE"""),"ELITE coding club of VRSEC")</f>
        <v>ELITE coding club of VRSEC</v>
      </c>
      <c r="E849" s="78" t="str">
        <f>IFERROR(__xludf.DUMMYFUNCTION("""COMPUTED_VALUE"""),"1 day")</f>
        <v>1 day</v>
      </c>
      <c r="F849" s="94">
        <f>IFERROR(__xludf.DUMMYFUNCTION("""COMPUTED_VALUE"""),44250.0)</f>
        <v>44250</v>
      </c>
      <c r="G849" s="94">
        <f>IFERROR(__xludf.DUMMYFUNCTION("""COMPUTED_VALUE"""),44250.0)</f>
        <v>44250</v>
      </c>
      <c r="H849" s="84">
        <f>IFERROR(__xludf.DUMMYFUNCTION("""COMPUTED_VALUE"""),44250.0)</f>
        <v>44250</v>
      </c>
      <c r="I849" s="95">
        <f>IFERROR(__xludf.DUMMYFUNCTION("""COMPUTED_VALUE"""),80.0)</f>
        <v>80</v>
      </c>
      <c r="J849" s="78" t="str">
        <f>IFERROR(__xludf.DUMMYFUNCTION("""COMPUTED_VALUE"""),"D.rajeswara rao")</f>
        <v>D.rajeswara rao</v>
      </c>
      <c r="K849" s="85" t="str">
        <f>IFERROR(__xludf.DUMMYFUNCTION("""COMPUTED_VALUE"""),"https://drive.google.com/open?id=1k7n_qatDD-M5G-N6ZlqOMovIbH4XcNXX")</f>
        <v>https://drive.google.com/open?id=1k7n_qatDD-M5G-N6ZlqOMovIbH4XcNXX</v>
      </c>
      <c r="L849" s="78" t="str">
        <f>IFERROR(__xludf.DUMMYFUNCTION("""COMPUTED_VALUE"""),"2019-2023")</f>
        <v>2019-2023</v>
      </c>
      <c r="M849" s="78" t="str">
        <f>IFERROR(__xludf.DUMMYFUNCTION("""COMPUTED_VALUE"""),"S4: Student Certifications")</f>
        <v>S4: Student Certifications</v>
      </c>
      <c r="N849" s="78" t="str">
        <f>IFERROR(__xludf.DUMMYFUNCTION("""COMPUTED_VALUE"""),"saiprasanna.cme@gmail.com")</f>
        <v>saiprasanna.cme@gmail.com</v>
      </c>
      <c r="O849" s="78" t="str">
        <f>IFERROR(__xludf.DUMMYFUNCTION("""COMPUTED_VALUE"""),"SEM-6")</f>
        <v>SEM-6</v>
      </c>
      <c r="P849" s="78"/>
      <c r="Q849" s="78"/>
      <c r="R849" s="78"/>
      <c r="S849" s="78"/>
      <c r="T849" s="78"/>
      <c r="U849" s="78"/>
      <c r="V849" s="78"/>
      <c r="W849" s="78"/>
      <c r="X849" s="78"/>
      <c r="Y849" s="78"/>
    </row>
    <row r="850" ht="26.25" customHeight="1">
      <c r="A850" s="74" t="str">
        <f>IFERROR(__xludf.DUMMYFUNCTION("""COMPUTED_VALUE"""),"saiprasanna panthina")</f>
        <v>saiprasanna panthina</v>
      </c>
      <c r="B850" s="74" t="str">
        <f>IFERROR(__xludf.DUMMYFUNCTION("""COMPUTED_VALUE"""),"20335A0512")</f>
        <v>20335A0512</v>
      </c>
      <c r="C850" s="90" t="str">
        <f>IFERROR(__xludf.DUMMYFUNCTION("""COMPUTED_VALUE"""),"Blue prism")</f>
        <v>Blue prism</v>
      </c>
      <c r="D850" s="74" t="str">
        <f>IFERROR(__xludf.DUMMYFUNCTION("""COMPUTED_VALUE"""),"Blue prism")</f>
        <v>Blue prism</v>
      </c>
      <c r="E850" s="74" t="str">
        <f>IFERROR(__xludf.DUMMYFUNCTION("""COMPUTED_VALUE"""),"3 months")</f>
        <v>3 months</v>
      </c>
      <c r="F850" s="91">
        <f>IFERROR(__xludf.DUMMYFUNCTION("""COMPUTED_VALUE"""),44485.0)</f>
        <v>44485</v>
      </c>
      <c r="G850" s="91">
        <f>IFERROR(__xludf.DUMMYFUNCTION("""COMPUTED_VALUE"""),44521.0)</f>
        <v>44521</v>
      </c>
      <c r="H850" s="79">
        <f>IFERROR(__xludf.DUMMYFUNCTION("""COMPUTED_VALUE"""),44521.0)</f>
        <v>44521</v>
      </c>
      <c r="I850" s="92">
        <f>IFERROR(__xludf.DUMMYFUNCTION("""COMPUTED_VALUE"""),90.0)</f>
        <v>90</v>
      </c>
      <c r="J850" s="74" t="str">
        <f>IFERROR(__xludf.DUMMYFUNCTION("""COMPUTED_VALUE"""),"k.sobha rani")</f>
        <v>k.sobha rani</v>
      </c>
      <c r="K850" s="80" t="str">
        <f>IFERROR(__xludf.DUMMYFUNCTION("""COMPUTED_VALUE"""),"https://drive.google.com/open?id=1RRfbtJTy6_Bglbrf_-xqsBhLPsl6uwew")</f>
        <v>https://drive.google.com/open?id=1RRfbtJTy6_Bglbrf_-xqsBhLPsl6uwew</v>
      </c>
      <c r="L850" s="74" t="str">
        <f>IFERROR(__xludf.DUMMYFUNCTION("""COMPUTED_VALUE"""),"2019-2023")</f>
        <v>2019-2023</v>
      </c>
      <c r="M850" s="74" t="str">
        <f>IFERROR(__xludf.DUMMYFUNCTION("""COMPUTED_VALUE"""),"S4: Student Certifications")</f>
        <v>S4: Student Certifications</v>
      </c>
      <c r="N850" s="74" t="str">
        <f>IFERROR(__xludf.DUMMYFUNCTION("""COMPUTED_VALUE"""),"saiprasanna.cme@gmail.com")</f>
        <v>saiprasanna.cme@gmail.com</v>
      </c>
      <c r="O850" s="74" t="str">
        <f>IFERROR(__xludf.DUMMYFUNCTION("""COMPUTED_VALUE"""),"SEM-6")</f>
        <v>SEM-6</v>
      </c>
      <c r="P850" s="74"/>
      <c r="Q850" s="74"/>
      <c r="R850" s="74"/>
      <c r="S850" s="74"/>
      <c r="T850" s="74"/>
      <c r="U850" s="74"/>
      <c r="V850" s="74"/>
      <c r="W850" s="74"/>
      <c r="X850" s="74"/>
      <c r="Y850" s="74"/>
    </row>
    <row r="851" ht="26.25" customHeight="1">
      <c r="A851" s="74" t="str">
        <f>IFERROR(__xludf.DUMMYFUNCTION("""COMPUTED_VALUE"""),"MODALAVALASA SAI PRASANNA")</f>
        <v>MODALAVALASA SAI PRASANNA</v>
      </c>
      <c r="B851" s="74" t="str">
        <f>IFERROR(__xludf.DUMMYFUNCTION("""COMPUTED_VALUE"""),"19331A05A5")</f>
        <v>19331A05A5</v>
      </c>
      <c r="C851" s="90" t="str">
        <f>IFERROR(__xludf.DUMMYFUNCTION("""COMPUTED_VALUE"""),"CLA: PROGRAMMING ESSENTIALS IN C")</f>
        <v>CLA: PROGRAMMING ESSENTIALS IN C</v>
      </c>
      <c r="D851" s="74" t="str">
        <f>IFERROR(__xludf.DUMMYFUNCTION("""COMPUTED_VALUE"""),"CISCO NETWORKING ACADEMY")</f>
        <v>CISCO NETWORKING ACADEMY</v>
      </c>
      <c r="E851" s="74" t="str">
        <f>IFERROR(__xludf.DUMMYFUNCTION("""COMPUTED_VALUE"""),"4 months")</f>
        <v>4 months</v>
      </c>
      <c r="F851" s="91">
        <f>IFERROR(__xludf.DUMMYFUNCTION("""COMPUTED_VALUE"""),43888.0)</f>
        <v>43888</v>
      </c>
      <c r="G851" s="91">
        <f>IFERROR(__xludf.DUMMYFUNCTION("""COMPUTED_VALUE"""),44043.0)</f>
        <v>44043</v>
      </c>
      <c r="H851" s="79">
        <f>IFERROR(__xludf.DUMMYFUNCTION("""COMPUTED_VALUE"""),44017.0)</f>
        <v>44017</v>
      </c>
      <c r="I851" s="92">
        <f>IFERROR(__xludf.DUMMYFUNCTION("""COMPUTED_VALUE"""),90.0)</f>
        <v>90</v>
      </c>
      <c r="J851" s="74" t="str">
        <f>IFERROR(__xludf.DUMMYFUNCTION("""COMPUTED_VALUE"""),"DR.RAVI KIRAN VARMA PENMATSA")</f>
        <v>DR.RAVI KIRAN VARMA PENMATSA</v>
      </c>
      <c r="K851" s="80" t="str">
        <f>IFERROR(__xludf.DUMMYFUNCTION("""COMPUTED_VALUE"""),"https://drive.google.com/open?id=1KjMhfI3dI2IWAxzA0nZOSpek2nIf51ve")</f>
        <v>https://drive.google.com/open?id=1KjMhfI3dI2IWAxzA0nZOSpek2nIf51ve</v>
      </c>
      <c r="L851" s="74" t="str">
        <f>IFERROR(__xludf.DUMMYFUNCTION("""COMPUTED_VALUE"""),"2019-2023")</f>
        <v>2019-2023</v>
      </c>
      <c r="M851" s="74" t="str">
        <f>IFERROR(__xludf.DUMMYFUNCTION("""COMPUTED_VALUE"""),"S4: Student Certifications")</f>
        <v>S4: Student Certifications</v>
      </c>
      <c r="N851" s="74" t="str">
        <f>IFERROR(__xludf.DUMMYFUNCTION("""COMPUTED_VALUE"""),"prasanna260402@gmail.com")</f>
        <v>prasanna260402@gmail.com</v>
      </c>
      <c r="O851" s="74" t="str">
        <f>IFERROR(__xludf.DUMMYFUNCTION("""COMPUTED_VALUE"""),"SEM-6")</f>
        <v>SEM-6</v>
      </c>
      <c r="P851" s="74"/>
      <c r="Q851" s="74"/>
      <c r="R851" s="74"/>
      <c r="S851" s="74"/>
      <c r="T851" s="74"/>
      <c r="U851" s="74"/>
      <c r="V851" s="74"/>
      <c r="W851" s="74"/>
      <c r="X851" s="74"/>
      <c r="Y851" s="74"/>
    </row>
    <row r="852" ht="26.25" customHeight="1">
      <c r="A852" s="74" t="str">
        <f>IFERROR(__xludf.DUMMYFUNCTION("""COMPUTED_VALUE"""),"saiprasanna panthina")</f>
        <v>saiprasanna panthina</v>
      </c>
      <c r="B852" s="74" t="str">
        <f>IFERROR(__xludf.DUMMYFUNCTION("""COMPUTED_VALUE"""),"20335A0512")</f>
        <v>20335A0512</v>
      </c>
      <c r="C852" s="90" t="str">
        <f>IFERROR(__xludf.DUMMYFUNCTION("""COMPUTED_VALUE"""),"blueprism")</f>
        <v>blueprism</v>
      </c>
      <c r="D852" s="74" t="str">
        <f>IFERROR(__xludf.DUMMYFUNCTION("""COMPUTED_VALUE"""),"blueprism")</f>
        <v>blueprism</v>
      </c>
      <c r="E852" s="74" t="str">
        <f>IFERROR(__xludf.DUMMYFUNCTION("""COMPUTED_VALUE"""),"3months")</f>
        <v>3months</v>
      </c>
      <c r="F852" s="91">
        <f>IFERROR(__xludf.DUMMYFUNCTION("""COMPUTED_VALUE"""),44485.0)</f>
        <v>44485</v>
      </c>
      <c r="G852" s="91">
        <f>IFERROR(__xludf.DUMMYFUNCTION("""COMPUTED_VALUE"""),44516.0)</f>
        <v>44516</v>
      </c>
      <c r="H852" s="79">
        <f>IFERROR(__xludf.DUMMYFUNCTION("""COMPUTED_VALUE"""),44516.0)</f>
        <v>44516</v>
      </c>
      <c r="I852" s="92">
        <f>IFERROR(__xludf.DUMMYFUNCTION("""COMPUTED_VALUE"""),90.0)</f>
        <v>90</v>
      </c>
      <c r="J852" s="74" t="str">
        <f>IFERROR(__xludf.DUMMYFUNCTION("""COMPUTED_VALUE"""),"k. sobha rani")</f>
        <v>k. sobha rani</v>
      </c>
      <c r="K852" s="80" t="str">
        <f>IFERROR(__xludf.DUMMYFUNCTION("""COMPUTED_VALUE"""),"https://drive.google.com/open?id=1a8gpXBDpjnwNaVsTdW79gXLKEPw8MtQ_")</f>
        <v>https://drive.google.com/open?id=1a8gpXBDpjnwNaVsTdW79gXLKEPw8MtQ_</v>
      </c>
      <c r="L852" s="74" t="str">
        <f>IFERROR(__xludf.DUMMYFUNCTION("""COMPUTED_VALUE"""),"2019-2023")</f>
        <v>2019-2023</v>
      </c>
      <c r="M852" s="74" t="str">
        <f>IFERROR(__xludf.DUMMYFUNCTION("""COMPUTED_VALUE"""),"S4: Student Certifications")</f>
        <v>S4: Student Certifications</v>
      </c>
      <c r="N852" s="74" t="str">
        <f>IFERROR(__xludf.DUMMYFUNCTION("""COMPUTED_VALUE"""),"saiprasanna.cme@gmail.com")</f>
        <v>saiprasanna.cme@gmail.com</v>
      </c>
      <c r="O852" s="74" t="str">
        <f>IFERROR(__xludf.DUMMYFUNCTION("""COMPUTED_VALUE"""),"SEM-6")</f>
        <v>SEM-6</v>
      </c>
      <c r="P852" s="74"/>
      <c r="Q852" s="74"/>
      <c r="R852" s="74"/>
      <c r="S852" s="74"/>
      <c r="T852" s="74"/>
      <c r="U852" s="74"/>
      <c r="V852" s="74"/>
      <c r="W852" s="74"/>
      <c r="X852" s="74"/>
      <c r="Y852" s="74"/>
    </row>
    <row r="853" ht="26.25" customHeight="1">
      <c r="A853" s="74" t="str">
        <f>IFERROR(__xludf.DUMMYFUNCTION("""COMPUTED_VALUE"""),"MODALAVALASA SAI PRASANNA")</f>
        <v>MODALAVALASA SAI PRASANNA</v>
      </c>
      <c r="B853" s="74" t="str">
        <f>IFERROR(__xludf.DUMMYFUNCTION("""COMPUTED_VALUE"""),"19331A05A5")</f>
        <v>19331A05A5</v>
      </c>
      <c r="C853" s="90" t="str">
        <f>IFERROR(__xludf.DUMMYFUNCTION("""COMPUTED_VALUE"""),"PROGRAMMING ESSENTIALS IN PYTHON")</f>
        <v>PROGRAMMING ESSENTIALS IN PYTHON</v>
      </c>
      <c r="D853" s="74" t="str">
        <f>IFERROR(__xludf.DUMMYFUNCTION("""COMPUTED_VALUE"""),"CISCO NETWORKING ACADEMY")</f>
        <v>CISCO NETWORKING ACADEMY</v>
      </c>
      <c r="E853" s="74" t="str">
        <f>IFERROR(__xludf.DUMMYFUNCTION("""COMPUTED_VALUE"""),"4 MONTHS")</f>
        <v>4 MONTHS</v>
      </c>
      <c r="F853" s="91">
        <f>IFERROR(__xludf.DUMMYFUNCTION("""COMPUTED_VALUE"""),44166.0)</f>
        <v>44166</v>
      </c>
      <c r="G853" s="91">
        <f>IFERROR(__xludf.DUMMYFUNCTION("""COMPUTED_VALUE"""),44258.0)</f>
        <v>44258</v>
      </c>
      <c r="H853" s="79">
        <f>IFERROR(__xludf.DUMMYFUNCTION("""COMPUTED_VALUE"""),44256.0)</f>
        <v>44256</v>
      </c>
      <c r="I853" s="92">
        <f>IFERROR(__xludf.DUMMYFUNCTION("""COMPUTED_VALUE"""),93.0)</f>
        <v>93</v>
      </c>
      <c r="J853" s="74" t="str">
        <f>IFERROR(__xludf.DUMMYFUNCTION("""COMPUTED_VALUE"""),"SUBBA RAJU K V")</f>
        <v>SUBBA RAJU K V</v>
      </c>
      <c r="K853" s="80" t="str">
        <f>IFERROR(__xludf.DUMMYFUNCTION("""COMPUTED_VALUE"""),"https://drive.google.com/open?id=1M6V4dGHHi8qC_Sys-2t-WMNpyJI_LoM-")</f>
        <v>https://drive.google.com/open?id=1M6V4dGHHi8qC_Sys-2t-WMNpyJI_LoM-</v>
      </c>
      <c r="L853" s="74" t="str">
        <f>IFERROR(__xludf.DUMMYFUNCTION("""COMPUTED_VALUE"""),"2019-2023")</f>
        <v>2019-2023</v>
      </c>
      <c r="M853" s="74" t="str">
        <f>IFERROR(__xludf.DUMMYFUNCTION("""COMPUTED_VALUE"""),"S4: Student Certifications")</f>
        <v>S4: Student Certifications</v>
      </c>
      <c r="N853" s="74" t="str">
        <f>IFERROR(__xludf.DUMMYFUNCTION("""COMPUTED_VALUE"""),"prasanna260402@gmail.com")</f>
        <v>prasanna260402@gmail.com</v>
      </c>
      <c r="O853" s="74" t="str">
        <f>IFERROR(__xludf.DUMMYFUNCTION("""COMPUTED_VALUE"""),"SEM-6")</f>
        <v>SEM-6</v>
      </c>
      <c r="P853" s="74"/>
      <c r="Q853" s="74"/>
      <c r="R853" s="74"/>
      <c r="S853" s="74"/>
      <c r="T853" s="74"/>
      <c r="U853" s="74"/>
      <c r="V853" s="74"/>
      <c r="W853" s="74"/>
      <c r="X853" s="74"/>
      <c r="Y853" s="74"/>
    </row>
    <row r="854" ht="26.25" customHeight="1">
      <c r="A854" s="74" t="str">
        <f>IFERROR(__xludf.DUMMYFUNCTION("""COMPUTED_VALUE"""),"saiprasanna panthina")</f>
        <v>saiprasanna panthina</v>
      </c>
      <c r="B854" s="74" t="str">
        <f>IFERROR(__xludf.DUMMYFUNCTION("""COMPUTED_VALUE"""),"20335A0512")</f>
        <v>20335A0512</v>
      </c>
      <c r="C854" s="90" t="str">
        <f>IFERROR(__xludf.DUMMYFUNCTION("""COMPUTED_VALUE"""),"blueprism")</f>
        <v>blueprism</v>
      </c>
      <c r="D854" s="74" t="str">
        <f>IFERROR(__xludf.DUMMYFUNCTION("""COMPUTED_VALUE"""),"blueprism")</f>
        <v>blueprism</v>
      </c>
      <c r="E854" s="74" t="str">
        <f>IFERROR(__xludf.DUMMYFUNCTION("""COMPUTED_VALUE"""),"3months")</f>
        <v>3months</v>
      </c>
      <c r="F854" s="91">
        <f>IFERROR(__xludf.DUMMYFUNCTION("""COMPUTED_VALUE"""),44485.0)</f>
        <v>44485</v>
      </c>
      <c r="G854" s="91">
        <f>IFERROR(__xludf.DUMMYFUNCTION("""COMPUTED_VALUE"""),44538.0)</f>
        <v>44538</v>
      </c>
      <c r="H854" s="79">
        <f>IFERROR(__xludf.DUMMYFUNCTION("""COMPUTED_VALUE"""),44538.0)</f>
        <v>44538</v>
      </c>
      <c r="I854" s="92">
        <f>IFERROR(__xludf.DUMMYFUNCTION("""COMPUTED_VALUE"""),89.0)</f>
        <v>89</v>
      </c>
      <c r="J854" s="74" t="str">
        <f>IFERROR(__xludf.DUMMYFUNCTION("""COMPUTED_VALUE"""),"k .sobha rani")</f>
        <v>k .sobha rani</v>
      </c>
      <c r="K854" s="80" t="str">
        <f>IFERROR(__xludf.DUMMYFUNCTION("""COMPUTED_VALUE"""),"https://drive.google.com/open?id=1v1OUZxCRTv7sFBktWqpQ-luET0fe5raQ")</f>
        <v>https://drive.google.com/open?id=1v1OUZxCRTv7sFBktWqpQ-luET0fe5raQ</v>
      </c>
      <c r="L854" s="74" t="str">
        <f>IFERROR(__xludf.DUMMYFUNCTION("""COMPUTED_VALUE"""),"2019-2023")</f>
        <v>2019-2023</v>
      </c>
      <c r="M854" s="74" t="str">
        <f>IFERROR(__xludf.DUMMYFUNCTION("""COMPUTED_VALUE"""),"S4: Student Certifications")</f>
        <v>S4: Student Certifications</v>
      </c>
      <c r="N854" s="74" t="str">
        <f>IFERROR(__xludf.DUMMYFUNCTION("""COMPUTED_VALUE"""),"saiprasanna.cme@gmail.com")</f>
        <v>saiprasanna.cme@gmail.com</v>
      </c>
      <c r="O854" s="74" t="str">
        <f>IFERROR(__xludf.DUMMYFUNCTION("""COMPUTED_VALUE"""),"SEM-6")</f>
        <v>SEM-6</v>
      </c>
      <c r="P854" s="74"/>
      <c r="Q854" s="74"/>
      <c r="R854" s="74"/>
      <c r="S854" s="74"/>
      <c r="T854" s="74"/>
      <c r="U854" s="74"/>
      <c r="V854" s="74"/>
      <c r="W854" s="74"/>
      <c r="X854" s="74"/>
      <c r="Y854" s="74"/>
    </row>
    <row r="855" ht="26.25" customHeight="1">
      <c r="A855" s="74" t="str">
        <f>IFERROR(__xludf.DUMMYFUNCTION("""COMPUTED_VALUE"""),"MODALAVALASA SAI PRASANNA")</f>
        <v>MODALAVALASA SAI PRASANNA</v>
      </c>
      <c r="B855" s="74" t="str">
        <f>IFERROR(__xludf.DUMMYFUNCTION("""COMPUTED_VALUE"""),"19331A05A5")</f>
        <v>19331A05A5</v>
      </c>
      <c r="C855" s="90" t="str">
        <f>IFERROR(__xludf.DUMMYFUNCTION("""COMPUTED_VALUE"""),"INTRODUCTION TO IOT")</f>
        <v>INTRODUCTION TO IOT</v>
      </c>
      <c r="D855" s="74" t="str">
        <f>IFERROR(__xludf.DUMMYFUNCTION("""COMPUTED_VALUE"""),"CICSO NETWORKING ACADEMY")</f>
        <v>CICSO NETWORKING ACADEMY</v>
      </c>
      <c r="E855" s="74" t="str">
        <f>IFERROR(__xludf.DUMMYFUNCTION("""COMPUTED_VALUE"""),"4 MONTHS")</f>
        <v>4 MONTHS</v>
      </c>
      <c r="F855" s="91">
        <f>IFERROR(__xludf.DUMMYFUNCTION("""COMPUTED_VALUE"""),43922.0)</f>
        <v>43922</v>
      </c>
      <c r="G855" s="91">
        <f>IFERROR(__xludf.DUMMYFUNCTION("""COMPUTED_VALUE"""),44043.0)</f>
        <v>44043</v>
      </c>
      <c r="H855" s="79">
        <f>IFERROR(__xludf.DUMMYFUNCTION("""COMPUTED_VALUE"""),44027.0)</f>
        <v>44027</v>
      </c>
      <c r="I855" s="92">
        <f>IFERROR(__xludf.DUMMYFUNCTION("""COMPUTED_VALUE"""),90.0)</f>
        <v>90</v>
      </c>
      <c r="J855" s="74" t="str">
        <f>IFERROR(__xludf.DUMMYFUNCTION("""COMPUTED_VALUE"""),"GENERIC  INSTRUCTOR")</f>
        <v>GENERIC  INSTRUCTOR</v>
      </c>
      <c r="K855" s="80" t="str">
        <f>IFERROR(__xludf.DUMMYFUNCTION("""COMPUTED_VALUE"""),"https://drive.google.com/open?id=1PmbpsiK5wYUODljWx_XHdW3O5guPVLSg")</f>
        <v>https://drive.google.com/open?id=1PmbpsiK5wYUODljWx_XHdW3O5guPVLSg</v>
      </c>
      <c r="L855" s="74" t="str">
        <f>IFERROR(__xludf.DUMMYFUNCTION("""COMPUTED_VALUE"""),"2019-2023")</f>
        <v>2019-2023</v>
      </c>
      <c r="M855" s="74" t="str">
        <f>IFERROR(__xludf.DUMMYFUNCTION("""COMPUTED_VALUE"""),"S4: Student Certifications")</f>
        <v>S4: Student Certifications</v>
      </c>
      <c r="N855" s="74" t="str">
        <f>IFERROR(__xludf.DUMMYFUNCTION("""COMPUTED_VALUE"""),"prasanna260402@gmail.com")</f>
        <v>prasanna260402@gmail.com</v>
      </c>
      <c r="O855" s="74" t="str">
        <f>IFERROR(__xludf.DUMMYFUNCTION("""COMPUTED_VALUE"""),"SEM-6")</f>
        <v>SEM-6</v>
      </c>
      <c r="P855" s="74"/>
      <c r="Q855" s="74"/>
      <c r="R855" s="74"/>
      <c r="S855" s="74"/>
      <c r="T855" s="74"/>
      <c r="U855" s="74"/>
      <c r="V855" s="74"/>
      <c r="W855" s="74"/>
      <c r="X855" s="74"/>
      <c r="Y855" s="74"/>
    </row>
    <row r="856" ht="26.25" customHeight="1">
      <c r="A856" s="74" t="str">
        <f>IFERROR(__xludf.DUMMYFUNCTION("""COMPUTED_VALUE"""),"saiprasanna panthina")</f>
        <v>saiprasanna panthina</v>
      </c>
      <c r="B856" s="74" t="str">
        <f>IFERROR(__xludf.DUMMYFUNCTION("""COMPUTED_VALUE"""),"20335A0512")</f>
        <v>20335A0512</v>
      </c>
      <c r="C856" s="90" t="str">
        <f>IFERROR(__xludf.DUMMYFUNCTION("""COMPUTED_VALUE"""),"Advanced  Personality Development")</f>
        <v>Advanced  Personality Development</v>
      </c>
      <c r="D856" s="74" t="str">
        <f>IFERROR(__xludf.DUMMYFUNCTION("""COMPUTED_VALUE"""),"Bizgurukul ")</f>
        <v>Bizgurukul </v>
      </c>
      <c r="E856" s="74" t="str">
        <f>IFERROR(__xludf.DUMMYFUNCTION("""COMPUTED_VALUE"""),"2 years")</f>
        <v>2 years</v>
      </c>
      <c r="F856" s="91">
        <f>IFERROR(__xludf.DUMMYFUNCTION("""COMPUTED_VALUE"""),44524.0)</f>
        <v>44524</v>
      </c>
      <c r="G856" s="91">
        <f>IFERROR(__xludf.DUMMYFUNCTION("""COMPUTED_VALUE"""),45282.0)</f>
        <v>45282</v>
      </c>
      <c r="H856" s="79">
        <f>IFERROR(__xludf.DUMMYFUNCTION("""COMPUTED_VALUE"""),44547.0)</f>
        <v>44547</v>
      </c>
      <c r="I856" s="92">
        <f>IFERROR(__xludf.DUMMYFUNCTION("""COMPUTED_VALUE"""),75.0)</f>
        <v>75</v>
      </c>
      <c r="J856" s="74" t="str">
        <f>IFERROR(__xludf.DUMMYFUNCTION("""COMPUTED_VALUE"""),"Ritwiz tawari")</f>
        <v>Ritwiz tawari</v>
      </c>
      <c r="K856" s="80" t="str">
        <f>IFERROR(__xludf.DUMMYFUNCTION("""COMPUTED_VALUE"""),"https://drive.google.com/open?id=1KhUAvJ7GnsCHyB7LCfH3uOQzTldBgVug")</f>
        <v>https://drive.google.com/open?id=1KhUAvJ7GnsCHyB7LCfH3uOQzTldBgVug</v>
      </c>
      <c r="L856" s="74" t="str">
        <f>IFERROR(__xludf.DUMMYFUNCTION("""COMPUTED_VALUE"""),"2019-2023")</f>
        <v>2019-2023</v>
      </c>
      <c r="M856" s="74" t="str">
        <f>IFERROR(__xludf.DUMMYFUNCTION("""COMPUTED_VALUE"""),"S4: Student Certifications")</f>
        <v>S4: Student Certifications</v>
      </c>
      <c r="N856" s="74" t="str">
        <f>IFERROR(__xludf.DUMMYFUNCTION("""COMPUTED_VALUE"""),"saiprasanna.cme@gmail.com")</f>
        <v>saiprasanna.cme@gmail.com</v>
      </c>
      <c r="O856" s="74" t="str">
        <f>IFERROR(__xludf.DUMMYFUNCTION("""COMPUTED_VALUE"""),"SEM-6")</f>
        <v>SEM-6</v>
      </c>
      <c r="P856" s="74"/>
      <c r="Q856" s="74"/>
      <c r="R856" s="74"/>
      <c r="S856" s="74"/>
      <c r="T856" s="74"/>
      <c r="U856" s="74"/>
      <c r="V856" s="74"/>
      <c r="W856" s="74"/>
      <c r="X856" s="74"/>
      <c r="Y856" s="74"/>
    </row>
    <row r="857" ht="26.25" customHeight="1">
      <c r="A857" s="78" t="str">
        <f>IFERROR(__xludf.DUMMYFUNCTION("""COMPUTED_VALUE"""),"MODALAVALASA SAI PRASANNA")</f>
        <v>MODALAVALASA SAI PRASANNA</v>
      </c>
      <c r="B857" s="78" t="str">
        <f>IFERROR(__xludf.DUMMYFUNCTION("""COMPUTED_VALUE"""),"19331A05A5")</f>
        <v>19331A05A5</v>
      </c>
      <c r="C857" s="93" t="str">
        <f>IFERROR(__xludf.DUMMYFUNCTION("""COMPUTED_VALUE"""),"IT ESSENTIALS")</f>
        <v>IT ESSENTIALS</v>
      </c>
      <c r="D857" s="78" t="str">
        <f>IFERROR(__xludf.DUMMYFUNCTION("""COMPUTED_VALUE"""),"CISCO NETWORKING ACADEMY")</f>
        <v>CISCO NETWORKING ACADEMY</v>
      </c>
      <c r="E857" s="78" t="str">
        <f>IFERROR(__xludf.DUMMYFUNCTION("""COMPUTED_VALUE"""),"3 MONTHS")</f>
        <v>3 MONTHS</v>
      </c>
      <c r="F857" s="94">
        <f>IFERROR(__xludf.DUMMYFUNCTION("""COMPUTED_VALUE"""),44044.0)</f>
        <v>44044</v>
      </c>
      <c r="G857" s="94">
        <f>IFERROR(__xludf.DUMMYFUNCTION("""COMPUTED_VALUE"""),44134.0)</f>
        <v>44134</v>
      </c>
      <c r="H857" s="84">
        <f>IFERROR(__xludf.DUMMYFUNCTION("""COMPUTED_VALUE"""),44132.0)</f>
        <v>44132</v>
      </c>
      <c r="I857" s="95">
        <f>IFERROR(__xludf.DUMMYFUNCTION("""COMPUTED_VALUE"""),93.0)</f>
        <v>93</v>
      </c>
      <c r="J857" s="78" t="str">
        <f>IFERROR(__xludf.DUMMYFUNCTION("""COMPUTED_VALUE"""),"GENERIC INSTRUCTOR")</f>
        <v>GENERIC INSTRUCTOR</v>
      </c>
      <c r="K857" s="85" t="str">
        <f>IFERROR(__xludf.DUMMYFUNCTION("""COMPUTED_VALUE"""),"https://drive.google.com/open?id=1kQ_-LrrMKKFhNjfkDPJ9sxZ0ye6KtTa_")</f>
        <v>https://drive.google.com/open?id=1kQ_-LrrMKKFhNjfkDPJ9sxZ0ye6KtTa_</v>
      </c>
      <c r="L857" s="78" t="str">
        <f>IFERROR(__xludf.DUMMYFUNCTION("""COMPUTED_VALUE"""),"2019-2023")</f>
        <v>2019-2023</v>
      </c>
      <c r="M857" s="78" t="str">
        <f>IFERROR(__xludf.DUMMYFUNCTION("""COMPUTED_VALUE"""),"S4: Student Certifications")</f>
        <v>S4: Student Certifications</v>
      </c>
      <c r="N857" s="78" t="str">
        <f>IFERROR(__xludf.DUMMYFUNCTION("""COMPUTED_VALUE"""),"prasanna260402@gmail.com")</f>
        <v>prasanna260402@gmail.com</v>
      </c>
      <c r="O857" s="78" t="str">
        <f>IFERROR(__xludf.DUMMYFUNCTION("""COMPUTED_VALUE"""),"SEM-6")</f>
        <v>SEM-6</v>
      </c>
      <c r="P857" s="78"/>
      <c r="Q857" s="78"/>
      <c r="R857" s="78"/>
      <c r="S857" s="78"/>
      <c r="T857" s="78"/>
      <c r="U857" s="78"/>
      <c r="V857" s="78"/>
      <c r="W857" s="78"/>
      <c r="X857" s="78"/>
      <c r="Y857" s="78"/>
    </row>
    <row r="858" ht="26.25" customHeight="1">
      <c r="A858" s="96" t="str">
        <f>IFERROR(__xludf.DUMMYFUNCTION("""COMPUTED_VALUE"""),"KOMMU ANKITHA")</f>
        <v>KOMMU ANKITHA</v>
      </c>
      <c r="B858" s="96" t="str">
        <f>IFERROR(__xludf.DUMMYFUNCTION("""COMPUTED_VALUE"""),"19331A0582")</f>
        <v>19331A0582</v>
      </c>
      <c r="C858" s="97" t="str">
        <f>IFERROR(__xludf.DUMMYFUNCTION("""COMPUTED_VALUE"""),"PROGRAMMING ESSENTIALS IN PYTHON")</f>
        <v>PROGRAMMING ESSENTIALS IN PYTHON</v>
      </c>
      <c r="D858" s="96" t="str">
        <f>IFERROR(__xludf.DUMMYFUNCTION("""COMPUTED_VALUE"""),"CISCO")</f>
        <v>CISCO</v>
      </c>
      <c r="E858" s="96" t="str">
        <f>IFERROR(__xludf.DUMMYFUNCTION("""COMPUTED_VALUE"""),"5 months")</f>
        <v>5 months</v>
      </c>
      <c r="F858" s="98">
        <f>IFERROR(__xludf.DUMMYFUNCTION("""COMPUTED_VALUE"""),44111.0)</f>
        <v>44111</v>
      </c>
      <c r="G858" s="98">
        <f>IFERROR(__xludf.DUMMYFUNCTION("""COMPUTED_VALUE"""),44263.0)</f>
        <v>44263</v>
      </c>
      <c r="H858" s="99">
        <f>IFERROR(__xludf.DUMMYFUNCTION("""COMPUTED_VALUE"""),44263.0)</f>
        <v>44263</v>
      </c>
      <c r="I858" s="100">
        <f>IFERROR(__xludf.DUMMYFUNCTION("""COMPUTED_VALUE"""),70.0)</f>
        <v>70</v>
      </c>
      <c r="J858" s="96" t="str">
        <f>IFERROR(__xludf.DUMMYFUNCTION("""COMPUTED_VALUE"""),"DR.RAVI KIRAN VARMA PENMATSA")</f>
        <v>DR.RAVI KIRAN VARMA PENMATSA</v>
      </c>
      <c r="K858" s="101" t="str">
        <f>IFERROR(__xludf.DUMMYFUNCTION("""COMPUTED_VALUE"""),"https://drive.google.com/open?id=1L1sL-r7dACeUt2tFixHn-xVUpqFLhUAO")</f>
        <v>https://drive.google.com/open?id=1L1sL-r7dACeUt2tFixHn-xVUpqFLhUAO</v>
      </c>
      <c r="L858" s="96" t="str">
        <f>IFERROR(__xludf.DUMMYFUNCTION("""COMPUTED_VALUE"""),"2019-2023")</f>
        <v>2019-2023</v>
      </c>
      <c r="M858" s="96" t="str">
        <f>IFERROR(__xludf.DUMMYFUNCTION("""COMPUTED_VALUE"""),"S4: Student Certifications")</f>
        <v>S4: Student Certifications</v>
      </c>
      <c r="N858" s="96" t="str">
        <f>IFERROR(__xludf.DUMMYFUNCTION("""COMPUTED_VALUE"""),"kommublessy5@gmail.com")</f>
        <v>kommublessy5@gmail.com</v>
      </c>
      <c r="O858" s="96" t="str">
        <f>IFERROR(__xludf.DUMMYFUNCTION("""COMPUTED_VALUE"""),"SEM-6")</f>
        <v>SEM-6</v>
      </c>
      <c r="P858" s="96"/>
      <c r="Q858" s="96"/>
      <c r="R858" s="96"/>
      <c r="S858" s="96"/>
      <c r="T858" s="96"/>
      <c r="U858" s="96"/>
      <c r="V858" s="96"/>
      <c r="W858" s="96"/>
      <c r="X858" s="96"/>
      <c r="Y858" s="96"/>
    </row>
    <row r="859" ht="26.25" customHeight="1">
      <c r="A859" s="74" t="str">
        <f>IFERROR(__xludf.DUMMYFUNCTION("""COMPUTED_VALUE"""),"MODALAVALASA SAI PRASANNA")</f>
        <v>MODALAVALASA SAI PRASANNA</v>
      </c>
      <c r="B859" s="74" t="str">
        <f>IFERROR(__xludf.DUMMYFUNCTION("""COMPUTED_VALUE"""),"19331A05A5")</f>
        <v>19331A05A5</v>
      </c>
      <c r="C859" s="90" t="str">
        <f>IFERROR(__xludf.DUMMYFUNCTION("""COMPUTED_VALUE"""),"JSE : JAVASCRIPT ESSENTIALS")</f>
        <v>JSE : JAVASCRIPT ESSENTIALS</v>
      </c>
      <c r="D859" s="74" t="str">
        <f>IFERROR(__xludf.DUMMYFUNCTION("""COMPUTED_VALUE"""),"CISCO NETWORKING ACADEMY")</f>
        <v>CISCO NETWORKING ACADEMY</v>
      </c>
      <c r="E859" s="74" t="str">
        <f>IFERROR(__xludf.DUMMYFUNCTION("""COMPUTED_VALUE"""),"4 MONTHS")</f>
        <v>4 MONTHS</v>
      </c>
      <c r="F859" s="91">
        <f>IFERROR(__xludf.DUMMYFUNCTION("""COMPUTED_VALUE"""),44550.0)</f>
        <v>44550</v>
      </c>
      <c r="G859" s="91">
        <f>IFERROR(__xludf.DUMMYFUNCTION("""COMPUTED_VALUE"""),44676.0)</f>
        <v>44676</v>
      </c>
      <c r="H859" s="79">
        <f>IFERROR(__xludf.DUMMYFUNCTION("""COMPUTED_VALUE"""),44662.0)</f>
        <v>44662</v>
      </c>
      <c r="I859" s="92">
        <f>IFERROR(__xludf.DUMMYFUNCTION("""COMPUTED_VALUE"""),80.0)</f>
        <v>80</v>
      </c>
      <c r="J859" s="74" t="str">
        <f>IFERROR(__xludf.DUMMYFUNCTION("""COMPUTED_VALUE"""),"GENERIC INSTRUCTOR")</f>
        <v>GENERIC INSTRUCTOR</v>
      </c>
      <c r="K859" s="80" t="str">
        <f>IFERROR(__xludf.DUMMYFUNCTION("""COMPUTED_VALUE"""),"https://drive.google.com/open?id=1nLP-H2HySLdLtWl1_S5m_sLUgbNoktTA")</f>
        <v>https://drive.google.com/open?id=1nLP-H2HySLdLtWl1_S5m_sLUgbNoktTA</v>
      </c>
      <c r="L859" s="74" t="str">
        <f>IFERROR(__xludf.DUMMYFUNCTION("""COMPUTED_VALUE"""),"2019-2023")</f>
        <v>2019-2023</v>
      </c>
      <c r="M859" s="74" t="str">
        <f>IFERROR(__xludf.DUMMYFUNCTION("""COMPUTED_VALUE"""),"S4: Student Certifications")</f>
        <v>S4: Student Certifications</v>
      </c>
      <c r="N859" s="74" t="str">
        <f>IFERROR(__xludf.DUMMYFUNCTION("""COMPUTED_VALUE"""),"prasanna260402@gmail.com")</f>
        <v>prasanna260402@gmail.com</v>
      </c>
      <c r="O859" s="74" t="str">
        <f>IFERROR(__xludf.DUMMYFUNCTION("""COMPUTED_VALUE"""),"SEM-6")</f>
        <v>SEM-6</v>
      </c>
      <c r="P859" s="74"/>
      <c r="Q859" s="74"/>
      <c r="R859" s="74"/>
      <c r="S859" s="74"/>
      <c r="T859" s="74"/>
      <c r="U859" s="74"/>
      <c r="V859" s="74"/>
      <c r="W859" s="74"/>
      <c r="X859" s="74"/>
      <c r="Y859" s="74"/>
    </row>
    <row r="860" ht="26.25" customHeight="1">
      <c r="A860" s="96" t="str">
        <f>IFERROR(__xludf.DUMMYFUNCTION("""COMPUTED_VALUE"""),"KOMMU ANKITHA")</f>
        <v>KOMMU ANKITHA</v>
      </c>
      <c r="B860" s="96" t="str">
        <f>IFERROR(__xludf.DUMMYFUNCTION("""COMPUTED_VALUE"""),"19331A0582")</f>
        <v>19331A0582</v>
      </c>
      <c r="C860" s="97" t="str">
        <f>IFERROR(__xludf.DUMMYFUNCTION("""COMPUTED_VALUE"""),"INTRODUCTION TO NETWORKS")</f>
        <v>INTRODUCTION TO NETWORKS</v>
      </c>
      <c r="D860" s="96" t="str">
        <f>IFERROR(__xludf.DUMMYFUNCTION("""COMPUTED_VALUE"""),"CISCO")</f>
        <v>CISCO</v>
      </c>
      <c r="E860" s="96" t="str">
        <f>IFERROR(__xludf.DUMMYFUNCTION("""COMPUTED_VALUE"""),"8 months")</f>
        <v>8 months</v>
      </c>
      <c r="F860" s="98">
        <f>IFERROR(__xludf.DUMMYFUNCTION("""COMPUTED_VALUE"""),44301.0)</f>
        <v>44301</v>
      </c>
      <c r="G860" s="98">
        <f>IFERROR(__xludf.DUMMYFUNCTION("""COMPUTED_VALUE"""),44545.0)</f>
        <v>44545</v>
      </c>
      <c r="H860" s="99">
        <f>IFERROR(__xludf.DUMMYFUNCTION("""COMPUTED_VALUE"""),44545.0)</f>
        <v>44545</v>
      </c>
      <c r="I860" s="100">
        <f>IFERROR(__xludf.DUMMYFUNCTION("""COMPUTED_VALUE"""),80.0)</f>
        <v>80</v>
      </c>
      <c r="J860" s="96" t="str">
        <f>IFERROR(__xludf.DUMMYFUNCTION("""COMPUTED_VALUE"""),"DR.RAVI KIRAN VARMA PENMATSA")</f>
        <v>DR.RAVI KIRAN VARMA PENMATSA</v>
      </c>
      <c r="K860" s="101" t="str">
        <f>IFERROR(__xludf.DUMMYFUNCTION("""COMPUTED_VALUE"""),"https://drive.google.com/open?id=1lxYH9mCUDlI_wvX8hFI0onASXt8QqntD")</f>
        <v>https://drive.google.com/open?id=1lxYH9mCUDlI_wvX8hFI0onASXt8QqntD</v>
      </c>
      <c r="L860" s="96" t="str">
        <f>IFERROR(__xludf.DUMMYFUNCTION("""COMPUTED_VALUE"""),"2019-2023")</f>
        <v>2019-2023</v>
      </c>
      <c r="M860" s="96" t="str">
        <f>IFERROR(__xludf.DUMMYFUNCTION("""COMPUTED_VALUE"""),"S4: Student Certifications")</f>
        <v>S4: Student Certifications</v>
      </c>
      <c r="N860" s="96" t="str">
        <f>IFERROR(__xludf.DUMMYFUNCTION("""COMPUTED_VALUE"""),"kommublessy5@gmail.com")</f>
        <v>kommublessy5@gmail.com</v>
      </c>
      <c r="O860" s="96" t="str">
        <f>IFERROR(__xludf.DUMMYFUNCTION("""COMPUTED_VALUE"""),"SEM-6")</f>
        <v>SEM-6</v>
      </c>
      <c r="P860" s="96"/>
      <c r="Q860" s="96"/>
      <c r="R860" s="96"/>
      <c r="S860" s="96"/>
      <c r="T860" s="96"/>
      <c r="U860" s="96"/>
      <c r="V860" s="96"/>
      <c r="W860" s="96"/>
      <c r="X860" s="96"/>
      <c r="Y860" s="96"/>
    </row>
    <row r="861" ht="26.25" customHeight="1">
      <c r="A861" s="74" t="str">
        <f>IFERROR(__xludf.DUMMYFUNCTION("""COMPUTED_VALUE"""),"MODALAVALASA SAI PRASANNA")</f>
        <v>MODALAVALASA SAI PRASANNA</v>
      </c>
      <c r="B861" s="74" t="str">
        <f>IFERROR(__xludf.DUMMYFUNCTION("""COMPUTED_VALUE"""),"19331A05A5")</f>
        <v>19331A05A5</v>
      </c>
      <c r="C861" s="90" t="str">
        <f>IFERROR(__xludf.DUMMYFUNCTION("""COMPUTED_VALUE"""),"CCNAV7: INTRODUCTION TO NETWORKS")</f>
        <v>CCNAV7: INTRODUCTION TO NETWORKS</v>
      </c>
      <c r="D861" s="74" t="str">
        <f>IFERROR(__xludf.DUMMYFUNCTION("""COMPUTED_VALUE"""),"CISCO NETWORKING ACADEMY")</f>
        <v>CISCO NETWORKING ACADEMY</v>
      </c>
      <c r="E861" s="74" t="str">
        <f>IFERROR(__xludf.DUMMYFUNCTION("""COMPUTED_VALUE"""),"6 MONTHS")</f>
        <v>6 MONTHS</v>
      </c>
      <c r="F861" s="91">
        <f>IFERROR(__xludf.DUMMYFUNCTION("""COMPUTED_VALUE"""),44495.0)</f>
        <v>44495</v>
      </c>
      <c r="G861" s="91">
        <f>IFERROR(__xludf.DUMMYFUNCTION("""COMPUTED_VALUE"""),44681.0)</f>
        <v>44681</v>
      </c>
      <c r="H861" s="79">
        <f>IFERROR(__xludf.DUMMYFUNCTION("""COMPUTED_VALUE"""),44644.0)</f>
        <v>44644</v>
      </c>
      <c r="I861" s="92">
        <f>IFERROR(__xludf.DUMMYFUNCTION("""COMPUTED_VALUE"""),95.0)</f>
        <v>95</v>
      </c>
      <c r="J861" s="74" t="str">
        <f>IFERROR(__xludf.DUMMYFUNCTION("""COMPUTED_VALUE"""),"DR.RAVI KIRAN VARMA PENMATSA")</f>
        <v>DR.RAVI KIRAN VARMA PENMATSA</v>
      </c>
      <c r="K861" s="80" t="str">
        <f>IFERROR(__xludf.DUMMYFUNCTION("""COMPUTED_VALUE"""),"https://drive.google.com/open?id=16B5DydRLLXSkLOCgpj_IfC7TLYV4b0bI")</f>
        <v>https://drive.google.com/open?id=16B5DydRLLXSkLOCgpj_IfC7TLYV4b0bI</v>
      </c>
      <c r="L861" s="74" t="str">
        <f>IFERROR(__xludf.DUMMYFUNCTION("""COMPUTED_VALUE"""),"2019-2023")</f>
        <v>2019-2023</v>
      </c>
      <c r="M861" s="74" t="str">
        <f>IFERROR(__xludf.DUMMYFUNCTION("""COMPUTED_VALUE"""),"S4: Student Certifications")</f>
        <v>S4: Student Certifications</v>
      </c>
      <c r="N861" s="74" t="str">
        <f>IFERROR(__xludf.DUMMYFUNCTION("""COMPUTED_VALUE"""),"prasanna260402@gmail.com")</f>
        <v>prasanna260402@gmail.com</v>
      </c>
      <c r="O861" s="74" t="str">
        <f>IFERROR(__xludf.DUMMYFUNCTION("""COMPUTED_VALUE"""),"SEM-6")</f>
        <v>SEM-6</v>
      </c>
      <c r="P861" s="74"/>
      <c r="Q861" s="74"/>
      <c r="R861" s="74"/>
      <c r="S861" s="74"/>
      <c r="T861" s="74"/>
      <c r="U861" s="74"/>
      <c r="V861" s="74"/>
      <c r="W861" s="74"/>
      <c r="X861" s="74"/>
      <c r="Y861" s="74"/>
    </row>
    <row r="862" ht="26.25" customHeight="1">
      <c r="A862" s="96" t="str">
        <f>IFERROR(__xludf.DUMMYFUNCTION("""COMPUTED_VALUE"""),"KOMMU ANKITHA")</f>
        <v>KOMMU ANKITHA</v>
      </c>
      <c r="B862" s="96" t="str">
        <f>IFERROR(__xludf.DUMMYFUNCTION("""COMPUTED_VALUE"""),"19331A0582")</f>
        <v>19331A0582</v>
      </c>
      <c r="C862" s="97" t="str">
        <f>IFERROR(__xludf.DUMMYFUNCTION("""COMPUTED_VALUE"""),"SWITCHING , ROUTING, AND WIRELESS ESSENTIALS")</f>
        <v>SWITCHING , ROUTING, AND WIRELESS ESSENTIALS</v>
      </c>
      <c r="D862" s="96" t="str">
        <f>IFERROR(__xludf.DUMMYFUNCTION("""COMPUTED_VALUE"""),"CISCO")</f>
        <v>CISCO</v>
      </c>
      <c r="E862" s="96" t="str">
        <f>IFERROR(__xludf.DUMMYFUNCTION("""COMPUTED_VALUE"""),"8 months")</f>
        <v>8 months</v>
      </c>
      <c r="F862" s="98">
        <f>IFERROR(__xludf.DUMMYFUNCTION("""COMPUTED_VALUE"""),44477.0)</f>
        <v>44477</v>
      </c>
      <c r="G862" s="98">
        <f>IFERROR(__xludf.DUMMYFUNCTION("""COMPUTED_VALUE"""),44703.0)</f>
        <v>44703</v>
      </c>
      <c r="H862" s="99">
        <f>IFERROR(__xludf.DUMMYFUNCTION("""COMPUTED_VALUE"""),44604.0)</f>
        <v>44604</v>
      </c>
      <c r="I862" s="100">
        <f>IFERROR(__xludf.DUMMYFUNCTION("""COMPUTED_VALUE"""),80.0)</f>
        <v>80</v>
      </c>
      <c r="J862" s="96" t="str">
        <f>IFERROR(__xludf.DUMMYFUNCTION("""COMPUTED_VALUE"""),"DR. RAVI KIRAN VARMA PENMATSA")</f>
        <v>DR. RAVI KIRAN VARMA PENMATSA</v>
      </c>
      <c r="K862" s="101" t="str">
        <f>IFERROR(__xludf.DUMMYFUNCTION("""COMPUTED_VALUE"""),"https://drive.google.com/open?id=1qY26c6tfG6fCPQKgLR1pE8AUHcFvR6Q3")</f>
        <v>https://drive.google.com/open?id=1qY26c6tfG6fCPQKgLR1pE8AUHcFvR6Q3</v>
      </c>
      <c r="L862" s="96" t="str">
        <f>IFERROR(__xludf.DUMMYFUNCTION("""COMPUTED_VALUE"""),"2019-2023")</f>
        <v>2019-2023</v>
      </c>
      <c r="M862" s="96" t="str">
        <f>IFERROR(__xludf.DUMMYFUNCTION("""COMPUTED_VALUE"""),"S4: Student Certifications")</f>
        <v>S4: Student Certifications</v>
      </c>
      <c r="N862" s="96" t="str">
        <f>IFERROR(__xludf.DUMMYFUNCTION("""COMPUTED_VALUE"""),"kommublessy5@gmail.com")</f>
        <v>kommublessy5@gmail.com</v>
      </c>
      <c r="O862" s="96" t="str">
        <f>IFERROR(__xludf.DUMMYFUNCTION("""COMPUTED_VALUE"""),"SEM-6")</f>
        <v>SEM-6</v>
      </c>
      <c r="P862" s="96"/>
      <c r="Q862" s="96"/>
      <c r="R862" s="96"/>
      <c r="S862" s="96"/>
      <c r="T862" s="96"/>
      <c r="U862" s="96"/>
      <c r="V862" s="96"/>
      <c r="W862" s="96"/>
      <c r="X862" s="96"/>
      <c r="Y862" s="96"/>
    </row>
    <row r="863" ht="26.25" customHeight="1">
      <c r="A863" s="74" t="str">
        <f>IFERROR(__xludf.DUMMYFUNCTION("""COMPUTED_VALUE"""),"Mohammed Daraksha Anjum")</f>
        <v>Mohammed Daraksha Anjum</v>
      </c>
      <c r="B863" s="74" t="str">
        <f>IFERROR(__xludf.DUMMYFUNCTION("""COMPUTED_VALUE"""),"19331A05A7")</f>
        <v>19331A05A7</v>
      </c>
      <c r="C863" s="90" t="str">
        <f>IFERROR(__xludf.DUMMYFUNCTION("""COMPUTED_VALUE"""),"Python essentials")</f>
        <v>Python essentials</v>
      </c>
      <c r="D863" s="74" t="str">
        <f>IFERROR(__xludf.DUMMYFUNCTION("""COMPUTED_VALUE"""),"CISCO NETWORKING ACADEMY")</f>
        <v>CISCO NETWORKING ACADEMY</v>
      </c>
      <c r="E863" s="74" t="str">
        <f>IFERROR(__xludf.DUMMYFUNCTION("""COMPUTED_VALUE"""),"4 months")</f>
        <v>4 months</v>
      </c>
      <c r="F863" s="91">
        <f>IFERROR(__xludf.DUMMYFUNCTION("""COMPUTED_VALUE"""),43882.0)</f>
        <v>43882</v>
      </c>
      <c r="G863" s="91">
        <f>IFERROR(__xludf.DUMMYFUNCTION("""COMPUTED_VALUE"""),44347.0)</f>
        <v>44347</v>
      </c>
      <c r="H863" s="79">
        <f>IFERROR(__xludf.DUMMYFUNCTION("""COMPUTED_VALUE"""),44319.0)</f>
        <v>44319</v>
      </c>
      <c r="I863" s="92">
        <f>IFERROR(__xludf.DUMMYFUNCTION("""COMPUTED_VALUE"""),90.0)</f>
        <v>90</v>
      </c>
      <c r="J863" s="74" t="str">
        <f>IFERROR(__xludf.DUMMYFUNCTION("""COMPUTED_VALUE"""),"DR. RAVI KIRAN VARMA PENMATSA")</f>
        <v>DR. RAVI KIRAN VARMA PENMATSA</v>
      </c>
      <c r="K863" s="80" t="str">
        <f>IFERROR(__xludf.DUMMYFUNCTION("""COMPUTED_VALUE"""),"https://drive.google.com/open?id=128dhicZ8DXd4VS3TNr01cbw3DtoZd5Ds")</f>
        <v>https://drive.google.com/open?id=128dhicZ8DXd4VS3TNr01cbw3DtoZd5Ds</v>
      </c>
      <c r="L863" s="74" t="str">
        <f>IFERROR(__xludf.DUMMYFUNCTION("""COMPUTED_VALUE"""),"2019-2023")</f>
        <v>2019-2023</v>
      </c>
      <c r="M863" s="74" t="str">
        <f>IFERROR(__xludf.DUMMYFUNCTION("""COMPUTED_VALUE"""),"S4: Student Certifications")</f>
        <v>S4: Student Certifications</v>
      </c>
      <c r="N863" s="74" t="str">
        <f>IFERROR(__xludf.DUMMYFUNCTION("""COMPUTED_VALUE"""),"darakshaanjummohammed@gmail.com")</f>
        <v>darakshaanjummohammed@gmail.com</v>
      </c>
      <c r="O863" s="74" t="str">
        <f>IFERROR(__xludf.DUMMYFUNCTION("""COMPUTED_VALUE"""),"SEM-6")</f>
        <v>SEM-6</v>
      </c>
      <c r="P863" s="74"/>
      <c r="Q863" s="74"/>
      <c r="R863" s="74"/>
      <c r="S863" s="74"/>
      <c r="T863" s="74"/>
      <c r="U863" s="74"/>
      <c r="V863" s="74"/>
      <c r="W863" s="74"/>
      <c r="X863" s="74"/>
      <c r="Y863" s="74"/>
    </row>
    <row r="864" ht="26.25" customHeight="1">
      <c r="A864" s="74" t="str">
        <f>IFERROR(__xludf.DUMMYFUNCTION("""COMPUTED_VALUE"""),"MODALAVALASA SAI PRASANNA")</f>
        <v>MODALAVALASA SAI PRASANNA</v>
      </c>
      <c r="B864" s="74" t="str">
        <f>IFERROR(__xludf.DUMMYFUNCTION("""COMPUTED_VALUE"""),"19331A05A5")</f>
        <v>19331A05A5</v>
      </c>
      <c r="C864" s="90" t="str">
        <f>IFERROR(__xludf.DUMMYFUNCTION("""COMPUTED_VALUE"""),"DEEP LEARMING AI")</f>
        <v>DEEP LEARMING AI</v>
      </c>
      <c r="D864" s="74" t="str">
        <f>IFERROR(__xludf.DUMMYFUNCTION("""COMPUTED_VALUE"""),"COURSERA")</f>
        <v>COURSERA</v>
      </c>
      <c r="E864" s="74" t="str">
        <f>IFERROR(__xludf.DUMMYFUNCTION("""COMPUTED_VALUE"""),"4 WEEKS")</f>
        <v>4 WEEKS</v>
      </c>
      <c r="F864" s="91">
        <f>IFERROR(__xludf.DUMMYFUNCTION("""COMPUTED_VALUE"""),43900.0)</f>
        <v>43900</v>
      </c>
      <c r="G864" s="91">
        <f>IFERROR(__xludf.DUMMYFUNCTION("""COMPUTED_VALUE"""),43971.0)</f>
        <v>43971</v>
      </c>
      <c r="H864" s="79">
        <f>IFERROR(__xludf.DUMMYFUNCTION("""COMPUTED_VALUE"""),43971.0)</f>
        <v>43971</v>
      </c>
      <c r="I864" s="92">
        <f>IFERROR(__xludf.DUMMYFUNCTION("""COMPUTED_VALUE"""),95.62)</f>
        <v>95.62</v>
      </c>
      <c r="J864" s="74" t="str">
        <f>IFERROR(__xludf.DUMMYFUNCTION("""COMPUTED_VALUE"""),"ANDREW Ng")</f>
        <v>ANDREW Ng</v>
      </c>
      <c r="K864" s="80" t="str">
        <f>IFERROR(__xludf.DUMMYFUNCTION("""COMPUTED_VALUE"""),"https://drive.google.com/open?id=12Pmxas4wU8x6rn4I_y1sV-A6BCcaNl2R")</f>
        <v>https://drive.google.com/open?id=12Pmxas4wU8x6rn4I_y1sV-A6BCcaNl2R</v>
      </c>
      <c r="L864" s="74" t="str">
        <f>IFERROR(__xludf.DUMMYFUNCTION("""COMPUTED_VALUE"""),"2019-2023")</f>
        <v>2019-2023</v>
      </c>
      <c r="M864" s="74" t="str">
        <f>IFERROR(__xludf.DUMMYFUNCTION("""COMPUTED_VALUE"""),"S4: Student Certifications")</f>
        <v>S4: Student Certifications</v>
      </c>
      <c r="N864" s="74" t="str">
        <f>IFERROR(__xludf.DUMMYFUNCTION("""COMPUTED_VALUE"""),"prasanna260402@gmail.com")</f>
        <v>prasanna260402@gmail.com</v>
      </c>
      <c r="O864" s="74" t="str">
        <f>IFERROR(__xludf.DUMMYFUNCTION("""COMPUTED_VALUE"""),"SEM-6")</f>
        <v>SEM-6</v>
      </c>
      <c r="P864" s="74"/>
      <c r="Q864" s="74"/>
      <c r="R864" s="74"/>
      <c r="S864" s="74"/>
      <c r="T864" s="74"/>
      <c r="U864" s="74"/>
      <c r="V864" s="74"/>
      <c r="W864" s="74"/>
      <c r="X864" s="74"/>
      <c r="Y864" s="74"/>
    </row>
    <row r="865" ht="26.25" customHeight="1">
      <c r="A865" s="74" t="str">
        <f>IFERROR(__xludf.DUMMYFUNCTION("""COMPUTED_VALUE"""),"Mohammed Daraksha Anjum")</f>
        <v>Mohammed Daraksha Anjum</v>
      </c>
      <c r="B865" s="74" t="str">
        <f>IFERROR(__xludf.DUMMYFUNCTION("""COMPUTED_VALUE"""),"19331A05A7")</f>
        <v>19331A05A7</v>
      </c>
      <c r="C865" s="90" t="str">
        <f>IFERROR(__xludf.DUMMYFUNCTION("""COMPUTED_VALUE"""),"IT Essentials")</f>
        <v>IT Essentials</v>
      </c>
      <c r="D865" s="74" t="str">
        <f>IFERROR(__xludf.DUMMYFUNCTION("""COMPUTED_VALUE"""),"CISCO NETWORKING ACADEMY")</f>
        <v>CISCO NETWORKING ACADEMY</v>
      </c>
      <c r="E865" s="74" t="str">
        <f>IFERROR(__xludf.DUMMYFUNCTION("""COMPUTED_VALUE"""),"4 months")</f>
        <v>4 months</v>
      </c>
      <c r="F865" s="91">
        <f>IFERROR(__xludf.DUMMYFUNCTION("""COMPUTED_VALUE"""),44430.0)</f>
        <v>44430</v>
      </c>
      <c r="G865" s="91">
        <f>IFERROR(__xludf.DUMMYFUNCTION("""COMPUTED_VALUE"""),44530.0)</f>
        <v>44530</v>
      </c>
      <c r="H865" s="79">
        <f>IFERROR(__xludf.DUMMYFUNCTION("""COMPUTED_VALUE"""),44530.0)</f>
        <v>44530</v>
      </c>
      <c r="I865" s="92">
        <f>IFERROR(__xludf.DUMMYFUNCTION("""COMPUTED_VALUE"""),90.0)</f>
        <v>90</v>
      </c>
      <c r="J865" s="74" t="str">
        <f>IFERROR(__xludf.DUMMYFUNCTION("""COMPUTED_VALUE"""),"Dr. Suvarna Kumar Gogula")</f>
        <v>Dr. Suvarna Kumar Gogula</v>
      </c>
      <c r="K865" s="80" t="str">
        <f>IFERROR(__xludf.DUMMYFUNCTION("""COMPUTED_VALUE"""),"https://drive.google.com/open?id=1tA22NS1u9bFDA6SfpGFiVTBxUi99rcIw")</f>
        <v>https://drive.google.com/open?id=1tA22NS1u9bFDA6SfpGFiVTBxUi99rcIw</v>
      </c>
      <c r="L865" s="74" t="str">
        <f>IFERROR(__xludf.DUMMYFUNCTION("""COMPUTED_VALUE"""),"2019-2023")</f>
        <v>2019-2023</v>
      </c>
      <c r="M865" s="74" t="str">
        <f>IFERROR(__xludf.DUMMYFUNCTION("""COMPUTED_VALUE"""),"S4: Student Certifications")</f>
        <v>S4: Student Certifications</v>
      </c>
      <c r="N865" s="74" t="str">
        <f>IFERROR(__xludf.DUMMYFUNCTION("""COMPUTED_VALUE"""),"darakshaanjummohammed@gmail.com")</f>
        <v>darakshaanjummohammed@gmail.com</v>
      </c>
      <c r="O865" s="74" t="str">
        <f>IFERROR(__xludf.DUMMYFUNCTION("""COMPUTED_VALUE"""),"SEM-6")</f>
        <v>SEM-6</v>
      </c>
      <c r="P865" s="74"/>
      <c r="Q865" s="74"/>
      <c r="R865" s="74"/>
      <c r="S865" s="74"/>
      <c r="T865" s="74"/>
      <c r="U865" s="74"/>
      <c r="V865" s="74"/>
      <c r="W865" s="74"/>
      <c r="X865" s="74"/>
      <c r="Y865" s="74"/>
    </row>
    <row r="866" ht="26.25" customHeight="1">
      <c r="A866" s="74" t="str">
        <f>IFERROR(__xludf.DUMMYFUNCTION("""COMPUTED_VALUE"""),"Mohammed Daraksha Anjum")</f>
        <v>Mohammed Daraksha Anjum</v>
      </c>
      <c r="B866" s="74" t="str">
        <f>IFERROR(__xludf.DUMMYFUNCTION("""COMPUTED_VALUE"""),"19331A05A7")</f>
        <v>19331A05A7</v>
      </c>
      <c r="C866" s="90" t="str">
        <f>IFERROR(__xludf.DUMMYFUNCTION("""COMPUTED_VALUE"""),"JavaScript Essentials 1 (JSE)")</f>
        <v>JavaScript Essentials 1 (JSE)</v>
      </c>
      <c r="D866" s="74" t="str">
        <f>IFERROR(__xludf.DUMMYFUNCTION("""COMPUTED_VALUE"""),"CISCO NETWORKING ACADEMY")</f>
        <v>CISCO NETWORKING ACADEMY</v>
      </c>
      <c r="E866" s="74" t="str">
        <f>IFERROR(__xludf.DUMMYFUNCTION("""COMPUTED_VALUE"""),"4 months")</f>
        <v>4 months</v>
      </c>
      <c r="F866" s="91">
        <f>IFERROR(__xludf.DUMMYFUNCTION("""COMPUTED_VALUE"""),44531.0)</f>
        <v>44531</v>
      </c>
      <c r="G866" s="91">
        <f>IFERROR(__xludf.DUMMYFUNCTION("""COMPUTED_VALUE"""),44666.0)</f>
        <v>44666</v>
      </c>
      <c r="H866" s="79">
        <f>IFERROR(__xludf.DUMMYFUNCTION("""COMPUTED_VALUE"""),44666.0)</f>
        <v>44666</v>
      </c>
      <c r="I866" s="92">
        <f>IFERROR(__xludf.DUMMYFUNCTION("""COMPUTED_VALUE"""),80.0)</f>
        <v>80</v>
      </c>
      <c r="J866" s="74" t="str">
        <f>IFERROR(__xludf.DUMMYFUNCTION("""COMPUTED_VALUE"""),"Maciek Wichary")</f>
        <v>Maciek Wichary</v>
      </c>
      <c r="K866" s="80" t="str">
        <f>IFERROR(__xludf.DUMMYFUNCTION("""COMPUTED_VALUE"""),"https://drive.google.com/open?id=1lz5ZUmIHbnbS0rQ9ZF-NKaUW-bZHjPy_")</f>
        <v>https://drive.google.com/open?id=1lz5ZUmIHbnbS0rQ9ZF-NKaUW-bZHjPy_</v>
      </c>
      <c r="L866" s="74" t="str">
        <f>IFERROR(__xludf.DUMMYFUNCTION("""COMPUTED_VALUE"""),"2019-2023")</f>
        <v>2019-2023</v>
      </c>
      <c r="M866" s="74" t="str">
        <f>IFERROR(__xludf.DUMMYFUNCTION("""COMPUTED_VALUE"""),"S4: Student Certifications")</f>
        <v>S4: Student Certifications</v>
      </c>
      <c r="N866" s="74" t="str">
        <f>IFERROR(__xludf.DUMMYFUNCTION("""COMPUTED_VALUE"""),"darakshaanjummohammed@gmail.com")</f>
        <v>darakshaanjummohammed@gmail.com</v>
      </c>
      <c r="O866" s="74" t="str">
        <f>IFERROR(__xludf.DUMMYFUNCTION("""COMPUTED_VALUE"""),"SEM-6")</f>
        <v>SEM-6</v>
      </c>
      <c r="P866" s="74"/>
      <c r="Q866" s="74"/>
      <c r="R866" s="74"/>
      <c r="S866" s="74"/>
      <c r="T866" s="74"/>
      <c r="U866" s="74"/>
      <c r="V866" s="74"/>
      <c r="W866" s="74"/>
      <c r="X866" s="74"/>
      <c r="Y866" s="74"/>
    </row>
    <row r="867" ht="26.25" customHeight="1">
      <c r="A867" s="96" t="str">
        <f>IFERROR(__xludf.DUMMYFUNCTION("""COMPUTED_VALUE"""),"NAMBURI NAVYA GEETHIKA")</f>
        <v>NAMBURI NAVYA GEETHIKA</v>
      </c>
      <c r="B867" s="96" t="str">
        <f>IFERROR(__xludf.DUMMYFUNCTION("""COMPUTED_VALUE"""),"19331A05C0")</f>
        <v>19331A05C0</v>
      </c>
      <c r="C867" s="97" t="str">
        <f>IFERROR(__xludf.DUMMYFUNCTION("""COMPUTED_VALUE"""),"PROGRAMMING ESSENTIALS IN PYTHON")</f>
        <v>PROGRAMMING ESSENTIALS IN PYTHON</v>
      </c>
      <c r="D867" s="96" t="str">
        <f>IFERROR(__xludf.DUMMYFUNCTION("""COMPUTED_VALUE"""),"CISCO")</f>
        <v>CISCO</v>
      </c>
      <c r="E867" s="96" t="str">
        <f>IFERROR(__xludf.DUMMYFUNCTION("""COMPUTED_VALUE"""),"4 MONTHS")</f>
        <v>4 MONTHS</v>
      </c>
      <c r="F867" s="98">
        <f>IFERROR(__xludf.DUMMYFUNCTION("""COMPUTED_VALUE"""),44206.0)</f>
        <v>44206</v>
      </c>
      <c r="G867" s="98">
        <f>IFERROR(__xludf.DUMMYFUNCTION("""COMPUTED_VALUE"""),44322.0)</f>
        <v>44322</v>
      </c>
      <c r="H867" s="99">
        <f>IFERROR(__xludf.DUMMYFUNCTION("""COMPUTED_VALUE"""),44265.0)</f>
        <v>44265</v>
      </c>
      <c r="I867" s="100">
        <f>IFERROR(__xludf.DUMMYFUNCTION("""COMPUTED_VALUE"""),95.0)</f>
        <v>95</v>
      </c>
      <c r="J867" s="96" t="str">
        <f>IFERROR(__xludf.DUMMYFUNCTION("""COMPUTED_VALUE"""),"DR. RAVI KIRAN VARMA PENMATSA")</f>
        <v>DR. RAVI KIRAN VARMA PENMATSA</v>
      </c>
      <c r="K867" s="101" t="str">
        <f>IFERROR(__xludf.DUMMYFUNCTION("""COMPUTED_VALUE"""),"https://drive.google.com/open?id=1psFi1fr2XlTAMI2W-LnBIBNjnlcSxLlP")</f>
        <v>https://drive.google.com/open?id=1psFi1fr2XlTAMI2W-LnBIBNjnlcSxLlP</v>
      </c>
      <c r="L867" s="96" t="str">
        <f>IFERROR(__xludf.DUMMYFUNCTION("""COMPUTED_VALUE"""),"2019-2023")</f>
        <v>2019-2023</v>
      </c>
      <c r="M867" s="96" t="str">
        <f>IFERROR(__xludf.DUMMYFUNCTION("""COMPUTED_VALUE"""),"S4: Student Certifications")</f>
        <v>S4: Student Certifications</v>
      </c>
      <c r="N867" s="96" t="str">
        <f>IFERROR(__xludf.DUMMYFUNCTION("""COMPUTED_VALUE"""),"namburinavyageethika123@gmail.com")</f>
        <v>namburinavyageethika123@gmail.com</v>
      </c>
      <c r="O867" s="96" t="str">
        <f>IFERROR(__xludf.DUMMYFUNCTION("""COMPUTED_VALUE"""),"SEM-6")</f>
        <v>SEM-6</v>
      </c>
      <c r="P867" s="96"/>
      <c r="Q867" s="96"/>
      <c r="R867" s="96"/>
      <c r="S867" s="96"/>
      <c r="T867" s="96"/>
      <c r="U867" s="96"/>
      <c r="V867" s="96"/>
      <c r="W867" s="96"/>
      <c r="X867" s="96"/>
      <c r="Y867" s="96"/>
    </row>
    <row r="868" ht="26.25" customHeight="1">
      <c r="A868" s="96" t="str">
        <f>IFERROR(__xludf.DUMMYFUNCTION("""COMPUTED_VALUE"""),"NAMBURI NAVYA GEETHIKA")</f>
        <v>NAMBURI NAVYA GEETHIKA</v>
      </c>
      <c r="B868" s="96" t="str">
        <f>IFERROR(__xludf.DUMMYFUNCTION("""COMPUTED_VALUE"""),"19331A05C0")</f>
        <v>19331A05C0</v>
      </c>
      <c r="C868" s="97" t="str">
        <f>IFERROR(__xludf.DUMMYFUNCTION("""COMPUTED_VALUE"""),"INTRODUCTION TO NETWORKS")</f>
        <v>INTRODUCTION TO NETWORKS</v>
      </c>
      <c r="D868" s="96" t="str">
        <f>IFERROR(__xludf.DUMMYFUNCTION("""COMPUTED_VALUE"""),"CISCO")</f>
        <v>CISCO</v>
      </c>
      <c r="E868" s="96" t="str">
        <f>IFERROR(__xludf.DUMMYFUNCTION("""COMPUTED_VALUE"""),"3 MONTHS")</f>
        <v>3 MONTHS</v>
      </c>
      <c r="F868" s="98">
        <f>IFERROR(__xludf.DUMMYFUNCTION("""COMPUTED_VALUE"""),44479.0)</f>
        <v>44479</v>
      </c>
      <c r="G868" s="98">
        <f>IFERROR(__xludf.DUMMYFUNCTION("""COMPUTED_VALUE"""),44545.0)</f>
        <v>44545</v>
      </c>
      <c r="H868" s="99">
        <f>IFERROR(__xludf.DUMMYFUNCTION("""COMPUTED_VALUE"""),44545.0)</f>
        <v>44545</v>
      </c>
      <c r="I868" s="100">
        <f>IFERROR(__xludf.DUMMYFUNCTION("""COMPUTED_VALUE"""),90.0)</f>
        <v>90</v>
      </c>
      <c r="J868" s="96" t="str">
        <f>IFERROR(__xludf.DUMMYFUNCTION("""COMPUTED_VALUE"""),"DR. RAVI KIRAN VARMA PENMATSA")</f>
        <v>DR. RAVI KIRAN VARMA PENMATSA</v>
      </c>
      <c r="K868" s="101" t="str">
        <f>IFERROR(__xludf.DUMMYFUNCTION("""COMPUTED_VALUE"""),"https://drive.google.com/open?id=1UTrmDq2EktjHaN2yPZ5z1Aix7da28TFd")</f>
        <v>https://drive.google.com/open?id=1UTrmDq2EktjHaN2yPZ5z1Aix7da28TFd</v>
      </c>
      <c r="L868" s="96" t="str">
        <f>IFERROR(__xludf.DUMMYFUNCTION("""COMPUTED_VALUE"""),"2019-2023")</f>
        <v>2019-2023</v>
      </c>
      <c r="M868" s="96" t="str">
        <f>IFERROR(__xludf.DUMMYFUNCTION("""COMPUTED_VALUE"""),"S4: Student Certifications")</f>
        <v>S4: Student Certifications</v>
      </c>
      <c r="N868" s="96" t="str">
        <f>IFERROR(__xludf.DUMMYFUNCTION("""COMPUTED_VALUE"""),"namburinavyageethika123@gmail.com")</f>
        <v>namburinavyageethika123@gmail.com</v>
      </c>
      <c r="O868" s="96" t="str">
        <f>IFERROR(__xludf.DUMMYFUNCTION("""COMPUTED_VALUE"""),"SEM-6")</f>
        <v>SEM-6</v>
      </c>
      <c r="P868" s="96"/>
      <c r="Q868" s="96"/>
      <c r="R868" s="96"/>
      <c r="S868" s="96"/>
      <c r="T868" s="96"/>
      <c r="U868" s="96"/>
      <c r="V868" s="96"/>
      <c r="W868" s="96"/>
      <c r="X868" s="96"/>
      <c r="Y868" s="96"/>
    </row>
    <row r="869" ht="26.25" customHeight="1">
      <c r="A869" s="96" t="str">
        <f>IFERROR(__xludf.DUMMYFUNCTION("""COMPUTED_VALUE"""),"NAMBURI NAVYA GEETHIKA")</f>
        <v>NAMBURI NAVYA GEETHIKA</v>
      </c>
      <c r="B869" s="96" t="str">
        <f>IFERROR(__xludf.DUMMYFUNCTION("""COMPUTED_VALUE"""),"19331A05C0")</f>
        <v>19331A05C0</v>
      </c>
      <c r="C869" s="97" t="str">
        <f>IFERROR(__xludf.DUMMYFUNCTION("""COMPUTED_VALUE"""),"SWITCHING,ROUTING AND WIRELESS ESSENTIALS")</f>
        <v>SWITCHING,ROUTING AND WIRELESS ESSENTIALS</v>
      </c>
      <c r="D869" s="96" t="str">
        <f>IFERROR(__xludf.DUMMYFUNCTION("""COMPUTED_VALUE"""),"CISCO")</f>
        <v>CISCO</v>
      </c>
      <c r="E869" s="96" t="str">
        <f>IFERROR(__xludf.DUMMYFUNCTION("""COMPUTED_VALUE"""),"6 MONTHS")</f>
        <v>6 MONTHS</v>
      </c>
      <c r="F869" s="98">
        <f>IFERROR(__xludf.DUMMYFUNCTION("""COMPUTED_VALUE"""),44477.0)</f>
        <v>44477</v>
      </c>
      <c r="G869" s="98">
        <f>IFERROR(__xludf.DUMMYFUNCTION("""COMPUTED_VALUE"""),44712.0)</f>
        <v>44712</v>
      </c>
      <c r="H869" s="99">
        <f>IFERROR(__xludf.DUMMYFUNCTION("""COMPUTED_VALUE"""),44604.0)</f>
        <v>44604</v>
      </c>
      <c r="I869" s="100">
        <f>IFERROR(__xludf.DUMMYFUNCTION("""COMPUTED_VALUE"""),90.0)</f>
        <v>90</v>
      </c>
      <c r="J869" s="96" t="str">
        <f>IFERROR(__xludf.DUMMYFUNCTION("""COMPUTED_VALUE"""),"DR. RAVI KIRAN VARMA PENMATSA")</f>
        <v>DR. RAVI KIRAN VARMA PENMATSA</v>
      </c>
      <c r="K869" s="101" t="str">
        <f>IFERROR(__xludf.DUMMYFUNCTION("""COMPUTED_VALUE"""),"https://drive.google.com/open?id=12gjE-5rJ5rNlDG2E6uHVqaD_TCBHW5Uw")</f>
        <v>https://drive.google.com/open?id=12gjE-5rJ5rNlDG2E6uHVqaD_TCBHW5Uw</v>
      </c>
      <c r="L869" s="96" t="str">
        <f>IFERROR(__xludf.DUMMYFUNCTION("""COMPUTED_VALUE"""),"2019-2023")</f>
        <v>2019-2023</v>
      </c>
      <c r="M869" s="96" t="str">
        <f>IFERROR(__xludf.DUMMYFUNCTION("""COMPUTED_VALUE"""),"S4: Student Certifications")</f>
        <v>S4: Student Certifications</v>
      </c>
      <c r="N869" s="96" t="str">
        <f>IFERROR(__xludf.DUMMYFUNCTION("""COMPUTED_VALUE"""),"namburinavyageethika123@gmail.com")</f>
        <v>namburinavyageethika123@gmail.com</v>
      </c>
      <c r="O869" s="96" t="str">
        <f>IFERROR(__xludf.DUMMYFUNCTION("""COMPUTED_VALUE"""),"SEM-6")</f>
        <v>SEM-6</v>
      </c>
      <c r="P869" s="96"/>
      <c r="Q869" s="96"/>
      <c r="R869" s="96"/>
      <c r="S869" s="96"/>
      <c r="T869" s="96"/>
      <c r="U869" s="96"/>
      <c r="V869" s="96"/>
      <c r="W869" s="96"/>
      <c r="X869" s="96"/>
      <c r="Y869" s="96"/>
    </row>
    <row r="870" ht="26.25" customHeight="1">
      <c r="A870" s="74" t="str">
        <f>IFERROR(__xludf.DUMMYFUNCTION("""COMPUTED_VALUE"""),"MODALAVALASA SAI PRASANNA")</f>
        <v>MODALAVALASA SAI PRASANNA</v>
      </c>
      <c r="B870" s="74" t="str">
        <f>IFERROR(__xludf.DUMMYFUNCTION("""COMPUTED_VALUE"""),"19331A05A5")</f>
        <v>19331A05A5</v>
      </c>
      <c r="C870" s="90" t="str">
        <f>IFERROR(__xludf.DUMMYFUNCTION("""COMPUTED_VALUE"""),"PROBABILITY AND STATISTICS:TO p or not to p?")</f>
        <v>PROBABILITY AND STATISTICS:TO p or not to p?</v>
      </c>
      <c r="D870" s="74" t="str">
        <f>IFERROR(__xludf.DUMMYFUNCTION("""COMPUTED_VALUE"""),"COURSERA")</f>
        <v>COURSERA</v>
      </c>
      <c r="E870" s="74" t="str">
        <f>IFERROR(__xludf.DUMMYFUNCTION("""COMPUTED_VALUE"""),"6 weeks")</f>
        <v>6 weeks</v>
      </c>
      <c r="F870" s="91">
        <f>IFERROR(__xludf.DUMMYFUNCTION("""COMPUTED_VALUE"""),43934.0)</f>
        <v>43934</v>
      </c>
      <c r="G870" s="91">
        <f>IFERROR(__xludf.DUMMYFUNCTION("""COMPUTED_VALUE"""),43983.0)</f>
        <v>43983</v>
      </c>
      <c r="H870" s="79">
        <f>IFERROR(__xludf.DUMMYFUNCTION("""COMPUTED_VALUE"""),43983.0)</f>
        <v>43983</v>
      </c>
      <c r="I870" s="92">
        <f>IFERROR(__xludf.DUMMYFUNCTION("""COMPUTED_VALUE"""),93.0)</f>
        <v>93</v>
      </c>
      <c r="J870" s="74" t="str">
        <f>IFERROR(__xludf.DUMMYFUNCTION("""COMPUTED_VALUE"""),"GENERIC INSTRUCTOR")</f>
        <v>GENERIC INSTRUCTOR</v>
      </c>
      <c r="K870" s="80" t="str">
        <f>IFERROR(__xludf.DUMMYFUNCTION("""COMPUTED_VALUE"""),"https://drive.google.com/open?id=1z_h0Ya-jhoNp7j2C_wlZyAI0RDhhxU7l")</f>
        <v>https://drive.google.com/open?id=1z_h0Ya-jhoNp7j2C_wlZyAI0RDhhxU7l</v>
      </c>
      <c r="L870" s="74" t="str">
        <f>IFERROR(__xludf.DUMMYFUNCTION("""COMPUTED_VALUE"""),"2019-2023")</f>
        <v>2019-2023</v>
      </c>
      <c r="M870" s="74" t="str">
        <f>IFERROR(__xludf.DUMMYFUNCTION("""COMPUTED_VALUE"""),"S4: Student Certifications")</f>
        <v>S4: Student Certifications</v>
      </c>
      <c r="N870" s="74" t="str">
        <f>IFERROR(__xludf.DUMMYFUNCTION("""COMPUTED_VALUE"""),"prasanna260402@gmail.com")</f>
        <v>prasanna260402@gmail.com</v>
      </c>
      <c r="O870" s="74" t="str">
        <f>IFERROR(__xludf.DUMMYFUNCTION("""COMPUTED_VALUE"""),"SEM-6")</f>
        <v>SEM-6</v>
      </c>
      <c r="P870" s="74"/>
      <c r="Q870" s="74"/>
      <c r="R870" s="74"/>
      <c r="S870" s="74"/>
      <c r="T870" s="74"/>
      <c r="U870" s="74"/>
      <c r="V870" s="74"/>
      <c r="W870" s="74"/>
      <c r="X870" s="74"/>
      <c r="Y870" s="74"/>
    </row>
    <row r="871" ht="26.25" customHeight="1">
      <c r="A871" s="74" t="str">
        <f>IFERROR(__xludf.DUMMYFUNCTION("""COMPUTED_VALUE"""),"MODALAVALASA SAI PRASANNA")</f>
        <v>MODALAVALASA SAI PRASANNA</v>
      </c>
      <c r="B871" s="74" t="str">
        <f>IFERROR(__xludf.DUMMYFUNCTION("""COMPUTED_VALUE"""),"19331A05A5")</f>
        <v>19331A05A5</v>
      </c>
      <c r="C871" s="90" t="str">
        <f>IFERROR(__xludf.DUMMYFUNCTION("""COMPUTED_VALUE"""),"WHAT IS DATA SCIENCE?")</f>
        <v>WHAT IS DATA SCIENCE?</v>
      </c>
      <c r="D871" s="74" t="str">
        <f>IFERROR(__xludf.DUMMYFUNCTION("""COMPUTED_VALUE"""),"COURSERA")</f>
        <v>COURSERA</v>
      </c>
      <c r="E871" s="74" t="str">
        <f>IFERROR(__xludf.DUMMYFUNCTION("""COMPUTED_VALUE"""),"3 WEEKS")</f>
        <v>3 WEEKS</v>
      </c>
      <c r="F871" s="91">
        <f>IFERROR(__xludf.DUMMYFUNCTION("""COMPUTED_VALUE"""),43954.0)</f>
        <v>43954</v>
      </c>
      <c r="G871" s="91">
        <f>IFERROR(__xludf.DUMMYFUNCTION("""COMPUTED_VALUE"""),43981.0)</f>
        <v>43981</v>
      </c>
      <c r="H871" s="79">
        <f>IFERROR(__xludf.DUMMYFUNCTION("""COMPUTED_VALUE"""),43977.0)</f>
        <v>43977</v>
      </c>
      <c r="I871" s="92">
        <f>IFERROR(__xludf.DUMMYFUNCTION("""COMPUTED_VALUE"""),92.73)</f>
        <v>92.73</v>
      </c>
      <c r="J871" s="74" t="str">
        <f>IFERROR(__xludf.DUMMYFUNCTION("""COMPUTED_VALUE"""),"GENERIC INSTRUCTOR")</f>
        <v>GENERIC INSTRUCTOR</v>
      </c>
      <c r="K871" s="80" t="str">
        <f>IFERROR(__xludf.DUMMYFUNCTION("""COMPUTED_VALUE"""),"https://drive.google.com/open?id=1lD6DpPrt2_JMbpwrGdYxFIhrjQoLyzL2")</f>
        <v>https://drive.google.com/open?id=1lD6DpPrt2_JMbpwrGdYxFIhrjQoLyzL2</v>
      </c>
      <c r="L871" s="74" t="str">
        <f>IFERROR(__xludf.DUMMYFUNCTION("""COMPUTED_VALUE"""),"2019-2023")</f>
        <v>2019-2023</v>
      </c>
      <c r="M871" s="74" t="str">
        <f>IFERROR(__xludf.DUMMYFUNCTION("""COMPUTED_VALUE"""),"S4: Student Certifications")</f>
        <v>S4: Student Certifications</v>
      </c>
      <c r="N871" s="74" t="str">
        <f>IFERROR(__xludf.DUMMYFUNCTION("""COMPUTED_VALUE"""),"prasanna260402@gmail.com")</f>
        <v>prasanna260402@gmail.com</v>
      </c>
      <c r="O871" s="74" t="str">
        <f>IFERROR(__xludf.DUMMYFUNCTION("""COMPUTED_VALUE"""),"SEM-6")</f>
        <v>SEM-6</v>
      </c>
      <c r="P871" s="74"/>
      <c r="Q871" s="74"/>
      <c r="R871" s="74"/>
      <c r="S871" s="74"/>
      <c r="T871" s="74"/>
      <c r="U871" s="74"/>
      <c r="V871" s="74"/>
      <c r="W871" s="74"/>
      <c r="X871" s="74"/>
      <c r="Y871" s="74"/>
    </row>
    <row r="872" ht="26.25" customHeight="1">
      <c r="A872" s="74" t="str">
        <f>IFERROR(__xludf.DUMMYFUNCTION("""COMPUTED_VALUE"""),"MODALAVALASA SAI PRASANNA")</f>
        <v>MODALAVALASA SAI PRASANNA</v>
      </c>
      <c r="B872" s="74" t="str">
        <f>IFERROR(__xludf.DUMMYFUNCTION("""COMPUTED_VALUE"""),"19331A05A5")</f>
        <v>19331A05A5</v>
      </c>
      <c r="C872" s="90" t="str">
        <f>IFERROR(__xludf.DUMMYFUNCTION("""COMPUTED_VALUE"""),"TECHNICAL SUPPORT FUNDAMENTALS")</f>
        <v>TECHNICAL SUPPORT FUNDAMENTALS</v>
      </c>
      <c r="D872" s="74" t="str">
        <f>IFERROR(__xludf.DUMMYFUNCTION("""COMPUTED_VALUE"""),"COURSERA")</f>
        <v>COURSERA</v>
      </c>
      <c r="E872" s="74" t="str">
        <f>IFERROR(__xludf.DUMMYFUNCTION("""COMPUTED_VALUE"""),"8 WEEKS")</f>
        <v>8 WEEKS</v>
      </c>
      <c r="F872" s="91">
        <f>IFERROR(__xludf.DUMMYFUNCTION("""COMPUTED_VALUE"""),43952.0)</f>
        <v>43952</v>
      </c>
      <c r="G872" s="91">
        <f>IFERROR(__xludf.DUMMYFUNCTION("""COMPUTED_VALUE"""),44012.0)</f>
        <v>44012</v>
      </c>
      <c r="H872" s="79">
        <f>IFERROR(__xludf.DUMMYFUNCTION("""COMPUTED_VALUE"""),43995.0)</f>
        <v>43995</v>
      </c>
      <c r="I872" s="92">
        <f>IFERROR(__xludf.DUMMYFUNCTION("""COMPUTED_VALUE"""),97.5)</f>
        <v>97.5</v>
      </c>
      <c r="J872" s="74" t="str">
        <f>IFERROR(__xludf.DUMMYFUNCTION("""COMPUTED_VALUE"""),"GOOGLE")</f>
        <v>GOOGLE</v>
      </c>
      <c r="K872" s="80" t="str">
        <f>IFERROR(__xludf.DUMMYFUNCTION("""COMPUTED_VALUE"""),"https://drive.google.com/open?id=1u1ve8eOFMSMEp3V2FfourbJ24H204sAT")</f>
        <v>https://drive.google.com/open?id=1u1ve8eOFMSMEp3V2FfourbJ24H204sAT</v>
      </c>
      <c r="L872" s="74" t="str">
        <f>IFERROR(__xludf.DUMMYFUNCTION("""COMPUTED_VALUE"""),"2019-2023")</f>
        <v>2019-2023</v>
      </c>
      <c r="M872" s="74" t="str">
        <f>IFERROR(__xludf.DUMMYFUNCTION("""COMPUTED_VALUE"""),"S4: Student Certifications")</f>
        <v>S4: Student Certifications</v>
      </c>
      <c r="N872" s="74" t="str">
        <f>IFERROR(__xludf.DUMMYFUNCTION("""COMPUTED_VALUE"""),"prasanna260402@gmail.com")</f>
        <v>prasanna260402@gmail.com</v>
      </c>
      <c r="O872" s="74" t="str">
        <f>IFERROR(__xludf.DUMMYFUNCTION("""COMPUTED_VALUE"""),"SEM-6")</f>
        <v>SEM-6</v>
      </c>
      <c r="P872" s="74"/>
      <c r="Q872" s="74"/>
      <c r="R872" s="74"/>
      <c r="S872" s="74"/>
      <c r="T872" s="74"/>
      <c r="U872" s="74"/>
      <c r="V872" s="74"/>
      <c r="W872" s="74"/>
      <c r="X872" s="74"/>
      <c r="Y872" s="74"/>
    </row>
    <row r="873" ht="26.25" customHeight="1">
      <c r="A873" s="96" t="str">
        <f>IFERROR(__xludf.DUMMYFUNCTION("""COMPUTED_VALUE"""),"Surisetty Ekta Anusha ")</f>
        <v>Surisetty Ekta Anusha </v>
      </c>
      <c r="B873" s="96" t="str">
        <f>IFERROR(__xludf.DUMMYFUNCTION("""COMPUTED_VALUE"""),"19331A05G8")</f>
        <v>19331A05G8</v>
      </c>
      <c r="C873" s="97" t="str">
        <f>IFERROR(__xludf.DUMMYFUNCTION("""COMPUTED_VALUE"""),"Programming Essentials in c")</f>
        <v>Programming Essentials in c</v>
      </c>
      <c r="D873" s="96" t="str">
        <f>IFERROR(__xludf.DUMMYFUNCTION("""COMPUTED_VALUE"""),"Cisco Networking Academy ")</f>
        <v>Cisco Networking Academy </v>
      </c>
      <c r="E873" s="96" t="str">
        <f>IFERROR(__xludf.DUMMYFUNCTION("""COMPUTED_VALUE"""),"3")</f>
        <v>3</v>
      </c>
      <c r="F873" s="98">
        <f>IFERROR(__xludf.DUMMYFUNCTION("""COMPUTED_VALUE"""),43839.0)</f>
        <v>43839</v>
      </c>
      <c r="G873" s="98">
        <f>IFERROR(__xludf.DUMMYFUNCTION("""COMPUTED_VALUE"""),43939.0)</f>
        <v>43939</v>
      </c>
      <c r="H873" s="99">
        <f>IFERROR(__xludf.DUMMYFUNCTION("""COMPUTED_VALUE"""),43941.0)</f>
        <v>43941</v>
      </c>
      <c r="I873" s="100">
        <f>IFERROR(__xludf.DUMMYFUNCTION("""COMPUTED_VALUE"""),100.0)</f>
        <v>100</v>
      </c>
      <c r="J873" s="96" t="str">
        <f>IFERROR(__xludf.DUMMYFUNCTION("""COMPUTED_VALUE"""),"Dr.Ravi Kiran Varma Penmatsa")</f>
        <v>Dr.Ravi Kiran Varma Penmatsa</v>
      </c>
      <c r="K873" s="101" t="str">
        <f>IFERROR(__xludf.DUMMYFUNCTION("""COMPUTED_VALUE"""),"https://drive.google.com/open?id=1AtJzAjUB3NPA5aILhAsyqW4lGdJZAzA8")</f>
        <v>https://drive.google.com/open?id=1AtJzAjUB3NPA5aILhAsyqW4lGdJZAzA8</v>
      </c>
      <c r="L873" s="96" t="str">
        <f>IFERROR(__xludf.DUMMYFUNCTION("""COMPUTED_VALUE"""),"2019-2023")</f>
        <v>2019-2023</v>
      </c>
      <c r="M873" s="96" t="str">
        <f>IFERROR(__xludf.DUMMYFUNCTION("""COMPUTED_VALUE"""),"S4: Student Certifications")</f>
        <v>S4: Student Certifications</v>
      </c>
      <c r="N873" s="96" t="str">
        <f>IFERROR(__xludf.DUMMYFUNCTION("""COMPUTED_VALUE"""),"ektaanusha16@gmail.com")</f>
        <v>ektaanusha16@gmail.com</v>
      </c>
      <c r="O873" s="96" t="str">
        <f>IFERROR(__xludf.DUMMYFUNCTION("""COMPUTED_VALUE"""),"SEM-1")</f>
        <v>SEM-1</v>
      </c>
      <c r="P873" s="96"/>
      <c r="Q873" s="96"/>
      <c r="R873" s="96"/>
      <c r="S873" s="96"/>
      <c r="T873" s="96"/>
      <c r="U873" s="96"/>
      <c r="V873" s="96"/>
      <c r="W873" s="96"/>
      <c r="X873" s="96"/>
      <c r="Y873" s="96"/>
    </row>
    <row r="874" ht="26.25" customHeight="1">
      <c r="A874" s="74" t="str">
        <f>IFERROR(__xludf.DUMMYFUNCTION("""COMPUTED_VALUE"""),"MODALAVALASA SAI PRASANNA")</f>
        <v>MODALAVALASA SAI PRASANNA</v>
      </c>
      <c r="B874" s="74" t="str">
        <f>IFERROR(__xludf.DUMMYFUNCTION("""COMPUTED_VALUE"""),"19331A05A5")</f>
        <v>19331A05A5</v>
      </c>
      <c r="C874" s="90" t="str">
        <f>IFERROR(__xludf.DUMMYFUNCTION("""COMPUTED_VALUE"""),"DESIGN THINKING FOR THE GREATER GOOD:INNAVATION IN THE SOCIAL SECTOR")</f>
        <v>DESIGN THINKING FOR THE GREATER GOOD:INNAVATION IN THE SOCIAL SECTOR</v>
      </c>
      <c r="D874" s="74" t="str">
        <f>IFERROR(__xludf.DUMMYFUNCTION("""COMPUTED_VALUE"""),"COURSERA")</f>
        <v>COURSERA</v>
      </c>
      <c r="E874" s="74" t="str">
        <f>IFERROR(__xludf.DUMMYFUNCTION("""COMPUTED_VALUE"""),"4 WEEKS")</f>
        <v>4 WEEKS</v>
      </c>
      <c r="F874" s="91">
        <f>IFERROR(__xludf.DUMMYFUNCTION("""COMPUTED_VALUE"""),43952.0)</f>
        <v>43952</v>
      </c>
      <c r="G874" s="91">
        <f>IFERROR(__xludf.DUMMYFUNCTION("""COMPUTED_VALUE"""),43982.0)</f>
        <v>43982</v>
      </c>
      <c r="H874" s="79">
        <f>IFERROR(__xludf.DUMMYFUNCTION("""COMPUTED_VALUE"""),43976.0)</f>
        <v>43976</v>
      </c>
      <c r="I874" s="92">
        <f>IFERROR(__xludf.DUMMYFUNCTION("""COMPUTED_VALUE"""),94.16)</f>
        <v>94.16</v>
      </c>
      <c r="J874" s="74" t="str">
        <f>IFERROR(__xludf.DUMMYFUNCTION("""COMPUTED_VALUE"""),"JEANNE M.LIEDTKA")</f>
        <v>JEANNE M.LIEDTKA</v>
      </c>
      <c r="K874" s="80" t="str">
        <f>IFERROR(__xludf.DUMMYFUNCTION("""COMPUTED_VALUE"""),"https://drive.google.com/open?id=1zv8frebJKoWiPg-eLcVnjQDYJfjel4gG")</f>
        <v>https://drive.google.com/open?id=1zv8frebJKoWiPg-eLcVnjQDYJfjel4gG</v>
      </c>
      <c r="L874" s="74" t="str">
        <f>IFERROR(__xludf.DUMMYFUNCTION("""COMPUTED_VALUE"""),"2019-2023")</f>
        <v>2019-2023</v>
      </c>
      <c r="M874" s="74" t="str">
        <f>IFERROR(__xludf.DUMMYFUNCTION("""COMPUTED_VALUE"""),"S4: Student Certifications")</f>
        <v>S4: Student Certifications</v>
      </c>
      <c r="N874" s="74" t="str">
        <f>IFERROR(__xludf.DUMMYFUNCTION("""COMPUTED_VALUE"""),"prasanna260402@gmail.com")</f>
        <v>prasanna260402@gmail.com</v>
      </c>
      <c r="O874" s="74" t="str">
        <f>IFERROR(__xludf.DUMMYFUNCTION("""COMPUTED_VALUE"""),"SEM-6")</f>
        <v>SEM-6</v>
      </c>
      <c r="P874" s="74"/>
      <c r="Q874" s="74"/>
      <c r="R874" s="74"/>
      <c r="S874" s="74"/>
      <c r="T874" s="74"/>
      <c r="U874" s="74"/>
      <c r="V874" s="74"/>
      <c r="W874" s="74"/>
      <c r="X874" s="74"/>
      <c r="Y874" s="74"/>
    </row>
    <row r="875" ht="26.25" customHeight="1">
      <c r="A875" s="96" t="str">
        <f>IFERROR(__xludf.DUMMYFUNCTION("""COMPUTED_VALUE"""),"Surisetty Ekta Anusha")</f>
        <v>Surisetty Ekta Anusha</v>
      </c>
      <c r="B875" s="96" t="str">
        <f>IFERROR(__xludf.DUMMYFUNCTION("""COMPUTED_VALUE"""),"19331A05G8")</f>
        <v>19331A05G8</v>
      </c>
      <c r="C875" s="97" t="str">
        <f>IFERROR(__xludf.DUMMYFUNCTION("""COMPUTED_VALUE"""),"Get Connected")</f>
        <v>Get Connected</v>
      </c>
      <c r="D875" s="96" t="str">
        <f>IFERROR(__xludf.DUMMYFUNCTION("""COMPUTED_VALUE"""),"Cisco")</f>
        <v>Cisco</v>
      </c>
      <c r="E875" s="96" t="str">
        <f>IFERROR(__xludf.DUMMYFUNCTION("""COMPUTED_VALUE"""),"3 months")</f>
        <v>3 months</v>
      </c>
      <c r="F875" s="98">
        <f>IFERROR(__xludf.DUMMYFUNCTION("""COMPUTED_VALUE"""),44581.0)</f>
        <v>44581</v>
      </c>
      <c r="G875" s="98">
        <f>IFERROR(__xludf.DUMMYFUNCTION("""COMPUTED_VALUE"""),44666.0)</f>
        <v>44666</v>
      </c>
      <c r="H875" s="99">
        <f>IFERROR(__xludf.DUMMYFUNCTION("""COMPUTED_VALUE"""),44666.0)</f>
        <v>44666</v>
      </c>
      <c r="I875" s="100">
        <f>IFERROR(__xludf.DUMMYFUNCTION("""COMPUTED_VALUE"""),85.0)</f>
        <v>85</v>
      </c>
      <c r="J875" s="96" t="str">
        <f>IFERROR(__xludf.DUMMYFUNCTION("""COMPUTED_VALUE"""),"Laura Quintana, Cisco General Manager")</f>
        <v>Laura Quintana, Cisco General Manager</v>
      </c>
      <c r="K875" s="101" t="str">
        <f>IFERROR(__xludf.DUMMYFUNCTION("""COMPUTED_VALUE"""),"https://drive.google.com/open?id=1XVkP5JprFOdksx_-C3SYuz9BgYCc8gZA")</f>
        <v>https://drive.google.com/open?id=1XVkP5JprFOdksx_-C3SYuz9BgYCc8gZA</v>
      </c>
      <c r="L875" s="96" t="str">
        <f>IFERROR(__xludf.DUMMYFUNCTION("""COMPUTED_VALUE"""),"2019-2023")</f>
        <v>2019-2023</v>
      </c>
      <c r="M875" s="96" t="str">
        <f>IFERROR(__xludf.DUMMYFUNCTION("""COMPUTED_VALUE"""),"S4: Student Certifications")</f>
        <v>S4: Student Certifications</v>
      </c>
      <c r="N875" s="96" t="str">
        <f>IFERROR(__xludf.DUMMYFUNCTION("""COMPUTED_VALUE"""),"ektaanusha16@gmail.com")</f>
        <v>ektaanusha16@gmail.com</v>
      </c>
      <c r="O875" s="96" t="str">
        <f>IFERROR(__xludf.DUMMYFUNCTION("""COMPUTED_VALUE"""),"SEM-6")</f>
        <v>SEM-6</v>
      </c>
      <c r="P875" s="96"/>
      <c r="Q875" s="96"/>
      <c r="R875" s="96"/>
      <c r="S875" s="96"/>
      <c r="T875" s="96"/>
      <c r="U875" s="96"/>
      <c r="V875" s="96"/>
      <c r="W875" s="96"/>
      <c r="X875" s="96"/>
      <c r="Y875" s="96"/>
    </row>
    <row r="876" ht="26.25" customHeight="1">
      <c r="A876" s="96" t="str">
        <f>IFERROR(__xludf.DUMMYFUNCTION("""COMPUTED_VALUE"""),"B.Satya sai kiran")</f>
        <v>B.Satya sai kiran</v>
      </c>
      <c r="B876" s="96" t="str">
        <f>IFERROR(__xludf.DUMMYFUNCTION("""COMPUTED_VALUE"""),"19331A0527")</f>
        <v>19331A0527</v>
      </c>
      <c r="C876" s="97" t="str">
        <f>IFERROR(__xludf.DUMMYFUNCTION("""COMPUTED_VALUE"""),"C language")</f>
        <v>C language</v>
      </c>
      <c r="D876" s="96" t="str">
        <f>IFERROR(__xludf.DUMMYFUNCTION("""COMPUTED_VALUE"""),"Cisco")</f>
        <v>Cisco</v>
      </c>
      <c r="E876" s="96" t="str">
        <f>IFERROR(__xludf.DUMMYFUNCTION("""COMPUTED_VALUE"""),"3 months")</f>
        <v>3 months</v>
      </c>
      <c r="F876" s="98">
        <f>IFERROR(__xludf.DUMMYFUNCTION("""COMPUTED_VALUE"""),43891.0)</f>
        <v>43891</v>
      </c>
      <c r="G876" s="98">
        <f>IFERROR(__xludf.DUMMYFUNCTION("""COMPUTED_VALUE"""),43983.0)</f>
        <v>43983</v>
      </c>
      <c r="H876" s="99">
        <f>IFERROR(__xludf.DUMMYFUNCTION("""COMPUTED_VALUE"""),43983.0)</f>
        <v>43983</v>
      </c>
      <c r="I876" s="100">
        <f>IFERROR(__xludf.DUMMYFUNCTION("""COMPUTED_VALUE"""),89.0)</f>
        <v>89</v>
      </c>
      <c r="J876" s="96" t="str">
        <f>IFERROR(__xludf.DUMMYFUNCTION("""COMPUTED_VALUE"""),"Subba Raju K V")</f>
        <v>Subba Raju K V</v>
      </c>
      <c r="K876" s="101" t="str">
        <f>IFERROR(__xludf.DUMMYFUNCTION("""COMPUTED_VALUE"""),"https://drive.google.com/open?id=1SZVHm7PZFNPf4_dAjk2uUrxbTzGxr8iw")</f>
        <v>https://drive.google.com/open?id=1SZVHm7PZFNPf4_dAjk2uUrxbTzGxr8iw</v>
      </c>
      <c r="L876" s="96" t="str">
        <f>IFERROR(__xludf.DUMMYFUNCTION("""COMPUTED_VALUE"""),"2019-2023")</f>
        <v>2019-2023</v>
      </c>
      <c r="M876" s="96" t="str">
        <f>IFERROR(__xludf.DUMMYFUNCTION("""COMPUTED_VALUE"""),"S4: Student Certifications")</f>
        <v>S4: Student Certifications</v>
      </c>
      <c r="N876" s="96" t="str">
        <f>IFERROR(__xludf.DUMMYFUNCTION("""COMPUTED_VALUE"""),"satyasaikiran2001@gmail.com")</f>
        <v>satyasaikiran2001@gmail.com</v>
      </c>
      <c r="O876" s="96" t="str">
        <f>IFERROR(__xludf.DUMMYFUNCTION("""COMPUTED_VALUE"""),"SEM-6")</f>
        <v>SEM-6</v>
      </c>
      <c r="P876" s="96"/>
      <c r="Q876" s="96"/>
      <c r="R876" s="96"/>
      <c r="S876" s="96"/>
      <c r="T876" s="96"/>
      <c r="U876" s="96"/>
      <c r="V876" s="96"/>
      <c r="W876" s="96"/>
      <c r="X876" s="96"/>
      <c r="Y876" s="96"/>
    </row>
    <row r="877" ht="26.25" customHeight="1">
      <c r="A877" s="96" t="str">
        <f>IFERROR(__xludf.DUMMYFUNCTION("""COMPUTED_VALUE"""),"Surisetty Ekta Anusha")</f>
        <v>Surisetty Ekta Anusha</v>
      </c>
      <c r="B877" s="96" t="str">
        <f>IFERROR(__xludf.DUMMYFUNCTION("""COMPUTED_VALUE"""),"19331A05G8")</f>
        <v>19331A05G8</v>
      </c>
      <c r="C877" s="97" t="str">
        <f>IFERROR(__xludf.DUMMYFUNCTION("""COMPUTED_VALUE"""),"IT Essentials")</f>
        <v>IT Essentials</v>
      </c>
      <c r="D877" s="96" t="str">
        <f>IFERROR(__xludf.DUMMYFUNCTION("""COMPUTED_VALUE"""),"Cisco")</f>
        <v>Cisco</v>
      </c>
      <c r="E877" s="96" t="str">
        <f>IFERROR(__xludf.DUMMYFUNCTION("""COMPUTED_VALUE"""),"4 months")</f>
        <v>4 months</v>
      </c>
      <c r="F877" s="98">
        <f>IFERROR(__xludf.DUMMYFUNCTION("""COMPUTED_VALUE"""),44346.0)</f>
        <v>44346</v>
      </c>
      <c r="G877" s="98">
        <f>IFERROR(__xludf.DUMMYFUNCTION("""COMPUTED_VALUE"""),44469.0)</f>
        <v>44469</v>
      </c>
      <c r="H877" s="99">
        <f>IFERROR(__xludf.DUMMYFUNCTION("""COMPUTED_VALUE"""),44469.0)</f>
        <v>44469</v>
      </c>
      <c r="I877" s="100">
        <f>IFERROR(__xludf.DUMMYFUNCTION("""COMPUTED_VALUE"""),88.0)</f>
        <v>88</v>
      </c>
      <c r="J877" s="96" t="str">
        <f>IFERROR(__xludf.DUMMYFUNCTION("""COMPUTED_VALUE"""),"Suvarna Kumar Sir")</f>
        <v>Suvarna Kumar Sir</v>
      </c>
      <c r="K877" s="101" t="str">
        <f>IFERROR(__xludf.DUMMYFUNCTION("""COMPUTED_VALUE"""),"https://drive.google.com/open?id=1zEmtGCaymLK1NklpG7a6KFV3hGPhGZJQ")</f>
        <v>https://drive.google.com/open?id=1zEmtGCaymLK1NklpG7a6KFV3hGPhGZJQ</v>
      </c>
      <c r="L877" s="96" t="str">
        <f>IFERROR(__xludf.DUMMYFUNCTION("""COMPUTED_VALUE"""),"2019-2023")</f>
        <v>2019-2023</v>
      </c>
      <c r="M877" s="96" t="str">
        <f>IFERROR(__xludf.DUMMYFUNCTION("""COMPUTED_VALUE"""),"S4: Student Certifications")</f>
        <v>S4: Student Certifications</v>
      </c>
      <c r="N877" s="96" t="str">
        <f>IFERROR(__xludf.DUMMYFUNCTION("""COMPUTED_VALUE"""),"ektaanusha16@gmail.com")</f>
        <v>ektaanusha16@gmail.com</v>
      </c>
      <c r="O877" s="96" t="str">
        <f>IFERROR(__xludf.DUMMYFUNCTION("""COMPUTED_VALUE"""),"SEM-6")</f>
        <v>SEM-6</v>
      </c>
      <c r="P877" s="96"/>
      <c r="Q877" s="96"/>
      <c r="R877" s="96"/>
      <c r="S877" s="96"/>
      <c r="T877" s="96"/>
      <c r="U877" s="96"/>
      <c r="V877" s="96"/>
      <c r="W877" s="96"/>
      <c r="X877" s="96"/>
      <c r="Y877" s="96"/>
    </row>
    <row r="878" ht="26.25" customHeight="1">
      <c r="A878" s="96" t="str">
        <f>IFERROR(__xludf.DUMMYFUNCTION("""COMPUTED_VALUE"""),"Suchi smita Mall")</f>
        <v>Suchi smita Mall</v>
      </c>
      <c r="B878" s="96" t="str">
        <f>IFERROR(__xludf.DUMMYFUNCTION("""COMPUTED_VALUE"""),"19331A05G2")</f>
        <v>19331A05G2</v>
      </c>
      <c r="C878" s="97" t="str">
        <f>IFERROR(__xludf.DUMMYFUNCTION("""COMPUTED_VALUE"""),"Best photography contest")</f>
        <v>Best photography contest</v>
      </c>
      <c r="D878" s="96" t="str">
        <f>IFERROR(__xludf.DUMMYFUNCTION("""COMPUTED_VALUE"""),"My page my wish(Instagram) ")</f>
        <v>My page my wish(Instagram) </v>
      </c>
      <c r="E878" s="96" t="str">
        <f>IFERROR(__xludf.DUMMYFUNCTION("""COMPUTED_VALUE"""),"1")</f>
        <v>1</v>
      </c>
      <c r="F878" s="98">
        <f>IFERROR(__xludf.DUMMYFUNCTION("""COMPUTED_VALUE"""),44049.0)</f>
        <v>44049</v>
      </c>
      <c r="G878" s="98">
        <f>IFERROR(__xludf.DUMMYFUNCTION("""COMPUTED_VALUE"""),44071.0)</f>
        <v>44071</v>
      </c>
      <c r="H878" s="99">
        <f>IFERROR(__xludf.DUMMYFUNCTION("""COMPUTED_VALUE"""),44071.0)</f>
        <v>44071</v>
      </c>
      <c r="I878" s="100"/>
      <c r="J878" s="96" t="str">
        <f>IFERROR(__xludf.DUMMYFUNCTION("""COMPUTED_VALUE"""),"My page my wish")</f>
        <v>My page my wish</v>
      </c>
      <c r="K878" s="101" t="str">
        <f>IFERROR(__xludf.DUMMYFUNCTION("""COMPUTED_VALUE"""),"https://drive.google.com/open?id=1bbz6s5OgHaZiA-mCHxIj-jlY-d36i4Go")</f>
        <v>https://drive.google.com/open?id=1bbz6s5OgHaZiA-mCHxIj-jlY-d36i4Go</v>
      </c>
      <c r="L878" s="96" t="str">
        <f>IFERROR(__xludf.DUMMYFUNCTION("""COMPUTED_VALUE"""),"2019-2023")</f>
        <v>2019-2023</v>
      </c>
      <c r="M878" s="96" t="str">
        <f>IFERROR(__xludf.DUMMYFUNCTION("""COMPUTED_VALUE"""),"S4: Student Certifications")</f>
        <v>S4: Student Certifications</v>
      </c>
      <c r="N878" s="96" t="str">
        <f>IFERROR(__xludf.DUMMYFUNCTION("""COMPUTED_VALUE"""),"suchismita394@gmail.com")</f>
        <v>suchismita394@gmail.com</v>
      </c>
      <c r="O878" s="96" t="str">
        <f>IFERROR(__xludf.DUMMYFUNCTION("""COMPUTED_VALUE"""),"SEM-3")</f>
        <v>SEM-3</v>
      </c>
      <c r="P878" s="96"/>
      <c r="Q878" s="96"/>
      <c r="R878" s="96"/>
      <c r="S878" s="96"/>
      <c r="T878" s="96"/>
      <c r="U878" s="96"/>
      <c r="V878" s="96"/>
      <c r="W878" s="96"/>
      <c r="X878" s="96"/>
      <c r="Y878" s="96"/>
    </row>
    <row r="879" ht="26.25" customHeight="1">
      <c r="A879" s="96" t="str">
        <f>IFERROR(__xludf.DUMMYFUNCTION("""COMPUTED_VALUE"""),"Surisetty Ekta Anusha")</f>
        <v>Surisetty Ekta Anusha</v>
      </c>
      <c r="B879" s="96" t="str">
        <f>IFERROR(__xludf.DUMMYFUNCTION("""COMPUTED_VALUE"""),"19331A05G8")</f>
        <v>19331A05G8</v>
      </c>
      <c r="C879" s="97" t="str">
        <f>IFERROR(__xludf.DUMMYFUNCTION("""COMPUTED_VALUE"""),"NDG Linux Essentials")</f>
        <v>NDG Linux Essentials</v>
      </c>
      <c r="D879" s="96" t="str">
        <f>IFERROR(__xludf.DUMMYFUNCTION("""COMPUTED_VALUE"""),"Cisco")</f>
        <v>Cisco</v>
      </c>
      <c r="E879" s="96" t="str">
        <f>IFERROR(__xludf.DUMMYFUNCTION("""COMPUTED_VALUE"""),"3months")</f>
        <v>3months</v>
      </c>
      <c r="F879" s="98">
        <f>IFERROR(__xludf.DUMMYFUNCTION("""COMPUTED_VALUE"""),44589.0)</f>
        <v>44589</v>
      </c>
      <c r="G879" s="98">
        <f>IFERROR(__xludf.DUMMYFUNCTION("""COMPUTED_VALUE"""),44667.0)</f>
        <v>44667</v>
      </c>
      <c r="H879" s="99">
        <f>IFERROR(__xludf.DUMMYFUNCTION("""COMPUTED_VALUE"""),44667.0)</f>
        <v>44667</v>
      </c>
      <c r="I879" s="100">
        <f>IFERROR(__xludf.DUMMYFUNCTION("""COMPUTED_VALUE"""),90.0)</f>
        <v>90</v>
      </c>
      <c r="J879" s="96" t="str">
        <f>IFERROR(__xludf.DUMMYFUNCTION("""COMPUTED_VALUE"""),"NDG Team, Cisco")</f>
        <v>NDG Team, Cisco</v>
      </c>
      <c r="K879" s="101" t="str">
        <f>IFERROR(__xludf.DUMMYFUNCTION("""COMPUTED_VALUE"""),"https://drive.google.com/open?id=1skIPWDNwOghWPjCUNt019O2Swmqh0zKA")</f>
        <v>https://drive.google.com/open?id=1skIPWDNwOghWPjCUNt019O2Swmqh0zKA</v>
      </c>
      <c r="L879" s="96" t="str">
        <f>IFERROR(__xludf.DUMMYFUNCTION("""COMPUTED_VALUE"""),"2019-2023")</f>
        <v>2019-2023</v>
      </c>
      <c r="M879" s="96" t="str">
        <f>IFERROR(__xludf.DUMMYFUNCTION("""COMPUTED_VALUE"""),"S4: Student Certifications")</f>
        <v>S4: Student Certifications</v>
      </c>
      <c r="N879" s="96" t="str">
        <f>IFERROR(__xludf.DUMMYFUNCTION("""COMPUTED_VALUE"""),"ektaanusha16@gmail.com")</f>
        <v>ektaanusha16@gmail.com</v>
      </c>
      <c r="O879" s="96" t="str">
        <f>IFERROR(__xludf.DUMMYFUNCTION("""COMPUTED_VALUE"""),"SEM-6")</f>
        <v>SEM-6</v>
      </c>
      <c r="P879" s="96"/>
      <c r="Q879" s="96"/>
      <c r="R879" s="96"/>
      <c r="S879" s="96"/>
      <c r="T879" s="96"/>
      <c r="U879" s="96"/>
      <c r="V879" s="96"/>
      <c r="W879" s="96"/>
      <c r="X879" s="96"/>
      <c r="Y879" s="96"/>
    </row>
    <row r="880" ht="26.25" customHeight="1">
      <c r="A880" s="96" t="str">
        <f>IFERROR(__xludf.DUMMYFUNCTION("""COMPUTED_VALUE"""),"B.Satya sai kiran")</f>
        <v>B.Satya sai kiran</v>
      </c>
      <c r="B880" s="96" t="str">
        <f>IFERROR(__xludf.DUMMYFUNCTION("""COMPUTED_VALUE"""),"19331A0527")</f>
        <v>19331A0527</v>
      </c>
      <c r="C880" s="97" t="str">
        <f>IFERROR(__xludf.DUMMYFUNCTION("""COMPUTED_VALUE"""),"Python language")</f>
        <v>Python language</v>
      </c>
      <c r="D880" s="96" t="str">
        <f>IFERROR(__xludf.DUMMYFUNCTION("""COMPUTED_VALUE"""),"Cisco")</f>
        <v>Cisco</v>
      </c>
      <c r="E880" s="96" t="str">
        <f>IFERROR(__xludf.DUMMYFUNCTION("""COMPUTED_VALUE"""),"3 months")</f>
        <v>3 months</v>
      </c>
      <c r="F880" s="98">
        <f>IFERROR(__xludf.DUMMYFUNCTION("""COMPUTED_VALUE"""),44166.0)</f>
        <v>44166</v>
      </c>
      <c r="G880" s="98">
        <f>IFERROR(__xludf.DUMMYFUNCTION("""COMPUTED_VALUE"""),44256.0)</f>
        <v>44256</v>
      </c>
      <c r="H880" s="99">
        <f>IFERROR(__xludf.DUMMYFUNCTION("""COMPUTED_VALUE"""),44255.0)</f>
        <v>44255</v>
      </c>
      <c r="I880" s="100">
        <f>IFERROR(__xludf.DUMMYFUNCTION("""COMPUTED_VALUE"""),90.0)</f>
        <v>90</v>
      </c>
      <c r="J880" s="96" t="str">
        <f>IFERROR(__xludf.DUMMYFUNCTION("""COMPUTED_VALUE"""),"Jayasri sai Venkata Angara")</f>
        <v>Jayasri sai Venkata Angara</v>
      </c>
      <c r="K880" s="101" t="str">
        <f>IFERROR(__xludf.DUMMYFUNCTION("""COMPUTED_VALUE"""),"https://drive.google.com/open?id=12JPhNocGbq9KsNsm4L_SYzfktr6fB9Lr")</f>
        <v>https://drive.google.com/open?id=12JPhNocGbq9KsNsm4L_SYzfktr6fB9Lr</v>
      </c>
      <c r="L880" s="96" t="str">
        <f>IFERROR(__xludf.DUMMYFUNCTION("""COMPUTED_VALUE"""),"2019-2023")</f>
        <v>2019-2023</v>
      </c>
      <c r="M880" s="96" t="str">
        <f>IFERROR(__xludf.DUMMYFUNCTION("""COMPUTED_VALUE"""),"S4: Student Certifications")</f>
        <v>S4: Student Certifications</v>
      </c>
      <c r="N880" s="96" t="str">
        <f>IFERROR(__xludf.DUMMYFUNCTION("""COMPUTED_VALUE"""),"satyasaikiran2001@gmail.com")</f>
        <v>satyasaikiran2001@gmail.com</v>
      </c>
      <c r="O880" s="96" t="str">
        <f>IFERROR(__xludf.DUMMYFUNCTION("""COMPUTED_VALUE"""),"SEM-6")</f>
        <v>SEM-6</v>
      </c>
      <c r="P880" s="96"/>
      <c r="Q880" s="96"/>
      <c r="R880" s="96"/>
      <c r="S880" s="96"/>
      <c r="T880" s="96"/>
      <c r="U880" s="96"/>
      <c r="V880" s="96"/>
      <c r="W880" s="96"/>
      <c r="X880" s="96"/>
      <c r="Y880" s="96"/>
    </row>
    <row r="881" ht="26.25" customHeight="1">
      <c r="A881" s="96" t="str">
        <f>IFERROR(__xludf.DUMMYFUNCTION("""COMPUTED_VALUE"""),"B.Satya sai kiran")</f>
        <v>B.Satya sai kiran</v>
      </c>
      <c r="B881" s="96" t="str">
        <f>IFERROR(__xludf.DUMMYFUNCTION("""COMPUTED_VALUE"""),"19331A0527")</f>
        <v>19331A0527</v>
      </c>
      <c r="C881" s="97" t="str">
        <f>IFERROR(__xludf.DUMMYFUNCTION("""COMPUTED_VALUE"""),"IT Essential")</f>
        <v>IT Essential</v>
      </c>
      <c r="D881" s="96" t="str">
        <f>IFERROR(__xludf.DUMMYFUNCTION("""COMPUTED_VALUE"""),"Cisco")</f>
        <v>Cisco</v>
      </c>
      <c r="E881" s="96" t="str">
        <f>IFERROR(__xludf.DUMMYFUNCTION("""COMPUTED_VALUE"""),"3 months")</f>
        <v>3 months</v>
      </c>
      <c r="F881" s="98">
        <f>IFERROR(__xludf.DUMMYFUNCTION("""COMPUTED_VALUE"""),43986.0)</f>
        <v>43986</v>
      </c>
      <c r="G881" s="98">
        <f>IFERROR(__xludf.DUMMYFUNCTION("""COMPUTED_VALUE"""),44078.0)</f>
        <v>44078</v>
      </c>
      <c r="H881" s="99">
        <f>IFERROR(__xludf.DUMMYFUNCTION("""COMPUTED_VALUE"""),44077.0)</f>
        <v>44077</v>
      </c>
      <c r="I881" s="100">
        <f>IFERROR(__xludf.DUMMYFUNCTION("""COMPUTED_VALUE"""),90.0)</f>
        <v>90</v>
      </c>
      <c r="J881" s="96" t="str">
        <f>IFERROR(__xludf.DUMMYFUNCTION("""COMPUTED_VALUE"""),"Dr.Suvarna Kumar Gogula")</f>
        <v>Dr.Suvarna Kumar Gogula</v>
      </c>
      <c r="K881" s="101" t="str">
        <f>IFERROR(__xludf.DUMMYFUNCTION("""COMPUTED_VALUE"""),"https://drive.google.com/open?id=1XiVoRxlkLCwKGTrk3e8Rm8t1ZiQlxtEx")</f>
        <v>https://drive.google.com/open?id=1XiVoRxlkLCwKGTrk3e8Rm8t1ZiQlxtEx</v>
      </c>
      <c r="L881" s="96" t="str">
        <f>IFERROR(__xludf.DUMMYFUNCTION("""COMPUTED_VALUE"""),"2019-2023")</f>
        <v>2019-2023</v>
      </c>
      <c r="M881" s="96" t="str">
        <f>IFERROR(__xludf.DUMMYFUNCTION("""COMPUTED_VALUE"""),"S4: Student Certifications")</f>
        <v>S4: Student Certifications</v>
      </c>
      <c r="N881" s="96" t="str">
        <f>IFERROR(__xludf.DUMMYFUNCTION("""COMPUTED_VALUE"""),"satyasaikiran2001@gmail.com")</f>
        <v>satyasaikiran2001@gmail.com</v>
      </c>
      <c r="O881" s="96" t="str">
        <f>IFERROR(__xludf.DUMMYFUNCTION("""COMPUTED_VALUE"""),"SEM-6")</f>
        <v>SEM-6</v>
      </c>
      <c r="P881" s="96"/>
      <c r="Q881" s="96"/>
      <c r="R881" s="96"/>
      <c r="S881" s="96"/>
      <c r="T881" s="96"/>
      <c r="U881" s="96"/>
      <c r="V881" s="96"/>
      <c r="W881" s="96"/>
      <c r="X881" s="96"/>
      <c r="Y881" s="96"/>
    </row>
    <row r="882" ht="26.25" customHeight="1">
      <c r="A882" s="96" t="str">
        <f>IFERROR(__xludf.DUMMYFUNCTION("""COMPUTED_VALUE"""),"Surisetty Ekta Anusha")</f>
        <v>Surisetty Ekta Anusha</v>
      </c>
      <c r="B882" s="96" t="str">
        <f>IFERROR(__xludf.DUMMYFUNCTION("""COMPUTED_VALUE"""),"19331A05G8")</f>
        <v>19331A05G8</v>
      </c>
      <c r="C882" s="97" t="str">
        <f>IFERROR(__xludf.DUMMYFUNCTION("""COMPUTED_VALUE"""),"Programming Essentials in Python")</f>
        <v>Programming Essentials in Python</v>
      </c>
      <c r="D882" s="96" t="str">
        <f>IFERROR(__xludf.DUMMYFUNCTION("""COMPUTED_VALUE"""),"Cisco")</f>
        <v>Cisco</v>
      </c>
      <c r="E882" s="96" t="str">
        <f>IFERROR(__xludf.DUMMYFUNCTION("""COMPUTED_VALUE"""),"3months")</f>
        <v>3months</v>
      </c>
      <c r="F882" s="98">
        <f>IFERROR(__xludf.DUMMYFUNCTION("""COMPUTED_VALUE"""),44243.0)</f>
        <v>44243</v>
      </c>
      <c r="G882" s="98">
        <f>IFERROR(__xludf.DUMMYFUNCTION("""COMPUTED_VALUE"""),44322.0)</f>
        <v>44322</v>
      </c>
      <c r="H882" s="99">
        <f>IFERROR(__xludf.DUMMYFUNCTION("""COMPUTED_VALUE"""),44322.0)</f>
        <v>44322</v>
      </c>
      <c r="I882" s="100">
        <f>IFERROR(__xludf.DUMMYFUNCTION("""COMPUTED_VALUE"""),91.0)</f>
        <v>91</v>
      </c>
      <c r="J882" s="96" t="str">
        <f>IFERROR(__xludf.DUMMYFUNCTION("""COMPUTED_VALUE"""),"M Beulah Rani Madam")</f>
        <v>M Beulah Rani Madam</v>
      </c>
      <c r="K882" s="101" t="str">
        <f>IFERROR(__xludf.DUMMYFUNCTION("""COMPUTED_VALUE"""),"https://drive.google.com/open?id=1kl7Tyi9YHzBCAKvVAN2BcaPTmQlfgGsl")</f>
        <v>https://drive.google.com/open?id=1kl7Tyi9YHzBCAKvVAN2BcaPTmQlfgGsl</v>
      </c>
      <c r="L882" s="96" t="str">
        <f>IFERROR(__xludf.DUMMYFUNCTION("""COMPUTED_VALUE"""),"2019-2023")</f>
        <v>2019-2023</v>
      </c>
      <c r="M882" s="96" t="str">
        <f>IFERROR(__xludf.DUMMYFUNCTION("""COMPUTED_VALUE"""),"S4: Student Certifications")</f>
        <v>S4: Student Certifications</v>
      </c>
      <c r="N882" s="96" t="str">
        <f>IFERROR(__xludf.DUMMYFUNCTION("""COMPUTED_VALUE"""),"ektaanusha16@gmail.com")</f>
        <v>ektaanusha16@gmail.com</v>
      </c>
      <c r="O882" s="96" t="str">
        <f>IFERROR(__xludf.DUMMYFUNCTION("""COMPUTED_VALUE"""),"SEM-6")</f>
        <v>SEM-6</v>
      </c>
      <c r="P882" s="96"/>
      <c r="Q882" s="96"/>
      <c r="R882" s="96"/>
      <c r="S882" s="96"/>
      <c r="T882" s="96"/>
      <c r="U882" s="96"/>
      <c r="V882" s="96"/>
      <c r="W882" s="96"/>
      <c r="X882" s="96"/>
      <c r="Y882" s="96"/>
    </row>
    <row r="883" ht="26.25" customHeight="1">
      <c r="A883" s="96" t="str">
        <f>IFERROR(__xludf.DUMMYFUNCTION("""COMPUTED_VALUE"""),"Suchismita Mall")</f>
        <v>Suchismita Mall</v>
      </c>
      <c r="B883" s="96" t="str">
        <f>IFERROR(__xludf.DUMMYFUNCTION("""COMPUTED_VALUE"""),"19331A05G2")</f>
        <v>19331A05G2</v>
      </c>
      <c r="C883" s="97" t="str">
        <f>IFERROR(__xludf.DUMMYFUNCTION("""COMPUTED_VALUE"""),"Machine Learning &amp;Foss Philosophy")</f>
        <v>Machine Learning &amp;Foss Philosophy</v>
      </c>
      <c r="D883" s="96" t="str">
        <f>IFERROR(__xludf.DUMMYFUNCTION("""COMPUTED_VALUE"""),"Swecha")</f>
        <v>Swecha</v>
      </c>
      <c r="E883" s="96" t="str">
        <f>IFERROR(__xludf.DUMMYFUNCTION("""COMPUTED_VALUE"""),"2 days")</f>
        <v>2 days</v>
      </c>
      <c r="F883" s="98">
        <f>IFERROR(__xludf.DUMMYFUNCTION("""COMPUTED_VALUE"""),43729.0)</f>
        <v>43729</v>
      </c>
      <c r="G883" s="98">
        <f>IFERROR(__xludf.DUMMYFUNCTION("""COMPUTED_VALUE"""),43730.0)</f>
        <v>43730</v>
      </c>
      <c r="H883" s="99">
        <f>IFERROR(__xludf.DUMMYFUNCTION("""COMPUTED_VALUE"""),43730.0)</f>
        <v>43730</v>
      </c>
      <c r="I883" s="100">
        <f>IFERROR(__xludf.DUMMYFUNCTION("""COMPUTED_VALUE"""),100.0)</f>
        <v>100</v>
      </c>
      <c r="J883" s="96" t="str">
        <f>IFERROR(__xludf.DUMMYFUNCTION("""COMPUTED_VALUE"""),"Swecha Executive Committee")</f>
        <v>Swecha Executive Committee</v>
      </c>
      <c r="K883" s="101" t="str">
        <f>IFERROR(__xludf.DUMMYFUNCTION("""COMPUTED_VALUE"""),"https://drive.google.com/open?id=1h9JMd0u92yoJxvmUIExFANw7ubcori_A")</f>
        <v>https://drive.google.com/open?id=1h9JMd0u92yoJxvmUIExFANw7ubcori_A</v>
      </c>
      <c r="L883" s="96" t="str">
        <f>IFERROR(__xludf.DUMMYFUNCTION("""COMPUTED_VALUE"""),"2019-2023")</f>
        <v>2019-2023</v>
      </c>
      <c r="M883" s="96" t="str">
        <f>IFERROR(__xludf.DUMMYFUNCTION("""COMPUTED_VALUE"""),"S4: Student Certifications")</f>
        <v>S4: Student Certifications</v>
      </c>
      <c r="N883" s="96" t="str">
        <f>IFERROR(__xludf.DUMMYFUNCTION("""COMPUTED_VALUE"""),"suchismita394@gmail.com")</f>
        <v>suchismita394@gmail.com</v>
      </c>
      <c r="O883" s="96" t="str">
        <f>IFERROR(__xludf.DUMMYFUNCTION("""COMPUTED_VALUE"""),"SEM-2")</f>
        <v>SEM-2</v>
      </c>
      <c r="P883" s="96"/>
      <c r="Q883" s="96"/>
      <c r="R883" s="96"/>
      <c r="S883" s="96"/>
      <c r="T883" s="96"/>
      <c r="U883" s="96"/>
      <c r="V883" s="96"/>
      <c r="W883" s="96"/>
      <c r="X883" s="96"/>
      <c r="Y883" s="96"/>
    </row>
    <row r="884" ht="26.25" customHeight="1">
      <c r="A884" s="96" t="str">
        <f>IFERROR(__xludf.DUMMYFUNCTION("""COMPUTED_VALUE"""),"Suchi Smita Mall")</f>
        <v>Suchi Smita Mall</v>
      </c>
      <c r="B884" s="96" t="str">
        <f>IFERROR(__xludf.DUMMYFUNCTION("""COMPUTED_VALUE"""),"19331A05G2")</f>
        <v>19331A05G2</v>
      </c>
      <c r="C884" s="97" t="str">
        <f>IFERROR(__xludf.DUMMYFUNCTION("""COMPUTED_VALUE"""),"Battle Ground")</f>
        <v>Battle Ground</v>
      </c>
      <c r="D884" s="96" t="str">
        <f>IFERROR(__xludf.DUMMYFUNCTION("""COMPUTED_VALUE"""),"Dance club, Kala Krithi")</f>
        <v>Dance club, Kala Krithi</v>
      </c>
      <c r="E884" s="96" t="str">
        <f>IFERROR(__xludf.DUMMYFUNCTION("""COMPUTED_VALUE"""),"1day")</f>
        <v>1day</v>
      </c>
      <c r="F884" s="98">
        <f>IFERROR(__xludf.DUMMYFUNCTION("""COMPUTED_VALUE"""),44323.0)</f>
        <v>44323</v>
      </c>
      <c r="G884" s="98">
        <f>IFERROR(__xludf.DUMMYFUNCTION("""COMPUTED_VALUE"""),44323.0)</f>
        <v>44323</v>
      </c>
      <c r="H884" s="99">
        <f>IFERROR(__xludf.DUMMYFUNCTION("""COMPUTED_VALUE"""),44323.0)</f>
        <v>44323</v>
      </c>
      <c r="I884" s="100">
        <f>IFERROR(__xludf.DUMMYFUNCTION("""COMPUTED_VALUE"""),100.0)</f>
        <v>100</v>
      </c>
      <c r="J884" s="96" t="str">
        <f>IFERROR(__xludf.DUMMYFUNCTION("""COMPUTED_VALUE"""),"Gitam University")</f>
        <v>Gitam University</v>
      </c>
      <c r="K884" s="101" t="str">
        <f>IFERROR(__xludf.DUMMYFUNCTION("""COMPUTED_VALUE"""),"https://drive.google.com/open?id=1jH-wCgYNlKt9g_OI1AXe19UlDjQia_an")</f>
        <v>https://drive.google.com/open?id=1jH-wCgYNlKt9g_OI1AXe19UlDjQia_an</v>
      </c>
      <c r="L884" s="96" t="str">
        <f>IFERROR(__xludf.DUMMYFUNCTION("""COMPUTED_VALUE"""),"2019-2023")</f>
        <v>2019-2023</v>
      </c>
      <c r="M884" s="96" t="str">
        <f>IFERROR(__xludf.DUMMYFUNCTION("""COMPUTED_VALUE"""),"S4: Student Certifications")</f>
        <v>S4: Student Certifications</v>
      </c>
      <c r="N884" s="96" t="str">
        <f>IFERROR(__xludf.DUMMYFUNCTION("""COMPUTED_VALUE"""),"suchismita394@gmail.com")</f>
        <v>suchismita394@gmail.com</v>
      </c>
      <c r="O884" s="96" t="str">
        <f>IFERROR(__xludf.DUMMYFUNCTION("""COMPUTED_VALUE"""),"SEM-6")</f>
        <v>SEM-6</v>
      </c>
      <c r="P884" s="96"/>
      <c r="Q884" s="96"/>
      <c r="R884" s="96"/>
      <c r="S884" s="96"/>
      <c r="T884" s="96"/>
      <c r="U884" s="96"/>
      <c r="V884" s="96"/>
      <c r="W884" s="96"/>
      <c r="X884" s="96"/>
      <c r="Y884" s="96"/>
    </row>
    <row r="885" ht="26.25" customHeight="1">
      <c r="A885" s="96" t="str">
        <f>IFERROR(__xludf.DUMMYFUNCTION("""COMPUTED_VALUE"""),"Suchi Smita Mall")</f>
        <v>Suchi Smita Mall</v>
      </c>
      <c r="B885" s="96" t="str">
        <f>IFERROR(__xludf.DUMMYFUNCTION("""COMPUTED_VALUE"""),"19331A05G2")</f>
        <v>19331A05G2</v>
      </c>
      <c r="C885" s="97" t="str">
        <f>IFERROR(__xludf.DUMMYFUNCTION("""COMPUTED_VALUE"""),"NDG Linux Essentials")</f>
        <v>NDG Linux Essentials</v>
      </c>
      <c r="D885" s="96" t="str">
        <f>IFERROR(__xludf.DUMMYFUNCTION("""COMPUTED_VALUE"""),"Cisco")</f>
        <v>Cisco</v>
      </c>
      <c r="E885" s="96" t="str">
        <f>IFERROR(__xludf.DUMMYFUNCTION("""COMPUTED_VALUE"""),"3")</f>
        <v>3</v>
      </c>
      <c r="F885" s="98">
        <f>IFERROR(__xludf.DUMMYFUNCTION("""COMPUTED_VALUE"""),44581.0)</f>
        <v>44581</v>
      </c>
      <c r="G885" s="98">
        <f>IFERROR(__xludf.DUMMYFUNCTION("""COMPUTED_VALUE"""),44666.0)</f>
        <v>44666</v>
      </c>
      <c r="H885" s="99">
        <f>IFERROR(__xludf.DUMMYFUNCTION("""COMPUTED_VALUE"""),44666.0)</f>
        <v>44666</v>
      </c>
      <c r="I885" s="100">
        <f>IFERROR(__xludf.DUMMYFUNCTION("""COMPUTED_VALUE"""),95.0)</f>
        <v>95</v>
      </c>
      <c r="J885" s="96" t="str">
        <f>IFERROR(__xludf.DUMMYFUNCTION("""COMPUTED_VALUE"""),"NDG Team")</f>
        <v>NDG Team</v>
      </c>
      <c r="K885" s="101" t="str">
        <f>IFERROR(__xludf.DUMMYFUNCTION("""COMPUTED_VALUE"""),"https://drive.google.com/open?id=1rhaZmNN1Di9esRQeW4H-1xDiSzVBcSFe")</f>
        <v>https://drive.google.com/open?id=1rhaZmNN1Di9esRQeW4H-1xDiSzVBcSFe</v>
      </c>
      <c r="L885" s="96" t="str">
        <f>IFERROR(__xludf.DUMMYFUNCTION("""COMPUTED_VALUE"""),"2019-2023")</f>
        <v>2019-2023</v>
      </c>
      <c r="M885" s="96" t="str">
        <f>IFERROR(__xludf.DUMMYFUNCTION("""COMPUTED_VALUE"""),"S4: Student Certifications")</f>
        <v>S4: Student Certifications</v>
      </c>
      <c r="N885" s="96" t="str">
        <f>IFERROR(__xludf.DUMMYFUNCTION("""COMPUTED_VALUE"""),"suchismita394@gmail.com")</f>
        <v>suchismita394@gmail.com</v>
      </c>
      <c r="O885" s="96" t="str">
        <f>IFERROR(__xludf.DUMMYFUNCTION("""COMPUTED_VALUE"""),"SEM-6")</f>
        <v>SEM-6</v>
      </c>
      <c r="P885" s="96"/>
      <c r="Q885" s="96"/>
      <c r="R885" s="96"/>
      <c r="S885" s="96"/>
      <c r="T885" s="96"/>
      <c r="U885" s="96"/>
      <c r="V885" s="96"/>
      <c r="W885" s="96"/>
      <c r="X885" s="96"/>
      <c r="Y885" s="96"/>
    </row>
    <row r="886" ht="26.25" customHeight="1">
      <c r="A886" s="96" t="str">
        <f>IFERROR(__xludf.DUMMYFUNCTION("""COMPUTED_VALUE"""),"Suchi Smita Mall")</f>
        <v>Suchi Smita Mall</v>
      </c>
      <c r="B886" s="96" t="str">
        <f>IFERROR(__xludf.DUMMYFUNCTION("""COMPUTED_VALUE"""),"19331A05G2")</f>
        <v>19331A05G2</v>
      </c>
      <c r="C886" s="97" t="str">
        <f>IFERROR(__xludf.DUMMYFUNCTION("""COMPUTED_VALUE"""),"Linux Essentials")</f>
        <v>Linux Essentials</v>
      </c>
      <c r="D886" s="96" t="str">
        <f>IFERROR(__xludf.DUMMYFUNCTION("""COMPUTED_VALUE"""),"Cisco")</f>
        <v>Cisco</v>
      </c>
      <c r="E886" s="96" t="str">
        <f>IFERROR(__xludf.DUMMYFUNCTION("""COMPUTED_VALUE"""),"3months")</f>
        <v>3months</v>
      </c>
      <c r="F886" s="98">
        <f>IFERROR(__xludf.DUMMYFUNCTION("""COMPUTED_VALUE"""),44580.0)</f>
        <v>44580</v>
      </c>
      <c r="G886" s="98">
        <f>IFERROR(__xludf.DUMMYFUNCTION("""COMPUTED_VALUE"""),44666.0)</f>
        <v>44666</v>
      </c>
      <c r="H886" s="99">
        <f>IFERROR(__xludf.DUMMYFUNCTION("""COMPUTED_VALUE"""),44666.0)</f>
        <v>44666</v>
      </c>
      <c r="I886" s="100">
        <f>IFERROR(__xludf.DUMMYFUNCTION("""COMPUTED_VALUE"""),100.0)</f>
        <v>100</v>
      </c>
      <c r="J886" s="96" t="str">
        <f>IFERROR(__xludf.DUMMYFUNCTION("""COMPUTED_VALUE"""),"NDG Team")</f>
        <v>NDG Team</v>
      </c>
      <c r="K886" s="101" t="str">
        <f>IFERROR(__xludf.DUMMYFUNCTION("""COMPUTED_VALUE"""),"https://drive.google.com/open?id=17LynHPg0UK1o20Q14tIqN3kjUeSX_lI0")</f>
        <v>https://drive.google.com/open?id=17LynHPg0UK1o20Q14tIqN3kjUeSX_lI0</v>
      </c>
      <c r="L886" s="96" t="str">
        <f>IFERROR(__xludf.DUMMYFUNCTION("""COMPUTED_VALUE"""),"2019-2023")</f>
        <v>2019-2023</v>
      </c>
      <c r="M886" s="96" t="str">
        <f>IFERROR(__xludf.DUMMYFUNCTION("""COMPUTED_VALUE"""),"S4: Student Certifications")</f>
        <v>S4: Student Certifications</v>
      </c>
      <c r="N886" s="96" t="str">
        <f>IFERROR(__xludf.DUMMYFUNCTION("""COMPUTED_VALUE"""),"suchismita394@gmail.com")</f>
        <v>suchismita394@gmail.com</v>
      </c>
      <c r="O886" s="96" t="str">
        <f>IFERROR(__xludf.DUMMYFUNCTION("""COMPUTED_VALUE"""),"SEM-6")</f>
        <v>SEM-6</v>
      </c>
      <c r="P886" s="96"/>
      <c r="Q886" s="96"/>
      <c r="R886" s="96"/>
      <c r="S886" s="96"/>
      <c r="T886" s="96"/>
      <c r="U886" s="96"/>
      <c r="V886" s="96"/>
      <c r="W886" s="96"/>
      <c r="X886" s="96"/>
      <c r="Y886" s="96"/>
    </row>
    <row r="887" ht="26.25" customHeight="1">
      <c r="A887" s="96" t="str">
        <f>IFERROR(__xludf.DUMMYFUNCTION("""COMPUTED_VALUE"""),"Suchi Smita Mall")</f>
        <v>Suchi Smita Mall</v>
      </c>
      <c r="B887" s="96" t="str">
        <f>IFERROR(__xludf.DUMMYFUNCTION("""COMPUTED_VALUE"""),"19331A05G2")</f>
        <v>19331A05G2</v>
      </c>
      <c r="C887" s="97" t="str">
        <f>IFERROR(__xludf.DUMMYFUNCTION("""COMPUTED_VALUE"""),"Programming Essentials In Python")</f>
        <v>Programming Essentials In Python</v>
      </c>
      <c r="D887" s="96" t="str">
        <f>IFERROR(__xludf.DUMMYFUNCTION("""COMPUTED_VALUE"""),"Cisco")</f>
        <v>Cisco</v>
      </c>
      <c r="E887" s="96" t="str">
        <f>IFERROR(__xludf.DUMMYFUNCTION("""COMPUTED_VALUE"""),"4months")</f>
        <v>4months</v>
      </c>
      <c r="F887" s="98">
        <f>IFERROR(__xludf.DUMMYFUNCTION("""COMPUTED_VALUE"""),44218.0)</f>
        <v>44218</v>
      </c>
      <c r="G887" s="98">
        <f>IFERROR(__xludf.DUMMYFUNCTION("""COMPUTED_VALUE"""),44322.0)</f>
        <v>44322</v>
      </c>
      <c r="H887" s="99">
        <f>IFERROR(__xludf.DUMMYFUNCTION("""COMPUTED_VALUE"""),44322.0)</f>
        <v>44322</v>
      </c>
      <c r="I887" s="100">
        <f>IFERROR(__xludf.DUMMYFUNCTION("""COMPUTED_VALUE"""),100.0)</f>
        <v>100</v>
      </c>
      <c r="J887" s="96" t="str">
        <f>IFERROR(__xludf.DUMMYFUNCTION("""COMPUTED_VALUE"""),"Beulah Rani Madam")</f>
        <v>Beulah Rani Madam</v>
      </c>
      <c r="K887" s="101" t="str">
        <f>IFERROR(__xludf.DUMMYFUNCTION("""COMPUTED_VALUE"""),"https://drive.google.com/open?id=1Nc_U-FHaCsgBqQrPN2FtKXydlcoAX28s")</f>
        <v>https://drive.google.com/open?id=1Nc_U-FHaCsgBqQrPN2FtKXydlcoAX28s</v>
      </c>
      <c r="L887" s="96" t="str">
        <f>IFERROR(__xludf.DUMMYFUNCTION("""COMPUTED_VALUE"""),"2019-2023")</f>
        <v>2019-2023</v>
      </c>
      <c r="M887" s="96" t="str">
        <f>IFERROR(__xludf.DUMMYFUNCTION("""COMPUTED_VALUE"""),"S4: Student Certifications")</f>
        <v>S4: Student Certifications</v>
      </c>
      <c r="N887" s="96" t="str">
        <f>IFERROR(__xludf.DUMMYFUNCTION("""COMPUTED_VALUE"""),"suchismita394@gmail.com")</f>
        <v>suchismita394@gmail.com</v>
      </c>
      <c r="O887" s="96" t="str">
        <f>IFERROR(__xludf.DUMMYFUNCTION("""COMPUTED_VALUE"""),"SEM-6")</f>
        <v>SEM-6</v>
      </c>
      <c r="P887" s="96"/>
      <c r="Q887" s="96"/>
      <c r="R887" s="96"/>
      <c r="S887" s="96"/>
      <c r="T887" s="96"/>
      <c r="U887" s="96"/>
      <c r="V887" s="96"/>
      <c r="W887" s="96"/>
      <c r="X887" s="96"/>
      <c r="Y887" s="96"/>
    </row>
    <row r="888" ht="26.25" customHeight="1">
      <c r="A888" s="96" t="str">
        <f>IFERROR(__xludf.DUMMYFUNCTION("""COMPUTED_VALUE"""),"BHOGI RAGHU VAMSI")</f>
        <v>BHOGI RAGHU VAMSI</v>
      </c>
      <c r="B888" s="96" t="str">
        <f>IFERROR(__xludf.DUMMYFUNCTION("""COMPUTED_VALUE"""),"19331A0516")</f>
        <v>19331A0516</v>
      </c>
      <c r="C888" s="97" t="str">
        <f>IFERROR(__xludf.DUMMYFUNCTION("""COMPUTED_VALUE"""),"Programming with python")</f>
        <v>Programming with python</v>
      </c>
      <c r="D888" s="96" t="str">
        <f>IFERROR(__xludf.DUMMYFUNCTION("""COMPUTED_VALUE"""),"MICHIGAN UNIVERSITY")</f>
        <v>MICHIGAN UNIVERSITY</v>
      </c>
      <c r="E888" s="96" t="str">
        <f>IFERROR(__xludf.DUMMYFUNCTION("""COMPUTED_VALUE"""),"1-2 months")</f>
        <v>1-2 months</v>
      </c>
      <c r="F888" s="98">
        <f>IFERROR(__xludf.DUMMYFUNCTION("""COMPUTED_VALUE"""),43929.0)</f>
        <v>43929</v>
      </c>
      <c r="G888" s="98">
        <f>IFERROR(__xludf.DUMMYFUNCTION("""COMPUTED_VALUE"""),43959.0)</f>
        <v>43959</v>
      </c>
      <c r="H888" s="99">
        <f>IFERROR(__xludf.DUMMYFUNCTION("""COMPUTED_VALUE"""),44081.0)</f>
        <v>44081</v>
      </c>
      <c r="I888" s="100">
        <f>IFERROR(__xludf.DUMMYFUNCTION("""COMPUTED_VALUE"""),0.99)</f>
        <v>0.99</v>
      </c>
      <c r="J888" s="96" t="str">
        <f>IFERROR(__xludf.DUMMYFUNCTION("""COMPUTED_VALUE"""),"P.R.S.NAIDU")</f>
        <v>P.R.S.NAIDU</v>
      </c>
      <c r="K888" s="101" t="str">
        <f>IFERROR(__xludf.DUMMYFUNCTION("""COMPUTED_VALUE"""),"https://drive.google.com/open?id=1l2S3wk-nKIpQAlQZCT5or_7csqTDpGXp")</f>
        <v>https://drive.google.com/open?id=1l2S3wk-nKIpQAlQZCT5or_7csqTDpGXp</v>
      </c>
      <c r="L888" s="96" t="str">
        <f>IFERROR(__xludf.DUMMYFUNCTION("""COMPUTED_VALUE"""),"2019-2023")</f>
        <v>2019-2023</v>
      </c>
      <c r="M888" s="96" t="str">
        <f>IFERROR(__xludf.DUMMYFUNCTION("""COMPUTED_VALUE"""),"S4: Student Certifications")</f>
        <v>S4: Student Certifications</v>
      </c>
      <c r="N888" s="96" t="str">
        <f>IFERROR(__xludf.DUMMYFUNCTION("""COMPUTED_VALUE"""),"raghuvamsibhogi@gmail.com")</f>
        <v>raghuvamsibhogi@gmail.com</v>
      </c>
      <c r="O888" s="96" t="str">
        <f>IFERROR(__xludf.DUMMYFUNCTION("""COMPUTED_VALUE"""),"SEM-6")</f>
        <v>SEM-6</v>
      </c>
      <c r="P888" s="96"/>
      <c r="Q888" s="96"/>
      <c r="R888" s="96"/>
      <c r="S888" s="96"/>
      <c r="T888" s="96"/>
      <c r="U888" s="96"/>
      <c r="V888" s="96"/>
      <c r="W888" s="96"/>
      <c r="X888" s="96"/>
      <c r="Y888" s="96"/>
    </row>
    <row r="889" ht="26.25" customHeight="1">
      <c r="A889" s="74" t="str">
        <f>IFERROR(__xludf.DUMMYFUNCTION("""COMPUTED_VALUE"""),"KOTHA DEEKSHITA")</f>
        <v>KOTHA DEEKSHITA</v>
      </c>
      <c r="B889" s="74" t="str">
        <f>IFERROR(__xludf.DUMMYFUNCTION("""COMPUTED_VALUE"""),"19331A0584")</f>
        <v>19331A0584</v>
      </c>
      <c r="C889" s="90" t="str">
        <f>IFERROR(__xludf.DUMMYFUNCTION("""COMPUTED_VALUE"""),"Programming essential in c++")</f>
        <v>Programming essential in c++</v>
      </c>
      <c r="D889" s="74" t="str">
        <f>IFERROR(__xludf.DUMMYFUNCTION("""COMPUTED_VALUE"""),"Cisco")</f>
        <v>Cisco</v>
      </c>
      <c r="E889" s="74" t="str">
        <f>IFERROR(__xludf.DUMMYFUNCTION("""COMPUTED_VALUE"""),"1month")</f>
        <v>1month</v>
      </c>
      <c r="F889" s="91">
        <f>IFERROR(__xludf.DUMMYFUNCTION("""COMPUTED_VALUE"""),43925.0)</f>
        <v>43925</v>
      </c>
      <c r="G889" s="91">
        <f>IFERROR(__xludf.DUMMYFUNCTION("""COMPUTED_VALUE"""),43955.0)</f>
        <v>43955</v>
      </c>
      <c r="H889" s="79">
        <f>IFERROR(__xludf.DUMMYFUNCTION("""COMPUTED_VALUE"""),43955.0)</f>
        <v>43955</v>
      </c>
      <c r="I889" s="92">
        <f>IFERROR(__xludf.DUMMYFUNCTION("""COMPUTED_VALUE"""),0.95)</f>
        <v>0.95</v>
      </c>
      <c r="J889" s="74" t="str">
        <f>IFERROR(__xludf.DUMMYFUNCTION("""COMPUTED_VALUE"""),"Dr. RAVI KIRAN VARMA PENMATSA ")</f>
        <v>Dr. RAVI KIRAN VARMA PENMATSA </v>
      </c>
      <c r="K889" s="80" t="str">
        <f>IFERROR(__xludf.DUMMYFUNCTION("""COMPUTED_VALUE"""),"https://drive.google.com/open?id=1xL565Nact6QB55tCVkX_qO-d0_mINCH-")</f>
        <v>https://drive.google.com/open?id=1xL565Nact6QB55tCVkX_qO-d0_mINCH-</v>
      </c>
      <c r="L889" s="74" t="str">
        <f>IFERROR(__xludf.DUMMYFUNCTION("""COMPUTED_VALUE"""),"2019-2023")</f>
        <v>2019-2023</v>
      </c>
      <c r="M889" s="74" t="str">
        <f>IFERROR(__xludf.DUMMYFUNCTION("""COMPUTED_VALUE"""),"S4: Student Certifications")</f>
        <v>S4: Student Certifications</v>
      </c>
      <c r="N889" s="74" t="str">
        <f>IFERROR(__xludf.DUMMYFUNCTION("""COMPUTED_VALUE"""),"kothadeekshita0705@gmail.com")</f>
        <v>kothadeekshita0705@gmail.com</v>
      </c>
      <c r="O889" s="74" t="str">
        <f>IFERROR(__xludf.DUMMYFUNCTION("""COMPUTED_VALUE"""),"SEM-6")</f>
        <v>SEM-6</v>
      </c>
      <c r="P889" s="74"/>
      <c r="Q889" s="74"/>
      <c r="R889" s="74"/>
      <c r="S889" s="74"/>
      <c r="T889" s="74"/>
      <c r="U889" s="74"/>
      <c r="V889" s="74"/>
      <c r="W889" s="74"/>
      <c r="X889" s="74"/>
      <c r="Y889" s="74"/>
    </row>
    <row r="890" ht="26.25" customHeight="1">
      <c r="A890" s="74" t="str">
        <f>IFERROR(__xludf.DUMMYFUNCTION("""COMPUTED_VALUE"""),"KOTHA DEEKSHITA ")</f>
        <v>KOTHA DEEKSHITA </v>
      </c>
      <c r="B890" s="74" t="str">
        <f>IFERROR(__xludf.DUMMYFUNCTION("""COMPUTED_VALUE"""),"19331A0584")</f>
        <v>19331A0584</v>
      </c>
      <c r="C890" s="90" t="str">
        <f>IFERROR(__xludf.DUMMYFUNCTION("""COMPUTED_VALUE"""),"Programming essential in python  ")</f>
        <v>Programming essential in python  </v>
      </c>
      <c r="D890" s="74" t="str">
        <f>IFERROR(__xludf.DUMMYFUNCTION("""COMPUTED_VALUE"""),"Cisco ")</f>
        <v>Cisco </v>
      </c>
      <c r="E890" s="74" t="str">
        <f>IFERROR(__xludf.DUMMYFUNCTION("""COMPUTED_VALUE"""),"1 month ")</f>
        <v>1 month </v>
      </c>
      <c r="F890" s="91">
        <f>IFERROR(__xludf.DUMMYFUNCTION("""COMPUTED_VALUE"""),44355.0)</f>
        <v>44355</v>
      </c>
      <c r="G890" s="91">
        <f>IFERROR(__xludf.DUMMYFUNCTION("""COMPUTED_VALUE"""),44385.0)</f>
        <v>44385</v>
      </c>
      <c r="H890" s="79">
        <f>IFERROR(__xludf.DUMMYFUNCTION("""COMPUTED_VALUE"""),44385.0)</f>
        <v>44385</v>
      </c>
      <c r="I890" s="92">
        <f>IFERROR(__xludf.DUMMYFUNCTION("""COMPUTED_VALUE"""),0.9)</f>
        <v>0.9</v>
      </c>
      <c r="J890" s="74" t="str">
        <f>IFERROR(__xludf.DUMMYFUNCTION("""COMPUTED_VALUE"""),"Subba Raju K V ")</f>
        <v>Subba Raju K V </v>
      </c>
      <c r="K890" s="80" t="str">
        <f>IFERROR(__xludf.DUMMYFUNCTION("""COMPUTED_VALUE"""),"https://drive.google.com/open?id=1ktUkecfZfGbwoD9TvKltTqgufWI4dbZS")</f>
        <v>https://drive.google.com/open?id=1ktUkecfZfGbwoD9TvKltTqgufWI4dbZS</v>
      </c>
      <c r="L890" s="74" t="str">
        <f>IFERROR(__xludf.DUMMYFUNCTION("""COMPUTED_VALUE"""),"2019-2023")</f>
        <v>2019-2023</v>
      </c>
      <c r="M890" s="74" t="str">
        <f>IFERROR(__xludf.DUMMYFUNCTION("""COMPUTED_VALUE"""),"S4: Student Certifications")</f>
        <v>S4: Student Certifications</v>
      </c>
      <c r="N890" s="74" t="str">
        <f>IFERROR(__xludf.DUMMYFUNCTION("""COMPUTED_VALUE"""),"kothadeekshita0705@gmail.com")</f>
        <v>kothadeekshita0705@gmail.com</v>
      </c>
      <c r="O890" s="74" t="str">
        <f>IFERROR(__xludf.DUMMYFUNCTION("""COMPUTED_VALUE"""),"SEM-6")</f>
        <v>SEM-6</v>
      </c>
      <c r="P890" s="74"/>
      <c r="Q890" s="74"/>
      <c r="R890" s="74"/>
      <c r="S890" s="74"/>
      <c r="T890" s="74"/>
      <c r="U890" s="74"/>
      <c r="V890" s="74"/>
      <c r="W890" s="74"/>
      <c r="X890" s="74"/>
      <c r="Y890" s="74"/>
    </row>
    <row r="891" ht="26.25" customHeight="1">
      <c r="A891" s="74" t="str">
        <f>IFERROR(__xludf.DUMMYFUNCTION("""COMPUTED_VALUE"""),"KOTHA DEEKSHITA ")</f>
        <v>KOTHA DEEKSHITA </v>
      </c>
      <c r="B891" s="74" t="str">
        <f>IFERROR(__xludf.DUMMYFUNCTION("""COMPUTED_VALUE"""),"19331A0584")</f>
        <v>19331A0584</v>
      </c>
      <c r="C891" s="90" t="str">
        <f>IFERROR(__xludf.DUMMYFUNCTION("""COMPUTED_VALUE"""),"Programming essential in c Date : 14 june 2020")</f>
        <v>Programming essential in c Date : 14 june 2020</v>
      </c>
      <c r="D891" s="74" t="str">
        <f>IFERROR(__xludf.DUMMYFUNCTION("""COMPUTED_VALUE"""),"Cisco")</f>
        <v>Cisco</v>
      </c>
      <c r="E891" s="74" t="str">
        <f>IFERROR(__xludf.DUMMYFUNCTION("""COMPUTED_VALUE"""),"1 month ")</f>
        <v>1 month </v>
      </c>
      <c r="F891" s="91">
        <f>IFERROR(__xludf.DUMMYFUNCTION("""COMPUTED_VALUE"""),43965.0)</f>
        <v>43965</v>
      </c>
      <c r="G891" s="91">
        <f>IFERROR(__xludf.DUMMYFUNCTION("""COMPUTED_VALUE"""),43996.0)</f>
        <v>43996</v>
      </c>
      <c r="H891" s="79">
        <f>IFERROR(__xludf.DUMMYFUNCTION("""COMPUTED_VALUE"""),43996.0)</f>
        <v>43996</v>
      </c>
      <c r="I891" s="92">
        <f>IFERROR(__xludf.DUMMYFUNCTION("""COMPUTED_VALUE"""),0.95)</f>
        <v>0.95</v>
      </c>
      <c r="J891" s="74" t="str">
        <f>IFERROR(__xludf.DUMMYFUNCTION("""COMPUTED_VALUE"""),"Dr. RAVI KIRAN VARMA PENMATSA ")</f>
        <v>Dr. RAVI KIRAN VARMA PENMATSA </v>
      </c>
      <c r="K891" s="80" t="str">
        <f>IFERROR(__xludf.DUMMYFUNCTION("""COMPUTED_VALUE"""),"https://drive.google.com/open?id=1UDlolzu80pTq_MhZ2K11Solsz3Un_SqJ")</f>
        <v>https://drive.google.com/open?id=1UDlolzu80pTq_MhZ2K11Solsz3Un_SqJ</v>
      </c>
      <c r="L891" s="74" t="str">
        <f>IFERROR(__xludf.DUMMYFUNCTION("""COMPUTED_VALUE"""),"2019-2023")</f>
        <v>2019-2023</v>
      </c>
      <c r="M891" s="74" t="str">
        <f>IFERROR(__xludf.DUMMYFUNCTION("""COMPUTED_VALUE"""),"S4: Student Certifications")</f>
        <v>S4: Student Certifications</v>
      </c>
      <c r="N891" s="74" t="str">
        <f>IFERROR(__xludf.DUMMYFUNCTION("""COMPUTED_VALUE"""),"kothadeekshita0705@gmail.com")</f>
        <v>kothadeekshita0705@gmail.com</v>
      </c>
      <c r="O891" s="74" t="str">
        <f>IFERROR(__xludf.DUMMYFUNCTION("""COMPUTED_VALUE"""),"SEM-6")</f>
        <v>SEM-6</v>
      </c>
      <c r="P891" s="74"/>
      <c r="Q891" s="74"/>
      <c r="R891" s="74"/>
      <c r="S891" s="74"/>
      <c r="T891" s="74"/>
      <c r="U891" s="74"/>
      <c r="V891" s="74"/>
      <c r="W891" s="74"/>
      <c r="X891" s="74"/>
      <c r="Y891" s="74"/>
    </row>
    <row r="892" ht="26.25" customHeight="1">
      <c r="A892" s="74" t="str">
        <f>IFERROR(__xludf.DUMMYFUNCTION("""COMPUTED_VALUE"""),"KOTHA DEEKSHITA")</f>
        <v>KOTHA DEEKSHITA</v>
      </c>
      <c r="B892" s="74" t="str">
        <f>IFERROR(__xludf.DUMMYFUNCTION("""COMPUTED_VALUE"""),"19331A0584")</f>
        <v>19331A0584</v>
      </c>
      <c r="C892" s="90" t="str">
        <f>IFERROR(__xludf.DUMMYFUNCTION("""COMPUTED_VALUE"""),"IT essential  Date : 30 oct 2020")</f>
        <v>IT essential  Date : 30 oct 2020</v>
      </c>
      <c r="D892" s="74" t="str">
        <f>IFERROR(__xludf.DUMMYFUNCTION("""COMPUTED_VALUE"""),"Cisco")</f>
        <v>Cisco</v>
      </c>
      <c r="E892" s="74" t="str">
        <f>IFERROR(__xludf.DUMMYFUNCTION("""COMPUTED_VALUE"""),"1 month ")</f>
        <v>1 month </v>
      </c>
      <c r="F892" s="91">
        <f>IFERROR(__xludf.DUMMYFUNCTION("""COMPUTED_VALUE"""),44104.0)</f>
        <v>44104</v>
      </c>
      <c r="G892" s="91">
        <f>IFERROR(__xludf.DUMMYFUNCTION("""COMPUTED_VALUE"""),44134.0)</f>
        <v>44134</v>
      </c>
      <c r="H892" s="79">
        <f>IFERROR(__xludf.DUMMYFUNCTION("""COMPUTED_VALUE"""),44134.0)</f>
        <v>44134</v>
      </c>
      <c r="I892" s="92">
        <f>IFERROR(__xludf.DUMMYFUNCTION("""COMPUTED_VALUE"""),0.95)</f>
        <v>0.95</v>
      </c>
      <c r="J892" s="74" t="str">
        <f>IFERROR(__xludf.DUMMYFUNCTION("""COMPUTED_VALUE"""),"Dr. Suvarna kumar Gogula ")</f>
        <v>Dr. Suvarna kumar Gogula </v>
      </c>
      <c r="K892" s="80" t="str">
        <f>IFERROR(__xludf.DUMMYFUNCTION("""COMPUTED_VALUE"""),"https://drive.google.com/open?id=1r9F5ODUNrGagWdjMjK51ioJYFkelb5mD")</f>
        <v>https://drive.google.com/open?id=1r9F5ODUNrGagWdjMjK51ioJYFkelb5mD</v>
      </c>
      <c r="L892" s="74" t="str">
        <f>IFERROR(__xludf.DUMMYFUNCTION("""COMPUTED_VALUE"""),"2019-2023")</f>
        <v>2019-2023</v>
      </c>
      <c r="M892" s="74" t="str">
        <f>IFERROR(__xludf.DUMMYFUNCTION("""COMPUTED_VALUE"""),"S4: Student Certifications")</f>
        <v>S4: Student Certifications</v>
      </c>
      <c r="N892" s="74" t="str">
        <f>IFERROR(__xludf.DUMMYFUNCTION("""COMPUTED_VALUE"""),"kothadeekshita0705@gmail.com")</f>
        <v>kothadeekshita0705@gmail.com</v>
      </c>
      <c r="O892" s="74" t="str">
        <f>IFERROR(__xludf.DUMMYFUNCTION("""COMPUTED_VALUE"""),"SEM-6")</f>
        <v>SEM-6</v>
      </c>
      <c r="P892" s="74"/>
      <c r="Q892" s="74"/>
      <c r="R892" s="74"/>
      <c r="S892" s="74"/>
      <c r="T892" s="74"/>
      <c r="U892" s="74"/>
      <c r="V892" s="74"/>
      <c r="W892" s="74"/>
      <c r="X892" s="74"/>
      <c r="Y892" s="74"/>
    </row>
    <row r="893" ht="26.25" customHeight="1">
      <c r="A893" s="74" t="str">
        <f>IFERROR(__xludf.DUMMYFUNCTION("""COMPUTED_VALUE"""),"KOTHA DEEKSHITA ")</f>
        <v>KOTHA DEEKSHITA </v>
      </c>
      <c r="B893" s="74" t="str">
        <f>IFERROR(__xludf.DUMMYFUNCTION("""COMPUTED_VALUE"""),"19331A0584")</f>
        <v>19331A0584</v>
      </c>
      <c r="C893" s="90" t="str">
        <f>IFERROR(__xludf.DUMMYFUNCTION("""COMPUTED_VALUE"""),"Programming essential in python")</f>
        <v>Programming essential in python</v>
      </c>
      <c r="D893" s="74" t="str">
        <f>IFERROR(__xludf.DUMMYFUNCTION("""COMPUTED_VALUE"""),"Cisco")</f>
        <v>Cisco</v>
      </c>
      <c r="E893" s="74" t="str">
        <f>IFERROR(__xludf.DUMMYFUNCTION("""COMPUTED_VALUE"""),"1 month")</f>
        <v>1 month</v>
      </c>
      <c r="F893" s="91">
        <f>IFERROR(__xludf.DUMMYFUNCTION("""COMPUTED_VALUE"""),44235.0)</f>
        <v>44235</v>
      </c>
      <c r="G893" s="91">
        <f>IFERROR(__xludf.DUMMYFUNCTION("""COMPUTED_VALUE"""),44263.0)</f>
        <v>44263</v>
      </c>
      <c r="H893" s="79">
        <f>IFERROR(__xludf.DUMMYFUNCTION("""COMPUTED_VALUE"""),44263.0)</f>
        <v>44263</v>
      </c>
      <c r="I893" s="92">
        <f>IFERROR(__xludf.DUMMYFUNCTION("""COMPUTED_VALUE"""),0.95)</f>
        <v>0.95</v>
      </c>
      <c r="J893" s="74" t="str">
        <f>IFERROR(__xludf.DUMMYFUNCTION("""COMPUTED_VALUE"""),"Dr. RAVI VARMA PENMATSA ")</f>
        <v>Dr. RAVI VARMA PENMATSA </v>
      </c>
      <c r="K893" s="80" t="str">
        <f>IFERROR(__xludf.DUMMYFUNCTION("""COMPUTED_VALUE"""),"https://drive.google.com/open?id=1biy8tzl68GjuabtE4bV9PHk0by6N9i0_")</f>
        <v>https://drive.google.com/open?id=1biy8tzl68GjuabtE4bV9PHk0by6N9i0_</v>
      </c>
      <c r="L893" s="74" t="str">
        <f>IFERROR(__xludf.DUMMYFUNCTION("""COMPUTED_VALUE"""),"2019-2023")</f>
        <v>2019-2023</v>
      </c>
      <c r="M893" s="74" t="str">
        <f>IFERROR(__xludf.DUMMYFUNCTION("""COMPUTED_VALUE"""),"S4: Student Certifications")</f>
        <v>S4: Student Certifications</v>
      </c>
      <c r="N893" s="74" t="str">
        <f>IFERROR(__xludf.DUMMYFUNCTION("""COMPUTED_VALUE"""),"kothadeekshita0705@gmail.com")</f>
        <v>kothadeekshita0705@gmail.com</v>
      </c>
      <c r="O893" s="74" t="str">
        <f>IFERROR(__xludf.DUMMYFUNCTION("""COMPUTED_VALUE"""),"SEM-6")</f>
        <v>SEM-6</v>
      </c>
      <c r="P893" s="74"/>
      <c r="Q893" s="74"/>
      <c r="R893" s="74"/>
      <c r="S893" s="74"/>
      <c r="T893" s="74"/>
      <c r="U893" s="74"/>
      <c r="V893" s="74"/>
      <c r="W893" s="74"/>
      <c r="X893" s="74"/>
      <c r="Y893" s="74"/>
    </row>
    <row r="894" ht="26.25" customHeight="1">
      <c r="A894" s="74" t="str">
        <f>IFERROR(__xludf.DUMMYFUNCTION("""COMPUTED_VALUE"""),"Karanam Harika Devi ")</f>
        <v>Karanam Harika Devi </v>
      </c>
      <c r="B894" s="74" t="str">
        <f>IFERROR(__xludf.DUMMYFUNCTION("""COMPUTED_VALUE"""),"20335A0504")</f>
        <v>20335A0504</v>
      </c>
      <c r="C894" s="90" t="str">
        <f>IFERROR(__xludf.DUMMYFUNCTION("""COMPUTED_VALUE"""),"Introduction to Networks")</f>
        <v>Introduction to Networks</v>
      </c>
      <c r="D894" s="74" t="str">
        <f>IFERROR(__xludf.DUMMYFUNCTION("""COMPUTED_VALUE"""),"CISCO ")</f>
        <v>CISCO </v>
      </c>
      <c r="E894" s="74" t="str">
        <f>IFERROR(__xludf.DUMMYFUNCTION("""COMPUTED_VALUE"""),"3 months ")</f>
        <v>3 months </v>
      </c>
      <c r="F894" s="91">
        <f>IFERROR(__xludf.DUMMYFUNCTION("""COMPUTED_VALUE"""),44478.0)</f>
        <v>44478</v>
      </c>
      <c r="G894" s="91">
        <f>IFERROR(__xludf.DUMMYFUNCTION("""COMPUTED_VALUE"""),44539.0)</f>
        <v>44539</v>
      </c>
      <c r="H894" s="79">
        <f>IFERROR(__xludf.DUMMYFUNCTION("""COMPUTED_VALUE"""),44539.0)</f>
        <v>44539</v>
      </c>
      <c r="I894" s="92">
        <f>IFERROR(__xludf.DUMMYFUNCTION("""COMPUTED_VALUE"""),0.9)</f>
        <v>0.9</v>
      </c>
      <c r="J894" s="74" t="str">
        <f>IFERROR(__xludf.DUMMYFUNCTION("""COMPUTED_VALUE"""),"DR. RAVI KIRAN VARMA PENMATSA")</f>
        <v>DR. RAVI KIRAN VARMA PENMATSA</v>
      </c>
      <c r="K894" s="80" t="str">
        <f>IFERROR(__xludf.DUMMYFUNCTION("""COMPUTED_VALUE"""),"https://drive.google.com/open?id=1B0GSTy8FEzVgLVAm4z4uQsrtDS7e3EJB")</f>
        <v>https://drive.google.com/open?id=1B0GSTy8FEzVgLVAm4z4uQsrtDS7e3EJB</v>
      </c>
      <c r="L894" s="74" t="str">
        <f>IFERROR(__xludf.DUMMYFUNCTION("""COMPUTED_VALUE"""),"2019-2023")</f>
        <v>2019-2023</v>
      </c>
      <c r="M894" s="74" t="str">
        <f>IFERROR(__xludf.DUMMYFUNCTION("""COMPUTED_VALUE"""),"S4: Student Certifications")</f>
        <v>S4: Student Certifications</v>
      </c>
      <c r="N894" s="74" t="str">
        <f>IFERROR(__xludf.DUMMYFUNCTION("""COMPUTED_VALUE"""),"akirahkaranam2003@gmail.com")</f>
        <v>akirahkaranam2003@gmail.com</v>
      </c>
      <c r="O894" s="74" t="str">
        <f>IFERROR(__xludf.DUMMYFUNCTION("""COMPUTED_VALUE"""),"SEM-6")</f>
        <v>SEM-6</v>
      </c>
      <c r="P894" s="74"/>
      <c r="Q894" s="74"/>
      <c r="R894" s="74"/>
      <c r="S894" s="74"/>
      <c r="T894" s="74"/>
      <c r="U894" s="74"/>
      <c r="V894" s="74"/>
      <c r="W894" s="74"/>
      <c r="X894" s="74"/>
      <c r="Y894" s="74"/>
    </row>
    <row r="895" ht="26.25" customHeight="1">
      <c r="A895" s="74" t="str">
        <f>IFERROR(__xludf.DUMMYFUNCTION("""COMPUTED_VALUE"""),"KARANAM HARIKA DEVI ")</f>
        <v>KARANAM HARIKA DEVI </v>
      </c>
      <c r="B895" s="74" t="str">
        <f>IFERROR(__xludf.DUMMYFUNCTION("""COMPUTED_VALUE"""),"20335A0504")</f>
        <v>20335A0504</v>
      </c>
      <c r="C895" s="90" t="str">
        <f>IFERROR(__xludf.DUMMYFUNCTION("""COMPUTED_VALUE"""),"Programming Essentials in Python")</f>
        <v>Programming Essentials in Python</v>
      </c>
      <c r="D895" s="74" t="str">
        <f>IFERROR(__xludf.DUMMYFUNCTION("""COMPUTED_VALUE"""),"CISCO ")</f>
        <v>CISCO </v>
      </c>
      <c r="E895" s="74" t="str">
        <f>IFERROR(__xludf.DUMMYFUNCTION("""COMPUTED_VALUE"""),"3 months ")</f>
        <v>3 months </v>
      </c>
      <c r="F895" s="91">
        <f>IFERROR(__xludf.DUMMYFUNCTION("""COMPUTED_VALUE"""),44218.0)</f>
        <v>44218</v>
      </c>
      <c r="G895" s="91">
        <f>IFERROR(__xludf.DUMMYFUNCTION("""COMPUTED_VALUE"""),44308.0)</f>
        <v>44308</v>
      </c>
      <c r="H895" s="79">
        <f>IFERROR(__xludf.DUMMYFUNCTION("""COMPUTED_VALUE"""),44308.0)</f>
        <v>44308</v>
      </c>
      <c r="I895" s="92">
        <f>IFERROR(__xludf.DUMMYFUNCTION("""COMPUTED_VALUE"""),0.9)</f>
        <v>0.9</v>
      </c>
      <c r="J895" s="74" t="str">
        <f>IFERROR(__xludf.DUMMYFUNCTION("""COMPUTED_VALUE"""),"JAYASRI SAI VENKATA ANGARA")</f>
        <v>JAYASRI SAI VENKATA ANGARA</v>
      </c>
      <c r="K895" s="80" t="str">
        <f>IFERROR(__xludf.DUMMYFUNCTION("""COMPUTED_VALUE"""),"https://drive.google.com/open?id=1DGykArkT-nQfNpeviTQxJT_N01lK4OnX")</f>
        <v>https://drive.google.com/open?id=1DGykArkT-nQfNpeviTQxJT_N01lK4OnX</v>
      </c>
      <c r="L895" s="74" t="str">
        <f>IFERROR(__xludf.DUMMYFUNCTION("""COMPUTED_VALUE"""),"2019-2023")</f>
        <v>2019-2023</v>
      </c>
      <c r="M895" s="74" t="str">
        <f>IFERROR(__xludf.DUMMYFUNCTION("""COMPUTED_VALUE"""),"S4: Student Certifications")</f>
        <v>S4: Student Certifications</v>
      </c>
      <c r="N895" s="74" t="str">
        <f>IFERROR(__xludf.DUMMYFUNCTION("""COMPUTED_VALUE"""),"akirahkaranam2003@gmail.com")</f>
        <v>akirahkaranam2003@gmail.com</v>
      </c>
      <c r="O895" s="74" t="str">
        <f>IFERROR(__xludf.DUMMYFUNCTION("""COMPUTED_VALUE"""),"SEM-6")</f>
        <v>SEM-6</v>
      </c>
      <c r="P895" s="74"/>
      <c r="Q895" s="74"/>
      <c r="R895" s="74"/>
      <c r="S895" s="74"/>
      <c r="T895" s="74"/>
      <c r="U895" s="74"/>
      <c r="V895" s="74"/>
      <c r="W895" s="74"/>
      <c r="X895" s="74"/>
      <c r="Y895" s="74"/>
    </row>
    <row r="896" ht="26.25" customHeight="1">
      <c r="A896" s="74" t="str">
        <f>IFERROR(__xludf.DUMMYFUNCTION("""COMPUTED_VALUE"""),"JARJANA SATHVIKA")</f>
        <v>JARJANA SATHVIKA</v>
      </c>
      <c r="B896" s="74" t="str">
        <f>IFERROR(__xludf.DUMMYFUNCTION("""COMPUTED_VALUE"""),"19331A0565")</f>
        <v>19331A0565</v>
      </c>
      <c r="C896" s="90" t="str">
        <f>IFERROR(__xludf.DUMMYFUNCTION("""COMPUTED_VALUE"""),"CCNAv7: Introduction to networks")</f>
        <v>CCNAv7: Introduction to networks</v>
      </c>
      <c r="D896" s="74" t="str">
        <f>IFERROR(__xludf.DUMMYFUNCTION("""COMPUTED_VALUE"""),"Cisco")</f>
        <v>Cisco</v>
      </c>
      <c r="E896" s="74" t="str">
        <f>IFERROR(__xludf.DUMMYFUNCTION("""COMPUTED_VALUE"""),"6 months")</f>
        <v>6 months</v>
      </c>
      <c r="F896" s="91">
        <f>IFERROR(__xludf.DUMMYFUNCTION("""COMPUTED_VALUE"""),44495.0)</f>
        <v>44495</v>
      </c>
      <c r="G896" s="91">
        <f>IFERROR(__xludf.DUMMYFUNCTION("""COMPUTED_VALUE"""),44681.0)</f>
        <v>44681</v>
      </c>
      <c r="H896" s="79">
        <f>IFERROR(__xludf.DUMMYFUNCTION("""COMPUTED_VALUE"""),44650.0)</f>
        <v>44650</v>
      </c>
      <c r="I896" s="92">
        <f>IFERROR(__xludf.DUMMYFUNCTION("""COMPUTED_VALUE"""),0.92)</f>
        <v>0.92</v>
      </c>
      <c r="J896" s="74" t="str">
        <f>IFERROR(__xludf.DUMMYFUNCTION("""COMPUTED_VALUE"""),"Subba Raju sir")</f>
        <v>Subba Raju sir</v>
      </c>
      <c r="K896" s="80" t="str">
        <f>IFERROR(__xludf.DUMMYFUNCTION("""COMPUTED_VALUE"""),"https://drive.google.com/open?id=1MklLl14Urp0SUj6I56rG113Vzk4V1J5U")</f>
        <v>https://drive.google.com/open?id=1MklLl14Urp0SUj6I56rG113Vzk4V1J5U</v>
      </c>
      <c r="L896" s="74" t="str">
        <f>IFERROR(__xludf.DUMMYFUNCTION("""COMPUTED_VALUE"""),"2019-2023")</f>
        <v>2019-2023</v>
      </c>
      <c r="M896" s="74" t="str">
        <f>IFERROR(__xludf.DUMMYFUNCTION("""COMPUTED_VALUE"""),"S4: Student Certifications")</f>
        <v>S4: Student Certifications</v>
      </c>
      <c r="N896" s="74" t="str">
        <f>IFERROR(__xludf.DUMMYFUNCTION("""COMPUTED_VALUE"""),"sathvikaj777@gmail.com")</f>
        <v>sathvikaj777@gmail.com</v>
      </c>
      <c r="O896" s="74" t="str">
        <f>IFERROR(__xludf.DUMMYFUNCTION("""COMPUTED_VALUE"""),"SEM-6")</f>
        <v>SEM-6</v>
      </c>
      <c r="P896" s="74"/>
      <c r="Q896" s="74"/>
      <c r="R896" s="74"/>
      <c r="S896" s="74"/>
      <c r="T896" s="74"/>
      <c r="U896" s="74"/>
      <c r="V896" s="74"/>
      <c r="W896" s="74"/>
      <c r="X896" s="74"/>
      <c r="Y896" s="74"/>
    </row>
    <row r="897" ht="26.25" customHeight="1">
      <c r="A897" s="74" t="str">
        <f>IFERROR(__xludf.DUMMYFUNCTION("""COMPUTED_VALUE"""),"KARANAM HARIKA DEVI ")</f>
        <v>KARANAM HARIKA DEVI </v>
      </c>
      <c r="B897" s="74" t="str">
        <f>IFERROR(__xludf.DUMMYFUNCTION("""COMPUTED_VALUE"""),"20335A0504")</f>
        <v>20335A0504</v>
      </c>
      <c r="C897" s="90" t="str">
        <f>IFERROR(__xludf.DUMMYFUNCTION("""COMPUTED_VALUE"""),"Switching, Routing, and Wireless Essentials")</f>
        <v>Switching, Routing, and Wireless Essentials</v>
      </c>
      <c r="D897" s="74" t="str">
        <f>IFERROR(__xludf.DUMMYFUNCTION("""COMPUTED_VALUE"""),"CISCO")</f>
        <v>CISCO</v>
      </c>
      <c r="E897" s="74" t="str">
        <f>IFERROR(__xludf.DUMMYFUNCTION("""COMPUTED_VALUE"""),"3 months ")</f>
        <v>3 months </v>
      </c>
      <c r="F897" s="91">
        <f>IFERROR(__xludf.DUMMYFUNCTION("""COMPUTED_VALUE"""),44512.0)</f>
        <v>44512</v>
      </c>
      <c r="G897" s="91">
        <f>IFERROR(__xludf.DUMMYFUNCTION("""COMPUTED_VALUE"""),44604.0)</f>
        <v>44604</v>
      </c>
      <c r="H897" s="79">
        <f>IFERROR(__xludf.DUMMYFUNCTION("""COMPUTED_VALUE"""),44604.0)</f>
        <v>44604</v>
      </c>
      <c r="I897" s="92">
        <f>IFERROR(__xludf.DUMMYFUNCTION("""COMPUTED_VALUE"""),0.96)</f>
        <v>0.96</v>
      </c>
      <c r="J897" s="74" t="str">
        <f>IFERROR(__xludf.DUMMYFUNCTION("""COMPUTED_VALUE"""),"DR. RAVI KIRAN VARMA PENMATSA")</f>
        <v>DR. RAVI KIRAN VARMA PENMATSA</v>
      </c>
      <c r="K897" s="80" t="str">
        <f>IFERROR(__xludf.DUMMYFUNCTION("""COMPUTED_VALUE"""),"https://drive.google.com/open?id=1PgWvUod7adDtfTPxfo1WGWkcmIQff11Q")</f>
        <v>https://drive.google.com/open?id=1PgWvUod7adDtfTPxfo1WGWkcmIQff11Q</v>
      </c>
      <c r="L897" s="74" t="str">
        <f>IFERROR(__xludf.DUMMYFUNCTION("""COMPUTED_VALUE"""),"2019-2023")</f>
        <v>2019-2023</v>
      </c>
      <c r="M897" s="74" t="str">
        <f>IFERROR(__xludf.DUMMYFUNCTION("""COMPUTED_VALUE"""),"S4: Student Certifications")</f>
        <v>S4: Student Certifications</v>
      </c>
      <c r="N897" s="74" t="str">
        <f>IFERROR(__xludf.DUMMYFUNCTION("""COMPUTED_VALUE"""),"akirahkaranam2003@gmail.com")</f>
        <v>akirahkaranam2003@gmail.com</v>
      </c>
      <c r="O897" s="74" t="str">
        <f>IFERROR(__xludf.DUMMYFUNCTION("""COMPUTED_VALUE"""),"SEM-6")</f>
        <v>SEM-6</v>
      </c>
      <c r="P897" s="74"/>
      <c r="Q897" s="74"/>
      <c r="R897" s="74"/>
      <c r="S897" s="74"/>
      <c r="T897" s="74"/>
      <c r="U897" s="74"/>
      <c r="V897" s="74"/>
      <c r="W897" s="74"/>
      <c r="X897" s="74"/>
      <c r="Y897" s="74"/>
    </row>
    <row r="898" ht="26.25" customHeight="1">
      <c r="A898" s="74" t="str">
        <f>IFERROR(__xludf.DUMMYFUNCTION("""COMPUTED_VALUE"""),"siripurapusandhya15@gmail.com ")</f>
        <v>siripurapusandhya15@gmail.com </v>
      </c>
      <c r="B898" s="74" t="str">
        <f>IFERROR(__xludf.DUMMYFUNCTION("""COMPUTED_VALUE"""),"19331A05F9 ")</f>
        <v>19331A05F9 </v>
      </c>
      <c r="C898" s="90" t="str">
        <f>IFERROR(__xludf.DUMMYFUNCTION("""COMPUTED_VALUE"""),"Python")</f>
        <v>Python</v>
      </c>
      <c r="D898" s="74" t="str">
        <f>IFERROR(__xludf.DUMMYFUNCTION("""COMPUTED_VALUE"""),"Cisco Networking Academy")</f>
        <v>Cisco Networking Academy</v>
      </c>
      <c r="E898" s="74" t="str">
        <f>IFERROR(__xludf.DUMMYFUNCTION("""COMPUTED_VALUE"""),"13 weeks")</f>
        <v>13 weeks</v>
      </c>
      <c r="F898" s="91">
        <f>IFERROR(__xludf.DUMMYFUNCTION("""COMPUTED_VALUE"""),44290.0)</f>
        <v>44290</v>
      </c>
      <c r="G898" s="91">
        <f>IFERROR(__xludf.DUMMYFUNCTION("""COMPUTED_VALUE"""),44386.0)</f>
        <v>44386</v>
      </c>
      <c r="H898" s="79">
        <f>IFERROR(__xludf.DUMMYFUNCTION("""COMPUTED_VALUE"""),44386.0)</f>
        <v>44386</v>
      </c>
      <c r="I898" s="92">
        <f>IFERROR(__xludf.DUMMYFUNCTION("""COMPUTED_VALUE"""),0.7)</f>
        <v>0.7</v>
      </c>
      <c r="J898" s="74" t="str">
        <f>IFERROR(__xludf.DUMMYFUNCTION("""COMPUTED_VALUE"""),"Ravi kiran ")</f>
        <v>Ravi kiran </v>
      </c>
      <c r="K898" s="80" t="str">
        <f>IFERROR(__xludf.DUMMYFUNCTION("""COMPUTED_VALUE"""),"https://drive.google.com/open?id=1ejuL9IQ02nbp6L_CyE1ozik91dQL1K6y")</f>
        <v>https://drive.google.com/open?id=1ejuL9IQ02nbp6L_CyE1ozik91dQL1K6y</v>
      </c>
      <c r="L898" s="74" t="str">
        <f>IFERROR(__xludf.DUMMYFUNCTION("""COMPUTED_VALUE"""),"2019-2023")</f>
        <v>2019-2023</v>
      </c>
      <c r="M898" s="74" t="str">
        <f>IFERROR(__xludf.DUMMYFUNCTION("""COMPUTED_VALUE"""),"S4: Student Certifications")</f>
        <v>S4: Student Certifications</v>
      </c>
      <c r="N898" s="74" t="str">
        <f>IFERROR(__xludf.DUMMYFUNCTION("""COMPUTED_VALUE"""),"siripurapusandhya15@gmail.com")</f>
        <v>siripurapusandhya15@gmail.com</v>
      </c>
      <c r="O898" s="74" t="str">
        <f>IFERROR(__xludf.DUMMYFUNCTION("""COMPUTED_VALUE"""),"SEM-3")</f>
        <v>SEM-3</v>
      </c>
      <c r="P898" s="74"/>
      <c r="Q898" s="74"/>
      <c r="R898" s="74"/>
      <c r="S898" s="74"/>
      <c r="T898" s="74"/>
      <c r="U898" s="74"/>
      <c r="V898" s="74"/>
      <c r="W898" s="74"/>
      <c r="X898" s="74"/>
      <c r="Y898" s="74"/>
    </row>
    <row r="899" ht="26.25" customHeight="1">
      <c r="A899" s="74" t="str">
        <f>IFERROR(__xludf.DUMMYFUNCTION("""COMPUTED_VALUE"""),"siripurapusandhya15@gmail.com ")</f>
        <v>siripurapusandhya15@gmail.com </v>
      </c>
      <c r="B899" s="74" t="str">
        <f>IFERROR(__xludf.DUMMYFUNCTION("""COMPUTED_VALUE"""),"19331A05F9 ")</f>
        <v>19331A05F9 </v>
      </c>
      <c r="C899" s="90" t="str">
        <f>IFERROR(__xludf.DUMMYFUNCTION("""COMPUTED_VALUE"""),"Data Science with python")</f>
        <v>Data Science with python</v>
      </c>
      <c r="D899" s="74" t="str">
        <f>IFERROR(__xludf.DUMMYFUNCTION("""COMPUTED_VALUE"""),"Skillup")</f>
        <v>Skillup</v>
      </c>
      <c r="E899" s="74" t="str">
        <f>IFERROR(__xludf.DUMMYFUNCTION("""COMPUTED_VALUE"""),"1 hour")</f>
        <v>1 hour</v>
      </c>
      <c r="F899" s="91">
        <f>IFERROR(__xludf.DUMMYFUNCTION("""COMPUTED_VALUE"""),44667.0)</f>
        <v>44667</v>
      </c>
      <c r="G899" s="91">
        <f>IFERROR(__xludf.DUMMYFUNCTION("""COMPUTED_VALUE"""),44667.0)</f>
        <v>44667</v>
      </c>
      <c r="H899" s="79">
        <f>IFERROR(__xludf.DUMMYFUNCTION("""COMPUTED_VALUE"""),44667.0)</f>
        <v>44667</v>
      </c>
      <c r="I899" s="92">
        <f>IFERROR(__xludf.DUMMYFUNCTION("""COMPUTED_VALUE"""),0.6)</f>
        <v>0.6</v>
      </c>
      <c r="J899" s="74" t="str">
        <f>IFERROR(__xludf.DUMMYFUNCTION("""COMPUTED_VALUE"""),"Krishna kumar")</f>
        <v>Krishna kumar</v>
      </c>
      <c r="K899" s="80" t="str">
        <f>IFERROR(__xludf.DUMMYFUNCTION("""COMPUTED_VALUE"""),"https://drive.google.com/open?id=1caOeP4VPH6PeKHMFUV80fsJnu5_n2T_I")</f>
        <v>https://drive.google.com/open?id=1caOeP4VPH6PeKHMFUV80fsJnu5_n2T_I</v>
      </c>
      <c r="L899" s="74" t="str">
        <f>IFERROR(__xludf.DUMMYFUNCTION("""COMPUTED_VALUE"""),"2019-2023")</f>
        <v>2019-2023</v>
      </c>
      <c r="M899" s="74" t="str">
        <f>IFERROR(__xludf.DUMMYFUNCTION("""COMPUTED_VALUE"""),"S4: Student Certifications")</f>
        <v>S4: Student Certifications</v>
      </c>
      <c r="N899" s="74" t="str">
        <f>IFERROR(__xludf.DUMMYFUNCTION("""COMPUTED_VALUE"""),"siripurapusandhya15@gmail.com")</f>
        <v>siripurapusandhya15@gmail.com</v>
      </c>
      <c r="O899" s="74" t="str">
        <f>IFERROR(__xludf.DUMMYFUNCTION("""COMPUTED_VALUE"""),"SEM-5")</f>
        <v>SEM-5</v>
      </c>
      <c r="P899" s="74"/>
      <c r="Q899" s="74"/>
      <c r="R899" s="74"/>
      <c r="S899" s="74"/>
      <c r="T899" s="74"/>
      <c r="U899" s="74"/>
      <c r="V899" s="74"/>
      <c r="W899" s="74"/>
      <c r="X899" s="74"/>
      <c r="Y899" s="74"/>
    </row>
    <row r="900" ht="26.25" customHeight="1">
      <c r="A900" s="74" t="str">
        <f>IFERROR(__xludf.DUMMYFUNCTION("""COMPUTED_VALUE"""),"Siripurapu Sandhya ")</f>
        <v>Siripurapu Sandhya </v>
      </c>
      <c r="B900" s="74" t="str">
        <f>IFERROR(__xludf.DUMMYFUNCTION("""COMPUTED_VALUE"""),"19331A05F9 ")</f>
        <v>19331A05F9 </v>
      </c>
      <c r="C900" s="90" t="str">
        <f>IFERROR(__xludf.DUMMYFUNCTION("""COMPUTED_VALUE"""),"Javascript ")</f>
        <v>Javascript </v>
      </c>
      <c r="D900" s="74" t="str">
        <f>IFERROR(__xludf.DUMMYFUNCTION("""COMPUTED_VALUE"""),"Skillup")</f>
        <v>Skillup</v>
      </c>
      <c r="E900" s="74" t="str">
        <f>IFERROR(__xludf.DUMMYFUNCTION("""COMPUTED_VALUE"""),"2 hrs")</f>
        <v>2 hrs</v>
      </c>
      <c r="F900" s="91">
        <f>IFERROR(__xludf.DUMMYFUNCTION("""COMPUTED_VALUE"""),44666.0)</f>
        <v>44666</v>
      </c>
      <c r="G900" s="91">
        <f>IFERROR(__xludf.DUMMYFUNCTION("""COMPUTED_VALUE"""),44665.0)</f>
        <v>44665</v>
      </c>
      <c r="H900" s="79">
        <f>IFERROR(__xludf.DUMMYFUNCTION("""COMPUTED_VALUE"""),44665.0)</f>
        <v>44665</v>
      </c>
      <c r="I900" s="92">
        <f>IFERROR(__xludf.DUMMYFUNCTION("""COMPUTED_VALUE"""),0.8)</f>
        <v>0.8</v>
      </c>
      <c r="J900" s="74" t="str">
        <f>IFERROR(__xludf.DUMMYFUNCTION("""COMPUTED_VALUE"""),"M.B.Rani")</f>
        <v>M.B.Rani</v>
      </c>
      <c r="K900" s="80" t="str">
        <f>IFERROR(__xludf.DUMMYFUNCTION("""COMPUTED_VALUE"""),"https://drive.google.com/open?id=1qbZgBs9YX6h_yX3Zcx7AmZGy7481gRGT")</f>
        <v>https://drive.google.com/open?id=1qbZgBs9YX6h_yX3Zcx7AmZGy7481gRGT</v>
      </c>
      <c r="L900" s="74" t="str">
        <f>IFERROR(__xludf.DUMMYFUNCTION("""COMPUTED_VALUE"""),"2019-2023")</f>
        <v>2019-2023</v>
      </c>
      <c r="M900" s="74" t="str">
        <f>IFERROR(__xludf.DUMMYFUNCTION("""COMPUTED_VALUE"""),"S4: Student Certifications")</f>
        <v>S4: Student Certifications</v>
      </c>
      <c r="N900" s="74" t="str">
        <f>IFERROR(__xludf.DUMMYFUNCTION("""COMPUTED_VALUE"""),"siripurapusandhya15@gmail.com")</f>
        <v>siripurapusandhya15@gmail.com</v>
      </c>
      <c r="O900" s="74" t="str">
        <f>IFERROR(__xludf.DUMMYFUNCTION("""COMPUTED_VALUE"""),"SEM-6")</f>
        <v>SEM-6</v>
      </c>
      <c r="P900" s="74"/>
      <c r="Q900" s="74"/>
      <c r="R900" s="74"/>
      <c r="S900" s="74"/>
      <c r="T900" s="74"/>
      <c r="U900" s="74"/>
      <c r="V900" s="74"/>
      <c r="W900" s="74"/>
      <c r="X900" s="74"/>
      <c r="Y900" s="74"/>
    </row>
    <row r="901" ht="26.25" customHeight="1">
      <c r="A901" s="74" t="str">
        <f>IFERROR(__xludf.DUMMYFUNCTION("""COMPUTED_VALUE"""),"JARJANA SATHVIKA")</f>
        <v>JARJANA SATHVIKA</v>
      </c>
      <c r="B901" s="74" t="str">
        <f>IFERROR(__xludf.DUMMYFUNCTION("""COMPUTED_VALUE"""),"19331A0565")</f>
        <v>19331A0565</v>
      </c>
      <c r="C901" s="90" t="str">
        <f>IFERROR(__xludf.DUMMYFUNCTION("""COMPUTED_VALUE"""),"Programming essentials in python")</f>
        <v>Programming essentials in python</v>
      </c>
      <c r="D901" s="74" t="str">
        <f>IFERROR(__xludf.DUMMYFUNCTION("""COMPUTED_VALUE"""),"Cisco")</f>
        <v>Cisco</v>
      </c>
      <c r="E901" s="74" t="str">
        <f>IFERROR(__xludf.DUMMYFUNCTION("""COMPUTED_VALUE"""),"12 weeks")</f>
        <v>12 weeks</v>
      </c>
      <c r="F901" s="91">
        <f>IFERROR(__xludf.DUMMYFUNCTION("""COMPUTED_VALUE"""),44166.0)</f>
        <v>44166</v>
      </c>
      <c r="G901" s="91">
        <f>IFERROR(__xludf.DUMMYFUNCTION("""COMPUTED_VALUE"""),44260.0)</f>
        <v>44260</v>
      </c>
      <c r="H901" s="79">
        <f>IFERROR(__xludf.DUMMYFUNCTION("""COMPUTED_VALUE"""),44260.0)</f>
        <v>44260</v>
      </c>
      <c r="I901" s="92">
        <f>IFERROR(__xludf.DUMMYFUNCTION("""COMPUTED_VALUE"""),0.93)</f>
        <v>0.93</v>
      </c>
      <c r="J901" s="74" t="str">
        <f>IFERROR(__xludf.DUMMYFUNCTION("""COMPUTED_VALUE"""),"Jayasir sai venkata angara")</f>
        <v>Jayasir sai venkata angara</v>
      </c>
      <c r="K901" s="80" t="str">
        <f>IFERROR(__xludf.DUMMYFUNCTION("""COMPUTED_VALUE"""),"https://drive.google.com/open?id=1PjSkI2saZUTcHCOLqP6obehp6alSqEKw")</f>
        <v>https://drive.google.com/open?id=1PjSkI2saZUTcHCOLqP6obehp6alSqEKw</v>
      </c>
      <c r="L901" s="74" t="str">
        <f>IFERROR(__xludf.DUMMYFUNCTION("""COMPUTED_VALUE"""),"2019-2023")</f>
        <v>2019-2023</v>
      </c>
      <c r="M901" s="74" t="str">
        <f>IFERROR(__xludf.DUMMYFUNCTION("""COMPUTED_VALUE"""),"S4: Student Certifications")</f>
        <v>S4: Student Certifications</v>
      </c>
      <c r="N901" s="74" t="str">
        <f>IFERROR(__xludf.DUMMYFUNCTION("""COMPUTED_VALUE"""),"sathvikaj777@gmail.com")</f>
        <v>sathvikaj777@gmail.com</v>
      </c>
      <c r="O901" s="74" t="str">
        <f>IFERROR(__xludf.DUMMYFUNCTION("""COMPUTED_VALUE"""),"SEM-6")</f>
        <v>SEM-6</v>
      </c>
      <c r="P901" s="74"/>
      <c r="Q901" s="74"/>
      <c r="R901" s="74"/>
      <c r="S901" s="74"/>
      <c r="T901" s="74"/>
      <c r="U901" s="74"/>
      <c r="V901" s="74"/>
      <c r="W901" s="74"/>
      <c r="X901" s="74"/>
      <c r="Y901" s="74"/>
    </row>
    <row r="902" ht="26.25" customHeight="1">
      <c r="A902" s="74" t="str">
        <f>IFERROR(__xludf.DUMMYFUNCTION("""COMPUTED_VALUE"""),"JARJANA SATHVIKA")</f>
        <v>JARJANA SATHVIKA</v>
      </c>
      <c r="B902" s="74" t="str">
        <f>IFERROR(__xludf.DUMMYFUNCTION("""COMPUTED_VALUE"""),"19331A0565")</f>
        <v>19331A0565</v>
      </c>
      <c r="C902" s="90" t="str">
        <f>IFERROR(__xludf.DUMMYFUNCTION("""COMPUTED_VALUE"""),"IT essentials")</f>
        <v>IT essentials</v>
      </c>
      <c r="D902" s="74" t="str">
        <f>IFERROR(__xludf.DUMMYFUNCTION("""COMPUTED_VALUE"""),"Cisco")</f>
        <v>Cisco</v>
      </c>
      <c r="E902" s="74" t="str">
        <f>IFERROR(__xludf.DUMMYFUNCTION("""COMPUTED_VALUE"""),"13 weeks ")</f>
        <v>13 weeks </v>
      </c>
      <c r="F902" s="91">
        <f>IFERROR(__xludf.DUMMYFUNCTION("""COMPUTED_VALUE"""),43952.0)</f>
        <v>43952</v>
      </c>
      <c r="G902" s="91">
        <f>IFERROR(__xludf.DUMMYFUNCTION("""COMPUTED_VALUE"""),44077.0)</f>
        <v>44077</v>
      </c>
      <c r="H902" s="79">
        <f>IFERROR(__xludf.DUMMYFUNCTION("""COMPUTED_VALUE"""),44077.0)</f>
        <v>44077</v>
      </c>
      <c r="I902" s="92">
        <f>IFERROR(__xludf.DUMMYFUNCTION("""COMPUTED_VALUE"""),0.96)</f>
        <v>0.96</v>
      </c>
      <c r="J902" s="74" t="str">
        <f>IFERROR(__xludf.DUMMYFUNCTION("""COMPUTED_VALUE"""),"Dr Suvarna kumar")</f>
        <v>Dr Suvarna kumar</v>
      </c>
      <c r="K902" s="80" t="str">
        <f>IFERROR(__xludf.DUMMYFUNCTION("""COMPUTED_VALUE"""),"https://drive.google.com/open?id=1I7R5bCc92aKhMbNm83QVA7LtSWwsRV1j")</f>
        <v>https://drive.google.com/open?id=1I7R5bCc92aKhMbNm83QVA7LtSWwsRV1j</v>
      </c>
      <c r="L902" s="74" t="str">
        <f>IFERROR(__xludf.DUMMYFUNCTION("""COMPUTED_VALUE"""),"2019-2023")</f>
        <v>2019-2023</v>
      </c>
      <c r="M902" s="74" t="str">
        <f>IFERROR(__xludf.DUMMYFUNCTION("""COMPUTED_VALUE"""),"S4: Student Certifications")</f>
        <v>S4: Student Certifications</v>
      </c>
      <c r="N902" s="74" t="str">
        <f>IFERROR(__xludf.DUMMYFUNCTION("""COMPUTED_VALUE"""),"sathvikaj777@gmail.com")</f>
        <v>sathvikaj777@gmail.com</v>
      </c>
      <c r="O902" s="74" t="str">
        <f>IFERROR(__xludf.DUMMYFUNCTION("""COMPUTED_VALUE"""),"SEM-6")</f>
        <v>SEM-6</v>
      </c>
      <c r="P902" s="74"/>
      <c r="Q902" s="74"/>
      <c r="R902" s="74"/>
      <c r="S902" s="74"/>
      <c r="T902" s="74"/>
      <c r="U902" s="74"/>
      <c r="V902" s="74"/>
      <c r="W902" s="74"/>
      <c r="X902" s="74"/>
      <c r="Y902" s="74"/>
    </row>
    <row r="903" ht="26.25" customHeight="1">
      <c r="A903" s="74" t="str">
        <f>IFERROR(__xludf.DUMMYFUNCTION("""COMPUTED_VALUE"""),"Siripurapu Sandhya ")</f>
        <v>Siripurapu Sandhya </v>
      </c>
      <c r="B903" s="74" t="str">
        <f>IFERROR(__xludf.DUMMYFUNCTION("""COMPUTED_VALUE"""),"19331A05F9 ")</f>
        <v>19331A05F9 </v>
      </c>
      <c r="C903" s="90" t="str">
        <f>IFERROR(__xludf.DUMMYFUNCTION("""COMPUTED_VALUE"""),"Java programming ")</f>
        <v>Java programming </v>
      </c>
      <c r="D903" s="74" t="str">
        <f>IFERROR(__xludf.DUMMYFUNCTION("""COMPUTED_VALUE"""),"Great learning ")</f>
        <v>Great learning </v>
      </c>
      <c r="E903" s="74" t="str">
        <f>IFERROR(__xludf.DUMMYFUNCTION("""COMPUTED_VALUE"""),"4 hrs")</f>
        <v>4 hrs</v>
      </c>
      <c r="F903" s="91">
        <f>IFERROR(__xludf.DUMMYFUNCTION("""COMPUTED_VALUE"""),44652.0)</f>
        <v>44652</v>
      </c>
      <c r="G903" s="91">
        <f>IFERROR(__xludf.DUMMYFUNCTION("""COMPUTED_VALUE"""),44652.0)</f>
        <v>44652</v>
      </c>
      <c r="H903" s="79">
        <f>IFERROR(__xludf.DUMMYFUNCTION("""COMPUTED_VALUE"""),44652.0)</f>
        <v>44652</v>
      </c>
      <c r="I903" s="92">
        <f>IFERROR(__xludf.DUMMYFUNCTION("""COMPUTED_VALUE"""),0.8)</f>
        <v>0.8</v>
      </c>
      <c r="J903" s="74" t="str">
        <f>IFERROR(__xludf.DUMMYFUNCTION("""COMPUTED_VALUE"""),"Srinivas rao")</f>
        <v>Srinivas rao</v>
      </c>
      <c r="K903" s="80" t="str">
        <f>IFERROR(__xludf.DUMMYFUNCTION("""COMPUTED_VALUE"""),"https://drive.google.com/open?id=1ErKVwRIFBw08EQjBnOMGoRqts4glazfz")</f>
        <v>https://drive.google.com/open?id=1ErKVwRIFBw08EQjBnOMGoRqts4glazfz</v>
      </c>
      <c r="L903" s="74" t="str">
        <f>IFERROR(__xludf.DUMMYFUNCTION("""COMPUTED_VALUE"""),"2019-2023")</f>
        <v>2019-2023</v>
      </c>
      <c r="M903" s="74" t="str">
        <f>IFERROR(__xludf.DUMMYFUNCTION("""COMPUTED_VALUE"""),"S4: Student Certifications")</f>
        <v>S4: Student Certifications</v>
      </c>
      <c r="N903" s="74" t="str">
        <f>IFERROR(__xludf.DUMMYFUNCTION("""COMPUTED_VALUE"""),"siripurapusandhya15@gmail.com")</f>
        <v>siripurapusandhya15@gmail.com</v>
      </c>
      <c r="O903" s="74" t="str">
        <f>IFERROR(__xludf.DUMMYFUNCTION("""COMPUTED_VALUE"""),"SEM-4")</f>
        <v>SEM-4</v>
      </c>
      <c r="P903" s="74"/>
      <c r="Q903" s="74"/>
      <c r="R903" s="74"/>
      <c r="S903" s="74"/>
      <c r="T903" s="74"/>
      <c r="U903" s="74"/>
      <c r="V903" s="74"/>
      <c r="W903" s="74"/>
      <c r="X903" s="74"/>
      <c r="Y903" s="74"/>
    </row>
    <row r="904" ht="26.25" customHeight="1">
      <c r="A904" s="74" t="str">
        <f>IFERROR(__xludf.DUMMYFUNCTION("""COMPUTED_VALUE"""),"Siripurapu Sandhya")</f>
        <v>Siripurapu Sandhya</v>
      </c>
      <c r="B904" s="74" t="str">
        <f>IFERROR(__xludf.DUMMYFUNCTION("""COMPUTED_VALUE"""),"19331A05F9 ")</f>
        <v>19331A05F9 </v>
      </c>
      <c r="C904" s="90" t="str">
        <f>IFERROR(__xludf.DUMMYFUNCTION("""COMPUTED_VALUE"""),"Data Structures")</f>
        <v>Data Structures</v>
      </c>
      <c r="D904" s="74" t="str">
        <f>IFERROR(__xludf.DUMMYFUNCTION("""COMPUTED_VALUE"""),"Great learning")</f>
        <v>Great learning</v>
      </c>
      <c r="E904" s="74" t="str">
        <f>IFERROR(__xludf.DUMMYFUNCTION("""COMPUTED_VALUE"""),"5 hrs")</f>
        <v>5 hrs</v>
      </c>
      <c r="F904" s="91">
        <f>IFERROR(__xludf.DUMMYFUNCTION("""COMPUTED_VALUE"""),44653.0)</f>
        <v>44653</v>
      </c>
      <c r="G904" s="91">
        <f>IFERROR(__xludf.DUMMYFUNCTION("""COMPUTED_VALUE"""),44653.0)</f>
        <v>44653</v>
      </c>
      <c r="H904" s="79">
        <f>IFERROR(__xludf.DUMMYFUNCTION("""COMPUTED_VALUE"""),44653.0)</f>
        <v>44653</v>
      </c>
      <c r="I904" s="92">
        <f>IFERROR(__xludf.DUMMYFUNCTION("""COMPUTED_VALUE"""),0.7)</f>
        <v>0.7</v>
      </c>
      <c r="J904" s="74" t="str">
        <f>IFERROR(__xludf.DUMMYFUNCTION("""COMPUTED_VALUE"""),"Chandra sekhar")</f>
        <v>Chandra sekhar</v>
      </c>
      <c r="K904" s="80" t="str">
        <f>IFERROR(__xludf.DUMMYFUNCTION("""COMPUTED_VALUE"""),"https://drive.google.com/open?id=1GODi3D5gehEOFn3OPfoG5_cHYcZx_zO9")</f>
        <v>https://drive.google.com/open?id=1GODi3D5gehEOFn3OPfoG5_cHYcZx_zO9</v>
      </c>
      <c r="L904" s="74" t="str">
        <f>IFERROR(__xludf.DUMMYFUNCTION("""COMPUTED_VALUE"""),"2019-2023")</f>
        <v>2019-2023</v>
      </c>
      <c r="M904" s="74" t="str">
        <f>IFERROR(__xludf.DUMMYFUNCTION("""COMPUTED_VALUE"""),"S4: Student Certifications")</f>
        <v>S4: Student Certifications</v>
      </c>
      <c r="N904" s="74" t="str">
        <f>IFERROR(__xludf.DUMMYFUNCTION("""COMPUTED_VALUE"""),"siripurapusandhya15@gmail.com")</f>
        <v>siripurapusandhya15@gmail.com</v>
      </c>
      <c r="O904" s="74" t="str">
        <f>IFERROR(__xludf.DUMMYFUNCTION("""COMPUTED_VALUE"""),"SEM-4")</f>
        <v>SEM-4</v>
      </c>
      <c r="P904" s="74"/>
      <c r="Q904" s="74"/>
      <c r="R904" s="74"/>
      <c r="S904" s="74"/>
      <c r="T904" s="74"/>
      <c r="U904" s="74"/>
      <c r="V904" s="74"/>
      <c r="W904" s="74"/>
      <c r="X904" s="74"/>
      <c r="Y904" s="74"/>
    </row>
    <row r="905" ht="26.25" customHeight="1">
      <c r="A905" s="74" t="str">
        <f>IFERROR(__xludf.DUMMYFUNCTION("""COMPUTED_VALUE"""),"Siripurapu Sandhya ")</f>
        <v>Siripurapu Sandhya </v>
      </c>
      <c r="B905" s="74" t="str">
        <f>IFERROR(__xludf.DUMMYFUNCTION("""COMPUTED_VALUE"""),"19331A05F9 ")</f>
        <v>19331A05F9 </v>
      </c>
      <c r="C905" s="90" t="str">
        <f>IFERROR(__xludf.DUMMYFUNCTION("""COMPUTED_VALUE"""),"Python for Machine Learning")</f>
        <v>Python for Machine Learning</v>
      </c>
      <c r="D905" s="74" t="str">
        <f>IFERROR(__xludf.DUMMYFUNCTION("""COMPUTED_VALUE"""),"Greay Learning")</f>
        <v>Greay Learning</v>
      </c>
      <c r="E905" s="74" t="str">
        <f>IFERROR(__xludf.DUMMYFUNCTION("""COMPUTED_VALUE"""),"5hrs")</f>
        <v>5hrs</v>
      </c>
      <c r="F905" s="91">
        <f>IFERROR(__xludf.DUMMYFUNCTION("""COMPUTED_VALUE"""),44655.0)</f>
        <v>44655</v>
      </c>
      <c r="G905" s="91">
        <f>IFERROR(__xludf.DUMMYFUNCTION("""COMPUTED_VALUE"""),44655.0)</f>
        <v>44655</v>
      </c>
      <c r="H905" s="79">
        <f>IFERROR(__xludf.DUMMYFUNCTION("""COMPUTED_VALUE"""),44655.0)</f>
        <v>44655</v>
      </c>
      <c r="I905" s="92">
        <f>IFERROR(__xludf.DUMMYFUNCTION("""COMPUTED_VALUE"""),0.7)</f>
        <v>0.7</v>
      </c>
      <c r="J905" s="74" t="str">
        <f>IFERROR(__xludf.DUMMYFUNCTION("""COMPUTED_VALUE"""),"B.Sujatha")</f>
        <v>B.Sujatha</v>
      </c>
      <c r="K905" s="80" t="str">
        <f>IFERROR(__xludf.DUMMYFUNCTION("""COMPUTED_VALUE"""),"https://drive.google.com/open?id=1GJcPkoFhnVz-u5jFTADJ3PFc3u9caKui")</f>
        <v>https://drive.google.com/open?id=1GJcPkoFhnVz-u5jFTADJ3PFc3u9caKui</v>
      </c>
      <c r="L905" s="74" t="str">
        <f>IFERROR(__xludf.DUMMYFUNCTION("""COMPUTED_VALUE"""),"2019-2023")</f>
        <v>2019-2023</v>
      </c>
      <c r="M905" s="74" t="str">
        <f>IFERROR(__xludf.DUMMYFUNCTION("""COMPUTED_VALUE"""),"S4: Student Certifications")</f>
        <v>S4: Student Certifications</v>
      </c>
      <c r="N905" s="74" t="str">
        <f>IFERROR(__xludf.DUMMYFUNCTION("""COMPUTED_VALUE"""),"siripurapusandhya15@gmail.com")</f>
        <v>siripurapusandhya15@gmail.com</v>
      </c>
      <c r="O905" s="74" t="str">
        <f>IFERROR(__xludf.DUMMYFUNCTION("""COMPUTED_VALUE"""),"SEM-5")</f>
        <v>SEM-5</v>
      </c>
      <c r="P905" s="74"/>
      <c r="Q905" s="74"/>
      <c r="R905" s="74"/>
      <c r="S905" s="74"/>
      <c r="T905" s="74"/>
      <c r="U905" s="74"/>
      <c r="V905" s="74"/>
      <c r="W905" s="74"/>
      <c r="X905" s="74"/>
      <c r="Y905" s="74"/>
    </row>
    <row r="906" ht="26.25" customHeight="1">
      <c r="A906" s="74" t="str">
        <f>IFERROR(__xludf.DUMMYFUNCTION("""COMPUTED_VALUE"""),"A A S N NISHANTH VARMA PUSAPATI")</f>
        <v>A A S N NISHANTH VARMA PUSAPATI</v>
      </c>
      <c r="B906" s="74" t="str">
        <f>IFERROR(__xludf.DUMMYFUNCTION("""COMPUTED_VALUE"""),"19331A0501")</f>
        <v>19331A0501</v>
      </c>
      <c r="C906" s="90" t="str">
        <f>IFERROR(__xludf.DUMMYFUNCTION("""COMPUTED_VALUE"""),"CLA: Programming Essentials in C")</f>
        <v>CLA: Programming Essentials in C</v>
      </c>
      <c r="D906" s="74" t="str">
        <f>IFERROR(__xludf.DUMMYFUNCTION("""COMPUTED_VALUE"""),"CISCO NetAcad")</f>
        <v>CISCO NetAcad</v>
      </c>
      <c r="E906" s="74" t="str">
        <f>IFERROR(__xludf.DUMMYFUNCTION("""COMPUTED_VALUE"""),"3 months")</f>
        <v>3 months</v>
      </c>
      <c r="F906" s="91">
        <f>IFERROR(__xludf.DUMMYFUNCTION("""COMPUTED_VALUE"""),43923.0)</f>
        <v>43923</v>
      </c>
      <c r="G906" s="91">
        <f>IFERROR(__xludf.DUMMYFUNCTION("""COMPUTED_VALUE"""),43983.0)</f>
        <v>43983</v>
      </c>
      <c r="H906" s="79">
        <f>IFERROR(__xludf.DUMMYFUNCTION("""COMPUTED_VALUE"""),43983.0)</f>
        <v>43983</v>
      </c>
      <c r="I906" s="92">
        <f>IFERROR(__xludf.DUMMYFUNCTION("""COMPUTED_VALUE"""),0.75)</f>
        <v>0.75</v>
      </c>
      <c r="J906" s="74" t="str">
        <f>IFERROR(__xludf.DUMMYFUNCTION("""COMPUTED_VALUE"""),"Subba Raju K V")</f>
        <v>Subba Raju K V</v>
      </c>
      <c r="K906" s="80" t="str">
        <f>IFERROR(__xludf.DUMMYFUNCTION("""COMPUTED_VALUE"""),"https://drive.google.com/open?id=1LAFC6O5NHP-nhdrMoahCh3lLWUcVfPqq")</f>
        <v>https://drive.google.com/open?id=1LAFC6O5NHP-nhdrMoahCh3lLWUcVfPqq</v>
      </c>
      <c r="L906" s="74" t="str">
        <f>IFERROR(__xludf.DUMMYFUNCTION("""COMPUTED_VALUE"""),"2019-2023")</f>
        <v>2019-2023</v>
      </c>
      <c r="M906" s="74" t="str">
        <f>IFERROR(__xludf.DUMMYFUNCTION("""COMPUTED_VALUE"""),"S4: Student Certifications")</f>
        <v>S4: Student Certifications</v>
      </c>
      <c r="N906" s="74" t="str">
        <f>IFERROR(__xludf.DUMMYFUNCTION("""COMPUTED_VALUE"""),"nishanthvarma14819@gmail.com")</f>
        <v>nishanthvarma14819@gmail.com</v>
      </c>
      <c r="O906" s="74" t="str">
        <f>IFERROR(__xludf.DUMMYFUNCTION("""COMPUTED_VALUE"""),"SEM-6")</f>
        <v>SEM-6</v>
      </c>
      <c r="P906" s="74"/>
      <c r="Q906" s="74"/>
      <c r="R906" s="74"/>
      <c r="S906" s="74"/>
      <c r="T906" s="74"/>
      <c r="U906" s="74"/>
      <c r="V906" s="74"/>
      <c r="W906" s="74"/>
      <c r="X906" s="74"/>
      <c r="Y906" s="74"/>
    </row>
    <row r="907" ht="26.25" customHeight="1">
      <c r="A907" s="74" t="str">
        <f>IFERROR(__xludf.DUMMYFUNCTION("""COMPUTED_VALUE"""),"SAI RISHITHA GORANTLA")</f>
        <v>SAI RISHITHA GORANTLA</v>
      </c>
      <c r="B907" s="74" t="str">
        <f>IFERROR(__xludf.DUMMYFUNCTION("""COMPUTED_VALUE"""),"19331A0555")</f>
        <v>19331A0555</v>
      </c>
      <c r="C907" s="90" t="str">
        <f>IFERROR(__xludf.DUMMYFUNCTION("""COMPUTED_VALUE"""),"CLA: Programming Essentials in C")</f>
        <v>CLA: Programming Essentials in C</v>
      </c>
      <c r="D907" s="74" t="str">
        <f>IFERROR(__xludf.DUMMYFUNCTION("""COMPUTED_VALUE"""),"Cisco NetAcad")</f>
        <v>Cisco NetAcad</v>
      </c>
      <c r="E907" s="74" t="str">
        <f>IFERROR(__xludf.DUMMYFUNCTION("""COMPUTED_VALUE"""),"3 months")</f>
        <v>3 months</v>
      </c>
      <c r="F907" s="91">
        <f>IFERROR(__xludf.DUMMYFUNCTION("""COMPUTED_VALUE"""),43923.0)</f>
        <v>43923</v>
      </c>
      <c r="G907" s="91">
        <f>IFERROR(__xludf.DUMMYFUNCTION("""COMPUTED_VALUE"""),43978.0)</f>
        <v>43978</v>
      </c>
      <c r="H907" s="79">
        <f>IFERROR(__xludf.DUMMYFUNCTION("""COMPUTED_VALUE"""),43978.0)</f>
        <v>43978</v>
      </c>
      <c r="I907" s="92">
        <f>IFERROR(__xludf.DUMMYFUNCTION("""COMPUTED_VALUE"""),0.73)</f>
        <v>0.73</v>
      </c>
      <c r="J907" s="74" t="str">
        <f>IFERROR(__xludf.DUMMYFUNCTION("""COMPUTED_VALUE"""),"Subba Raju K V")</f>
        <v>Subba Raju K V</v>
      </c>
      <c r="K907" s="80" t="str">
        <f>IFERROR(__xludf.DUMMYFUNCTION("""COMPUTED_VALUE"""),"https://drive.google.com/open?id=1pmy3vB64RYTxEc6HY_ZRbtoKMjqijTfL")</f>
        <v>https://drive.google.com/open?id=1pmy3vB64RYTxEc6HY_ZRbtoKMjqijTfL</v>
      </c>
      <c r="L907" s="74" t="str">
        <f>IFERROR(__xludf.DUMMYFUNCTION("""COMPUTED_VALUE"""),"2019-2023")</f>
        <v>2019-2023</v>
      </c>
      <c r="M907" s="74" t="str">
        <f>IFERROR(__xludf.DUMMYFUNCTION("""COMPUTED_VALUE"""),"S4: Student Certifications")</f>
        <v>S4: Student Certifications</v>
      </c>
      <c r="N907" s="74" t="str">
        <f>IFERROR(__xludf.DUMMYFUNCTION("""COMPUTED_VALUE"""),"rishithagorantla23@gmail.com")</f>
        <v>rishithagorantla23@gmail.com</v>
      </c>
      <c r="O907" s="74" t="str">
        <f>IFERROR(__xludf.DUMMYFUNCTION("""COMPUTED_VALUE"""),"SEM-6")</f>
        <v>SEM-6</v>
      </c>
      <c r="P907" s="74"/>
      <c r="Q907" s="74"/>
      <c r="R907" s="74"/>
      <c r="S907" s="74"/>
      <c r="T907" s="74"/>
      <c r="U907" s="74"/>
      <c r="V907" s="74"/>
      <c r="W907" s="74"/>
      <c r="X907" s="74"/>
      <c r="Y907" s="74"/>
    </row>
    <row r="908" ht="26.25" customHeight="1">
      <c r="A908" s="96" t="str">
        <f>IFERROR(__xludf.DUMMYFUNCTION("""COMPUTED_VALUE"""),"Siripurapu Sandhya ")</f>
        <v>Siripurapu Sandhya </v>
      </c>
      <c r="B908" s="96" t="str">
        <f>IFERROR(__xludf.DUMMYFUNCTION("""COMPUTED_VALUE"""),"19331A05F9 ")</f>
        <v>19331A05F9 </v>
      </c>
      <c r="C908" s="97" t="str">
        <f>IFERROR(__xludf.DUMMYFUNCTION("""COMPUTED_VALUE"""),"My SQl")</f>
        <v>My SQl</v>
      </c>
      <c r="D908" s="96" t="str">
        <f>IFERROR(__xludf.DUMMYFUNCTION("""COMPUTED_VALUE"""),"Great Learning ")</f>
        <v>Great Learning </v>
      </c>
      <c r="E908" s="96" t="str">
        <f>IFERROR(__xludf.DUMMYFUNCTION("""COMPUTED_VALUE"""),"1 day")</f>
        <v>1 day</v>
      </c>
      <c r="F908" s="98">
        <f>IFERROR(__xludf.DUMMYFUNCTION("""COMPUTED_VALUE"""),44657.0)</f>
        <v>44657</v>
      </c>
      <c r="G908" s="98">
        <f>IFERROR(__xludf.DUMMYFUNCTION("""COMPUTED_VALUE"""),44658.0)</f>
        <v>44658</v>
      </c>
      <c r="H908" s="99">
        <f>IFERROR(__xludf.DUMMYFUNCTION("""COMPUTED_VALUE"""),44658.0)</f>
        <v>44658</v>
      </c>
      <c r="I908" s="100">
        <f>IFERROR(__xludf.DUMMYFUNCTION("""COMPUTED_VALUE"""),0.9)</f>
        <v>0.9</v>
      </c>
      <c r="J908" s="96" t="str">
        <f>IFERROR(__xludf.DUMMYFUNCTION("""COMPUTED_VALUE"""),"Srinivas rao")</f>
        <v>Srinivas rao</v>
      </c>
      <c r="K908" s="101" t="str">
        <f>IFERROR(__xludf.DUMMYFUNCTION("""COMPUTED_VALUE"""),"https://drive.google.com/open?id=1ShV5wKOpP7dziXGX5aNAXuLKrHGmphz_")</f>
        <v>https://drive.google.com/open?id=1ShV5wKOpP7dziXGX5aNAXuLKrHGmphz_</v>
      </c>
      <c r="L908" s="96" t="str">
        <f>IFERROR(__xludf.DUMMYFUNCTION("""COMPUTED_VALUE"""),"2019-2023")</f>
        <v>2019-2023</v>
      </c>
      <c r="M908" s="96" t="str">
        <f>IFERROR(__xludf.DUMMYFUNCTION("""COMPUTED_VALUE"""),"S4: Student Certifications")</f>
        <v>S4: Student Certifications</v>
      </c>
      <c r="N908" s="96" t="str">
        <f>IFERROR(__xludf.DUMMYFUNCTION("""COMPUTED_VALUE"""),"siripurapusandhya15@gmail.com")</f>
        <v>siripurapusandhya15@gmail.com</v>
      </c>
      <c r="O908" s="96" t="str">
        <f>IFERROR(__xludf.DUMMYFUNCTION("""COMPUTED_VALUE"""),"SEM-5")</f>
        <v>SEM-5</v>
      </c>
      <c r="P908" s="96"/>
      <c r="Q908" s="96"/>
      <c r="R908" s="96"/>
      <c r="S908" s="96"/>
      <c r="T908" s="96"/>
      <c r="U908" s="96"/>
      <c r="V908" s="96"/>
      <c r="W908" s="96"/>
      <c r="X908" s="96"/>
      <c r="Y908" s="96"/>
    </row>
    <row r="909" ht="26.25" customHeight="1">
      <c r="A909" s="74" t="str">
        <f>IFERROR(__xludf.DUMMYFUNCTION("""COMPUTED_VALUE"""),"A A S N NISHANTH VARMA PUSAPATI")</f>
        <v>A A S N NISHANTH VARMA PUSAPATI</v>
      </c>
      <c r="B909" s="74" t="str">
        <f>IFERROR(__xludf.DUMMYFUNCTION("""COMPUTED_VALUE"""),"19331A0501")</f>
        <v>19331A0501</v>
      </c>
      <c r="C909" s="90" t="str">
        <f>IFERROR(__xludf.DUMMYFUNCTION("""COMPUTED_VALUE"""),"IT Essentials")</f>
        <v>IT Essentials</v>
      </c>
      <c r="D909" s="74" t="str">
        <f>IFERROR(__xludf.DUMMYFUNCTION("""COMPUTED_VALUE"""),"CISCO NetAcad")</f>
        <v>CISCO NetAcad</v>
      </c>
      <c r="E909" s="74" t="str">
        <f>IFERROR(__xludf.DUMMYFUNCTION("""COMPUTED_VALUE"""),"3 months")</f>
        <v>3 months</v>
      </c>
      <c r="F909" s="91">
        <f>IFERROR(__xludf.DUMMYFUNCTION("""COMPUTED_VALUE"""),44005.0)</f>
        <v>44005</v>
      </c>
      <c r="G909" s="91">
        <f>IFERROR(__xludf.DUMMYFUNCTION("""COMPUTED_VALUE"""),44072.0)</f>
        <v>44072</v>
      </c>
      <c r="H909" s="79">
        <f>IFERROR(__xludf.DUMMYFUNCTION("""COMPUTED_VALUE"""),44072.0)</f>
        <v>44072</v>
      </c>
      <c r="I909" s="92">
        <f>IFERROR(__xludf.DUMMYFUNCTION("""COMPUTED_VALUE"""),0.9)</f>
        <v>0.9</v>
      </c>
      <c r="J909" s="74" t="str">
        <f>IFERROR(__xludf.DUMMYFUNCTION("""COMPUTED_VALUE"""),"Dr. Suvarna Kumar Gogula")</f>
        <v>Dr. Suvarna Kumar Gogula</v>
      </c>
      <c r="K909" s="80" t="str">
        <f>IFERROR(__xludf.DUMMYFUNCTION("""COMPUTED_VALUE"""),"https://drive.google.com/open?id=1ZbFwd9ZocVLnxASnDIs9yHNpexEr9E6G")</f>
        <v>https://drive.google.com/open?id=1ZbFwd9ZocVLnxASnDIs9yHNpexEr9E6G</v>
      </c>
      <c r="L909" s="74" t="str">
        <f>IFERROR(__xludf.DUMMYFUNCTION("""COMPUTED_VALUE"""),"2019-2023")</f>
        <v>2019-2023</v>
      </c>
      <c r="M909" s="74" t="str">
        <f>IFERROR(__xludf.DUMMYFUNCTION("""COMPUTED_VALUE"""),"S4: Student Certifications")</f>
        <v>S4: Student Certifications</v>
      </c>
      <c r="N909" s="74" t="str">
        <f>IFERROR(__xludf.DUMMYFUNCTION("""COMPUTED_VALUE"""),"nishanthvarma14819@gmail.com")</f>
        <v>nishanthvarma14819@gmail.com</v>
      </c>
      <c r="O909" s="74" t="str">
        <f>IFERROR(__xludf.DUMMYFUNCTION("""COMPUTED_VALUE"""),"SEM-6")</f>
        <v>SEM-6</v>
      </c>
      <c r="P909" s="74"/>
      <c r="Q909" s="74"/>
      <c r="R909" s="74"/>
      <c r="S909" s="74"/>
      <c r="T909" s="74"/>
      <c r="U909" s="74"/>
      <c r="V909" s="74"/>
      <c r="W909" s="74"/>
      <c r="X909" s="74"/>
      <c r="Y909" s="74"/>
    </row>
    <row r="910" ht="26.25" customHeight="1">
      <c r="A910" s="74" t="str">
        <f>IFERROR(__xludf.DUMMYFUNCTION("""COMPUTED_VALUE"""),"SAI RISHITHA GORANTLA")</f>
        <v>SAI RISHITHA GORANTLA</v>
      </c>
      <c r="B910" s="74" t="str">
        <f>IFERROR(__xludf.DUMMYFUNCTION("""COMPUTED_VALUE"""),"19331A0555")</f>
        <v>19331A0555</v>
      </c>
      <c r="C910" s="90" t="str">
        <f>IFERROR(__xludf.DUMMYFUNCTION("""COMPUTED_VALUE"""),"IT Essentials")</f>
        <v>IT Essentials</v>
      </c>
      <c r="D910" s="74" t="str">
        <f>IFERROR(__xludf.DUMMYFUNCTION("""COMPUTED_VALUE"""),"Cisco NetAcad")</f>
        <v>Cisco NetAcad</v>
      </c>
      <c r="E910" s="74" t="str">
        <f>IFERROR(__xludf.DUMMYFUNCTION("""COMPUTED_VALUE"""),"3 months")</f>
        <v>3 months</v>
      </c>
      <c r="F910" s="91">
        <f>IFERROR(__xludf.DUMMYFUNCTION("""COMPUTED_VALUE"""),44005.0)</f>
        <v>44005</v>
      </c>
      <c r="G910" s="91">
        <f>IFERROR(__xludf.DUMMYFUNCTION("""COMPUTED_VALUE"""),44072.0)</f>
        <v>44072</v>
      </c>
      <c r="H910" s="79">
        <f>IFERROR(__xludf.DUMMYFUNCTION("""COMPUTED_VALUE"""),44072.0)</f>
        <v>44072</v>
      </c>
      <c r="I910" s="92">
        <f>IFERROR(__xludf.DUMMYFUNCTION("""COMPUTED_VALUE"""),0.95)</f>
        <v>0.95</v>
      </c>
      <c r="J910" s="74" t="str">
        <f>IFERROR(__xludf.DUMMYFUNCTION("""COMPUTED_VALUE"""),"Dr. Suvarna Kumar Gogula")</f>
        <v>Dr. Suvarna Kumar Gogula</v>
      </c>
      <c r="K910" s="80" t="str">
        <f>IFERROR(__xludf.DUMMYFUNCTION("""COMPUTED_VALUE"""),"https://drive.google.com/open?id=1eufEcJniwwOz7fBZmFxWLfevwurDHU9q")</f>
        <v>https://drive.google.com/open?id=1eufEcJniwwOz7fBZmFxWLfevwurDHU9q</v>
      </c>
      <c r="L910" s="74" t="str">
        <f>IFERROR(__xludf.DUMMYFUNCTION("""COMPUTED_VALUE"""),"2019-2023")</f>
        <v>2019-2023</v>
      </c>
      <c r="M910" s="74" t="str">
        <f>IFERROR(__xludf.DUMMYFUNCTION("""COMPUTED_VALUE"""),"S4: Student Certifications")</f>
        <v>S4: Student Certifications</v>
      </c>
      <c r="N910" s="74" t="str">
        <f>IFERROR(__xludf.DUMMYFUNCTION("""COMPUTED_VALUE"""),"rishithagorantla23@gmail.com")</f>
        <v>rishithagorantla23@gmail.com</v>
      </c>
      <c r="O910" s="74" t="str">
        <f>IFERROR(__xludf.DUMMYFUNCTION("""COMPUTED_VALUE"""),"SEM-6")</f>
        <v>SEM-6</v>
      </c>
      <c r="P910" s="74"/>
      <c r="Q910" s="74"/>
      <c r="R910" s="74"/>
      <c r="S910" s="74"/>
      <c r="T910" s="74"/>
      <c r="U910" s="74"/>
      <c r="V910" s="74"/>
      <c r="W910" s="74"/>
      <c r="X910" s="74"/>
      <c r="Y910" s="74"/>
    </row>
    <row r="911" ht="26.25" customHeight="1">
      <c r="A911" s="96" t="str">
        <f>IFERROR(__xludf.DUMMYFUNCTION("""COMPUTED_VALUE"""),"Siripurapu Sandhya ")</f>
        <v>Siripurapu Sandhya </v>
      </c>
      <c r="B911" s="96" t="str">
        <f>IFERROR(__xludf.DUMMYFUNCTION("""COMPUTED_VALUE"""),"19331A05F9 ")</f>
        <v>19331A05F9 </v>
      </c>
      <c r="C911" s="97" t="str">
        <f>IFERROR(__xludf.DUMMYFUNCTION("""COMPUTED_VALUE"""),"Introduction to Cyber Security")</f>
        <v>Introduction to Cyber Security</v>
      </c>
      <c r="D911" s="96" t="str">
        <f>IFERROR(__xludf.DUMMYFUNCTION("""COMPUTED_VALUE"""),"Great Learning ")</f>
        <v>Great Learning </v>
      </c>
      <c r="E911" s="96" t="str">
        <f>IFERROR(__xludf.DUMMYFUNCTION("""COMPUTED_VALUE"""),"1day")</f>
        <v>1day</v>
      </c>
      <c r="F911" s="98">
        <f>IFERROR(__xludf.DUMMYFUNCTION("""COMPUTED_VALUE"""),44659.0)</f>
        <v>44659</v>
      </c>
      <c r="G911" s="98">
        <f>IFERROR(__xludf.DUMMYFUNCTION("""COMPUTED_VALUE"""),44660.0)</f>
        <v>44660</v>
      </c>
      <c r="H911" s="99">
        <f>IFERROR(__xludf.DUMMYFUNCTION("""COMPUTED_VALUE"""),44660.0)</f>
        <v>44660</v>
      </c>
      <c r="I911" s="100">
        <f>IFERROR(__xludf.DUMMYFUNCTION("""COMPUTED_VALUE"""),0.8)</f>
        <v>0.8</v>
      </c>
      <c r="J911" s="96" t="str">
        <f>IFERROR(__xludf.DUMMYFUNCTION("""COMPUTED_VALUE"""),"Ravi kiran")</f>
        <v>Ravi kiran</v>
      </c>
      <c r="K911" s="101" t="str">
        <f>IFERROR(__xludf.DUMMYFUNCTION("""COMPUTED_VALUE"""),"https://drive.google.com/open?id=1Ow6W9kfQC9wcYllmYhEqGkn57eefHrHD")</f>
        <v>https://drive.google.com/open?id=1Ow6W9kfQC9wcYllmYhEqGkn57eefHrHD</v>
      </c>
      <c r="L911" s="96" t="str">
        <f>IFERROR(__xludf.DUMMYFUNCTION("""COMPUTED_VALUE"""),"2019-2023")</f>
        <v>2019-2023</v>
      </c>
      <c r="M911" s="96" t="str">
        <f>IFERROR(__xludf.DUMMYFUNCTION("""COMPUTED_VALUE"""),"S4: Student Certifications")</f>
        <v>S4: Student Certifications</v>
      </c>
      <c r="N911" s="96" t="str">
        <f>IFERROR(__xludf.DUMMYFUNCTION("""COMPUTED_VALUE"""),"siripurapusandhya15@gmail.com")</f>
        <v>siripurapusandhya15@gmail.com</v>
      </c>
      <c r="O911" s="96" t="str">
        <f>IFERROR(__xludf.DUMMYFUNCTION("""COMPUTED_VALUE"""),"SEM-6")</f>
        <v>SEM-6</v>
      </c>
      <c r="P911" s="96"/>
      <c r="Q911" s="96"/>
      <c r="R911" s="96"/>
      <c r="S911" s="96"/>
      <c r="T911" s="96"/>
      <c r="U911" s="96"/>
      <c r="V911" s="96"/>
      <c r="W911" s="96"/>
      <c r="X911" s="96"/>
      <c r="Y911" s="96"/>
    </row>
    <row r="912" ht="26.25" customHeight="1">
      <c r="A912" s="96" t="str">
        <f>IFERROR(__xludf.DUMMYFUNCTION("""COMPUTED_VALUE"""),"Siripurapu Sandhya ")</f>
        <v>Siripurapu Sandhya </v>
      </c>
      <c r="B912" s="96" t="str">
        <f>IFERROR(__xludf.DUMMYFUNCTION("""COMPUTED_VALUE"""),"19331A05F9 ")</f>
        <v>19331A05F9 </v>
      </c>
      <c r="C912" s="97" t="str">
        <f>IFERROR(__xludf.DUMMYFUNCTION("""COMPUTED_VALUE"""),"Oops in java")</f>
        <v>Oops in java</v>
      </c>
      <c r="D912" s="96" t="str">
        <f>IFERROR(__xludf.DUMMYFUNCTION("""COMPUTED_VALUE"""),"Great learning ")</f>
        <v>Great learning </v>
      </c>
      <c r="E912" s="96" t="str">
        <f>IFERROR(__xludf.DUMMYFUNCTION("""COMPUTED_VALUE"""),"5hrs")</f>
        <v>5hrs</v>
      </c>
      <c r="F912" s="98">
        <f>IFERROR(__xludf.DUMMYFUNCTION("""COMPUTED_VALUE"""),44665.0)</f>
        <v>44665</v>
      </c>
      <c r="G912" s="98">
        <f>IFERROR(__xludf.DUMMYFUNCTION("""COMPUTED_VALUE"""),44665.0)</f>
        <v>44665</v>
      </c>
      <c r="H912" s="99">
        <f>IFERROR(__xludf.DUMMYFUNCTION("""COMPUTED_VALUE"""),44665.0)</f>
        <v>44665</v>
      </c>
      <c r="I912" s="100">
        <f>IFERROR(__xludf.DUMMYFUNCTION("""COMPUTED_VALUE"""),0.8)</f>
        <v>0.8</v>
      </c>
      <c r="J912" s="96" t="str">
        <f>IFERROR(__xludf.DUMMYFUNCTION("""COMPUTED_VALUE"""),"Srinivas rao")</f>
        <v>Srinivas rao</v>
      </c>
      <c r="K912" s="101" t="str">
        <f>IFERROR(__xludf.DUMMYFUNCTION("""COMPUTED_VALUE"""),"https://drive.google.com/open?id=1aZGUyyoehvCdJrOegyPYAydhCUACnL5L")</f>
        <v>https://drive.google.com/open?id=1aZGUyyoehvCdJrOegyPYAydhCUACnL5L</v>
      </c>
      <c r="L912" s="96" t="str">
        <f>IFERROR(__xludf.DUMMYFUNCTION("""COMPUTED_VALUE"""),"2019-2023")</f>
        <v>2019-2023</v>
      </c>
      <c r="M912" s="96" t="str">
        <f>IFERROR(__xludf.DUMMYFUNCTION("""COMPUTED_VALUE"""),"S4: Student Certifications")</f>
        <v>S4: Student Certifications</v>
      </c>
      <c r="N912" s="96" t="str">
        <f>IFERROR(__xludf.DUMMYFUNCTION("""COMPUTED_VALUE"""),"siripurapusandhya15@gmail.com")</f>
        <v>siripurapusandhya15@gmail.com</v>
      </c>
      <c r="O912" s="96" t="str">
        <f>IFERROR(__xludf.DUMMYFUNCTION("""COMPUTED_VALUE"""),"SEM-4")</f>
        <v>SEM-4</v>
      </c>
      <c r="P912" s="96"/>
      <c r="Q912" s="96"/>
      <c r="R912" s="96"/>
      <c r="S912" s="96"/>
      <c r="T912" s="96"/>
      <c r="U912" s="96"/>
      <c r="V912" s="96"/>
      <c r="W912" s="96"/>
      <c r="X912" s="96"/>
      <c r="Y912" s="96"/>
    </row>
    <row r="913" ht="26.25" customHeight="1">
      <c r="A913" s="74" t="str">
        <f>IFERROR(__xludf.DUMMYFUNCTION("""COMPUTED_VALUE"""),"A A S N NISHANTH VARMA PUSAPATI")</f>
        <v>A A S N NISHANTH VARMA PUSAPATI</v>
      </c>
      <c r="B913" s="74" t="str">
        <f>IFERROR(__xludf.DUMMYFUNCTION("""COMPUTED_VALUE"""),"19331A0501")</f>
        <v>19331A0501</v>
      </c>
      <c r="C913" s="90" t="str">
        <f>IFERROR(__xludf.DUMMYFUNCTION("""COMPUTED_VALUE"""),"CCNAv7: Introduction to Networks")</f>
        <v>CCNAv7: Introduction to Networks</v>
      </c>
      <c r="D913" s="74" t="str">
        <f>IFERROR(__xludf.DUMMYFUNCTION("""COMPUTED_VALUE"""),"CISCO NetAcad")</f>
        <v>CISCO NetAcad</v>
      </c>
      <c r="E913" s="74" t="str">
        <f>IFERROR(__xludf.DUMMYFUNCTION("""COMPUTED_VALUE"""),"3 months")</f>
        <v>3 months</v>
      </c>
      <c r="F913" s="91">
        <f>IFERROR(__xludf.DUMMYFUNCTION("""COMPUTED_VALUE"""),44090.0)</f>
        <v>44090</v>
      </c>
      <c r="G913" s="91">
        <f>IFERROR(__xludf.DUMMYFUNCTION("""COMPUTED_VALUE"""),44180.0)</f>
        <v>44180</v>
      </c>
      <c r="H913" s="79">
        <f>IFERROR(__xludf.DUMMYFUNCTION("""COMPUTED_VALUE"""),44180.0)</f>
        <v>44180</v>
      </c>
      <c r="I913" s="92">
        <f>IFERROR(__xludf.DUMMYFUNCTION("""COMPUTED_VALUE"""),0.85)</f>
        <v>0.85</v>
      </c>
      <c r="J913" s="74" t="str">
        <f>IFERROR(__xludf.DUMMYFUNCTION("""COMPUTED_VALUE"""),"DR. RAVI KIRAN VARMA PENMATSA")</f>
        <v>DR. RAVI KIRAN VARMA PENMATSA</v>
      </c>
      <c r="K913" s="80" t="str">
        <f>IFERROR(__xludf.DUMMYFUNCTION("""COMPUTED_VALUE"""),"https://drive.google.com/open?id=1YPu5Jecq9hp9Qq8bFhijaj8QatHbUNLN")</f>
        <v>https://drive.google.com/open?id=1YPu5Jecq9hp9Qq8bFhijaj8QatHbUNLN</v>
      </c>
      <c r="L913" s="74" t="str">
        <f>IFERROR(__xludf.DUMMYFUNCTION("""COMPUTED_VALUE"""),"2019-2023")</f>
        <v>2019-2023</v>
      </c>
      <c r="M913" s="74" t="str">
        <f>IFERROR(__xludf.DUMMYFUNCTION("""COMPUTED_VALUE"""),"S4: Student Certifications")</f>
        <v>S4: Student Certifications</v>
      </c>
      <c r="N913" s="74" t="str">
        <f>IFERROR(__xludf.DUMMYFUNCTION("""COMPUTED_VALUE"""),"nishanthvarma14819@gmail.com")</f>
        <v>nishanthvarma14819@gmail.com</v>
      </c>
      <c r="O913" s="74" t="str">
        <f>IFERROR(__xludf.DUMMYFUNCTION("""COMPUTED_VALUE"""),"SEM-6")</f>
        <v>SEM-6</v>
      </c>
      <c r="P913" s="74"/>
      <c r="Q913" s="74"/>
      <c r="R913" s="74"/>
      <c r="S913" s="74"/>
      <c r="T913" s="74"/>
      <c r="U913" s="74"/>
      <c r="V913" s="74"/>
      <c r="W913" s="74"/>
      <c r="X913" s="74"/>
      <c r="Y913" s="74"/>
    </row>
    <row r="914" ht="26.25" customHeight="1">
      <c r="A914" s="74" t="str">
        <f>IFERROR(__xludf.DUMMYFUNCTION("""COMPUTED_VALUE"""),"SAI RISHITHA GORANTLA")</f>
        <v>SAI RISHITHA GORANTLA</v>
      </c>
      <c r="B914" s="74" t="str">
        <f>IFERROR(__xludf.DUMMYFUNCTION("""COMPUTED_VALUE"""),"19331A0555")</f>
        <v>19331A0555</v>
      </c>
      <c r="C914" s="90" t="str">
        <f>IFERROR(__xludf.DUMMYFUNCTION("""COMPUTED_VALUE"""),"CCNAv7: Introduction to Networks")</f>
        <v>CCNAv7: Introduction to Networks</v>
      </c>
      <c r="D914" s="74" t="str">
        <f>IFERROR(__xludf.DUMMYFUNCTION("""COMPUTED_VALUE"""),"Cisco NetAcad")</f>
        <v>Cisco NetAcad</v>
      </c>
      <c r="E914" s="74" t="str">
        <f>IFERROR(__xludf.DUMMYFUNCTION("""COMPUTED_VALUE"""),"4 months")</f>
        <v>4 months</v>
      </c>
      <c r="F914" s="91">
        <f>IFERROR(__xludf.DUMMYFUNCTION("""COMPUTED_VALUE"""),44465.0)</f>
        <v>44465</v>
      </c>
      <c r="G914" s="91">
        <f>IFERROR(__xludf.DUMMYFUNCTION("""COMPUTED_VALUE"""),44545.0)</f>
        <v>44545</v>
      </c>
      <c r="H914" s="79">
        <f>IFERROR(__xludf.DUMMYFUNCTION("""COMPUTED_VALUE"""),44545.0)</f>
        <v>44545</v>
      </c>
      <c r="I914" s="92">
        <f>IFERROR(__xludf.DUMMYFUNCTION("""COMPUTED_VALUE"""),0.87)</f>
        <v>0.87</v>
      </c>
      <c r="J914" s="74" t="str">
        <f>IFERROR(__xludf.DUMMYFUNCTION("""COMPUTED_VALUE"""),"DR. RAVI KIRAN VARMA PENMATSA")</f>
        <v>DR. RAVI KIRAN VARMA PENMATSA</v>
      </c>
      <c r="K914" s="80" t="str">
        <f>IFERROR(__xludf.DUMMYFUNCTION("""COMPUTED_VALUE"""),"https://drive.google.com/open?id=1zvBQte_kzBWkKMIUcOEfsv5WhkeItmxZ")</f>
        <v>https://drive.google.com/open?id=1zvBQte_kzBWkKMIUcOEfsv5WhkeItmxZ</v>
      </c>
      <c r="L914" s="74" t="str">
        <f>IFERROR(__xludf.DUMMYFUNCTION("""COMPUTED_VALUE"""),"2019-2023")</f>
        <v>2019-2023</v>
      </c>
      <c r="M914" s="74" t="str">
        <f>IFERROR(__xludf.DUMMYFUNCTION("""COMPUTED_VALUE"""),"S4: Student Certifications")</f>
        <v>S4: Student Certifications</v>
      </c>
      <c r="N914" s="74" t="str">
        <f>IFERROR(__xludf.DUMMYFUNCTION("""COMPUTED_VALUE"""),"rishithagorantla23@gmail.com")</f>
        <v>rishithagorantla23@gmail.com</v>
      </c>
      <c r="O914" s="74" t="str">
        <f>IFERROR(__xludf.DUMMYFUNCTION("""COMPUTED_VALUE"""),"SEM-6")</f>
        <v>SEM-6</v>
      </c>
      <c r="P914" s="74"/>
      <c r="Q914" s="74"/>
      <c r="R914" s="74"/>
      <c r="S914" s="74"/>
      <c r="T914" s="74"/>
      <c r="U914" s="74"/>
      <c r="V914" s="74"/>
      <c r="W914" s="74"/>
      <c r="X914" s="74"/>
      <c r="Y914" s="74"/>
    </row>
    <row r="915" ht="26.25" customHeight="1">
      <c r="A915" s="96" t="str">
        <f>IFERROR(__xludf.DUMMYFUNCTION("""COMPUTED_VALUE"""),"Siripurapu Sandhya ")</f>
        <v>Siripurapu Sandhya </v>
      </c>
      <c r="B915" s="96" t="str">
        <f>IFERROR(__xludf.DUMMYFUNCTION("""COMPUTED_VALUE"""),"19331A05F9 ")</f>
        <v>19331A05F9 </v>
      </c>
      <c r="C915" s="97" t="str">
        <f>IFERROR(__xludf.DUMMYFUNCTION("""COMPUTED_VALUE"""),"Intoduction to Machine Learning")</f>
        <v>Intoduction to Machine Learning</v>
      </c>
      <c r="D915" s="96" t="str">
        <f>IFERROR(__xludf.DUMMYFUNCTION("""COMPUTED_VALUE"""),"Great Learning")</f>
        <v>Great Learning</v>
      </c>
      <c r="E915" s="96" t="str">
        <f>IFERROR(__xludf.DUMMYFUNCTION("""COMPUTED_VALUE"""),"5hrs")</f>
        <v>5hrs</v>
      </c>
      <c r="F915" s="98">
        <f>IFERROR(__xludf.DUMMYFUNCTION("""COMPUTED_VALUE"""),44666.0)</f>
        <v>44666</v>
      </c>
      <c r="G915" s="98">
        <f>IFERROR(__xludf.DUMMYFUNCTION("""COMPUTED_VALUE"""),44666.0)</f>
        <v>44666</v>
      </c>
      <c r="H915" s="99">
        <f>IFERROR(__xludf.DUMMYFUNCTION("""COMPUTED_VALUE"""),44666.0)</f>
        <v>44666</v>
      </c>
      <c r="I915" s="100">
        <f>IFERROR(__xludf.DUMMYFUNCTION("""COMPUTED_VALUE"""),0.7)</f>
        <v>0.7</v>
      </c>
      <c r="J915" s="96" t="str">
        <f>IFERROR(__xludf.DUMMYFUNCTION("""COMPUTED_VALUE"""),"B.Sujatha ")</f>
        <v>B.Sujatha </v>
      </c>
      <c r="K915" s="101" t="str">
        <f>IFERROR(__xludf.DUMMYFUNCTION("""COMPUTED_VALUE"""),"https://drive.google.com/open?id=1Bj7bhVLNiL0AcusGFqknDJZO5a4OR1I2")</f>
        <v>https://drive.google.com/open?id=1Bj7bhVLNiL0AcusGFqknDJZO5a4OR1I2</v>
      </c>
      <c r="L915" s="96" t="str">
        <f>IFERROR(__xludf.DUMMYFUNCTION("""COMPUTED_VALUE"""),"2019-2023")</f>
        <v>2019-2023</v>
      </c>
      <c r="M915" s="96" t="str">
        <f>IFERROR(__xludf.DUMMYFUNCTION("""COMPUTED_VALUE"""),"S4: Student Certifications")</f>
        <v>S4: Student Certifications</v>
      </c>
      <c r="N915" s="96" t="str">
        <f>IFERROR(__xludf.DUMMYFUNCTION("""COMPUTED_VALUE"""),"siripurapusandhya15@gmail.com")</f>
        <v>siripurapusandhya15@gmail.com</v>
      </c>
      <c r="O915" s="96" t="str">
        <f>IFERROR(__xludf.DUMMYFUNCTION("""COMPUTED_VALUE"""),"SEM-5")</f>
        <v>SEM-5</v>
      </c>
      <c r="P915" s="96"/>
      <c r="Q915" s="96"/>
      <c r="R915" s="96"/>
      <c r="S915" s="96"/>
      <c r="T915" s="96"/>
      <c r="U915" s="96"/>
      <c r="V915" s="96"/>
      <c r="W915" s="96"/>
      <c r="X915" s="96"/>
      <c r="Y915" s="96"/>
    </row>
    <row r="916" ht="26.25" customHeight="1">
      <c r="A916" s="96" t="str">
        <f>IFERROR(__xludf.DUMMYFUNCTION("""COMPUTED_VALUE"""),"Siripurapu Sandhya ")</f>
        <v>Siripurapu Sandhya </v>
      </c>
      <c r="B916" s="96" t="str">
        <f>IFERROR(__xludf.DUMMYFUNCTION("""COMPUTED_VALUE"""),"19331A05F9 ")</f>
        <v>19331A05F9 </v>
      </c>
      <c r="C916" s="97" t="str">
        <f>IFERROR(__xludf.DUMMYFUNCTION("""COMPUTED_VALUE"""),"HTML ")</f>
        <v>HTML </v>
      </c>
      <c r="D916" s="96" t="str">
        <f>IFERROR(__xludf.DUMMYFUNCTION("""COMPUTED_VALUE"""),"Great Learning ")</f>
        <v>Great Learning </v>
      </c>
      <c r="E916" s="96" t="str">
        <f>IFERROR(__xludf.DUMMYFUNCTION("""COMPUTED_VALUE"""),"4hrs")</f>
        <v>4hrs</v>
      </c>
      <c r="F916" s="98">
        <f>IFERROR(__xludf.DUMMYFUNCTION("""COMPUTED_VALUE"""),44666.0)</f>
        <v>44666</v>
      </c>
      <c r="G916" s="98">
        <f>IFERROR(__xludf.DUMMYFUNCTION("""COMPUTED_VALUE"""),44666.0)</f>
        <v>44666</v>
      </c>
      <c r="H916" s="99">
        <f>IFERROR(__xludf.DUMMYFUNCTION("""COMPUTED_VALUE"""),44666.0)</f>
        <v>44666</v>
      </c>
      <c r="I916" s="100">
        <f>IFERROR(__xludf.DUMMYFUNCTION("""COMPUTED_VALUE"""),0.9)</f>
        <v>0.9</v>
      </c>
      <c r="J916" s="96" t="str">
        <f>IFERROR(__xludf.DUMMYFUNCTION("""COMPUTED_VALUE"""),"M.B.Rani")</f>
        <v>M.B.Rani</v>
      </c>
      <c r="K916" s="101" t="str">
        <f>IFERROR(__xludf.DUMMYFUNCTION("""COMPUTED_VALUE"""),"https://drive.google.com/open?id=18vRIz0WAyIBs_03-Z_J3YMFZmycFxZso")</f>
        <v>https://drive.google.com/open?id=18vRIz0WAyIBs_03-Z_J3YMFZmycFxZso</v>
      </c>
      <c r="L916" s="96" t="str">
        <f>IFERROR(__xludf.DUMMYFUNCTION("""COMPUTED_VALUE"""),"2019-2023")</f>
        <v>2019-2023</v>
      </c>
      <c r="M916" s="96" t="str">
        <f>IFERROR(__xludf.DUMMYFUNCTION("""COMPUTED_VALUE"""),"S4: Student Certifications")</f>
        <v>S4: Student Certifications</v>
      </c>
      <c r="N916" s="96" t="str">
        <f>IFERROR(__xludf.DUMMYFUNCTION("""COMPUTED_VALUE"""),"siripurapusandhya15@gmail.com")</f>
        <v>siripurapusandhya15@gmail.com</v>
      </c>
      <c r="O916" s="96" t="str">
        <f>IFERROR(__xludf.DUMMYFUNCTION("""COMPUTED_VALUE"""),"SEM-6")</f>
        <v>SEM-6</v>
      </c>
      <c r="P916" s="96"/>
      <c r="Q916" s="96"/>
      <c r="R916" s="96"/>
      <c r="S916" s="96"/>
      <c r="T916" s="96"/>
      <c r="U916" s="96"/>
      <c r="V916" s="96"/>
      <c r="W916" s="96"/>
      <c r="X916" s="96"/>
      <c r="Y916" s="96"/>
    </row>
    <row r="917" ht="26.25" customHeight="1">
      <c r="A917" s="74" t="str">
        <f>IFERROR(__xludf.DUMMYFUNCTION("""COMPUTED_VALUE"""),"SAI RISHITHA GORANTLA")</f>
        <v>SAI RISHITHA GORANTLA</v>
      </c>
      <c r="B917" s="74" t="str">
        <f>IFERROR(__xludf.DUMMYFUNCTION("""COMPUTED_VALUE"""),"19331A0555")</f>
        <v>19331A0555</v>
      </c>
      <c r="C917" s="90" t="str">
        <f>IFERROR(__xludf.DUMMYFUNCTION("""COMPUTED_VALUE"""),"CCNAv7: Switching, Routing, and Wireless Essentials")</f>
        <v>CCNAv7: Switching, Routing, and Wireless Essentials</v>
      </c>
      <c r="D917" s="74" t="str">
        <f>IFERROR(__xludf.DUMMYFUNCTION("""COMPUTED_VALUE"""),"Cisco NetAcad")</f>
        <v>Cisco NetAcad</v>
      </c>
      <c r="E917" s="74" t="str">
        <f>IFERROR(__xludf.DUMMYFUNCTION("""COMPUTED_VALUE"""),"2 months")</f>
        <v>2 months</v>
      </c>
      <c r="F917" s="91">
        <f>IFERROR(__xludf.DUMMYFUNCTION("""COMPUTED_VALUE"""),44548.0)</f>
        <v>44548</v>
      </c>
      <c r="G917" s="91">
        <f>IFERROR(__xludf.DUMMYFUNCTION("""COMPUTED_VALUE"""),44604.0)</f>
        <v>44604</v>
      </c>
      <c r="H917" s="79">
        <f>IFERROR(__xludf.DUMMYFUNCTION("""COMPUTED_VALUE"""),44604.0)</f>
        <v>44604</v>
      </c>
      <c r="I917" s="92">
        <f>IFERROR(__xludf.DUMMYFUNCTION("""COMPUTED_VALUE"""),0.83)</f>
        <v>0.83</v>
      </c>
      <c r="J917" s="74" t="str">
        <f>IFERROR(__xludf.DUMMYFUNCTION("""COMPUTED_VALUE"""),"DR. RAVI KIRAN VARMA PENMATSA")</f>
        <v>DR. RAVI KIRAN VARMA PENMATSA</v>
      </c>
      <c r="K917" s="80" t="str">
        <f>IFERROR(__xludf.DUMMYFUNCTION("""COMPUTED_VALUE"""),"https://drive.google.com/open?id=1o5L56N-uBJOAn3PnEqLZBrVOOxD7fUe2")</f>
        <v>https://drive.google.com/open?id=1o5L56N-uBJOAn3PnEqLZBrVOOxD7fUe2</v>
      </c>
      <c r="L917" s="74" t="str">
        <f>IFERROR(__xludf.DUMMYFUNCTION("""COMPUTED_VALUE"""),"2019-2023")</f>
        <v>2019-2023</v>
      </c>
      <c r="M917" s="74" t="str">
        <f>IFERROR(__xludf.DUMMYFUNCTION("""COMPUTED_VALUE"""),"S4: Student Certifications")</f>
        <v>S4: Student Certifications</v>
      </c>
      <c r="N917" s="74" t="str">
        <f>IFERROR(__xludf.DUMMYFUNCTION("""COMPUTED_VALUE"""),"rishithagorantla23@gmail.com")</f>
        <v>rishithagorantla23@gmail.com</v>
      </c>
      <c r="O917" s="74" t="str">
        <f>IFERROR(__xludf.DUMMYFUNCTION("""COMPUTED_VALUE"""),"SEM-6")</f>
        <v>SEM-6</v>
      </c>
      <c r="P917" s="74"/>
      <c r="Q917" s="74"/>
      <c r="R917" s="74"/>
      <c r="S917" s="74"/>
      <c r="T917" s="74"/>
      <c r="U917" s="74"/>
      <c r="V917" s="74"/>
      <c r="W917" s="74"/>
      <c r="X917" s="74"/>
      <c r="Y917" s="74"/>
    </row>
    <row r="918" ht="26.25" customHeight="1">
      <c r="A918" s="74" t="str">
        <f>IFERROR(__xludf.DUMMYFUNCTION("""COMPUTED_VALUE"""),"A A S N NISHANTH VARMA PUSAPATI")</f>
        <v>A A S N NISHANTH VARMA PUSAPATI</v>
      </c>
      <c r="B918" s="74" t="str">
        <f>IFERROR(__xludf.DUMMYFUNCTION("""COMPUTED_VALUE"""),"19331A0501")</f>
        <v>19331A0501</v>
      </c>
      <c r="C918" s="90" t="str">
        <f>IFERROR(__xludf.DUMMYFUNCTION("""COMPUTED_VALUE"""),"CCNAv7: Switching, Routing, and Wireless Essentials")</f>
        <v>CCNAv7: Switching, Routing, and Wireless Essentials</v>
      </c>
      <c r="D918" s="74" t="str">
        <f>IFERROR(__xludf.DUMMYFUNCTION("""COMPUTED_VALUE"""),"CISCO NetAcad")</f>
        <v>CISCO NetAcad</v>
      </c>
      <c r="E918" s="74" t="str">
        <f>IFERROR(__xludf.DUMMYFUNCTION("""COMPUTED_VALUE"""),"2 months")</f>
        <v>2 months</v>
      </c>
      <c r="F918" s="91">
        <f>IFERROR(__xludf.DUMMYFUNCTION("""COMPUTED_VALUE"""),44548.0)</f>
        <v>44548</v>
      </c>
      <c r="G918" s="91">
        <f>IFERROR(__xludf.DUMMYFUNCTION("""COMPUTED_VALUE"""),44604.0)</f>
        <v>44604</v>
      </c>
      <c r="H918" s="79">
        <f>IFERROR(__xludf.DUMMYFUNCTION("""COMPUTED_VALUE"""),44604.0)</f>
        <v>44604</v>
      </c>
      <c r="I918" s="92">
        <f>IFERROR(__xludf.DUMMYFUNCTION("""COMPUTED_VALUE"""),0.8)</f>
        <v>0.8</v>
      </c>
      <c r="J918" s="74" t="str">
        <f>IFERROR(__xludf.DUMMYFUNCTION("""COMPUTED_VALUE"""),"DR. RAVI KIRAN VARMA PENMATSA")</f>
        <v>DR. RAVI KIRAN VARMA PENMATSA</v>
      </c>
      <c r="K918" s="80" t="str">
        <f>IFERROR(__xludf.DUMMYFUNCTION("""COMPUTED_VALUE"""),"https://drive.google.com/open?id=1PQfj5MLNmnYdXLSwF_WkAbo76iT3uKMk")</f>
        <v>https://drive.google.com/open?id=1PQfj5MLNmnYdXLSwF_WkAbo76iT3uKMk</v>
      </c>
      <c r="L918" s="74" t="str">
        <f>IFERROR(__xludf.DUMMYFUNCTION("""COMPUTED_VALUE"""),"2019-2023")</f>
        <v>2019-2023</v>
      </c>
      <c r="M918" s="74" t="str">
        <f>IFERROR(__xludf.DUMMYFUNCTION("""COMPUTED_VALUE"""),"S4: Student Certifications")</f>
        <v>S4: Student Certifications</v>
      </c>
      <c r="N918" s="74" t="str">
        <f>IFERROR(__xludf.DUMMYFUNCTION("""COMPUTED_VALUE"""),"nishanthvarma14819@gmail.com")</f>
        <v>nishanthvarma14819@gmail.com</v>
      </c>
      <c r="O918" s="74" t="str">
        <f>IFERROR(__xludf.DUMMYFUNCTION("""COMPUTED_VALUE"""),"SEM-6")</f>
        <v>SEM-6</v>
      </c>
      <c r="P918" s="74"/>
      <c r="Q918" s="74"/>
      <c r="R918" s="74"/>
      <c r="S918" s="74"/>
      <c r="T918" s="74"/>
      <c r="U918" s="74"/>
      <c r="V918" s="74"/>
      <c r="W918" s="74"/>
      <c r="X918" s="74"/>
      <c r="Y918" s="74"/>
    </row>
    <row r="919" ht="26.25" customHeight="1">
      <c r="A919" s="74" t="str">
        <f>IFERROR(__xludf.DUMMYFUNCTION("""COMPUTED_VALUE"""),"A A S N NISHANTH VARMA PUSAPATI")</f>
        <v>A A S N NISHANTH VARMA PUSAPATI</v>
      </c>
      <c r="B919" s="74" t="str">
        <f>IFERROR(__xludf.DUMMYFUNCTION("""COMPUTED_VALUE"""),"19331A0501")</f>
        <v>19331A0501</v>
      </c>
      <c r="C919" s="90" t="str">
        <f>IFERROR(__xludf.DUMMYFUNCTION("""COMPUTED_VALUE"""),"PCAP: Programming Essentials in Python")</f>
        <v>PCAP: Programming Essentials in Python</v>
      </c>
      <c r="D919" s="74" t="str">
        <f>IFERROR(__xludf.DUMMYFUNCTION("""COMPUTED_VALUE"""),"CISCO NetAcad")</f>
        <v>CISCO NetAcad</v>
      </c>
      <c r="E919" s="74" t="str">
        <f>IFERROR(__xludf.DUMMYFUNCTION("""COMPUTED_VALUE"""),"2 months")</f>
        <v>2 months</v>
      </c>
      <c r="F919" s="91">
        <f>IFERROR(__xludf.DUMMYFUNCTION("""COMPUTED_VALUE"""),44188.0)</f>
        <v>44188</v>
      </c>
      <c r="G919" s="91">
        <f>IFERROR(__xludf.DUMMYFUNCTION("""COMPUTED_VALUE"""),44255.0)</f>
        <v>44255</v>
      </c>
      <c r="H919" s="79">
        <f>IFERROR(__xludf.DUMMYFUNCTION("""COMPUTED_VALUE"""),44255.0)</f>
        <v>44255</v>
      </c>
      <c r="I919" s="92">
        <f>IFERROR(__xludf.DUMMYFUNCTION("""COMPUTED_VALUE"""),0.8)</f>
        <v>0.8</v>
      </c>
      <c r="J919" s="74" t="str">
        <f>IFERROR(__xludf.DUMMYFUNCTION("""COMPUTED_VALUE"""),"JAYASRI SAI VENKATA ANGARA")</f>
        <v>JAYASRI SAI VENKATA ANGARA</v>
      </c>
      <c r="K919" s="80" t="str">
        <f>IFERROR(__xludf.DUMMYFUNCTION("""COMPUTED_VALUE"""),"https://drive.google.com/open?id=1wwWfjnV0lYOC-OQpwDrX9ovAfRpv39hs")</f>
        <v>https://drive.google.com/open?id=1wwWfjnV0lYOC-OQpwDrX9ovAfRpv39hs</v>
      </c>
      <c r="L919" s="74" t="str">
        <f>IFERROR(__xludf.DUMMYFUNCTION("""COMPUTED_VALUE"""),"2019-2023")</f>
        <v>2019-2023</v>
      </c>
      <c r="M919" s="74" t="str">
        <f>IFERROR(__xludf.DUMMYFUNCTION("""COMPUTED_VALUE"""),"S4: Student Certifications")</f>
        <v>S4: Student Certifications</v>
      </c>
      <c r="N919" s="74" t="str">
        <f>IFERROR(__xludf.DUMMYFUNCTION("""COMPUTED_VALUE"""),"nishanthvarma14819@gmail.com")</f>
        <v>nishanthvarma14819@gmail.com</v>
      </c>
      <c r="O919" s="74" t="str">
        <f>IFERROR(__xludf.DUMMYFUNCTION("""COMPUTED_VALUE"""),"SEM-6")</f>
        <v>SEM-6</v>
      </c>
      <c r="P919" s="74"/>
      <c r="Q919" s="74"/>
      <c r="R919" s="74"/>
      <c r="S919" s="74"/>
      <c r="T919" s="74"/>
      <c r="U919" s="74"/>
      <c r="V919" s="74"/>
      <c r="W919" s="74"/>
      <c r="X919" s="74"/>
      <c r="Y919" s="74"/>
    </row>
    <row r="920" ht="26.25" customHeight="1">
      <c r="A920" s="74" t="str">
        <f>IFERROR(__xludf.DUMMYFUNCTION("""COMPUTED_VALUE"""),"SAI RISHITHA GORANTLA")</f>
        <v>SAI RISHITHA GORANTLA</v>
      </c>
      <c r="B920" s="74" t="str">
        <f>IFERROR(__xludf.DUMMYFUNCTION("""COMPUTED_VALUE"""),"19331A0555")</f>
        <v>19331A0555</v>
      </c>
      <c r="C920" s="90" t="str">
        <f>IFERROR(__xludf.DUMMYFUNCTION("""COMPUTED_VALUE"""),"Introduction to Cybersecurity")</f>
        <v>Introduction to Cybersecurity</v>
      </c>
      <c r="D920" s="74" t="str">
        <f>IFERROR(__xludf.DUMMYFUNCTION("""COMPUTED_VALUE"""),"Palo Alto Beacons")</f>
        <v>Palo Alto Beacons</v>
      </c>
      <c r="E920" s="74" t="str">
        <f>IFERROR(__xludf.DUMMYFUNCTION("""COMPUTED_VALUE"""),"2 weeks")</f>
        <v>2 weeks</v>
      </c>
      <c r="F920" s="91">
        <f>IFERROR(__xludf.DUMMYFUNCTION("""COMPUTED_VALUE"""),44652.0)</f>
        <v>44652</v>
      </c>
      <c r="G920" s="91">
        <f>IFERROR(__xludf.DUMMYFUNCTION("""COMPUTED_VALUE"""),44666.0)</f>
        <v>44666</v>
      </c>
      <c r="H920" s="79">
        <f>IFERROR(__xludf.DUMMYFUNCTION("""COMPUTED_VALUE"""),44666.0)</f>
        <v>44666</v>
      </c>
      <c r="I920" s="92">
        <f>IFERROR(__xludf.DUMMYFUNCTION("""COMPUTED_VALUE"""),1.0)</f>
        <v>1</v>
      </c>
      <c r="J920" s="74" t="str">
        <f>IFERROR(__xludf.DUMMYFUNCTION("""COMPUTED_VALUE"""),"DR. RAVI KIRAN VARMA PENMATSA")</f>
        <v>DR. RAVI KIRAN VARMA PENMATSA</v>
      </c>
      <c r="K920" s="80" t="str">
        <f>IFERROR(__xludf.DUMMYFUNCTION("""COMPUTED_VALUE"""),"https://drive.google.com/open?id=1IQqEGcch-_FnFhJXf6rj18lTL4iImNmK")</f>
        <v>https://drive.google.com/open?id=1IQqEGcch-_FnFhJXf6rj18lTL4iImNmK</v>
      </c>
      <c r="L920" s="74" t="str">
        <f>IFERROR(__xludf.DUMMYFUNCTION("""COMPUTED_VALUE"""),"2019-2023")</f>
        <v>2019-2023</v>
      </c>
      <c r="M920" s="74" t="str">
        <f>IFERROR(__xludf.DUMMYFUNCTION("""COMPUTED_VALUE"""),"S4: Student Certifications")</f>
        <v>S4: Student Certifications</v>
      </c>
      <c r="N920" s="74" t="str">
        <f>IFERROR(__xludf.DUMMYFUNCTION("""COMPUTED_VALUE"""),"rishithagorantla23@gmail.com")</f>
        <v>rishithagorantla23@gmail.com</v>
      </c>
      <c r="O920" s="74" t="str">
        <f>IFERROR(__xludf.DUMMYFUNCTION("""COMPUTED_VALUE"""),"SEM-6")</f>
        <v>SEM-6</v>
      </c>
      <c r="P920" s="74"/>
      <c r="Q920" s="74"/>
      <c r="R920" s="74"/>
      <c r="S920" s="74"/>
      <c r="T920" s="74"/>
      <c r="U920" s="74"/>
      <c r="V920" s="74"/>
      <c r="W920" s="74"/>
      <c r="X920" s="74"/>
      <c r="Y920" s="74"/>
    </row>
    <row r="921" ht="26.25" customHeight="1">
      <c r="A921" s="74" t="str">
        <f>IFERROR(__xludf.DUMMYFUNCTION("""COMPUTED_VALUE"""),"A A S N NISHANTH VARMA PUSAPATI")</f>
        <v>A A S N NISHANTH VARMA PUSAPATI</v>
      </c>
      <c r="B921" s="74" t="str">
        <f>IFERROR(__xludf.DUMMYFUNCTION("""COMPUTED_VALUE"""),"19331A0501")</f>
        <v>19331A0501</v>
      </c>
      <c r="C921" s="90" t="str">
        <f>IFERROR(__xludf.DUMMYFUNCTION("""COMPUTED_VALUE"""),"Work Smarter, Not Harder: Time Management for Personal &amp; Professional Productivity")</f>
        <v>Work Smarter, Not Harder: Time Management for Personal &amp; Professional Productivity</v>
      </c>
      <c r="D921" s="74" t="str">
        <f>IFERROR(__xludf.DUMMYFUNCTION("""COMPUTED_VALUE"""),"Coursera")</f>
        <v>Coursera</v>
      </c>
      <c r="E921" s="74" t="str">
        <f>IFERROR(__xludf.DUMMYFUNCTION("""COMPUTED_VALUE"""),"4 weeks")</f>
        <v>4 weeks</v>
      </c>
      <c r="F921" s="91">
        <f>IFERROR(__xludf.DUMMYFUNCTION("""COMPUTED_VALUE"""),44021.0)</f>
        <v>44021</v>
      </c>
      <c r="G921" s="91">
        <f>IFERROR(__xludf.DUMMYFUNCTION("""COMPUTED_VALUE"""),44049.0)</f>
        <v>44049</v>
      </c>
      <c r="H921" s="79">
        <f>IFERROR(__xludf.DUMMYFUNCTION("""COMPUTED_VALUE"""),44049.0)</f>
        <v>44049</v>
      </c>
      <c r="I921" s="92">
        <f>IFERROR(__xludf.DUMMYFUNCTION("""COMPUTED_VALUE"""),0.95)</f>
        <v>0.95</v>
      </c>
      <c r="J921" s="74" t="str">
        <f>IFERROR(__xludf.DUMMYFUNCTION("""COMPUTED_VALUE"""),"None")</f>
        <v>None</v>
      </c>
      <c r="K921" s="80" t="str">
        <f>IFERROR(__xludf.DUMMYFUNCTION("""COMPUTED_VALUE"""),"https://drive.google.com/open?id=12tvC_N49DvnGCVE204IszR8wxp8hO4Qi")</f>
        <v>https://drive.google.com/open?id=12tvC_N49DvnGCVE204IszR8wxp8hO4Qi</v>
      </c>
      <c r="L921" s="74" t="str">
        <f>IFERROR(__xludf.DUMMYFUNCTION("""COMPUTED_VALUE"""),"2019-2023")</f>
        <v>2019-2023</v>
      </c>
      <c r="M921" s="74" t="str">
        <f>IFERROR(__xludf.DUMMYFUNCTION("""COMPUTED_VALUE"""),"S4: Student Certifications")</f>
        <v>S4: Student Certifications</v>
      </c>
      <c r="N921" s="74" t="str">
        <f>IFERROR(__xludf.DUMMYFUNCTION("""COMPUTED_VALUE"""),"nishanthvarma14819@gmail.com")</f>
        <v>nishanthvarma14819@gmail.com</v>
      </c>
      <c r="O921" s="74" t="str">
        <f>IFERROR(__xludf.DUMMYFUNCTION("""COMPUTED_VALUE"""),"SEM-6")</f>
        <v>SEM-6</v>
      </c>
      <c r="P921" s="74"/>
      <c r="Q921" s="74"/>
      <c r="R921" s="74"/>
      <c r="S921" s="74"/>
      <c r="T921" s="74"/>
      <c r="U921" s="74"/>
      <c r="V921" s="74"/>
      <c r="W921" s="74"/>
      <c r="X921" s="74"/>
      <c r="Y921" s="74"/>
    </row>
    <row r="922" ht="26.25" customHeight="1">
      <c r="A922" s="74" t="str">
        <f>IFERROR(__xludf.DUMMYFUNCTION("""COMPUTED_VALUE"""),"SAI RISHITHA GORANTLA")</f>
        <v>SAI RISHITHA GORANTLA</v>
      </c>
      <c r="B922" s="74" t="str">
        <f>IFERROR(__xludf.DUMMYFUNCTION("""COMPUTED_VALUE"""),"19331A0555")</f>
        <v>19331A0555</v>
      </c>
      <c r="C922" s="90" t="str">
        <f>IFERROR(__xludf.DUMMYFUNCTION("""COMPUTED_VALUE"""),"The Bits and Bytes of Computer Networking")</f>
        <v>The Bits and Bytes of Computer Networking</v>
      </c>
      <c r="D922" s="74" t="str">
        <f>IFERROR(__xludf.DUMMYFUNCTION("""COMPUTED_VALUE"""),"Google")</f>
        <v>Google</v>
      </c>
      <c r="E922" s="74" t="str">
        <f>IFERROR(__xludf.DUMMYFUNCTION("""COMPUTED_VALUE"""),"1 month")</f>
        <v>1 month</v>
      </c>
      <c r="F922" s="91">
        <f>IFERROR(__xludf.DUMMYFUNCTION("""COMPUTED_VALUE"""),44051.0)</f>
        <v>44051</v>
      </c>
      <c r="G922" s="91">
        <f>IFERROR(__xludf.DUMMYFUNCTION("""COMPUTED_VALUE"""),44082.0)</f>
        <v>44082</v>
      </c>
      <c r="H922" s="79">
        <f>IFERROR(__xludf.DUMMYFUNCTION("""COMPUTED_VALUE"""),44082.0)</f>
        <v>44082</v>
      </c>
      <c r="I922" s="92">
        <f>IFERROR(__xludf.DUMMYFUNCTION("""COMPUTED_VALUE"""),0.95)</f>
        <v>0.95</v>
      </c>
      <c r="J922" s="74" t="str">
        <f>IFERROR(__xludf.DUMMYFUNCTION("""COMPUTED_VALUE"""),"None")</f>
        <v>None</v>
      </c>
      <c r="K922" s="80" t="str">
        <f>IFERROR(__xludf.DUMMYFUNCTION("""COMPUTED_VALUE"""),"https://drive.google.com/open?id=1ykIfcaq5frJHaMuX0SOdPDuv9eK5Txk7")</f>
        <v>https://drive.google.com/open?id=1ykIfcaq5frJHaMuX0SOdPDuv9eK5Txk7</v>
      </c>
      <c r="L922" s="74" t="str">
        <f>IFERROR(__xludf.DUMMYFUNCTION("""COMPUTED_VALUE"""),"2019-2023")</f>
        <v>2019-2023</v>
      </c>
      <c r="M922" s="74" t="str">
        <f>IFERROR(__xludf.DUMMYFUNCTION("""COMPUTED_VALUE"""),"S4: Student Certifications")</f>
        <v>S4: Student Certifications</v>
      </c>
      <c r="N922" s="74" t="str">
        <f>IFERROR(__xludf.DUMMYFUNCTION("""COMPUTED_VALUE"""),"rishithagorantla23@gmail.com")</f>
        <v>rishithagorantla23@gmail.com</v>
      </c>
      <c r="O922" s="74" t="str">
        <f>IFERROR(__xludf.DUMMYFUNCTION("""COMPUTED_VALUE"""),"SEM-6")</f>
        <v>SEM-6</v>
      </c>
      <c r="P922" s="74"/>
      <c r="Q922" s="74"/>
      <c r="R922" s="74"/>
      <c r="S922" s="74"/>
      <c r="T922" s="74"/>
      <c r="U922" s="74"/>
      <c r="V922" s="74"/>
      <c r="W922" s="74"/>
      <c r="X922" s="74"/>
      <c r="Y922" s="74"/>
    </row>
    <row r="923" ht="26.25" customHeight="1">
      <c r="A923" s="74" t="str">
        <f>IFERROR(__xludf.DUMMYFUNCTION("""COMPUTED_VALUE"""),"A A S N NISHANTH VARMA PUSAPATI")</f>
        <v>A A S N NISHANTH VARMA PUSAPATI</v>
      </c>
      <c r="B923" s="74" t="str">
        <f>IFERROR(__xludf.DUMMYFUNCTION("""COMPUTED_VALUE"""),"19331A0501")</f>
        <v>19331A0501</v>
      </c>
      <c r="C923" s="90" t="str">
        <f>IFERROR(__xludf.DUMMYFUNCTION("""COMPUTED_VALUE"""),"C for Everyone: Programming Fundamentals")</f>
        <v>C for Everyone: Programming Fundamentals</v>
      </c>
      <c r="D923" s="74" t="str">
        <f>IFERROR(__xludf.DUMMYFUNCTION("""COMPUTED_VALUE"""),"Coursera")</f>
        <v>Coursera</v>
      </c>
      <c r="E923" s="74" t="str">
        <f>IFERROR(__xludf.DUMMYFUNCTION("""COMPUTED_VALUE"""),"5 weeks")</f>
        <v>5 weeks</v>
      </c>
      <c r="F923" s="91">
        <f>IFERROR(__xludf.DUMMYFUNCTION("""COMPUTED_VALUE"""),43942.0)</f>
        <v>43942</v>
      </c>
      <c r="G923" s="91">
        <f>IFERROR(__xludf.DUMMYFUNCTION("""COMPUTED_VALUE"""),43977.0)</f>
        <v>43977</v>
      </c>
      <c r="H923" s="79">
        <f>IFERROR(__xludf.DUMMYFUNCTION("""COMPUTED_VALUE"""),43977.0)</f>
        <v>43977</v>
      </c>
      <c r="I923" s="92">
        <f>IFERROR(__xludf.DUMMYFUNCTION("""COMPUTED_VALUE"""),0.85)</f>
        <v>0.85</v>
      </c>
      <c r="J923" s="74" t="str">
        <f>IFERROR(__xludf.DUMMYFUNCTION("""COMPUTED_VALUE"""),"None")</f>
        <v>None</v>
      </c>
      <c r="K923" s="80" t="str">
        <f>IFERROR(__xludf.DUMMYFUNCTION("""COMPUTED_VALUE"""),"https://drive.google.com/open?id=1khlv-1t0-jS96lhrqP-wFxpBzTDEGUL8")</f>
        <v>https://drive.google.com/open?id=1khlv-1t0-jS96lhrqP-wFxpBzTDEGUL8</v>
      </c>
      <c r="L923" s="74" t="str">
        <f>IFERROR(__xludf.DUMMYFUNCTION("""COMPUTED_VALUE"""),"2019-2023")</f>
        <v>2019-2023</v>
      </c>
      <c r="M923" s="74" t="str">
        <f>IFERROR(__xludf.DUMMYFUNCTION("""COMPUTED_VALUE"""),"S4: Student Certifications")</f>
        <v>S4: Student Certifications</v>
      </c>
      <c r="N923" s="74" t="str">
        <f>IFERROR(__xludf.DUMMYFUNCTION("""COMPUTED_VALUE"""),"nishanthvarma14819@gmail.com")</f>
        <v>nishanthvarma14819@gmail.com</v>
      </c>
      <c r="O923" s="74" t="str">
        <f>IFERROR(__xludf.DUMMYFUNCTION("""COMPUTED_VALUE"""),"SEM-6")</f>
        <v>SEM-6</v>
      </c>
      <c r="P923" s="74"/>
      <c r="Q923" s="74"/>
      <c r="R923" s="74"/>
      <c r="S923" s="74"/>
      <c r="T923" s="74"/>
      <c r="U923" s="74"/>
      <c r="V923" s="74"/>
      <c r="W923" s="74"/>
      <c r="X923" s="74"/>
      <c r="Y923" s="74"/>
    </row>
    <row r="924" ht="26.25" customHeight="1">
      <c r="A924" s="74" t="str">
        <f>IFERROR(__xludf.DUMMYFUNCTION("""COMPUTED_VALUE"""),"SAI RISHITHA GORANTLA")</f>
        <v>SAI RISHITHA GORANTLA</v>
      </c>
      <c r="B924" s="74" t="str">
        <f>IFERROR(__xludf.DUMMYFUNCTION("""COMPUTED_VALUE"""),"19331A0555")</f>
        <v>19331A0555</v>
      </c>
      <c r="C924" s="90" t="str">
        <f>IFERROR(__xludf.DUMMYFUNCTION("""COMPUTED_VALUE"""),"JavaScipt Essentials 1 (JSE)")</f>
        <v>JavaScipt Essentials 1 (JSE)</v>
      </c>
      <c r="D924" s="74" t="str">
        <f>IFERROR(__xludf.DUMMYFUNCTION("""COMPUTED_VALUE"""),"Cisco NetAcad")</f>
        <v>Cisco NetAcad</v>
      </c>
      <c r="E924" s="74" t="str">
        <f>IFERROR(__xludf.DUMMYFUNCTION("""COMPUTED_VALUE"""),"3 months")</f>
        <v>3 months</v>
      </c>
      <c r="F924" s="91">
        <f>IFERROR(__xludf.DUMMYFUNCTION("""COMPUTED_VALUE"""),44574.0)</f>
        <v>44574</v>
      </c>
      <c r="G924" s="91">
        <f>IFERROR(__xludf.DUMMYFUNCTION("""COMPUTED_VALUE"""),44667.0)</f>
        <v>44667</v>
      </c>
      <c r="H924" s="79">
        <f>IFERROR(__xludf.DUMMYFUNCTION("""COMPUTED_VALUE"""),44667.0)</f>
        <v>44667</v>
      </c>
      <c r="I924" s="92">
        <f>IFERROR(__xludf.DUMMYFUNCTION("""COMPUTED_VALUE"""),0.83)</f>
        <v>0.83</v>
      </c>
      <c r="J924" s="74" t="str">
        <f>IFERROR(__xludf.DUMMYFUNCTION("""COMPUTED_VALUE"""),"Subba Raju K V")</f>
        <v>Subba Raju K V</v>
      </c>
      <c r="K924" s="80" t="str">
        <f>IFERROR(__xludf.DUMMYFUNCTION("""COMPUTED_VALUE"""),"https://drive.google.com/open?id=108EVeCom5z382Fm1MZ-n5cndHEwzQKZz")</f>
        <v>https://drive.google.com/open?id=108EVeCom5z382Fm1MZ-n5cndHEwzQKZz</v>
      </c>
      <c r="L924" s="74" t="str">
        <f>IFERROR(__xludf.DUMMYFUNCTION("""COMPUTED_VALUE"""),"2019-2023")</f>
        <v>2019-2023</v>
      </c>
      <c r="M924" s="74" t="str">
        <f>IFERROR(__xludf.DUMMYFUNCTION("""COMPUTED_VALUE"""),"S4: Student Certifications")</f>
        <v>S4: Student Certifications</v>
      </c>
      <c r="N924" s="74" t="str">
        <f>IFERROR(__xludf.DUMMYFUNCTION("""COMPUTED_VALUE"""),"rishithagorantla23@gmail.com")</f>
        <v>rishithagorantla23@gmail.com</v>
      </c>
      <c r="O924" s="74" t="str">
        <f>IFERROR(__xludf.DUMMYFUNCTION("""COMPUTED_VALUE"""),"SEM-6")</f>
        <v>SEM-6</v>
      </c>
      <c r="P924" s="74"/>
      <c r="Q924" s="74"/>
      <c r="R924" s="74"/>
      <c r="S924" s="74"/>
      <c r="T924" s="74"/>
      <c r="U924" s="74"/>
      <c r="V924" s="74"/>
      <c r="W924" s="74"/>
      <c r="X924" s="74"/>
      <c r="Y924" s="74"/>
    </row>
    <row r="925" ht="26.25" customHeight="1">
      <c r="A925" s="74" t="str">
        <f>IFERROR(__xludf.DUMMYFUNCTION("""COMPUTED_VALUE"""),"SAI RISHITHA GORANTLA")</f>
        <v>SAI RISHITHA GORANTLA</v>
      </c>
      <c r="B925" s="74" t="str">
        <f>IFERROR(__xludf.DUMMYFUNCTION("""COMPUTED_VALUE"""),"19331A0555")</f>
        <v>19331A0555</v>
      </c>
      <c r="C925" s="90" t="str">
        <f>IFERROR(__xludf.DUMMYFUNCTION("""COMPUTED_VALUE"""),"Introduction to HTML5")</f>
        <v>Introduction to HTML5</v>
      </c>
      <c r="D925" s="74" t="str">
        <f>IFERROR(__xludf.DUMMYFUNCTION("""COMPUTED_VALUE"""),"University of MICHIGAN")</f>
        <v>University of MICHIGAN</v>
      </c>
      <c r="E925" s="74" t="str">
        <f>IFERROR(__xludf.DUMMYFUNCTION("""COMPUTED_VALUE"""),"1 month")</f>
        <v>1 month</v>
      </c>
      <c r="F925" s="91">
        <f>IFERROR(__xludf.DUMMYFUNCTION("""COMPUTED_VALUE"""),43997.0)</f>
        <v>43997</v>
      </c>
      <c r="G925" s="91">
        <f>IFERROR(__xludf.DUMMYFUNCTION("""COMPUTED_VALUE"""),44027.0)</f>
        <v>44027</v>
      </c>
      <c r="H925" s="79">
        <f>IFERROR(__xludf.DUMMYFUNCTION("""COMPUTED_VALUE"""),44027.0)</f>
        <v>44027</v>
      </c>
      <c r="I925" s="92">
        <f>IFERROR(__xludf.DUMMYFUNCTION("""COMPUTED_VALUE"""),0.99)</f>
        <v>0.99</v>
      </c>
      <c r="J925" s="74" t="str">
        <f>IFERROR(__xludf.DUMMYFUNCTION("""COMPUTED_VALUE"""),"None")</f>
        <v>None</v>
      </c>
      <c r="K925" s="80" t="str">
        <f>IFERROR(__xludf.DUMMYFUNCTION("""COMPUTED_VALUE"""),"https://drive.google.com/open?id=1Vex8qYcLrNMxoUbTsHjGMHwgx2IUrYzM")</f>
        <v>https://drive.google.com/open?id=1Vex8qYcLrNMxoUbTsHjGMHwgx2IUrYzM</v>
      </c>
      <c r="L925" s="74" t="str">
        <f>IFERROR(__xludf.DUMMYFUNCTION("""COMPUTED_VALUE"""),"2019-2023")</f>
        <v>2019-2023</v>
      </c>
      <c r="M925" s="74" t="str">
        <f>IFERROR(__xludf.DUMMYFUNCTION("""COMPUTED_VALUE"""),"S4: Student Certifications")</f>
        <v>S4: Student Certifications</v>
      </c>
      <c r="N925" s="74" t="str">
        <f>IFERROR(__xludf.DUMMYFUNCTION("""COMPUTED_VALUE"""),"rishithagorantla23@gmail.com")</f>
        <v>rishithagorantla23@gmail.com</v>
      </c>
      <c r="O925" s="74" t="str">
        <f>IFERROR(__xludf.DUMMYFUNCTION("""COMPUTED_VALUE"""),"SEM-6")</f>
        <v>SEM-6</v>
      </c>
      <c r="P925" s="74"/>
      <c r="Q925" s="74"/>
      <c r="R925" s="74"/>
      <c r="S925" s="74"/>
      <c r="T925" s="74"/>
      <c r="U925" s="74"/>
      <c r="V925" s="74"/>
      <c r="W925" s="74"/>
      <c r="X925" s="74"/>
      <c r="Y925" s="74"/>
    </row>
    <row r="926" ht="26.25" customHeight="1">
      <c r="A926" s="74" t="str">
        <f>IFERROR(__xludf.DUMMYFUNCTION("""COMPUTED_VALUE"""),"SAI RISHITHA GORANTLA")</f>
        <v>SAI RISHITHA GORANTLA</v>
      </c>
      <c r="B926" s="74" t="str">
        <f>IFERROR(__xludf.DUMMYFUNCTION("""COMPUTED_VALUE"""),"19331A0555")</f>
        <v>19331A0555</v>
      </c>
      <c r="C926" s="90" t="str">
        <f>IFERROR(__xludf.DUMMYFUNCTION("""COMPUTED_VALUE"""),"Introduction to CSS3")</f>
        <v>Introduction to CSS3</v>
      </c>
      <c r="D926" s="74" t="str">
        <f>IFERROR(__xludf.DUMMYFUNCTION("""COMPUTED_VALUE"""),"University of MICHIGAN")</f>
        <v>University of MICHIGAN</v>
      </c>
      <c r="E926" s="74" t="str">
        <f>IFERROR(__xludf.DUMMYFUNCTION("""COMPUTED_VALUE"""),"1 month")</f>
        <v>1 month</v>
      </c>
      <c r="F926" s="91">
        <f>IFERROR(__xludf.DUMMYFUNCTION("""COMPUTED_VALUE"""),44060.0)</f>
        <v>44060</v>
      </c>
      <c r="G926" s="91">
        <f>IFERROR(__xludf.DUMMYFUNCTION("""COMPUTED_VALUE"""),44091.0)</f>
        <v>44091</v>
      </c>
      <c r="H926" s="79">
        <f>IFERROR(__xludf.DUMMYFUNCTION("""COMPUTED_VALUE"""),44091.0)</f>
        <v>44091</v>
      </c>
      <c r="I926" s="92">
        <f>IFERROR(__xludf.DUMMYFUNCTION("""COMPUTED_VALUE"""),0.92)</f>
        <v>0.92</v>
      </c>
      <c r="J926" s="74" t="str">
        <f>IFERROR(__xludf.DUMMYFUNCTION("""COMPUTED_VALUE"""),"None")</f>
        <v>None</v>
      </c>
      <c r="K926" s="80" t="str">
        <f>IFERROR(__xludf.DUMMYFUNCTION("""COMPUTED_VALUE"""),"https://drive.google.com/open?id=1ixk-k6vRo0JG2WIMWr1EwOkn7JyVdn6H")</f>
        <v>https://drive.google.com/open?id=1ixk-k6vRo0JG2WIMWr1EwOkn7JyVdn6H</v>
      </c>
      <c r="L926" s="74" t="str">
        <f>IFERROR(__xludf.DUMMYFUNCTION("""COMPUTED_VALUE"""),"2019-2023")</f>
        <v>2019-2023</v>
      </c>
      <c r="M926" s="74" t="str">
        <f>IFERROR(__xludf.DUMMYFUNCTION("""COMPUTED_VALUE"""),"S4: Student Certifications")</f>
        <v>S4: Student Certifications</v>
      </c>
      <c r="N926" s="74" t="str">
        <f>IFERROR(__xludf.DUMMYFUNCTION("""COMPUTED_VALUE"""),"rishithagorantla23@gmail.com")</f>
        <v>rishithagorantla23@gmail.com</v>
      </c>
      <c r="O926" s="74" t="str">
        <f>IFERROR(__xludf.DUMMYFUNCTION("""COMPUTED_VALUE"""),"SEM-6")</f>
        <v>SEM-6</v>
      </c>
      <c r="P926" s="74"/>
      <c r="Q926" s="74"/>
      <c r="R926" s="74"/>
      <c r="S926" s="74"/>
      <c r="T926" s="74"/>
      <c r="U926" s="74"/>
      <c r="V926" s="74"/>
      <c r="W926" s="74"/>
      <c r="X926" s="74"/>
      <c r="Y926" s="74"/>
    </row>
    <row r="927" ht="26.25" customHeight="1">
      <c r="A927" s="74" t="str">
        <f>IFERROR(__xludf.DUMMYFUNCTION("""COMPUTED_VALUE"""),"SAI RISHITHA GORANTLA")</f>
        <v>SAI RISHITHA GORANTLA</v>
      </c>
      <c r="B927" s="74" t="str">
        <f>IFERROR(__xludf.DUMMYFUNCTION("""COMPUTED_VALUE"""),"19331A0555")</f>
        <v>19331A0555</v>
      </c>
      <c r="C927" s="90" t="str">
        <f>IFERROR(__xludf.DUMMYFUNCTION("""COMPUTED_VALUE"""),"Crash Course on Python")</f>
        <v>Crash Course on Python</v>
      </c>
      <c r="D927" s="74" t="str">
        <f>IFERROR(__xludf.DUMMYFUNCTION("""COMPUTED_VALUE"""),"Google")</f>
        <v>Google</v>
      </c>
      <c r="E927" s="74" t="str">
        <f>IFERROR(__xludf.DUMMYFUNCTION("""COMPUTED_VALUE"""),"2 months")</f>
        <v>2 months</v>
      </c>
      <c r="F927" s="91">
        <f>IFERROR(__xludf.DUMMYFUNCTION("""COMPUTED_VALUE"""),43959.0)</f>
        <v>43959</v>
      </c>
      <c r="G927" s="91">
        <f>IFERROR(__xludf.DUMMYFUNCTION("""COMPUTED_VALUE"""),44020.0)</f>
        <v>44020</v>
      </c>
      <c r="H927" s="79">
        <f>IFERROR(__xludf.DUMMYFUNCTION("""COMPUTED_VALUE"""),44020.0)</f>
        <v>44020</v>
      </c>
      <c r="I927" s="92">
        <f>IFERROR(__xludf.DUMMYFUNCTION("""COMPUTED_VALUE"""),0.89)</f>
        <v>0.89</v>
      </c>
      <c r="J927" s="74" t="str">
        <f>IFERROR(__xludf.DUMMYFUNCTION("""COMPUTED_VALUE"""),"None")</f>
        <v>None</v>
      </c>
      <c r="K927" s="80" t="str">
        <f>IFERROR(__xludf.DUMMYFUNCTION("""COMPUTED_VALUE"""),"https://drive.google.com/open?id=13wC2qGLJt7vaXnZAdSclX8qWr--17iWb")</f>
        <v>https://drive.google.com/open?id=13wC2qGLJt7vaXnZAdSclX8qWr--17iWb</v>
      </c>
      <c r="L927" s="74" t="str">
        <f>IFERROR(__xludf.DUMMYFUNCTION("""COMPUTED_VALUE"""),"2019-2023")</f>
        <v>2019-2023</v>
      </c>
      <c r="M927" s="74" t="str">
        <f>IFERROR(__xludf.DUMMYFUNCTION("""COMPUTED_VALUE"""),"S4: Student Certifications")</f>
        <v>S4: Student Certifications</v>
      </c>
      <c r="N927" s="74" t="str">
        <f>IFERROR(__xludf.DUMMYFUNCTION("""COMPUTED_VALUE"""),"rishithagorantla23@gmail.com")</f>
        <v>rishithagorantla23@gmail.com</v>
      </c>
      <c r="O927" s="74" t="str">
        <f>IFERROR(__xludf.DUMMYFUNCTION("""COMPUTED_VALUE"""),"SEM-6")</f>
        <v>SEM-6</v>
      </c>
      <c r="P927" s="74"/>
      <c r="Q927" s="74"/>
      <c r="R927" s="74"/>
      <c r="S927" s="74"/>
      <c r="T927" s="74"/>
      <c r="U927" s="74"/>
      <c r="V927" s="74"/>
      <c r="W927" s="74"/>
      <c r="X927" s="74"/>
      <c r="Y927" s="74"/>
    </row>
    <row r="928" ht="26.25" customHeight="1">
      <c r="A928" s="74" t="str">
        <f>IFERROR(__xludf.DUMMYFUNCTION("""COMPUTED_VALUE"""),"SAI RISHITHA GORANTLA")</f>
        <v>SAI RISHITHA GORANTLA</v>
      </c>
      <c r="B928" s="74" t="str">
        <f>IFERROR(__xludf.DUMMYFUNCTION("""COMPUTED_VALUE"""),"19331A0555")</f>
        <v>19331A0555</v>
      </c>
      <c r="C928" s="90" t="str">
        <f>IFERROR(__xludf.DUMMYFUNCTION("""COMPUTED_VALUE"""),"Introduction to Personal Branding")</f>
        <v>Introduction to Personal Branding</v>
      </c>
      <c r="D928" s="74" t="str">
        <f>IFERROR(__xludf.DUMMYFUNCTION("""COMPUTED_VALUE"""),"University of Virginia")</f>
        <v>University of Virginia</v>
      </c>
      <c r="E928" s="74" t="str">
        <f>IFERROR(__xludf.DUMMYFUNCTION("""COMPUTED_VALUE"""),"2 weeks")</f>
        <v>2 weeks</v>
      </c>
      <c r="F928" s="91">
        <f>IFERROR(__xludf.DUMMYFUNCTION("""COMPUTED_VALUE"""),44653.0)</f>
        <v>44653</v>
      </c>
      <c r="G928" s="91">
        <f>IFERROR(__xludf.DUMMYFUNCTION("""COMPUTED_VALUE"""),44667.0)</f>
        <v>44667</v>
      </c>
      <c r="H928" s="79">
        <f>IFERROR(__xludf.DUMMYFUNCTION("""COMPUTED_VALUE"""),44667.0)</f>
        <v>44667</v>
      </c>
      <c r="I928" s="92">
        <f>IFERROR(__xludf.DUMMYFUNCTION("""COMPUTED_VALUE"""),0.9)</f>
        <v>0.9</v>
      </c>
      <c r="J928" s="74" t="str">
        <f>IFERROR(__xludf.DUMMYFUNCTION("""COMPUTED_VALUE"""),"None")</f>
        <v>None</v>
      </c>
      <c r="K928" s="80" t="str">
        <f>IFERROR(__xludf.DUMMYFUNCTION("""COMPUTED_VALUE"""),"https://drive.google.com/open?id=1LJ3IZCpKKbviiUkqp3ffzi_6tp3E3tj5")</f>
        <v>https://drive.google.com/open?id=1LJ3IZCpKKbviiUkqp3ffzi_6tp3E3tj5</v>
      </c>
      <c r="L928" s="74" t="str">
        <f>IFERROR(__xludf.DUMMYFUNCTION("""COMPUTED_VALUE"""),"2019-2023")</f>
        <v>2019-2023</v>
      </c>
      <c r="M928" s="74" t="str">
        <f>IFERROR(__xludf.DUMMYFUNCTION("""COMPUTED_VALUE"""),"S4: Student Certifications")</f>
        <v>S4: Student Certifications</v>
      </c>
      <c r="N928" s="74" t="str">
        <f>IFERROR(__xludf.DUMMYFUNCTION("""COMPUTED_VALUE"""),"rishithagorantla23@gmail.com")</f>
        <v>rishithagorantla23@gmail.com</v>
      </c>
      <c r="O928" s="74" t="str">
        <f>IFERROR(__xludf.DUMMYFUNCTION("""COMPUTED_VALUE"""),"SEM-6")</f>
        <v>SEM-6</v>
      </c>
      <c r="P928" s="74"/>
      <c r="Q928" s="74"/>
      <c r="R928" s="74"/>
      <c r="S928" s="74"/>
      <c r="T928" s="74"/>
      <c r="U928" s="74"/>
      <c r="V928" s="74"/>
      <c r="W928" s="74"/>
      <c r="X928" s="74"/>
      <c r="Y928" s="74"/>
    </row>
    <row r="929" ht="26.25" customHeight="1">
      <c r="A929" s="74" t="str">
        <f>IFERROR(__xludf.DUMMYFUNCTION("""COMPUTED_VALUE"""),"SAI RISHITHA")</f>
        <v>SAI RISHITHA</v>
      </c>
      <c r="B929" s="74" t="str">
        <f>IFERROR(__xludf.DUMMYFUNCTION("""COMPUTED_VALUE"""),"19331A0555")</f>
        <v>19331A0555</v>
      </c>
      <c r="C929" s="90" t="str">
        <f>IFERROR(__xludf.DUMMYFUNCTION("""COMPUTED_VALUE"""),"The Science of Well-Being")</f>
        <v>The Science of Well-Being</v>
      </c>
      <c r="D929" s="74" t="str">
        <f>IFERROR(__xludf.DUMMYFUNCTION("""COMPUTED_VALUE"""),"Yale ")</f>
        <v>Yale </v>
      </c>
      <c r="E929" s="74" t="str">
        <f>IFERROR(__xludf.DUMMYFUNCTION("""COMPUTED_VALUE"""),"2 months")</f>
        <v>2 months</v>
      </c>
      <c r="F929" s="91">
        <f>IFERROR(__xludf.DUMMYFUNCTION("""COMPUTED_VALUE"""),43992.0)</f>
        <v>43992</v>
      </c>
      <c r="G929" s="91">
        <f>IFERROR(__xludf.DUMMYFUNCTION("""COMPUTED_VALUE"""),44053.0)</f>
        <v>44053</v>
      </c>
      <c r="H929" s="79">
        <f>IFERROR(__xludf.DUMMYFUNCTION("""COMPUTED_VALUE"""),44053.0)</f>
        <v>44053</v>
      </c>
      <c r="I929" s="92">
        <f>IFERROR(__xludf.DUMMYFUNCTION("""COMPUTED_VALUE"""),0.91)</f>
        <v>0.91</v>
      </c>
      <c r="J929" s="74" t="str">
        <f>IFERROR(__xludf.DUMMYFUNCTION("""COMPUTED_VALUE"""),"None")</f>
        <v>None</v>
      </c>
      <c r="K929" s="80" t="str">
        <f>IFERROR(__xludf.DUMMYFUNCTION("""COMPUTED_VALUE"""),"https://drive.google.com/open?id=13lLWrKtGsllXI2lRqI4GErZghjkCGNSQ")</f>
        <v>https://drive.google.com/open?id=13lLWrKtGsllXI2lRqI4GErZghjkCGNSQ</v>
      </c>
      <c r="L929" s="74" t="str">
        <f>IFERROR(__xludf.DUMMYFUNCTION("""COMPUTED_VALUE"""),"2019-2023")</f>
        <v>2019-2023</v>
      </c>
      <c r="M929" s="74" t="str">
        <f>IFERROR(__xludf.DUMMYFUNCTION("""COMPUTED_VALUE"""),"S4: Student Certifications")</f>
        <v>S4: Student Certifications</v>
      </c>
      <c r="N929" s="74" t="str">
        <f>IFERROR(__xludf.DUMMYFUNCTION("""COMPUTED_VALUE"""),"rishithagorantla23@gmail.com")</f>
        <v>rishithagorantla23@gmail.com</v>
      </c>
      <c r="O929" s="74" t="str">
        <f>IFERROR(__xludf.DUMMYFUNCTION("""COMPUTED_VALUE"""),"SEM-6")</f>
        <v>SEM-6</v>
      </c>
      <c r="P929" s="74"/>
      <c r="Q929" s="74"/>
      <c r="R929" s="74"/>
      <c r="S929" s="74"/>
      <c r="T929" s="74"/>
      <c r="U929" s="74"/>
      <c r="V929" s="74"/>
      <c r="W929" s="74"/>
      <c r="X929" s="74"/>
      <c r="Y929" s="74"/>
    </row>
    <row r="930" ht="26.25" customHeight="1">
      <c r="A930" s="74" t="str">
        <f>IFERROR(__xludf.DUMMYFUNCTION("""COMPUTED_VALUE"""),"Chaitra Mudili")</f>
        <v>Chaitra Mudili</v>
      </c>
      <c r="B930" s="74" t="str">
        <f>IFERROR(__xludf.DUMMYFUNCTION("""COMPUTED_VALUE"""),"18331A05A0")</f>
        <v>18331A05A0</v>
      </c>
      <c r="C930" s="90" t="str">
        <f>IFERROR(__xludf.DUMMYFUNCTION("""COMPUTED_VALUE"""),"CLA: Programming Essentials in C")</f>
        <v>CLA: Programming Essentials in C</v>
      </c>
      <c r="D930" s="74" t="str">
        <f>IFERROR(__xludf.DUMMYFUNCTION("""COMPUTED_VALUE"""),"Cisco")</f>
        <v>Cisco</v>
      </c>
      <c r="E930" s="74" t="str">
        <f>IFERROR(__xludf.DUMMYFUNCTION("""COMPUTED_VALUE"""),"4 weeks")</f>
        <v>4 weeks</v>
      </c>
      <c r="F930" s="91">
        <f>IFERROR(__xludf.DUMMYFUNCTION("""COMPUTED_VALUE"""),43647.0)</f>
        <v>43647</v>
      </c>
      <c r="G930" s="91">
        <f>IFERROR(__xludf.DUMMYFUNCTION("""COMPUTED_VALUE"""),43676.0)</f>
        <v>43676</v>
      </c>
      <c r="H930" s="79">
        <f>IFERROR(__xludf.DUMMYFUNCTION("""COMPUTED_VALUE"""),43676.0)</f>
        <v>43676</v>
      </c>
      <c r="I930" s="92">
        <f>IFERROR(__xludf.DUMMYFUNCTION("""COMPUTED_VALUE"""),100.0)</f>
        <v>100</v>
      </c>
      <c r="J930" s="74" t="str">
        <f>IFERROR(__xludf.DUMMYFUNCTION("""COMPUTED_VALUE"""),"KV Subba Raju")</f>
        <v>KV Subba Raju</v>
      </c>
      <c r="K930" s="80" t="str">
        <f>IFERROR(__xludf.DUMMYFUNCTION("""COMPUTED_VALUE"""),"https://drive.google.com/open?id=1qUlCM5SWAzMtHR5AtccK5Nrq0lOB0yCJ")</f>
        <v>https://drive.google.com/open?id=1qUlCM5SWAzMtHR5AtccK5Nrq0lOB0yCJ</v>
      </c>
      <c r="L930" s="74" t="str">
        <f>IFERROR(__xludf.DUMMYFUNCTION("""COMPUTED_VALUE"""),"2018-2022")</f>
        <v>2018-2022</v>
      </c>
      <c r="M930" s="74" t="str">
        <f>IFERROR(__xludf.DUMMYFUNCTION("""COMPUTED_VALUE"""),"S4: Student Certifications")</f>
        <v>S4: Student Certifications</v>
      </c>
      <c r="N930" s="74" t="str">
        <f>IFERROR(__xludf.DUMMYFUNCTION("""COMPUTED_VALUE"""),"chaitra2026@gmail.com")</f>
        <v>chaitra2026@gmail.com</v>
      </c>
      <c r="O930" s="74" t="str">
        <f>IFERROR(__xludf.DUMMYFUNCTION("""COMPUTED_VALUE"""),"SEM-3")</f>
        <v>SEM-3</v>
      </c>
      <c r="P930" s="74"/>
      <c r="Q930" s="74"/>
      <c r="R930" s="74"/>
      <c r="S930" s="74"/>
      <c r="T930" s="74"/>
      <c r="U930" s="74"/>
      <c r="V930" s="74"/>
      <c r="W930" s="74"/>
      <c r="X930" s="74"/>
      <c r="Y930" s="74"/>
    </row>
    <row r="931" ht="26.25" customHeight="1">
      <c r="A931" s="74" t="str">
        <f>IFERROR(__xludf.DUMMYFUNCTION("""COMPUTED_VALUE"""),"Chaitra Mudili")</f>
        <v>Chaitra Mudili</v>
      </c>
      <c r="B931" s="74" t="str">
        <f>IFERROR(__xludf.DUMMYFUNCTION("""COMPUTED_VALUE"""),"18331A05A0")</f>
        <v>18331A05A0</v>
      </c>
      <c r="C931" s="90" t="str">
        <f>IFERROR(__xludf.DUMMYFUNCTION("""COMPUTED_VALUE"""),"CPA: Programming Essentials in C++")</f>
        <v>CPA: Programming Essentials in C++</v>
      </c>
      <c r="D931" s="74" t="str">
        <f>IFERROR(__xludf.DUMMYFUNCTION("""COMPUTED_VALUE"""),"Cisco")</f>
        <v>Cisco</v>
      </c>
      <c r="E931" s="74" t="str">
        <f>IFERROR(__xludf.DUMMYFUNCTION("""COMPUTED_VALUE"""),"4 weeks")</f>
        <v>4 weeks</v>
      </c>
      <c r="F931" s="91">
        <f>IFERROR(__xludf.DUMMYFUNCTION("""COMPUTED_VALUE"""),43930.0)</f>
        <v>43930</v>
      </c>
      <c r="G931" s="91">
        <f>IFERROR(__xludf.DUMMYFUNCTION("""COMPUTED_VALUE"""),43960.0)</f>
        <v>43960</v>
      </c>
      <c r="H931" s="79">
        <f>IFERROR(__xludf.DUMMYFUNCTION("""COMPUTED_VALUE"""),43960.0)</f>
        <v>43960</v>
      </c>
      <c r="I931" s="92">
        <f>IFERROR(__xludf.DUMMYFUNCTION("""COMPUTED_VALUE"""),100.0)</f>
        <v>100</v>
      </c>
      <c r="J931" s="74" t="str">
        <f>IFERROR(__xludf.DUMMYFUNCTION("""COMPUTED_VALUE"""),"DR. RAVI KIRAN VARMA PENMATSA")</f>
        <v>DR. RAVI KIRAN VARMA PENMATSA</v>
      </c>
      <c r="K931" s="80" t="str">
        <f>IFERROR(__xludf.DUMMYFUNCTION("""COMPUTED_VALUE"""),"https://drive.google.com/open?id=1ReDEg0bDh8WHoCBC_9A1BB8CNqb9GoWM")</f>
        <v>https://drive.google.com/open?id=1ReDEg0bDh8WHoCBC_9A1BB8CNqb9GoWM</v>
      </c>
      <c r="L931" s="74" t="str">
        <f>IFERROR(__xludf.DUMMYFUNCTION("""COMPUTED_VALUE"""),"2018-2022")</f>
        <v>2018-2022</v>
      </c>
      <c r="M931" s="74" t="str">
        <f>IFERROR(__xludf.DUMMYFUNCTION("""COMPUTED_VALUE"""),"S4: Student Certifications")</f>
        <v>S4: Student Certifications</v>
      </c>
      <c r="N931" s="74" t="str">
        <f>IFERROR(__xludf.DUMMYFUNCTION("""COMPUTED_VALUE"""),"chaitra2026@gmail.com")</f>
        <v>chaitra2026@gmail.com</v>
      </c>
      <c r="O931" s="74" t="str">
        <f>IFERROR(__xludf.DUMMYFUNCTION("""COMPUTED_VALUE"""),"SEM-4")</f>
        <v>SEM-4</v>
      </c>
      <c r="P931" s="74"/>
      <c r="Q931" s="74"/>
      <c r="R931" s="74"/>
      <c r="S931" s="74"/>
      <c r="T931" s="74"/>
      <c r="U931" s="74"/>
      <c r="V931" s="74"/>
      <c r="W931" s="74"/>
      <c r="X931" s="74"/>
      <c r="Y931" s="74"/>
    </row>
    <row r="932" ht="26.25" customHeight="1">
      <c r="A932" s="74" t="str">
        <f>IFERROR(__xludf.DUMMYFUNCTION("""COMPUTED_VALUE"""),"Chaitra Mudili")</f>
        <v>Chaitra Mudili</v>
      </c>
      <c r="B932" s="74" t="str">
        <f>IFERROR(__xludf.DUMMYFUNCTION("""COMPUTED_VALUE"""),"18331A05A0")</f>
        <v>18331A05A0</v>
      </c>
      <c r="C932" s="90" t="str">
        <f>IFERROR(__xludf.DUMMYFUNCTION("""COMPUTED_VALUE"""),"Cybersecurity Essentials")</f>
        <v>Cybersecurity Essentials</v>
      </c>
      <c r="D932" s="74" t="str">
        <f>IFERROR(__xludf.DUMMYFUNCTION("""COMPUTED_VALUE"""),"Cisco")</f>
        <v>Cisco</v>
      </c>
      <c r="E932" s="74" t="str">
        <f>IFERROR(__xludf.DUMMYFUNCTION("""COMPUTED_VALUE"""),"4 weeks")</f>
        <v>4 weeks</v>
      </c>
      <c r="F932" s="91">
        <f>IFERROR(__xludf.DUMMYFUNCTION("""COMPUTED_VALUE"""),43645.0)</f>
        <v>43645</v>
      </c>
      <c r="G932" s="91">
        <f>IFERROR(__xludf.DUMMYFUNCTION("""COMPUTED_VALUE"""),43675.0)</f>
        <v>43675</v>
      </c>
      <c r="H932" s="79">
        <f>IFERROR(__xludf.DUMMYFUNCTION("""COMPUTED_VALUE"""),43675.0)</f>
        <v>43675</v>
      </c>
      <c r="I932" s="92">
        <f>IFERROR(__xludf.DUMMYFUNCTION("""COMPUTED_VALUE"""),100.0)</f>
        <v>100</v>
      </c>
      <c r="J932" s="74" t="str">
        <f>IFERROR(__xludf.DUMMYFUNCTION("""COMPUTED_VALUE"""),"DR. RAVI KIRAN VARMA PENMATSA")</f>
        <v>DR. RAVI KIRAN VARMA PENMATSA</v>
      </c>
      <c r="K932" s="80" t="str">
        <f>IFERROR(__xludf.DUMMYFUNCTION("""COMPUTED_VALUE"""),"https://drive.google.com/open?id=1r0OT2bkWZ-tvqdAJ4WO2LA9k4kSdAb8N")</f>
        <v>https://drive.google.com/open?id=1r0OT2bkWZ-tvqdAJ4WO2LA9k4kSdAb8N</v>
      </c>
      <c r="L932" s="74" t="str">
        <f>IFERROR(__xludf.DUMMYFUNCTION("""COMPUTED_VALUE"""),"2018-2022")</f>
        <v>2018-2022</v>
      </c>
      <c r="M932" s="74" t="str">
        <f>IFERROR(__xludf.DUMMYFUNCTION("""COMPUTED_VALUE"""),"S4: Student Certifications")</f>
        <v>S4: Student Certifications</v>
      </c>
      <c r="N932" s="74" t="str">
        <f>IFERROR(__xludf.DUMMYFUNCTION("""COMPUTED_VALUE"""),"chaitra2026@gmail.com")</f>
        <v>chaitra2026@gmail.com</v>
      </c>
      <c r="O932" s="74" t="str">
        <f>IFERROR(__xludf.DUMMYFUNCTION("""COMPUTED_VALUE"""),"SEM-3")</f>
        <v>SEM-3</v>
      </c>
      <c r="P932" s="74"/>
      <c r="Q932" s="74"/>
      <c r="R932" s="74"/>
      <c r="S932" s="74"/>
      <c r="T932" s="74"/>
      <c r="U932" s="74"/>
      <c r="V932" s="74"/>
      <c r="W932" s="74"/>
      <c r="X932" s="74"/>
      <c r="Y932" s="74"/>
    </row>
    <row r="933" ht="26.25" customHeight="1">
      <c r="A933" s="74" t="str">
        <f>IFERROR(__xludf.DUMMYFUNCTION("""COMPUTED_VALUE"""),"Gorle Haritha")</f>
        <v>Gorle Haritha</v>
      </c>
      <c r="B933" s="74" t="str">
        <f>IFERROR(__xludf.DUMMYFUNCTION("""COMPUTED_VALUE"""),"19331A0556")</f>
        <v>19331A0556</v>
      </c>
      <c r="C933" s="90" t="str">
        <f>IFERROR(__xludf.DUMMYFUNCTION("""COMPUTED_VALUE"""),"Python")</f>
        <v>Python</v>
      </c>
      <c r="D933" s="74" t="str">
        <f>IFERROR(__xludf.DUMMYFUNCTION("""COMPUTED_VALUE"""),"Cisco networking academy")</f>
        <v>Cisco networking academy</v>
      </c>
      <c r="E933" s="74" t="str">
        <f>IFERROR(__xludf.DUMMYFUNCTION("""COMPUTED_VALUE"""),"2 months")</f>
        <v>2 months</v>
      </c>
      <c r="F933" s="91">
        <f>IFERROR(__xludf.DUMMYFUNCTION("""COMPUTED_VALUE"""),44204.0)</f>
        <v>44204</v>
      </c>
      <c r="G933" s="91">
        <f>IFERROR(__xludf.DUMMYFUNCTION("""COMPUTED_VALUE"""),44263.0)</f>
        <v>44263</v>
      </c>
      <c r="H933" s="79">
        <f>IFERROR(__xludf.DUMMYFUNCTION("""COMPUTED_VALUE"""),44263.0)</f>
        <v>44263</v>
      </c>
      <c r="I933" s="92">
        <f>IFERROR(__xludf.DUMMYFUNCTION("""COMPUTED_VALUE"""),90.0)</f>
        <v>90</v>
      </c>
      <c r="J933" s="74" t="str">
        <f>IFERROR(__xludf.DUMMYFUNCTION("""COMPUTED_VALUE"""),"Jayasri Sai venkata angara")</f>
        <v>Jayasri Sai venkata angara</v>
      </c>
      <c r="K933" s="80" t="str">
        <f>IFERROR(__xludf.DUMMYFUNCTION("""COMPUTED_VALUE"""),"https://drive.google.com/open?id=1YW6wDRgpjba6JscGyXHchMLCzpkmC9Fh")</f>
        <v>https://drive.google.com/open?id=1YW6wDRgpjba6JscGyXHchMLCzpkmC9Fh</v>
      </c>
      <c r="L933" s="74" t="str">
        <f>IFERROR(__xludf.DUMMYFUNCTION("""COMPUTED_VALUE"""),"2019-2023")</f>
        <v>2019-2023</v>
      </c>
      <c r="M933" s="74" t="str">
        <f>IFERROR(__xludf.DUMMYFUNCTION("""COMPUTED_VALUE"""),"S4: Student Certifications")</f>
        <v>S4: Student Certifications</v>
      </c>
      <c r="N933" s="74" t="str">
        <f>IFERROR(__xludf.DUMMYFUNCTION("""COMPUTED_VALUE"""),"gorleharitha12@gmail.com")</f>
        <v>gorleharitha12@gmail.com</v>
      </c>
      <c r="O933" s="74" t="str">
        <f>IFERROR(__xludf.DUMMYFUNCTION("""COMPUTED_VALUE"""),"SEM-6")</f>
        <v>SEM-6</v>
      </c>
      <c r="P933" s="74"/>
      <c r="Q933" s="74"/>
      <c r="R933" s="74"/>
      <c r="S933" s="74"/>
      <c r="T933" s="74"/>
      <c r="U933" s="74"/>
      <c r="V933" s="74"/>
      <c r="W933" s="74"/>
      <c r="X933" s="74"/>
      <c r="Y933" s="74"/>
    </row>
    <row r="934" ht="26.25" customHeight="1">
      <c r="A934" s="74" t="str">
        <f>IFERROR(__xludf.DUMMYFUNCTION("""COMPUTED_VALUE"""),"Chaitra Mudili")</f>
        <v>Chaitra Mudili</v>
      </c>
      <c r="B934" s="74" t="str">
        <f>IFERROR(__xludf.DUMMYFUNCTION("""COMPUTED_VALUE"""),"18331A05A0")</f>
        <v>18331A05A0</v>
      </c>
      <c r="C934" s="90" t="str">
        <f>IFERROR(__xludf.DUMMYFUNCTION("""COMPUTED_VALUE"""),"CCNAv7: Introduction to Networks")</f>
        <v>CCNAv7: Introduction to Networks</v>
      </c>
      <c r="D934" s="74" t="str">
        <f>IFERROR(__xludf.DUMMYFUNCTION("""COMPUTED_VALUE"""),"Cisco")</f>
        <v>Cisco</v>
      </c>
      <c r="E934" s="74" t="str">
        <f>IFERROR(__xludf.DUMMYFUNCTION("""COMPUTED_VALUE"""),"4 weeks")</f>
        <v>4 weeks</v>
      </c>
      <c r="F934" s="91">
        <f>IFERROR(__xludf.DUMMYFUNCTION("""COMPUTED_VALUE"""),44348.0)</f>
        <v>44348</v>
      </c>
      <c r="G934" s="91">
        <f>IFERROR(__xludf.DUMMYFUNCTION("""COMPUTED_VALUE"""),44378.0)</f>
        <v>44378</v>
      </c>
      <c r="H934" s="79">
        <f>IFERROR(__xludf.DUMMYFUNCTION("""COMPUTED_VALUE"""),44378.0)</f>
        <v>44378</v>
      </c>
      <c r="I934" s="92">
        <f>IFERROR(__xludf.DUMMYFUNCTION("""COMPUTED_VALUE"""),100.0)</f>
        <v>100</v>
      </c>
      <c r="J934" s="74" t="str">
        <f>IFERROR(__xludf.DUMMYFUNCTION("""COMPUTED_VALUE"""),"DR. RAVI KIRAN VARMA PENMATSA")</f>
        <v>DR. RAVI KIRAN VARMA PENMATSA</v>
      </c>
      <c r="K934" s="80" t="str">
        <f>IFERROR(__xludf.DUMMYFUNCTION("""COMPUTED_VALUE"""),"https://drive.google.com/open?id=1pEuwWw3qf56IHgsAbYx1PMeZE8c1CuY8")</f>
        <v>https://drive.google.com/open?id=1pEuwWw3qf56IHgsAbYx1PMeZE8c1CuY8</v>
      </c>
      <c r="L934" s="74" t="str">
        <f>IFERROR(__xludf.DUMMYFUNCTION("""COMPUTED_VALUE"""),"2018-2022")</f>
        <v>2018-2022</v>
      </c>
      <c r="M934" s="74" t="str">
        <f>IFERROR(__xludf.DUMMYFUNCTION("""COMPUTED_VALUE"""),"S4: Student Certifications")</f>
        <v>S4: Student Certifications</v>
      </c>
      <c r="N934" s="74" t="str">
        <f>IFERROR(__xludf.DUMMYFUNCTION("""COMPUTED_VALUE"""),"chaitra2026@gmail.com")</f>
        <v>chaitra2026@gmail.com</v>
      </c>
      <c r="O934" s="74" t="str">
        <f>IFERROR(__xludf.DUMMYFUNCTION("""COMPUTED_VALUE"""),"SEM-6")</f>
        <v>SEM-6</v>
      </c>
      <c r="P934" s="74"/>
      <c r="Q934" s="74"/>
      <c r="R934" s="74"/>
      <c r="S934" s="74"/>
      <c r="T934" s="74"/>
      <c r="U934" s="74"/>
      <c r="V934" s="74"/>
      <c r="W934" s="74"/>
      <c r="X934" s="74"/>
      <c r="Y934" s="74"/>
    </row>
    <row r="935" ht="26.25" customHeight="1">
      <c r="A935" s="74" t="str">
        <f>IFERROR(__xludf.DUMMYFUNCTION("""COMPUTED_VALUE"""),"Chaitra Mudili")</f>
        <v>Chaitra Mudili</v>
      </c>
      <c r="B935" s="74" t="str">
        <f>IFERROR(__xludf.DUMMYFUNCTION("""COMPUTED_VALUE"""),"18331A05A0")</f>
        <v>18331A05A0</v>
      </c>
      <c r="C935" s="90" t="str">
        <f>IFERROR(__xludf.DUMMYFUNCTION("""COMPUTED_VALUE"""),"Introduction to Packet Tracer")</f>
        <v>Introduction to Packet Tracer</v>
      </c>
      <c r="D935" s="74" t="str">
        <f>IFERROR(__xludf.DUMMYFUNCTION("""COMPUTED_VALUE"""),"Cisco")</f>
        <v>Cisco</v>
      </c>
      <c r="E935" s="74" t="str">
        <f>IFERROR(__xludf.DUMMYFUNCTION("""COMPUTED_VALUE"""),"4 weeks")</f>
        <v>4 weeks</v>
      </c>
      <c r="F935" s="91">
        <f>IFERROR(__xludf.DUMMYFUNCTION("""COMPUTED_VALUE"""),44293.0)</f>
        <v>44293</v>
      </c>
      <c r="G935" s="91">
        <f>IFERROR(__xludf.DUMMYFUNCTION("""COMPUTED_VALUE"""),44323.0)</f>
        <v>44323</v>
      </c>
      <c r="H935" s="79">
        <f>IFERROR(__xludf.DUMMYFUNCTION("""COMPUTED_VALUE"""),44323.0)</f>
        <v>44323</v>
      </c>
      <c r="I935" s="92">
        <f>IFERROR(__xludf.DUMMYFUNCTION("""COMPUTED_VALUE"""),100.0)</f>
        <v>100</v>
      </c>
      <c r="J935" s="74" t="str">
        <f>IFERROR(__xludf.DUMMYFUNCTION("""COMPUTED_VALUE"""),"DR. RAVI KIRAN VARMA PENMATSA")</f>
        <v>DR. RAVI KIRAN VARMA PENMATSA</v>
      </c>
      <c r="K935" s="80" t="str">
        <f>IFERROR(__xludf.DUMMYFUNCTION("""COMPUTED_VALUE"""),"https://drive.google.com/open?id=1TvbiIBogmKcp5YCdGl2us8r32rq05W7A")</f>
        <v>https://drive.google.com/open?id=1TvbiIBogmKcp5YCdGl2us8r32rq05W7A</v>
      </c>
      <c r="L935" s="74" t="str">
        <f>IFERROR(__xludf.DUMMYFUNCTION("""COMPUTED_VALUE"""),"2018-2022")</f>
        <v>2018-2022</v>
      </c>
      <c r="M935" s="74" t="str">
        <f>IFERROR(__xludf.DUMMYFUNCTION("""COMPUTED_VALUE"""),"S4: Student Certifications")</f>
        <v>S4: Student Certifications</v>
      </c>
      <c r="N935" s="74" t="str">
        <f>IFERROR(__xludf.DUMMYFUNCTION("""COMPUTED_VALUE"""),"chaitra2026@gmail.com")</f>
        <v>chaitra2026@gmail.com</v>
      </c>
      <c r="O935" s="74" t="str">
        <f>IFERROR(__xludf.DUMMYFUNCTION("""COMPUTED_VALUE"""),"SEM-6")</f>
        <v>SEM-6</v>
      </c>
      <c r="P935" s="74"/>
      <c r="Q935" s="74"/>
      <c r="R935" s="74"/>
      <c r="S935" s="74"/>
      <c r="T935" s="74"/>
      <c r="U935" s="74"/>
      <c r="V935" s="74"/>
      <c r="W935" s="74"/>
      <c r="X935" s="74"/>
      <c r="Y935" s="74"/>
    </row>
    <row r="936" ht="26.25" customHeight="1">
      <c r="A936" s="74" t="str">
        <f>IFERROR(__xludf.DUMMYFUNCTION("""COMPUTED_VALUE"""),"Chaitra Mudili")</f>
        <v>Chaitra Mudili</v>
      </c>
      <c r="B936" s="74" t="str">
        <f>IFERROR(__xludf.DUMMYFUNCTION("""COMPUTED_VALUE"""),"18331A05A0")</f>
        <v>18331A05A0</v>
      </c>
      <c r="C936" s="90" t="str">
        <f>IFERROR(__xludf.DUMMYFUNCTION("""COMPUTED_VALUE"""),"NDG Linux Essentials")</f>
        <v>NDG Linux Essentials</v>
      </c>
      <c r="D936" s="74" t="str">
        <f>IFERROR(__xludf.DUMMYFUNCTION("""COMPUTED_VALUE"""),"Cisco")</f>
        <v>Cisco</v>
      </c>
      <c r="E936" s="74" t="str">
        <f>IFERROR(__xludf.DUMMYFUNCTION("""COMPUTED_VALUE"""),"4 weeks")</f>
        <v>4 weeks</v>
      </c>
      <c r="F936" s="91">
        <f>IFERROR(__xludf.DUMMYFUNCTION("""COMPUTED_VALUE"""),43917.0)</f>
        <v>43917</v>
      </c>
      <c r="G936" s="91">
        <f>IFERROR(__xludf.DUMMYFUNCTION("""COMPUTED_VALUE"""),43948.0)</f>
        <v>43948</v>
      </c>
      <c r="H936" s="79">
        <f>IFERROR(__xludf.DUMMYFUNCTION("""COMPUTED_VALUE"""),43948.0)</f>
        <v>43948</v>
      </c>
      <c r="I936" s="92">
        <f>IFERROR(__xludf.DUMMYFUNCTION("""COMPUTED_VALUE"""),100.0)</f>
        <v>100</v>
      </c>
      <c r="J936" s="74" t="str">
        <f>IFERROR(__xludf.DUMMYFUNCTION("""COMPUTED_VALUE"""),"Subba Raju KV")</f>
        <v>Subba Raju KV</v>
      </c>
      <c r="K936" s="80" t="str">
        <f>IFERROR(__xludf.DUMMYFUNCTION("""COMPUTED_VALUE"""),"https://drive.google.com/open?id=1kWfuR0ZIMMqOop9VYXAujJpFOA1y81xu")</f>
        <v>https://drive.google.com/open?id=1kWfuR0ZIMMqOop9VYXAujJpFOA1y81xu</v>
      </c>
      <c r="L936" s="74" t="str">
        <f>IFERROR(__xludf.DUMMYFUNCTION("""COMPUTED_VALUE"""),"2018-2022")</f>
        <v>2018-2022</v>
      </c>
      <c r="M936" s="74" t="str">
        <f>IFERROR(__xludf.DUMMYFUNCTION("""COMPUTED_VALUE"""),"S4: Student Certifications")</f>
        <v>S4: Student Certifications</v>
      </c>
      <c r="N936" s="74" t="str">
        <f>IFERROR(__xludf.DUMMYFUNCTION("""COMPUTED_VALUE"""),"chaitra2026@gmail.com")</f>
        <v>chaitra2026@gmail.com</v>
      </c>
      <c r="O936" s="74" t="str">
        <f>IFERROR(__xludf.DUMMYFUNCTION("""COMPUTED_VALUE"""),"SEM-6")</f>
        <v>SEM-6</v>
      </c>
      <c r="P936" s="74"/>
      <c r="Q936" s="74"/>
      <c r="R936" s="74"/>
      <c r="S936" s="74"/>
      <c r="T936" s="74"/>
      <c r="U936" s="74"/>
      <c r="V936" s="74"/>
      <c r="W936" s="74"/>
      <c r="X936" s="74"/>
      <c r="Y936" s="74"/>
    </row>
    <row r="937" ht="26.25" customHeight="1">
      <c r="A937" s="74" t="str">
        <f>IFERROR(__xludf.DUMMYFUNCTION("""COMPUTED_VALUE"""),"Chaitra Mudili")</f>
        <v>Chaitra Mudili</v>
      </c>
      <c r="B937" s="74" t="str">
        <f>IFERROR(__xludf.DUMMYFUNCTION("""COMPUTED_VALUE"""),"18331A05A0")</f>
        <v>18331A05A0</v>
      </c>
      <c r="C937" s="90" t="str">
        <f>IFERROR(__xludf.DUMMYFUNCTION("""COMPUTED_VALUE"""),"PCAP: Programming Essentials in Python")</f>
        <v>PCAP: Programming Essentials in Python</v>
      </c>
      <c r="D937" s="74" t="str">
        <f>IFERROR(__xludf.DUMMYFUNCTION("""COMPUTED_VALUE"""),"Cisco")</f>
        <v>Cisco</v>
      </c>
      <c r="E937" s="74" t="str">
        <f>IFERROR(__xludf.DUMMYFUNCTION("""COMPUTED_VALUE"""),"4 weeks")</f>
        <v>4 weeks</v>
      </c>
      <c r="F937" s="91">
        <f>IFERROR(__xludf.DUMMYFUNCTION("""COMPUTED_VALUE"""),44414.0)</f>
        <v>44414</v>
      </c>
      <c r="G937" s="91">
        <f>IFERROR(__xludf.DUMMYFUNCTION("""COMPUTED_VALUE"""),44445.0)</f>
        <v>44445</v>
      </c>
      <c r="H937" s="79">
        <f>IFERROR(__xludf.DUMMYFUNCTION("""COMPUTED_VALUE"""),44445.0)</f>
        <v>44445</v>
      </c>
      <c r="I937" s="92">
        <f>IFERROR(__xludf.DUMMYFUNCTION("""COMPUTED_VALUE"""),100.0)</f>
        <v>100</v>
      </c>
      <c r="J937" s="74" t="str">
        <f>IFERROR(__xludf.DUMMYFUNCTION("""COMPUTED_VALUE"""),"DR. RAVI KIRAN VARMA PENMATSA")</f>
        <v>DR. RAVI KIRAN VARMA PENMATSA</v>
      </c>
      <c r="K937" s="80" t="str">
        <f>IFERROR(__xludf.DUMMYFUNCTION("""COMPUTED_VALUE"""),"https://drive.google.com/open?id=1sIi2QJ3ayNlloSZlYQQ9pl-E_9YlMZk3")</f>
        <v>https://drive.google.com/open?id=1sIi2QJ3ayNlloSZlYQQ9pl-E_9YlMZk3</v>
      </c>
      <c r="L937" s="74" t="str">
        <f>IFERROR(__xludf.DUMMYFUNCTION("""COMPUTED_VALUE"""),"2018-2022")</f>
        <v>2018-2022</v>
      </c>
      <c r="M937" s="74" t="str">
        <f>IFERROR(__xludf.DUMMYFUNCTION("""COMPUTED_VALUE"""),"S4: Student Certifications")</f>
        <v>S4: Student Certifications</v>
      </c>
      <c r="N937" s="74" t="str">
        <f>IFERROR(__xludf.DUMMYFUNCTION("""COMPUTED_VALUE"""),"chaitra2026@gmail.com")</f>
        <v>chaitra2026@gmail.com</v>
      </c>
      <c r="O937" s="74" t="str">
        <f>IFERROR(__xludf.DUMMYFUNCTION("""COMPUTED_VALUE"""),"SEM-7")</f>
        <v>SEM-7</v>
      </c>
      <c r="P937" s="74"/>
      <c r="Q937" s="74"/>
      <c r="R937" s="74"/>
      <c r="S937" s="74"/>
      <c r="T937" s="74"/>
      <c r="U937" s="74"/>
      <c r="V937" s="74"/>
      <c r="W937" s="74"/>
      <c r="X937" s="74"/>
      <c r="Y937" s="74"/>
    </row>
    <row r="938" ht="26.25" customHeight="1">
      <c r="A938" s="74" t="str">
        <f>IFERROR(__xludf.DUMMYFUNCTION("""COMPUTED_VALUE"""),"GORLE HARITHA")</f>
        <v>GORLE HARITHA</v>
      </c>
      <c r="B938" s="74" t="str">
        <f>IFERROR(__xludf.DUMMYFUNCTION("""COMPUTED_VALUE"""),"19331A0556")</f>
        <v>19331A0556</v>
      </c>
      <c r="C938" s="90" t="str">
        <f>IFERROR(__xludf.DUMMYFUNCTION("""COMPUTED_VALUE"""),"IT Essentials")</f>
        <v>IT Essentials</v>
      </c>
      <c r="D938" s="74" t="str">
        <f>IFERROR(__xludf.DUMMYFUNCTION("""COMPUTED_VALUE"""),"Cisco networking academy")</f>
        <v>Cisco networking academy</v>
      </c>
      <c r="E938" s="74" t="str">
        <f>IFERROR(__xludf.DUMMYFUNCTION("""COMPUTED_VALUE"""),"2months")</f>
        <v>2months</v>
      </c>
      <c r="F938" s="91">
        <f>IFERROR(__xludf.DUMMYFUNCTION("""COMPUTED_VALUE"""),44015.0)</f>
        <v>44015</v>
      </c>
      <c r="G938" s="91">
        <f>IFERROR(__xludf.DUMMYFUNCTION("""COMPUTED_VALUE"""),44077.0)</f>
        <v>44077</v>
      </c>
      <c r="H938" s="79">
        <f>IFERROR(__xludf.DUMMYFUNCTION("""COMPUTED_VALUE"""),44077.0)</f>
        <v>44077</v>
      </c>
      <c r="I938" s="92">
        <f>IFERROR(__xludf.DUMMYFUNCTION("""COMPUTED_VALUE"""),92.0)</f>
        <v>92</v>
      </c>
      <c r="J938" s="74" t="str">
        <f>IFERROR(__xludf.DUMMYFUNCTION("""COMPUTED_VALUE"""),"Dr. Suvarna Kumar Gogula")</f>
        <v>Dr. Suvarna Kumar Gogula</v>
      </c>
      <c r="K938" s="80" t="str">
        <f>IFERROR(__xludf.DUMMYFUNCTION("""COMPUTED_VALUE"""),"https://drive.google.com/open?id=1yiGOrehxNwFQUf5rmE7UgXNo__GjDuxv")</f>
        <v>https://drive.google.com/open?id=1yiGOrehxNwFQUf5rmE7UgXNo__GjDuxv</v>
      </c>
      <c r="L938" s="74" t="str">
        <f>IFERROR(__xludf.DUMMYFUNCTION("""COMPUTED_VALUE"""),"2019-2023")</f>
        <v>2019-2023</v>
      </c>
      <c r="M938" s="74" t="str">
        <f>IFERROR(__xludf.DUMMYFUNCTION("""COMPUTED_VALUE"""),"S4: Student Certifications")</f>
        <v>S4: Student Certifications</v>
      </c>
      <c r="N938" s="74" t="str">
        <f>IFERROR(__xludf.DUMMYFUNCTION("""COMPUTED_VALUE"""),"gorleharitha12@gmail.com")</f>
        <v>gorleharitha12@gmail.com</v>
      </c>
      <c r="O938" s="74" t="str">
        <f>IFERROR(__xludf.DUMMYFUNCTION("""COMPUTED_VALUE"""),"SEM-6")</f>
        <v>SEM-6</v>
      </c>
      <c r="P938" s="74"/>
      <c r="Q938" s="74"/>
      <c r="R938" s="74"/>
      <c r="S938" s="74"/>
      <c r="T938" s="74"/>
      <c r="U938" s="74"/>
      <c r="V938" s="74"/>
      <c r="W938" s="74"/>
      <c r="X938" s="74"/>
      <c r="Y938" s="74"/>
    </row>
    <row r="939" ht="26.25" customHeight="1">
      <c r="A939" s="74" t="str">
        <f>IFERROR(__xludf.DUMMYFUNCTION("""COMPUTED_VALUE"""),"Chaitra Mudili")</f>
        <v>Chaitra Mudili</v>
      </c>
      <c r="B939" s="74" t="str">
        <f>IFERROR(__xludf.DUMMYFUNCTION("""COMPUTED_VALUE"""),"18331A05A0")</f>
        <v>18331A05A0</v>
      </c>
      <c r="C939" s="90" t="str">
        <f>IFERROR(__xludf.DUMMYFUNCTION("""COMPUTED_VALUE"""),"Red Hat System Administration I (RH124)")</f>
        <v>Red Hat System Administration I (RH124)</v>
      </c>
      <c r="D939" s="74" t="str">
        <f>IFERROR(__xludf.DUMMYFUNCTION("""COMPUTED_VALUE"""),"Red Hat Academy")</f>
        <v>Red Hat Academy</v>
      </c>
      <c r="E939" s="74" t="str">
        <f>IFERROR(__xludf.DUMMYFUNCTION("""COMPUTED_VALUE"""),"4 weeks")</f>
        <v>4 weeks</v>
      </c>
      <c r="F939" s="91">
        <f>IFERROR(__xludf.DUMMYFUNCTION("""COMPUTED_VALUE"""),44632.0)</f>
        <v>44632</v>
      </c>
      <c r="G939" s="91">
        <f>IFERROR(__xludf.DUMMYFUNCTION("""COMPUTED_VALUE"""),44663.0)</f>
        <v>44663</v>
      </c>
      <c r="H939" s="79">
        <f>IFERROR(__xludf.DUMMYFUNCTION("""COMPUTED_VALUE"""),44663.0)</f>
        <v>44663</v>
      </c>
      <c r="I939" s="92">
        <f>IFERROR(__xludf.DUMMYFUNCTION("""COMPUTED_VALUE"""),100.0)</f>
        <v>100</v>
      </c>
      <c r="J939" s="74" t="str">
        <f>IFERROR(__xludf.DUMMYFUNCTION("""COMPUTED_VALUE"""),"SUBBA RAJU KV")</f>
        <v>SUBBA RAJU KV</v>
      </c>
      <c r="K939" s="80" t="str">
        <f>IFERROR(__xludf.DUMMYFUNCTION("""COMPUTED_VALUE"""),"https://drive.google.com/open?id=1RKSEdI6Vfem6jETNAYdbOJvRSdVYyVYh")</f>
        <v>https://drive.google.com/open?id=1RKSEdI6Vfem6jETNAYdbOJvRSdVYyVYh</v>
      </c>
      <c r="L939" s="74" t="str">
        <f>IFERROR(__xludf.DUMMYFUNCTION("""COMPUTED_VALUE"""),"2018-2022")</f>
        <v>2018-2022</v>
      </c>
      <c r="M939" s="74" t="str">
        <f>IFERROR(__xludf.DUMMYFUNCTION("""COMPUTED_VALUE"""),"S4: Student Certifications")</f>
        <v>S4: Student Certifications</v>
      </c>
      <c r="N939" s="74" t="str">
        <f>IFERROR(__xludf.DUMMYFUNCTION("""COMPUTED_VALUE"""),"chaitra2026@gmail.com")</f>
        <v>chaitra2026@gmail.com</v>
      </c>
      <c r="O939" s="74" t="str">
        <f>IFERROR(__xludf.DUMMYFUNCTION("""COMPUTED_VALUE"""),"SEM-8")</f>
        <v>SEM-8</v>
      </c>
      <c r="P939" s="74"/>
      <c r="Q939" s="74"/>
      <c r="R939" s="74"/>
      <c r="S939" s="74"/>
      <c r="T939" s="74"/>
      <c r="U939" s="74"/>
      <c r="V939" s="74"/>
      <c r="W939" s="74"/>
      <c r="X939" s="74"/>
      <c r="Y939" s="74"/>
    </row>
    <row r="940" ht="26.25" customHeight="1">
      <c r="A940" s="74" t="str">
        <f>IFERROR(__xludf.DUMMYFUNCTION("""COMPUTED_VALUE"""),"Gonthini Thanmai Krishna Shri")</f>
        <v>Gonthini Thanmai Krishna Shri</v>
      </c>
      <c r="B940" s="74" t="str">
        <f>IFERROR(__xludf.DUMMYFUNCTION("""COMPUTED_VALUE"""),"19331A0554")</f>
        <v>19331A0554</v>
      </c>
      <c r="C940" s="90" t="str">
        <f>IFERROR(__xludf.DUMMYFUNCTION("""COMPUTED_VALUE"""),"IT Essential PC: Hardware and Software")</f>
        <v>IT Essential PC: Hardware and Software</v>
      </c>
      <c r="D940" s="74" t="str">
        <f>IFERROR(__xludf.DUMMYFUNCTION("""COMPUTED_VALUE"""),"Cisco")</f>
        <v>Cisco</v>
      </c>
      <c r="E940" s="74" t="str">
        <f>IFERROR(__xludf.DUMMYFUNCTION("""COMPUTED_VALUE"""),"2 months")</f>
        <v>2 months</v>
      </c>
      <c r="F940" s="91">
        <f>IFERROR(__xludf.DUMMYFUNCTION("""COMPUTED_VALUE"""),44016.0)</f>
        <v>44016</v>
      </c>
      <c r="G940" s="91">
        <f>IFERROR(__xludf.DUMMYFUNCTION("""COMPUTED_VALUE"""),44086.0)</f>
        <v>44086</v>
      </c>
      <c r="H940" s="79">
        <f>IFERROR(__xludf.DUMMYFUNCTION("""COMPUTED_VALUE"""),44086.0)</f>
        <v>44086</v>
      </c>
      <c r="I940" s="92">
        <f>IFERROR(__xludf.DUMMYFUNCTION("""COMPUTED_VALUE"""),89.0)</f>
        <v>89</v>
      </c>
      <c r="J940" s="74" t="str">
        <f>IFERROR(__xludf.DUMMYFUNCTION("""COMPUTED_VALUE"""),"Dr. Suvarna Kumar Gogula")</f>
        <v>Dr. Suvarna Kumar Gogula</v>
      </c>
      <c r="K940" s="80" t="str">
        <f>IFERROR(__xludf.DUMMYFUNCTION("""COMPUTED_VALUE"""),"https://drive.google.com/open?id=1lrlORQK9pCrpLuyXlTJ_q689dwhBYaBp")</f>
        <v>https://drive.google.com/open?id=1lrlORQK9pCrpLuyXlTJ_q689dwhBYaBp</v>
      </c>
      <c r="L940" s="74" t="str">
        <f>IFERROR(__xludf.DUMMYFUNCTION("""COMPUTED_VALUE"""),"2019-2023")</f>
        <v>2019-2023</v>
      </c>
      <c r="M940" s="74" t="str">
        <f>IFERROR(__xludf.DUMMYFUNCTION("""COMPUTED_VALUE"""),"S4: Student Certifications")</f>
        <v>S4: Student Certifications</v>
      </c>
      <c r="N940" s="74" t="str">
        <f>IFERROR(__xludf.DUMMYFUNCTION("""COMPUTED_VALUE"""),"thanmaikrishnasria@gmail.com")</f>
        <v>thanmaikrishnasria@gmail.com</v>
      </c>
      <c r="O940" s="74" t="str">
        <f>IFERROR(__xludf.DUMMYFUNCTION("""COMPUTED_VALUE"""),"SEM-6")</f>
        <v>SEM-6</v>
      </c>
      <c r="P940" s="74"/>
      <c r="Q940" s="74"/>
      <c r="R940" s="74"/>
      <c r="S940" s="74"/>
      <c r="T940" s="74"/>
      <c r="U940" s="74"/>
      <c r="V940" s="74"/>
      <c r="W940" s="74"/>
      <c r="X940" s="74"/>
      <c r="Y940" s="74"/>
    </row>
    <row r="941" ht="26.25" customHeight="1">
      <c r="A941" s="74" t="str">
        <f>IFERROR(__xludf.DUMMYFUNCTION("""COMPUTED_VALUE"""),"Gorle Haritha")</f>
        <v>Gorle Haritha</v>
      </c>
      <c r="B941" s="74" t="str">
        <f>IFERROR(__xludf.DUMMYFUNCTION("""COMPUTED_VALUE"""),"19331A0556")</f>
        <v>19331A0556</v>
      </c>
      <c r="C941" s="90" t="str">
        <f>IFERROR(__xludf.DUMMYFUNCTION("""COMPUTED_VALUE"""),"Introduction to networks")</f>
        <v>Introduction to networks</v>
      </c>
      <c r="D941" s="74" t="str">
        <f>IFERROR(__xludf.DUMMYFUNCTION("""COMPUTED_VALUE"""),"Cisco networking academy")</f>
        <v>Cisco networking academy</v>
      </c>
      <c r="E941" s="74" t="str">
        <f>IFERROR(__xludf.DUMMYFUNCTION("""COMPUTED_VALUE"""),"1 months")</f>
        <v>1 months</v>
      </c>
      <c r="F941" s="91">
        <f>IFERROR(__xludf.DUMMYFUNCTION("""COMPUTED_VALUE"""),44621.0)</f>
        <v>44621</v>
      </c>
      <c r="G941" s="91">
        <f>IFERROR(__xludf.DUMMYFUNCTION("""COMPUTED_VALUE"""),44650.0)</f>
        <v>44650</v>
      </c>
      <c r="H941" s="79">
        <f>IFERROR(__xludf.DUMMYFUNCTION("""COMPUTED_VALUE"""),44650.0)</f>
        <v>44650</v>
      </c>
      <c r="I941" s="92">
        <f>IFERROR(__xludf.DUMMYFUNCTION("""COMPUTED_VALUE"""),94.0)</f>
        <v>94</v>
      </c>
      <c r="J941" s="74" t="str">
        <f>IFERROR(__xludf.DUMMYFUNCTION("""COMPUTED_VALUE"""),"K V Subbaraju")</f>
        <v>K V Subbaraju</v>
      </c>
      <c r="K941" s="80" t="str">
        <f>IFERROR(__xludf.DUMMYFUNCTION("""COMPUTED_VALUE"""),"https://drive.google.com/open?id=1HSRzIA1We_ziaZnc-xDotqFZT8iFRC4l")</f>
        <v>https://drive.google.com/open?id=1HSRzIA1We_ziaZnc-xDotqFZT8iFRC4l</v>
      </c>
      <c r="L941" s="74" t="str">
        <f>IFERROR(__xludf.DUMMYFUNCTION("""COMPUTED_VALUE"""),"2019-2023")</f>
        <v>2019-2023</v>
      </c>
      <c r="M941" s="74" t="str">
        <f>IFERROR(__xludf.DUMMYFUNCTION("""COMPUTED_VALUE"""),"S4: Student Certifications")</f>
        <v>S4: Student Certifications</v>
      </c>
      <c r="N941" s="74" t="str">
        <f>IFERROR(__xludf.DUMMYFUNCTION("""COMPUTED_VALUE"""),"gorleharitha12@gmail.com")</f>
        <v>gorleharitha12@gmail.com</v>
      </c>
      <c r="O941" s="74" t="str">
        <f>IFERROR(__xludf.DUMMYFUNCTION("""COMPUTED_VALUE"""),"SEM-6")</f>
        <v>SEM-6</v>
      </c>
      <c r="P941" s="74"/>
      <c r="Q941" s="74"/>
      <c r="R941" s="74"/>
      <c r="S941" s="74"/>
      <c r="T941" s="74"/>
      <c r="U941" s="74"/>
      <c r="V941" s="74"/>
      <c r="W941" s="74"/>
      <c r="X941" s="74"/>
      <c r="Y941" s="74"/>
    </row>
    <row r="942" ht="26.25" customHeight="1">
      <c r="A942" s="74" t="str">
        <f>IFERROR(__xludf.DUMMYFUNCTION("""COMPUTED_VALUE"""),"Chaitra Mudili")</f>
        <v>Chaitra Mudili</v>
      </c>
      <c r="B942" s="74" t="str">
        <f>IFERROR(__xludf.DUMMYFUNCTION("""COMPUTED_VALUE"""),"18331A05A0")</f>
        <v>18331A05A0</v>
      </c>
      <c r="C942" s="90" t="str">
        <f>IFERROR(__xludf.DUMMYFUNCTION("""COMPUTED_VALUE"""),"Red Hat System Administration II (RH134)")</f>
        <v>Red Hat System Administration II (RH134)</v>
      </c>
      <c r="D942" s="74" t="str">
        <f>IFERROR(__xludf.DUMMYFUNCTION("""COMPUTED_VALUE"""),"Red Hat Academy")</f>
        <v>Red Hat Academy</v>
      </c>
      <c r="E942" s="74" t="str">
        <f>IFERROR(__xludf.DUMMYFUNCTION("""COMPUTED_VALUE"""),"4 weeks")</f>
        <v>4 weeks</v>
      </c>
      <c r="F942" s="91">
        <f>IFERROR(__xludf.DUMMYFUNCTION("""COMPUTED_VALUE"""),44639.0)</f>
        <v>44639</v>
      </c>
      <c r="G942" s="91">
        <f>IFERROR(__xludf.DUMMYFUNCTION("""COMPUTED_VALUE"""),44670.0)</f>
        <v>44670</v>
      </c>
      <c r="H942" s="79">
        <f>IFERROR(__xludf.DUMMYFUNCTION("""COMPUTED_VALUE"""),44670.0)</f>
        <v>44670</v>
      </c>
      <c r="I942" s="92">
        <f>IFERROR(__xludf.DUMMYFUNCTION("""COMPUTED_VALUE"""),100.0)</f>
        <v>100</v>
      </c>
      <c r="J942" s="74" t="str">
        <f>IFERROR(__xludf.DUMMYFUNCTION("""COMPUTED_VALUE"""),"SUBBA RAJU KV")</f>
        <v>SUBBA RAJU KV</v>
      </c>
      <c r="K942" s="80" t="str">
        <f>IFERROR(__xludf.DUMMYFUNCTION("""COMPUTED_VALUE"""),"https://drive.google.com/open?id=1FFqC9FxjP-xR1fXeJnLrOvZYmKr6Tad0")</f>
        <v>https://drive.google.com/open?id=1FFqC9FxjP-xR1fXeJnLrOvZYmKr6Tad0</v>
      </c>
      <c r="L942" s="74" t="str">
        <f>IFERROR(__xludf.DUMMYFUNCTION("""COMPUTED_VALUE"""),"2018-2022")</f>
        <v>2018-2022</v>
      </c>
      <c r="M942" s="74" t="str">
        <f>IFERROR(__xludf.DUMMYFUNCTION("""COMPUTED_VALUE"""),"S4: Student Certifications")</f>
        <v>S4: Student Certifications</v>
      </c>
      <c r="N942" s="74" t="str">
        <f>IFERROR(__xludf.DUMMYFUNCTION("""COMPUTED_VALUE"""),"chaitra2026@gmail.com")</f>
        <v>chaitra2026@gmail.com</v>
      </c>
      <c r="O942" s="74" t="str">
        <f>IFERROR(__xludf.DUMMYFUNCTION("""COMPUTED_VALUE"""),"SEM-6")</f>
        <v>SEM-6</v>
      </c>
      <c r="P942" s="74"/>
      <c r="Q942" s="74"/>
      <c r="R942" s="74"/>
      <c r="S942" s="74"/>
      <c r="T942" s="74"/>
      <c r="U942" s="74"/>
      <c r="V942" s="74"/>
      <c r="W942" s="74"/>
      <c r="X942" s="74"/>
      <c r="Y942" s="74"/>
    </row>
    <row r="943" ht="26.25" customHeight="1">
      <c r="A943" s="74" t="str">
        <f>IFERROR(__xludf.DUMMYFUNCTION("""COMPUTED_VALUE"""),"Gonthini Thanmai Krishna Shri")</f>
        <v>Gonthini Thanmai Krishna Shri</v>
      </c>
      <c r="B943" s="74" t="str">
        <f>IFERROR(__xludf.DUMMYFUNCTION("""COMPUTED_VALUE"""),"19331A0554")</f>
        <v>19331A0554</v>
      </c>
      <c r="C943" s="90" t="str">
        <f>IFERROR(__xludf.DUMMYFUNCTION("""COMPUTED_VALUE"""),"Programming Essentials in Python")</f>
        <v>Programming Essentials in Python</v>
      </c>
      <c r="D943" s="74" t="str">
        <f>IFERROR(__xludf.DUMMYFUNCTION("""COMPUTED_VALUE"""),"Cisco")</f>
        <v>Cisco</v>
      </c>
      <c r="E943" s="74" t="str">
        <f>IFERROR(__xludf.DUMMYFUNCTION("""COMPUTED_VALUE"""),"2 months")</f>
        <v>2 months</v>
      </c>
      <c r="F943" s="91">
        <f>IFERROR(__xludf.DUMMYFUNCTION("""COMPUTED_VALUE"""),44232.0)</f>
        <v>44232</v>
      </c>
      <c r="G943" s="91">
        <f>IFERROR(__xludf.DUMMYFUNCTION("""COMPUTED_VALUE"""),44308.0)</f>
        <v>44308</v>
      </c>
      <c r="H943" s="79">
        <f>IFERROR(__xludf.DUMMYFUNCTION("""COMPUTED_VALUE"""),44308.0)</f>
        <v>44308</v>
      </c>
      <c r="I943" s="92">
        <f>IFERROR(__xludf.DUMMYFUNCTION("""COMPUTED_VALUE"""),91.0)</f>
        <v>91</v>
      </c>
      <c r="J943" s="74" t="str">
        <f>IFERROR(__xludf.DUMMYFUNCTION("""COMPUTED_VALUE"""),"Jayasri Sai Venkata Angara")</f>
        <v>Jayasri Sai Venkata Angara</v>
      </c>
      <c r="K943" s="80" t="str">
        <f>IFERROR(__xludf.DUMMYFUNCTION("""COMPUTED_VALUE"""),"https://drive.google.com/open?id=1tkFqoPlFNhko8pnKpOs5tTIogAE9gyXi")</f>
        <v>https://drive.google.com/open?id=1tkFqoPlFNhko8pnKpOs5tTIogAE9gyXi</v>
      </c>
      <c r="L943" s="74" t="str">
        <f>IFERROR(__xludf.DUMMYFUNCTION("""COMPUTED_VALUE"""),"2019-2023")</f>
        <v>2019-2023</v>
      </c>
      <c r="M943" s="74" t="str">
        <f>IFERROR(__xludf.DUMMYFUNCTION("""COMPUTED_VALUE"""),"S4: Student Certifications")</f>
        <v>S4: Student Certifications</v>
      </c>
      <c r="N943" s="74" t="str">
        <f>IFERROR(__xludf.DUMMYFUNCTION("""COMPUTED_VALUE"""),"thanmaikrishnasria@gmail.com")</f>
        <v>thanmaikrishnasria@gmail.com</v>
      </c>
      <c r="O943" s="74" t="str">
        <f>IFERROR(__xludf.DUMMYFUNCTION("""COMPUTED_VALUE"""),"SEM-6")</f>
        <v>SEM-6</v>
      </c>
      <c r="P943" s="74"/>
      <c r="Q943" s="74"/>
      <c r="R943" s="74"/>
      <c r="S943" s="74"/>
      <c r="T943" s="74"/>
      <c r="U943" s="74"/>
      <c r="V943" s="74"/>
      <c r="W943" s="74"/>
      <c r="X943" s="74"/>
      <c r="Y943" s="74"/>
    </row>
    <row r="944" ht="26.25" customHeight="1">
      <c r="A944" s="74" t="str">
        <f>IFERROR(__xludf.DUMMYFUNCTION("""COMPUTED_VALUE"""),"Chaitra Mudili")</f>
        <v>Chaitra Mudili</v>
      </c>
      <c r="B944" s="74" t="str">
        <f>IFERROR(__xludf.DUMMYFUNCTION("""COMPUTED_VALUE"""),"18331A05A0")</f>
        <v>18331A05A0</v>
      </c>
      <c r="C944" s="90" t="str">
        <f>IFERROR(__xludf.DUMMYFUNCTION("""COMPUTED_VALUE"""),"AWS Academy Graduate - AWS Academy Cloud Foundations")</f>
        <v>AWS Academy Graduate - AWS Academy Cloud Foundations</v>
      </c>
      <c r="D944" s="74" t="str">
        <f>IFERROR(__xludf.DUMMYFUNCTION("""COMPUTED_VALUE"""),"AICTE")</f>
        <v>AICTE</v>
      </c>
      <c r="E944" s="74" t="str">
        <f>IFERROR(__xludf.DUMMYFUNCTION("""COMPUTED_VALUE"""),"20 hours")</f>
        <v>20 hours</v>
      </c>
      <c r="F944" s="91">
        <f>IFERROR(__xludf.DUMMYFUNCTION("""COMPUTED_VALUE"""),44512.0)</f>
        <v>44512</v>
      </c>
      <c r="G944" s="91">
        <f>IFERROR(__xludf.DUMMYFUNCTION("""COMPUTED_VALUE"""),44542.0)</f>
        <v>44542</v>
      </c>
      <c r="H944" s="79">
        <f>IFERROR(__xludf.DUMMYFUNCTION("""COMPUTED_VALUE"""),44542.0)</f>
        <v>44542</v>
      </c>
      <c r="I944" s="92">
        <f>IFERROR(__xludf.DUMMYFUNCTION("""COMPUTED_VALUE"""),100.0)</f>
        <v>100</v>
      </c>
      <c r="J944" s="74" t="str">
        <f>IFERROR(__xludf.DUMMYFUNCTION("""COMPUTED_VALUE"""),"DR. RAVI KIRAN VARMA PENMATSA")</f>
        <v>DR. RAVI KIRAN VARMA PENMATSA</v>
      </c>
      <c r="K944" s="80" t="str">
        <f>IFERROR(__xludf.DUMMYFUNCTION("""COMPUTED_VALUE"""),"https://drive.google.com/open?id=1SYoEMJdaSd2UFgniQt03E2QV-ckV0MtL")</f>
        <v>https://drive.google.com/open?id=1SYoEMJdaSd2UFgniQt03E2QV-ckV0MtL</v>
      </c>
      <c r="L944" s="74" t="str">
        <f>IFERROR(__xludf.DUMMYFUNCTION("""COMPUTED_VALUE"""),"2018-2022")</f>
        <v>2018-2022</v>
      </c>
      <c r="M944" s="74" t="str">
        <f>IFERROR(__xludf.DUMMYFUNCTION("""COMPUTED_VALUE"""),"S4: Student Certifications")</f>
        <v>S4: Student Certifications</v>
      </c>
      <c r="N944" s="74" t="str">
        <f>IFERROR(__xludf.DUMMYFUNCTION("""COMPUTED_VALUE"""),"chaitra2026@gmail.com")</f>
        <v>chaitra2026@gmail.com</v>
      </c>
      <c r="O944" s="74" t="str">
        <f>IFERROR(__xludf.DUMMYFUNCTION("""COMPUTED_VALUE"""),"SEM-7")</f>
        <v>SEM-7</v>
      </c>
      <c r="P944" s="74"/>
      <c r="Q944" s="74"/>
      <c r="R944" s="74"/>
      <c r="S944" s="74"/>
      <c r="T944" s="74"/>
      <c r="U944" s="74"/>
      <c r="V944" s="74"/>
      <c r="W944" s="74"/>
      <c r="X944" s="74"/>
      <c r="Y944" s="74"/>
    </row>
    <row r="945" ht="26.25" customHeight="1">
      <c r="A945" s="74" t="str">
        <f>IFERROR(__xludf.DUMMYFUNCTION("""COMPUTED_VALUE"""),"Gorle Haritha")</f>
        <v>Gorle Haritha</v>
      </c>
      <c r="B945" s="74" t="str">
        <f>IFERROR(__xludf.DUMMYFUNCTION("""COMPUTED_VALUE"""),"19331A0556")</f>
        <v>19331A0556</v>
      </c>
      <c r="C945" s="90" t="str">
        <f>IFERROR(__xludf.DUMMYFUNCTION("""COMPUTED_VALUE"""),"Introduction to fundamentals of databases")</f>
        <v>Introduction to fundamentals of databases</v>
      </c>
      <c r="D945" s="74" t="str">
        <f>IFERROR(__xludf.DUMMYFUNCTION("""COMPUTED_VALUE"""),"SkillUP")</f>
        <v>SkillUP</v>
      </c>
      <c r="E945" s="74" t="str">
        <f>IFERROR(__xludf.DUMMYFUNCTION("""COMPUTED_VALUE"""),"2 months")</f>
        <v>2 months</v>
      </c>
      <c r="F945" s="91">
        <f>IFERROR(__xludf.DUMMYFUNCTION("""COMPUTED_VALUE"""),44621.0)</f>
        <v>44621</v>
      </c>
      <c r="G945" s="91">
        <f>IFERROR(__xludf.DUMMYFUNCTION("""COMPUTED_VALUE"""),44670.0)</f>
        <v>44670</v>
      </c>
      <c r="H945" s="79">
        <f>IFERROR(__xludf.DUMMYFUNCTION("""COMPUTED_VALUE"""),44670.0)</f>
        <v>44670</v>
      </c>
      <c r="I945" s="92">
        <f>IFERROR(__xludf.DUMMYFUNCTION("""COMPUTED_VALUE"""),95.0)</f>
        <v>95</v>
      </c>
      <c r="J945" s="74" t="str">
        <f>IFERROR(__xludf.DUMMYFUNCTION("""COMPUTED_VALUE"""),"Krishna Kumar")</f>
        <v>Krishna Kumar</v>
      </c>
      <c r="K945" s="80" t="str">
        <f>IFERROR(__xludf.DUMMYFUNCTION("""COMPUTED_VALUE"""),"https://drive.google.com/open?id=1jPB5UmblThKR6deyjeIv2EChM76QiGfr")</f>
        <v>https://drive.google.com/open?id=1jPB5UmblThKR6deyjeIv2EChM76QiGfr</v>
      </c>
      <c r="L945" s="74" t="str">
        <f>IFERROR(__xludf.DUMMYFUNCTION("""COMPUTED_VALUE"""),"2019-2023")</f>
        <v>2019-2023</v>
      </c>
      <c r="M945" s="74" t="str">
        <f>IFERROR(__xludf.DUMMYFUNCTION("""COMPUTED_VALUE"""),"S4: Student Certifications")</f>
        <v>S4: Student Certifications</v>
      </c>
      <c r="N945" s="74" t="str">
        <f>IFERROR(__xludf.DUMMYFUNCTION("""COMPUTED_VALUE"""),"gorleharitha12@gmail.com")</f>
        <v>gorleharitha12@gmail.com</v>
      </c>
      <c r="O945" s="74" t="str">
        <f>IFERROR(__xludf.DUMMYFUNCTION("""COMPUTED_VALUE"""),"SEM-6")</f>
        <v>SEM-6</v>
      </c>
      <c r="P945" s="74"/>
      <c r="Q945" s="74"/>
      <c r="R945" s="74"/>
      <c r="S945" s="74"/>
      <c r="T945" s="74"/>
      <c r="U945" s="74"/>
      <c r="V945" s="74"/>
      <c r="W945" s="74"/>
      <c r="X945" s="74"/>
      <c r="Y945" s="74"/>
    </row>
    <row r="946" ht="26.25" customHeight="1">
      <c r="A946" s="74" t="str">
        <f>IFERROR(__xludf.DUMMYFUNCTION("""COMPUTED_VALUE"""),"Haritha Gorle")</f>
        <v>Haritha Gorle</v>
      </c>
      <c r="B946" s="74" t="str">
        <f>IFERROR(__xludf.DUMMYFUNCTION("""COMPUTED_VALUE"""),"19331A0556")</f>
        <v>19331A0556</v>
      </c>
      <c r="C946" s="90" t="str">
        <f>IFERROR(__xludf.DUMMYFUNCTION("""COMPUTED_VALUE"""),"Java programming ")</f>
        <v>Java programming </v>
      </c>
      <c r="D946" s="74" t="str">
        <f>IFERROR(__xludf.DUMMYFUNCTION("""COMPUTED_VALUE"""),"Great learning academy")</f>
        <v>Great learning academy</v>
      </c>
      <c r="E946" s="74" t="str">
        <f>IFERROR(__xludf.DUMMYFUNCTION("""COMPUTED_VALUE"""),"1 month")</f>
        <v>1 month</v>
      </c>
      <c r="F946" s="91">
        <f>IFERROR(__xludf.DUMMYFUNCTION("""COMPUTED_VALUE"""),44630.0)</f>
        <v>44630</v>
      </c>
      <c r="G946" s="91">
        <f>IFERROR(__xludf.DUMMYFUNCTION("""COMPUTED_VALUE"""),44661.0)</f>
        <v>44661</v>
      </c>
      <c r="H946" s="79">
        <f>IFERROR(__xludf.DUMMYFUNCTION("""COMPUTED_VALUE"""),44661.0)</f>
        <v>44661</v>
      </c>
      <c r="I946" s="92">
        <f>IFERROR(__xludf.DUMMYFUNCTION("""COMPUTED_VALUE"""),92.0)</f>
        <v>92</v>
      </c>
      <c r="J946" s="74" t="str">
        <f>IFERROR(__xludf.DUMMYFUNCTION("""COMPUTED_VALUE"""),"Great learning academy")</f>
        <v>Great learning academy</v>
      </c>
      <c r="K946" s="80" t="str">
        <f>IFERROR(__xludf.DUMMYFUNCTION("""COMPUTED_VALUE"""),"https://drive.google.com/open?id=1zqhaGC66ocWEDch55IBjg1xJ5ARI12QI")</f>
        <v>https://drive.google.com/open?id=1zqhaGC66ocWEDch55IBjg1xJ5ARI12QI</v>
      </c>
      <c r="L946" s="74" t="str">
        <f>IFERROR(__xludf.DUMMYFUNCTION("""COMPUTED_VALUE"""),"2019-2023")</f>
        <v>2019-2023</v>
      </c>
      <c r="M946" s="74" t="str">
        <f>IFERROR(__xludf.DUMMYFUNCTION("""COMPUTED_VALUE"""),"S4: Student Certifications")</f>
        <v>S4: Student Certifications</v>
      </c>
      <c r="N946" s="74" t="str">
        <f>IFERROR(__xludf.DUMMYFUNCTION("""COMPUTED_VALUE"""),"gorleharitha12@gmail.com")</f>
        <v>gorleharitha12@gmail.com</v>
      </c>
      <c r="O946" s="74" t="str">
        <f>IFERROR(__xludf.DUMMYFUNCTION("""COMPUTED_VALUE"""),"SEM-6")</f>
        <v>SEM-6</v>
      </c>
      <c r="P946" s="74"/>
      <c r="Q946" s="74"/>
      <c r="R946" s="74"/>
      <c r="S946" s="74"/>
      <c r="T946" s="74"/>
      <c r="U946" s="74"/>
      <c r="V946" s="74"/>
      <c r="W946" s="74"/>
      <c r="X946" s="74"/>
      <c r="Y946" s="74"/>
    </row>
    <row r="947" ht="26.25" customHeight="1">
      <c r="A947" s="74" t="str">
        <f>IFERROR(__xludf.DUMMYFUNCTION("""COMPUTED_VALUE"""),"Gonthini Thanmai Krishna Shri")</f>
        <v>Gonthini Thanmai Krishna Shri</v>
      </c>
      <c r="B947" s="74" t="str">
        <f>IFERROR(__xludf.DUMMYFUNCTION("""COMPUTED_VALUE"""),"19331A0554")</f>
        <v>19331A0554</v>
      </c>
      <c r="C947" s="90" t="str">
        <f>IFERROR(__xludf.DUMMYFUNCTION("""COMPUTED_VALUE"""),"CCNAv7: Introduction to Networks")</f>
        <v>CCNAv7: Introduction to Networks</v>
      </c>
      <c r="D947" s="74" t="str">
        <f>IFERROR(__xludf.DUMMYFUNCTION("""COMPUTED_VALUE"""),"Cisco")</f>
        <v>Cisco</v>
      </c>
      <c r="E947" s="74" t="str">
        <f>IFERROR(__xludf.DUMMYFUNCTION("""COMPUTED_VALUE"""),"2 months")</f>
        <v>2 months</v>
      </c>
      <c r="F947" s="91">
        <f>IFERROR(__xludf.DUMMYFUNCTION("""COMPUTED_VALUE"""),44566.0)</f>
        <v>44566</v>
      </c>
      <c r="G947" s="91">
        <f>IFERROR(__xludf.DUMMYFUNCTION("""COMPUTED_VALUE"""),44649.0)</f>
        <v>44649</v>
      </c>
      <c r="H947" s="79">
        <f>IFERROR(__xludf.DUMMYFUNCTION("""COMPUTED_VALUE"""),44649.0)</f>
        <v>44649</v>
      </c>
      <c r="I947" s="92">
        <f>IFERROR(__xludf.DUMMYFUNCTION("""COMPUTED_VALUE"""),92.0)</f>
        <v>92</v>
      </c>
      <c r="J947" s="74" t="str">
        <f>IFERROR(__xludf.DUMMYFUNCTION("""COMPUTED_VALUE"""),"Dr. Ravi Kiran Varma Penmatsa")</f>
        <v>Dr. Ravi Kiran Varma Penmatsa</v>
      </c>
      <c r="K947" s="80" t="str">
        <f>IFERROR(__xludf.DUMMYFUNCTION("""COMPUTED_VALUE"""),"https://drive.google.com/open?id=1JewSrEuWZ1gn8e6MduMvHxnGtvjMgpgp")</f>
        <v>https://drive.google.com/open?id=1JewSrEuWZ1gn8e6MduMvHxnGtvjMgpgp</v>
      </c>
      <c r="L947" s="74" t="str">
        <f>IFERROR(__xludf.DUMMYFUNCTION("""COMPUTED_VALUE"""),"2019-2023")</f>
        <v>2019-2023</v>
      </c>
      <c r="M947" s="74" t="str">
        <f>IFERROR(__xludf.DUMMYFUNCTION("""COMPUTED_VALUE"""),"S4: Student Certifications")</f>
        <v>S4: Student Certifications</v>
      </c>
      <c r="N947" s="74" t="str">
        <f>IFERROR(__xludf.DUMMYFUNCTION("""COMPUTED_VALUE"""),"thanmaikrishnasria@gmail.com")</f>
        <v>thanmaikrishnasria@gmail.com</v>
      </c>
      <c r="O947" s="74" t="str">
        <f>IFERROR(__xludf.DUMMYFUNCTION("""COMPUTED_VALUE"""),"SEM-6")</f>
        <v>SEM-6</v>
      </c>
      <c r="P947" s="74"/>
      <c r="Q947" s="74"/>
      <c r="R947" s="74"/>
      <c r="S947" s="74"/>
      <c r="T947" s="74"/>
      <c r="U947" s="74"/>
      <c r="V947" s="74"/>
      <c r="W947" s="74"/>
      <c r="X947" s="74"/>
      <c r="Y947" s="74"/>
    </row>
    <row r="948" ht="26.25" customHeight="1">
      <c r="A948" s="74" t="str">
        <f>IFERROR(__xludf.DUMMYFUNCTION("""COMPUTED_VALUE"""),"Haritha Gorle")</f>
        <v>Haritha Gorle</v>
      </c>
      <c r="B948" s="74" t="str">
        <f>IFERROR(__xludf.DUMMYFUNCTION("""COMPUTED_VALUE"""),"19331A0556")</f>
        <v>19331A0556</v>
      </c>
      <c r="C948" s="90" t="str">
        <f>IFERROR(__xludf.DUMMYFUNCTION("""COMPUTED_VALUE"""),"Introduction to HTML")</f>
        <v>Introduction to HTML</v>
      </c>
      <c r="D948" s="74" t="str">
        <f>IFERROR(__xludf.DUMMYFUNCTION("""COMPUTED_VALUE"""),"SkillUP")</f>
        <v>SkillUP</v>
      </c>
      <c r="E948" s="74" t="str">
        <f>IFERROR(__xludf.DUMMYFUNCTION("""COMPUTED_VALUE"""),"1 month")</f>
        <v>1 month</v>
      </c>
      <c r="F948" s="91">
        <f>IFERROR(__xludf.DUMMYFUNCTION("""COMPUTED_VALUE"""),44638.0)</f>
        <v>44638</v>
      </c>
      <c r="G948" s="91">
        <f>IFERROR(__xludf.DUMMYFUNCTION("""COMPUTED_VALUE"""),44669.0)</f>
        <v>44669</v>
      </c>
      <c r="H948" s="79">
        <f>IFERROR(__xludf.DUMMYFUNCTION("""COMPUTED_VALUE"""),44669.0)</f>
        <v>44669</v>
      </c>
      <c r="I948" s="92">
        <f>IFERROR(__xludf.DUMMYFUNCTION("""COMPUTED_VALUE"""),94.0)</f>
        <v>94</v>
      </c>
      <c r="J948" s="74" t="str">
        <f>IFERROR(__xludf.DUMMYFUNCTION("""COMPUTED_VALUE"""),"Krishna Kumar")</f>
        <v>Krishna Kumar</v>
      </c>
      <c r="K948" s="80" t="str">
        <f>IFERROR(__xludf.DUMMYFUNCTION("""COMPUTED_VALUE"""),"https://drive.google.com/open?id=1dVwTtYti-XH701qEK3YCt9rBCXiqAzeK")</f>
        <v>https://drive.google.com/open?id=1dVwTtYti-XH701qEK3YCt9rBCXiqAzeK</v>
      </c>
      <c r="L948" s="74" t="str">
        <f>IFERROR(__xludf.DUMMYFUNCTION("""COMPUTED_VALUE"""),"2019-2023")</f>
        <v>2019-2023</v>
      </c>
      <c r="M948" s="74" t="str">
        <f>IFERROR(__xludf.DUMMYFUNCTION("""COMPUTED_VALUE"""),"S4: Student Certifications")</f>
        <v>S4: Student Certifications</v>
      </c>
      <c r="N948" s="74" t="str">
        <f>IFERROR(__xludf.DUMMYFUNCTION("""COMPUTED_VALUE"""),"gorleharitha12@gmail.com")</f>
        <v>gorleharitha12@gmail.com</v>
      </c>
      <c r="O948" s="74" t="str">
        <f>IFERROR(__xludf.DUMMYFUNCTION("""COMPUTED_VALUE"""),"SEM-6")</f>
        <v>SEM-6</v>
      </c>
      <c r="P948" s="74"/>
      <c r="Q948" s="74"/>
      <c r="R948" s="74"/>
      <c r="S948" s="74"/>
      <c r="T948" s="74"/>
      <c r="U948" s="74"/>
      <c r="V948" s="74"/>
      <c r="W948" s="74"/>
      <c r="X948" s="74"/>
      <c r="Y948" s="74"/>
    </row>
    <row r="949" ht="26.25" customHeight="1">
      <c r="A949" s="74" t="str">
        <f>IFERROR(__xludf.DUMMYFUNCTION("""COMPUTED_VALUE"""),"Haritha Gorle")</f>
        <v>Haritha Gorle</v>
      </c>
      <c r="B949" s="74" t="str">
        <f>IFERROR(__xludf.DUMMYFUNCTION("""COMPUTED_VALUE"""),"19331A0556")</f>
        <v>19331A0556</v>
      </c>
      <c r="C949" s="90" t="str">
        <f>IFERROR(__xludf.DUMMYFUNCTION("""COMPUTED_VALUE"""),"Introduction to Artificial Intelligence")</f>
        <v>Introduction to Artificial Intelligence</v>
      </c>
      <c r="D949" s="74" t="str">
        <f>IFERROR(__xludf.DUMMYFUNCTION("""COMPUTED_VALUE"""),"SkillUP")</f>
        <v>SkillUP</v>
      </c>
      <c r="E949" s="74" t="str">
        <f>IFERROR(__xludf.DUMMYFUNCTION("""COMPUTED_VALUE"""),"1 month")</f>
        <v>1 month</v>
      </c>
      <c r="F949" s="91">
        <f>IFERROR(__xludf.DUMMYFUNCTION("""COMPUTED_VALUE"""),44637.0)</f>
        <v>44637</v>
      </c>
      <c r="G949" s="91">
        <f>IFERROR(__xludf.DUMMYFUNCTION("""COMPUTED_VALUE"""),44668.0)</f>
        <v>44668</v>
      </c>
      <c r="H949" s="79">
        <f>IFERROR(__xludf.DUMMYFUNCTION("""COMPUTED_VALUE"""),44668.0)</f>
        <v>44668</v>
      </c>
      <c r="I949" s="92">
        <f>IFERROR(__xludf.DUMMYFUNCTION("""COMPUTED_VALUE"""),89.0)</f>
        <v>89</v>
      </c>
      <c r="J949" s="74" t="str">
        <f>IFERROR(__xludf.DUMMYFUNCTION("""COMPUTED_VALUE"""),"Krishna Kumar")</f>
        <v>Krishna Kumar</v>
      </c>
      <c r="K949" s="80" t="str">
        <f>IFERROR(__xludf.DUMMYFUNCTION("""COMPUTED_VALUE"""),"https://drive.google.com/open?id=1rZqsDbrIhQ-RpIK6o-tdrNWZEk4mjaD_")</f>
        <v>https://drive.google.com/open?id=1rZqsDbrIhQ-RpIK6o-tdrNWZEk4mjaD_</v>
      </c>
      <c r="L949" s="74" t="str">
        <f>IFERROR(__xludf.DUMMYFUNCTION("""COMPUTED_VALUE"""),"2019-2023")</f>
        <v>2019-2023</v>
      </c>
      <c r="M949" s="74" t="str">
        <f>IFERROR(__xludf.DUMMYFUNCTION("""COMPUTED_VALUE"""),"S4: Student Certifications")</f>
        <v>S4: Student Certifications</v>
      </c>
      <c r="N949" s="74" t="str">
        <f>IFERROR(__xludf.DUMMYFUNCTION("""COMPUTED_VALUE"""),"gorleharitha12@gmail.com")</f>
        <v>gorleharitha12@gmail.com</v>
      </c>
      <c r="O949" s="74" t="str">
        <f>IFERROR(__xludf.DUMMYFUNCTION("""COMPUTED_VALUE"""),"SEM-6")</f>
        <v>SEM-6</v>
      </c>
      <c r="P949" s="74"/>
      <c r="Q949" s="74"/>
      <c r="R949" s="74"/>
      <c r="S949" s="74"/>
      <c r="T949" s="74"/>
      <c r="U949" s="74"/>
      <c r="V949" s="74"/>
      <c r="W949" s="74"/>
      <c r="X949" s="74"/>
      <c r="Y949" s="74"/>
    </row>
    <row r="950" ht="26.25" customHeight="1">
      <c r="A950" s="96" t="str">
        <f>IFERROR(__xludf.DUMMYFUNCTION("""COMPUTED_VALUE"""),"BHOOMIREDDY KAVYA")</f>
        <v>BHOOMIREDDY KAVYA</v>
      </c>
      <c r="B950" s="96" t="str">
        <f>IFERROR(__xludf.DUMMYFUNCTION("""COMPUTED_VALUE"""),"19331A0517")</f>
        <v>19331A0517</v>
      </c>
      <c r="C950" s="97" t="str">
        <f>IFERROR(__xludf.DUMMYFUNCTION("""COMPUTED_VALUE"""),"CCNAv7:Introduction To Networks")</f>
        <v>CCNAv7:Introduction To Networks</v>
      </c>
      <c r="D950" s="96" t="str">
        <f>IFERROR(__xludf.DUMMYFUNCTION("""COMPUTED_VALUE"""),"Cisco Networking Academy ")</f>
        <v>Cisco Networking Academy </v>
      </c>
      <c r="E950" s="96" t="str">
        <f>IFERROR(__xludf.DUMMYFUNCTION("""COMPUTED_VALUE"""),"13 weeks")</f>
        <v>13 weeks</v>
      </c>
      <c r="F950" s="98">
        <f>IFERROR(__xludf.DUMMYFUNCTION("""COMPUTED_VALUE"""),44495.0)</f>
        <v>44495</v>
      </c>
      <c r="G950" s="98">
        <f>IFERROR(__xludf.DUMMYFUNCTION("""COMPUTED_VALUE"""),44681.0)</f>
        <v>44681</v>
      </c>
      <c r="H950" s="99">
        <f>IFERROR(__xludf.DUMMYFUNCTION("""COMPUTED_VALUE"""),44650.0)</f>
        <v>44650</v>
      </c>
      <c r="I950" s="100">
        <f>IFERROR(__xludf.DUMMYFUNCTION("""COMPUTED_VALUE"""),0.978)</f>
        <v>0.978</v>
      </c>
      <c r="J950" s="96" t="str">
        <f>IFERROR(__xludf.DUMMYFUNCTION("""COMPUTED_VALUE"""),"Subba Raju K V")</f>
        <v>Subba Raju K V</v>
      </c>
      <c r="K950" s="101" t="str">
        <f>IFERROR(__xludf.DUMMYFUNCTION("""COMPUTED_VALUE"""),"https://drive.google.com/open?id=18o2IWIxFFgYg7iX6VFguJeAd8PlyZIr5")</f>
        <v>https://drive.google.com/open?id=18o2IWIxFFgYg7iX6VFguJeAd8PlyZIr5</v>
      </c>
      <c r="L950" s="96" t="str">
        <f>IFERROR(__xludf.DUMMYFUNCTION("""COMPUTED_VALUE"""),"2019-2023")</f>
        <v>2019-2023</v>
      </c>
      <c r="M950" s="96" t="str">
        <f>IFERROR(__xludf.DUMMYFUNCTION("""COMPUTED_VALUE"""),"S4: Student Certifications")</f>
        <v>S4: Student Certifications</v>
      </c>
      <c r="N950" s="96" t="str">
        <f>IFERROR(__xludf.DUMMYFUNCTION("""COMPUTED_VALUE"""),"kavyabhoomireddy@gmail.com")</f>
        <v>kavyabhoomireddy@gmail.com</v>
      </c>
      <c r="O950" s="96" t="str">
        <f>IFERROR(__xludf.DUMMYFUNCTION("""COMPUTED_VALUE"""),"SEM-6")</f>
        <v>SEM-6</v>
      </c>
      <c r="P950" s="96"/>
      <c r="Q950" s="96"/>
      <c r="R950" s="96"/>
      <c r="S950" s="96"/>
      <c r="T950" s="96"/>
      <c r="U950" s="96"/>
      <c r="V950" s="96"/>
      <c r="W950" s="96"/>
      <c r="X950" s="96"/>
      <c r="Y950" s="96"/>
    </row>
    <row r="951" ht="26.25" customHeight="1">
      <c r="A951" s="74" t="str">
        <f>IFERROR(__xludf.DUMMYFUNCTION("""COMPUTED_VALUE"""),"Gonthini Thanmai Krishna Shri")</f>
        <v>Gonthini Thanmai Krishna Shri</v>
      </c>
      <c r="B951" s="74" t="str">
        <f>IFERROR(__xludf.DUMMYFUNCTION("""COMPUTED_VALUE"""),"19331A0554")</f>
        <v>19331A0554</v>
      </c>
      <c r="C951" s="90" t="str">
        <f>IFERROR(__xludf.DUMMYFUNCTION("""COMPUTED_VALUE"""),"Robotics Process Automation")</f>
        <v>Robotics Process Automation</v>
      </c>
      <c r="D951" s="74" t="str">
        <f>IFERROR(__xludf.DUMMYFUNCTION("""COMPUTED_VALUE"""),"Blueprism")</f>
        <v>Blueprism</v>
      </c>
      <c r="E951" s="74" t="str">
        <f>IFERROR(__xludf.DUMMYFUNCTION("""COMPUTED_VALUE"""),"2 months")</f>
        <v>2 months</v>
      </c>
      <c r="F951" s="91">
        <f>IFERROR(__xludf.DUMMYFUNCTION("""COMPUTED_VALUE"""),44600.0)</f>
        <v>44600</v>
      </c>
      <c r="G951" s="91">
        <f>IFERROR(__xludf.DUMMYFUNCTION("""COMPUTED_VALUE"""),44671.0)</f>
        <v>44671</v>
      </c>
      <c r="H951" s="79">
        <f>IFERROR(__xludf.DUMMYFUNCTION("""COMPUTED_VALUE"""),44671.0)</f>
        <v>44671</v>
      </c>
      <c r="I951" s="92">
        <f>IFERROR(__xludf.DUMMYFUNCTION("""COMPUTED_VALUE"""),90.0)</f>
        <v>90</v>
      </c>
      <c r="J951" s="74" t="str">
        <f>IFERROR(__xludf.DUMMYFUNCTION("""COMPUTED_VALUE"""),"K Sobha Rani")</f>
        <v>K Sobha Rani</v>
      </c>
      <c r="K951" s="80" t="str">
        <f>IFERROR(__xludf.DUMMYFUNCTION("""COMPUTED_VALUE"""),"https://drive.google.com/open?id=153qzoAafGFIf2MR0596_xmGLkVIwwXIK")</f>
        <v>https://drive.google.com/open?id=153qzoAafGFIf2MR0596_xmGLkVIwwXIK</v>
      </c>
      <c r="L951" s="74" t="str">
        <f>IFERROR(__xludf.DUMMYFUNCTION("""COMPUTED_VALUE"""),"2019-2023")</f>
        <v>2019-2023</v>
      </c>
      <c r="M951" s="74" t="str">
        <f>IFERROR(__xludf.DUMMYFUNCTION("""COMPUTED_VALUE"""),"S4: Student Certifications")</f>
        <v>S4: Student Certifications</v>
      </c>
      <c r="N951" s="74" t="str">
        <f>IFERROR(__xludf.DUMMYFUNCTION("""COMPUTED_VALUE"""),"thanmaikrishnasria@gmail.com")</f>
        <v>thanmaikrishnasria@gmail.com</v>
      </c>
      <c r="O951" s="74" t="str">
        <f>IFERROR(__xludf.DUMMYFUNCTION("""COMPUTED_VALUE"""),"SEM-6")</f>
        <v>SEM-6</v>
      </c>
      <c r="P951" s="74"/>
      <c r="Q951" s="74"/>
      <c r="R951" s="74"/>
      <c r="S951" s="74"/>
      <c r="T951" s="74"/>
      <c r="U951" s="74"/>
      <c r="V951" s="74"/>
      <c r="W951" s="74"/>
      <c r="X951" s="74"/>
      <c r="Y951" s="74"/>
    </row>
    <row r="952" ht="26.25" customHeight="1">
      <c r="A952" s="74" t="str">
        <f>IFERROR(__xludf.DUMMYFUNCTION("""COMPUTED_VALUE"""),"Gonthini Thanmai Krishna Shri")</f>
        <v>Gonthini Thanmai Krishna Shri</v>
      </c>
      <c r="B952" s="74" t="str">
        <f>IFERROR(__xludf.DUMMYFUNCTION("""COMPUTED_VALUE"""),"19331A0554")</f>
        <v>19331A0554</v>
      </c>
      <c r="C952" s="90" t="str">
        <f>IFERROR(__xludf.DUMMYFUNCTION("""COMPUTED_VALUE"""),"Introduction to HTML")</f>
        <v>Introduction to HTML</v>
      </c>
      <c r="D952" s="74" t="str">
        <f>IFERROR(__xludf.DUMMYFUNCTION("""COMPUTED_VALUE"""),"Simplilearn")</f>
        <v>Simplilearn</v>
      </c>
      <c r="E952" s="74" t="str">
        <f>IFERROR(__xludf.DUMMYFUNCTION("""COMPUTED_VALUE"""),"90 days")</f>
        <v>90 days</v>
      </c>
      <c r="F952" s="91">
        <f>IFERROR(__xludf.DUMMYFUNCTION("""COMPUTED_VALUE"""),44602.0)</f>
        <v>44602</v>
      </c>
      <c r="G952" s="91">
        <f>IFERROR(__xludf.DUMMYFUNCTION("""COMPUTED_VALUE"""),44674.0)</f>
        <v>44674</v>
      </c>
      <c r="H952" s="79">
        <f>IFERROR(__xludf.DUMMYFUNCTION("""COMPUTED_VALUE"""),44674.0)</f>
        <v>44674</v>
      </c>
      <c r="I952" s="92">
        <f>IFERROR(__xludf.DUMMYFUNCTION("""COMPUTED_VALUE"""),93.0)</f>
        <v>93</v>
      </c>
      <c r="J952" s="74" t="str">
        <f>IFERROR(__xludf.DUMMYFUNCTION("""COMPUTED_VALUE"""),"Krishna Kumar")</f>
        <v>Krishna Kumar</v>
      </c>
      <c r="K952" s="80" t="str">
        <f>IFERROR(__xludf.DUMMYFUNCTION("""COMPUTED_VALUE"""),"https://drive.google.com/open?id=1l8KKCHngr_Cjp6qLIVJIMfTCjzqXoLi-")</f>
        <v>https://drive.google.com/open?id=1l8KKCHngr_Cjp6qLIVJIMfTCjzqXoLi-</v>
      </c>
      <c r="L952" s="74" t="str">
        <f>IFERROR(__xludf.DUMMYFUNCTION("""COMPUTED_VALUE"""),"2019-2023")</f>
        <v>2019-2023</v>
      </c>
      <c r="M952" s="74" t="str">
        <f>IFERROR(__xludf.DUMMYFUNCTION("""COMPUTED_VALUE"""),"S4: Student Certifications")</f>
        <v>S4: Student Certifications</v>
      </c>
      <c r="N952" s="74" t="str">
        <f>IFERROR(__xludf.DUMMYFUNCTION("""COMPUTED_VALUE"""),"thanmaikrishnasria@gmail.com")</f>
        <v>thanmaikrishnasria@gmail.com</v>
      </c>
      <c r="O952" s="74" t="str">
        <f>IFERROR(__xludf.DUMMYFUNCTION("""COMPUTED_VALUE"""),"SEM-6")</f>
        <v>SEM-6</v>
      </c>
      <c r="P952" s="74"/>
      <c r="Q952" s="74"/>
      <c r="R952" s="74"/>
      <c r="S952" s="74"/>
      <c r="T952" s="74"/>
      <c r="U952" s="74"/>
      <c r="V952" s="74"/>
      <c r="W952" s="74"/>
      <c r="X952" s="74"/>
      <c r="Y952" s="74"/>
    </row>
    <row r="953" ht="26.25" customHeight="1">
      <c r="A953" s="78" t="str">
        <f>IFERROR(__xludf.DUMMYFUNCTION("""COMPUTED_VALUE"""),"Chaitra Mudili")</f>
        <v>Chaitra Mudili</v>
      </c>
      <c r="B953" s="78" t="str">
        <f>IFERROR(__xludf.DUMMYFUNCTION("""COMPUTED_VALUE"""),"18331A05A0")</f>
        <v>18331A05A0</v>
      </c>
      <c r="C953" s="93" t="str">
        <f>IFERROR(__xludf.DUMMYFUNCTION("""COMPUTED_VALUE"""),"SQL")</f>
        <v>SQL</v>
      </c>
      <c r="D953" s="78" t="str">
        <f>IFERROR(__xludf.DUMMYFUNCTION("""COMPUTED_VALUE"""),"Vignan's Institute of Engineering for Women")</f>
        <v>Vignan's Institute of Engineering for Women</v>
      </c>
      <c r="E953" s="78" t="str">
        <f>IFERROR(__xludf.DUMMYFUNCTION("""COMPUTED_VALUE"""),"1")</f>
        <v>1</v>
      </c>
      <c r="F953" s="94">
        <f>IFERROR(__xludf.DUMMYFUNCTION("""COMPUTED_VALUE"""),43977.0)</f>
        <v>43977</v>
      </c>
      <c r="G953" s="94">
        <f>IFERROR(__xludf.DUMMYFUNCTION("""COMPUTED_VALUE"""),43979.0)</f>
        <v>43979</v>
      </c>
      <c r="H953" s="84">
        <f>IFERROR(__xludf.DUMMYFUNCTION("""COMPUTED_VALUE"""),43979.0)</f>
        <v>43979</v>
      </c>
      <c r="I953" s="95">
        <f>IFERROR(__xludf.DUMMYFUNCTION("""COMPUTED_VALUE"""),96.0)</f>
        <v>96</v>
      </c>
      <c r="J953" s="78" t="str">
        <f>IFERROR(__xludf.DUMMYFUNCTION("""COMPUTED_VALUE"""),"B Aruna Kumari")</f>
        <v>B Aruna Kumari</v>
      </c>
      <c r="K953" s="85" t="str">
        <f>IFERROR(__xludf.DUMMYFUNCTION("""COMPUTED_VALUE"""),"https://drive.google.com/open?id=1Y7CwQOW-sBLA3gVYIBbCSY5ESTsRvBH0")</f>
        <v>https://drive.google.com/open?id=1Y7CwQOW-sBLA3gVYIBbCSY5ESTsRvBH0</v>
      </c>
      <c r="L953" s="78" t="str">
        <f>IFERROR(__xludf.DUMMYFUNCTION("""COMPUTED_VALUE"""),"2018-2022")</f>
        <v>2018-2022</v>
      </c>
      <c r="M953" s="78" t="str">
        <f>IFERROR(__xludf.DUMMYFUNCTION("""COMPUTED_VALUE"""),"S4: Student Certifications")</f>
        <v>S4: Student Certifications</v>
      </c>
      <c r="N953" s="78" t="str">
        <f>IFERROR(__xludf.DUMMYFUNCTION("""COMPUTED_VALUE"""),"chaitra2026@gmail.com")</f>
        <v>chaitra2026@gmail.com</v>
      </c>
      <c r="O953" s="78" t="str">
        <f>IFERROR(__xludf.DUMMYFUNCTION("""COMPUTED_VALUE"""),"SEM-4")</f>
        <v>SEM-4</v>
      </c>
      <c r="P953" s="78"/>
      <c r="Q953" s="78"/>
      <c r="R953" s="78"/>
      <c r="S953" s="78"/>
      <c r="T953" s="78"/>
      <c r="U953" s="78"/>
      <c r="V953" s="78"/>
      <c r="W953" s="78"/>
      <c r="X953" s="78"/>
      <c r="Y953" s="78"/>
    </row>
    <row r="954" ht="26.25" customHeight="1">
      <c r="A954" s="78" t="str">
        <f>IFERROR(__xludf.DUMMYFUNCTION("""COMPUTED_VALUE"""),"Varada Naga praneetha")</f>
        <v>Varada Naga praneetha</v>
      </c>
      <c r="B954" s="78" t="str">
        <f>IFERROR(__xludf.DUMMYFUNCTION("""COMPUTED_VALUE"""),"19331A05I1 ")</f>
        <v>19331A05I1 </v>
      </c>
      <c r="C954" s="93" t="str">
        <f>IFERROR(__xludf.DUMMYFUNCTION("""COMPUTED_VALUE"""),"Robotic Process Automation (RPA)")</f>
        <v>Robotic Process Automation (RPA)</v>
      </c>
      <c r="D954" s="78" t="str">
        <f>IFERROR(__xludf.DUMMYFUNCTION("""COMPUTED_VALUE"""),"Blue Prism University")</f>
        <v>Blue Prism University</v>
      </c>
      <c r="E954" s="78" t="str">
        <f>IFERROR(__xludf.DUMMYFUNCTION("""COMPUTED_VALUE"""),"10 weeks")</f>
        <v>10 weeks</v>
      </c>
      <c r="F954" s="94">
        <f>IFERROR(__xludf.DUMMYFUNCTION("""COMPUTED_VALUE"""),44479.0)</f>
        <v>44479</v>
      </c>
      <c r="G954" s="94">
        <f>IFERROR(__xludf.DUMMYFUNCTION("""COMPUTED_VALUE"""),44540.0)</f>
        <v>44540</v>
      </c>
      <c r="H954" s="84">
        <f>IFERROR(__xludf.DUMMYFUNCTION("""COMPUTED_VALUE"""),44479.0)</f>
        <v>44479</v>
      </c>
      <c r="I954" s="95"/>
      <c r="J954" s="78" t="str">
        <f>IFERROR(__xludf.DUMMYFUNCTION("""COMPUTED_VALUE"""),"Shoba rani ")</f>
        <v>Shoba rani </v>
      </c>
      <c r="K954" s="85" t="str">
        <f>IFERROR(__xludf.DUMMYFUNCTION("""COMPUTED_VALUE"""),"https://drive.google.com/open?id=1PwlWdLc9R2t0Bm1RBUbzd8UB74c9oLr6")</f>
        <v>https://drive.google.com/open?id=1PwlWdLc9R2t0Bm1RBUbzd8UB74c9oLr6</v>
      </c>
      <c r="L954" s="78" t="str">
        <f>IFERROR(__xludf.DUMMYFUNCTION("""COMPUTED_VALUE"""),"2019-2023")</f>
        <v>2019-2023</v>
      </c>
      <c r="M954" s="78" t="str">
        <f>IFERROR(__xludf.DUMMYFUNCTION("""COMPUTED_VALUE"""),"S4: Student Certifications")</f>
        <v>S4: Student Certifications</v>
      </c>
      <c r="N954" s="78" t="str">
        <f>IFERROR(__xludf.DUMMYFUNCTION("""COMPUTED_VALUE"""),"praneetha.varada@gmail.com")</f>
        <v>praneetha.varada@gmail.com</v>
      </c>
      <c r="O954" s="78" t="str">
        <f>IFERROR(__xludf.DUMMYFUNCTION("""COMPUTED_VALUE"""),"SEM-6")</f>
        <v>SEM-6</v>
      </c>
      <c r="P954" s="78"/>
      <c r="Q954" s="78"/>
      <c r="R954" s="78"/>
      <c r="S954" s="78"/>
      <c r="T954" s="78"/>
      <c r="U954" s="78"/>
      <c r="V954" s="78"/>
      <c r="W954" s="78"/>
      <c r="X954" s="78"/>
      <c r="Y954" s="78"/>
    </row>
    <row r="955" ht="26.25" customHeight="1">
      <c r="A955" s="74" t="str">
        <f>IFERROR(__xludf.DUMMYFUNCTION("""COMPUTED_VALUE"""),"Varada Naga praneetha")</f>
        <v>Varada Naga praneetha</v>
      </c>
      <c r="B955" s="74" t="str">
        <f>IFERROR(__xludf.DUMMYFUNCTION("""COMPUTED_VALUE"""),"19331A05I1 ")</f>
        <v>19331A05I1 </v>
      </c>
      <c r="C955" s="90" t="str">
        <f>IFERROR(__xludf.DUMMYFUNCTION("""COMPUTED_VALUE"""),"BuildBox")</f>
        <v>BuildBox</v>
      </c>
      <c r="D955" s="74" t="str">
        <f>IFERROR(__xludf.DUMMYFUNCTION("""COMPUTED_VALUE"""),"APSSDC")</f>
        <v>APSSDC</v>
      </c>
      <c r="E955" s="74" t="str">
        <f>IFERROR(__xludf.DUMMYFUNCTION("""COMPUTED_VALUE"""),"15 days")</f>
        <v>15 days</v>
      </c>
      <c r="F955" s="91">
        <f>IFERROR(__xludf.DUMMYFUNCTION("""COMPUTED_VALUE"""),44046.0)</f>
        <v>44046</v>
      </c>
      <c r="G955" s="91">
        <f>IFERROR(__xludf.DUMMYFUNCTION("""COMPUTED_VALUE"""),44061.0)</f>
        <v>44061</v>
      </c>
      <c r="H955" s="79">
        <f>IFERROR(__xludf.DUMMYFUNCTION("""COMPUTED_VALUE"""),44060.0)</f>
        <v>44060</v>
      </c>
      <c r="I955" s="92"/>
      <c r="J955" s="74" t="str">
        <f>IFERROR(__xludf.DUMMYFUNCTION("""COMPUTED_VALUE"""),"-")</f>
        <v>-</v>
      </c>
      <c r="K955" s="80" t="str">
        <f>IFERROR(__xludf.DUMMYFUNCTION("""COMPUTED_VALUE"""),"https://drive.google.com/open?id=1Re3ETXg6EYKL1HZ88XGXduaiQT58ZEHN")</f>
        <v>https://drive.google.com/open?id=1Re3ETXg6EYKL1HZ88XGXduaiQT58ZEHN</v>
      </c>
      <c r="L955" s="74" t="str">
        <f>IFERROR(__xludf.DUMMYFUNCTION("""COMPUTED_VALUE"""),"2019-2023")</f>
        <v>2019-2023</v>
      </c>
      <c r="M955" s="74" t="str">
        <f>IFERROR(__xludf.DUMMYFUNCTION("""COMPUTED_VALUE"""),"S4: Student Certifications")</f>
        <v>S4: Student Certifications</v>
      </c>
      <c r="N955" s="74" t="str">
        <f>IFERROR(__xludf.DUMMYFUNCTION("""COMPUTED_VALUE"""),"praneetha.varada@gmail.com")</f>
        <v>praneetha.varada@gmail.com</v>
      </c>
      <c r="O955" s="74" t="str">
        <f>IFERROR(__xludf.DUMMYFUNCTION("""COMPUTED_VALUE"""),"SEM-6")</f>
        <v>SEM-6</v>
      </c>
      <c r="P955" s="74"/>
      <c r="Q955" s="74"/>
      <c r="R955" s="74"/>
      <c r="S955" s="74"/>
      <c r="T955" s="74"/>
      <c r="U955" s="74"/>
      <c r="V955" s="74"/>
      <c r="W955" s="74"/>
      <c r="X955" s="74"/>
      <c r="Y955" s="74"/>
    </row>
    <row r="956" ht="26.25" customHeight="1">
      <c r="A956" s="74" t="str">
        <f>IFERROR(__xludf.DUMMYFUNCTION("""COMPUTED_VALUE"""),"TAMMINENI RAJASREE INDIRA PRIYADARSHINI ")</f>
        <v>TAMMINENI RAJASREE INDIRA PRIYADARSHINI </v>
      </c>
      <c r="B956" s="74" t="str">
        <f>IFERROR(__xludf.DUMMYFUNCTION("""COMPUTED_VALUE"""),"19331A05H0 ")</f>
        <v>19331A05H0 </v>
      </c>
      <c r="C956" s="90" t="str">
        <f>IFERROR(__xludf.DUMMYFUNCTION("""COMPUTED_VALUE"""),"Programming Essentials in C")</f>
        <v>Programming Essentials in C</v>
      </c>
      <c r="D956" s="74" t="str">
        <f>IFERROR(__xludf.DUMMYFUNCTION("""COMPUTED_VALUE"""),"Cisco")</f>
        <v>Cisco</v>
      </c>
      <c r="E956" s="74" t="str">
        <f>IFERROR(__xludf.DUMMYFUNCTION("""COMPUTED_VALUE"""),"13 Weeks")</f>
        <v>13 Weeks</v>
      </c>
      <c r="F956" s="91">
        <f>IFERROR(__xludf.DUMMYFUNCTION("""COMPUTED_VALUE"""),43831.0)</f>
        <v>43831</v>
      </c>
      <c r="G956" s="91">
        <f>IFERROR(__xludf.DUMMYFUNCTION("""COMPUTED_VALUE"""),43928.0)</f>
        <v>43928</v>
      </c>
      <c r="H956" s="79">
        <f>IFERROR(__xludf.DUMMYFUNCTION("""COMPUTED_VALUE"""),43928.0)</f>
        <v>43928</v>
      </c>
      <c r="I956" s="92"/>
      <c r="J956" s="74" t="str">
        <f>IFERROR(__xludf.DUMMYFUNCTION("""COMPUTED_VALUE"""),"DR.RAVI KIRAN VARMA ")</f>
        <v>DR.RAVI KIRAN VARMA </v>
      </c>
      <c r="K956" s="80" t="str">
        <f>IFERROR(__xludf.DUMMYFUNCTION("""COMPUTED_VALUE"""),"https://drive.google.com/open?id=1lZIZa0DWiuVNrpdgeRlkNcS7d9T67-vJ")</f>
        <v>https://drive.google.com/open?id=1lZIZa0DWiuVNrpdgeRlkNcS7d9T67-vJ</v>
      </c>
      <c r="L956" s="74" t="str">
        <f>IFERROR(__xludf.DUMMYFUNCTION("""COMPUTED_VALUE"""),"2019-2023")</f>
        <v>2019-2023</v>
      </c>
      <c r="M956" s="74" t="str">
        <f>IFERROR(__xludf.DUMMYFUNCTION("""COMPUTED_VALUE"""),"S4: Student Certifications")</f>
        <v>S4: Student Certifications</v>
      </c>
      <c r="N956" s="74" t="str">
        <f>IFERROR(__xludf.DUMMYFUNCTION("""COMPUTED_VALUE"""),"indiradarshini126@gmail.com")</f>
        <v>indiradarshini126@gmail.com</v>
      </c>
      <c r="O956" s="74" t="str">
        <f>IFERROR(__xludf.DUMMYFUNCTION("""COMPUTED_VALUE"""),"SEM-6")</f>
        <v>SEM-6</v>
      </c>
      <c r="P956" s="74"/>
      <c r="Q956" s="74"/>
      <c r="R956" s="74"/>
      <c r="S956" s="74"/>
      <c r="T956" s="74"/>
      <c r="U956" s="74"/>
      <c r="V956" s="74"/>
      <c r="W956" s="74"/>
      <c r="X956" s="74"/>
      <c r="Y956" s="74"/>
    </row>
    <row r="957" ht="26.25" customHeight="1">
      <c r="A957" s="74" t="str">
        <f>IFERROR(__xludf.DUMMYFUNCTION("""COMPUTED_VALUE"""),"TAMMINENI RAJASREE INDIRA PRIYADARSHINI ")</f>
        <v>TAMMINENI RAJASREE INDIRA PRIYADARSHINI </v>
      </c>
      <c r="B957" s="74" t="str">
        <f>IFERROR(__xludf.DUMMYFUNCTION("""COMPUTED_VALUE"""),"19331A05H0 ")</f>
        <v>19331A05H0 </v>
      </c>
      <c r="C957" s="90" t="str">
        <f>IFERROR(__xludf.DUMMYFUNCTION("""COMPUTED_VALUE"""),"IT Essentials ")</f>
        <v>IT Essentials </v>
      </c>
      <c r="D957" s="74" t="str">
        <f>IFERROR(__xludf.DUMMYFUNCTION("""COMPUTED_VALUE"""),"CISCO")</f>
        <v>CISCO</v>
      </c>
      <c r="E957" s="74" t="str">
        <f>IFERROR(__xludf.DUMMYFUNCTION("""COMPUTED_VALUE"""),"13 weeks")</f>
        <v>13 weeks</v>
      </c>
      <c r="F957" s="91">
        <f>IFERROR(__xludf.DUMMYFUNCTION("""COMPUTED_VALUE"""),43987.0)</f>
        <v>43987</v>
      </c>
      <c r="G957" s="91">
        <f>IFERROR(__xludf.DUMMYFUNCTION("""COMPUTED_VALUE"""),44078.0)</f>
        <v>44078</v>
      </c>
      <c r="H957" s="79">
        <f>IFERROR(__xludf.DUMMYFUNCTION("""COMPUTED_VALUE"""),44078.0)</f>
        <v>44078</v>
      </c>
      <c r="I957" s="92"/>
      <c r="J957" s="74" t="str">
        <f>IFERROR(__xludf.DUMMYFUNCTION("""COMPUTED_VALUE"""),"Suvarna Kumar gogula")</f>
        <v>Suvarna Kumar gogula</v>
      </c>
      <c r="K957" s="80" t="str">
        <f>IFERROR(__xludf.DUMMYFUNCTION("""COMPUTED_VALUE"""),"https://drive.google.com/open?id=1joeRaGZh0Bg88TQx_dUIR4-6g5uI1hO7")</f>
        <v>https://drive.google.com/open?id=1joeRaGZh0Bg88TQx_dUIR4-6g5uI1hO7</v>
      </c>
      <c r="L957" s="74" t="str">
        <f>IFERROR(__xludf.DUMMYFUNCTION("""COMPUTED_VALUE"""),"2019-2023")</f>
        <v>2019-2023</v>
      </c>
      <c r="M957" s="74" t="str">
        <f>IFERROR(__xludf.DUMMYFUNCTION("""COMPUTED_VALUE"""),"S4: Student Certifications")</f>
        <v>S4: Student Certifications</v>
      </c>
      <c r="N957" s="74" t="str">
        <f>IFERROR(__xludf.DUMMYFUNCTION("""COMPUTED_VALUE"""),"indiradarshini126@gmail.com")</f>
        <v>indiradarshini126@gmail.com</v>
      </c>
      <c r="O957" s="74" t="str">
        <f>IFERROR(__xludf.DUMMYFUNCTION("""COMPUTED_VALUE"""),"SEM-6")</f>
        <v>SEM-6</v>
      </c>
      <c r="P957" s="74"/>
      <c r="Q957" s="74"/>
      <c r="R957" s="74"/>
      <c r="S957" s="74"/>
      <c r="T957" s="74"/>
      <c r="U957" s="74"/>
      <c r="V957" s="74"/>
      <c r="W957" s="74"/>
      <c r="X957" s="74"/>
      <c r="Y957" s="74"/>
    </row>
    <row r="958" ht="26.25" customHeight="1">
      <c r="A958" s="74" t="str">
        <f>IFERROR(__xludf.DUMMYFUNCTION("""COMPUTED_VALUE"""),"TAMMINENI RAJASREE INDIRA PRIYADARSHINI ")</f>
        <v>TAMMINENI RAJASREE INDIRA PRIYADARSHINI </v>
      </c>
      <c r="B958" s="74" t="str">
        <f>IFERROR(__xludf.DUMMYFUNCTION("""COMPUTED_VALUE"""),"19331A05H0 ")</f>
        <v>19331A05H0 </v>
      </c>
      <c r="C958" s="90" t="str">
        <f>IFERROR(__xludf.DUMMYFUNCTION("""COMPUTED_VALUE"""),"INTERACTIVE WEB BASED SIMULATIONS FOR BALASWECHA")</f>
        <v>INTERACTIVE WEB BASED SIMULATIONS FOR BALASWECHA</v>
      </c>
      <c r="D958" s="74" t="str">
        <f>IFERROR(__xludf.DUMMYFUNCTION("""COMPUTED_VALUE"""),"Swecha,Andhra pradesh")</f>
        <v>Swecha,Andhra pradesh</v>
      </c>
      <c r="E958" s="74" t="str">
        <f>IFERROR(__xludf.DUMMYFUNCTION("""COMPUTED_VALUE"""),"4 weeks")</f>
        <v>4 weeks</v>
      </c>
      <c r="F958" s="91">
        <f>IFERROR(__xludf.DUMMYFUNCTION("""COMPUTED_VALUE"""),44338.0)</f>
        <v>44338</v>
      </c>
      <c r="G958" s="91">
        <f>IFERROR(__xludf.DUMMYFUNCTION("""COMPUTED_VALUE"""),44367.0)</f>
        <v>44367</v>
      </c>
      <c r="H958" s="79">
        <f>IFERROR(__xludf.DUMMYFUNCTION("""COMPUTED_VALUE"""),44367.0)</f>
        <v>44367</v>
      </c>
      <c r="I958" s="92"/>
      <c r="J958" s="74" t="str">
        <f>IFERROR(__xludf.DUMMYFUNCTION("""COMPUTED_VALUE"""),"-")</f>
        <v>-</v>
      </c>
      <c r="K958" s="80" t="str">
        <f>IFERROR(__xludf.DUMMYFUNCTION("""COMPUTED_VALUE"""),"https://drive.google.com/open?id=1iN-8gjCLXmRGKs2NDVgahHiiVUyw9AXS")</f>
        <v>https://drive.google.com/open?id=1iN-8gjCLXmRGKs2NDVgahHiiVUyw9AXS</v>
      </c>
      <c r="L958" s="74" t="str">
        <f>IFERROR(__xludf.DUMMYFUNCTION("""COMPUTED_VALUE"""),"2019-2023")</f>
        <v>2019-2023</v>
      </c>
      <c r="M958" s="74" t="str">
        <f>IFERROR(__xludf.DUMMYFUNCTION("""COMPUTED_VALUE"""),"S4: Student Certifications")</f>
        <v>S4: Student Certifications</v>
      </c>
      <c r="N958" s="74" t="str">
        <f>IFERROR(__xludf.DUMMYFUNCTION("""COMPUTED_VALUE"""),"indiradarshini126@gmail.com")</f>
        <v>indiradarshini126@gmail.com</v>
      </c>
      <c r="O958" s="74" t="str">
        <f>IFERROR(__xludf.DUMMYFUNCTION("""COMPUTED_VALUE"""),"SEM-6")</f>
        <v>SEM-6</v>
      </c>
      <c r="P958" s="74"/>
      <c r="Q958" s="74"/>
      <c r="R958" s="74"/>
      <c r="S958" s="74"/>
      <c r="T958" s="74"/>
      <c r="U958" s="74"/>
      <c r="V958" s="74"/>
      <c r="W958" s="74"/>
      <c r="X958" s="74"/>
      <c r="Y958" s="74"/>
    </row>
    <row r="959" ht="26.25" customHeight="1">
      <c r="A959" s="74" t="str">
        <f>IFERROR(__xludf.DUMMYFUNCTION("""COMPUTED_VALUE"""),"TAMMINENI RAJASREE INDIRA PRIYADARSHINI ")</f>
        <v>TAMMINENI RAJASREE INDIRA PRIYADARSHINI </v>
      </c>
      <c r="B959" s="74" t="str">
        <f>IFERROR(__xludf.DUMMYFUNCTION("""COMPUTED_VALUE"""),"19331A05H0 ")</f>
        <v>19331A05H0 </v>
      </c>
      <c r="C959" s="90" t="str">
        <f>IFERROR(__xludf.DUMMYFUNCTION("""COMPUTED_VALUE"""),"Code Riders")</f>
        <v>Code Riders</v>
      </c>
      <c r="D959" s="74" t="str">
        <f>IFERROR(__xludf.DUMMYFUNCTION("""COMPUTED_VALUE"""),"Cisco")</f>
        <v>Cisco</v>
      </c>
      <c r="E959" s="74" t="str">
        <f>IFERROR(__xludf.DUMMYFUNCTION("""COMPUTED_VALUE"""),"4 weeks")</f>
        <v>4 weeks</v>
      </c>
      <c r="F959" s="91">
        <f>IFERROR(__xludf.DUMMYFUNCTION("""COMPUTED_VALUE"""),44348.0)</f>
        <v>44348</v>
      </c>
      <c r="G959" s="91">
        <f>IFERROR(__xludf.DUMMYFUNCTION("""COMPUTED_VALUE"""),44378.0)</f>
        <v>44378</v>
      </c>
      <c r="H959" s="79">
        <f>IFERROR(__xludf.DUMMYFUNCTION("""COMPUTED_VALUE"""),44378.0)</f>
        <v>44378</v>
      </c>
      <c r="I959" s="92"/>
      <c r="J959" s="74" t="str">
        <f>IFERROR(__xludf.DUMMYFUNCTION("""COMPUTED_VALUE"""),"-")</f>
        <v>-</v>
      </c>
      <c r="K959" s="80" t="str">
        <f>IFERROR(__xludf.DUMMYFUNCTION("""COMPUTED_VALUE"""),"https://drive.google.com/open?id=1rGdSEQhXZfCqdjWErim_osLsi9Stp5pj")</f>
        <v>https://drive.google.com/open?id=1rGdSEQhXZfCqdjWErim_osLsi9Stp5pj</v>
      </c>
      <c r="L959" s="74" t="str">
        <f>IFERROR(__xludf.DUMMYFUNCTION("""COMPUTED_VALUE"""),"2019-2023")</f>
        <v>2019-2023</v>
      </c>
      <c r="M959" s="74" t="str">
        <f>IFERROR(__xludf.DUMMYFUNCTION("""COMPUTED_VALUE"""),"S4: Student Certifications")</f>
        <v>S4: Student Certifications</v>
      </c>
      <c r="N959" s="74" t="str">
        <f>IFERROR(__xludf.DUMMYFUNCTION("""COMPUTED_VALUE"""),"indiradarshini126@gmail.com")</f>
        <v>indiradarshini126@gmail.com</v>
      </c>
      <c r="O959" s="74" t="str">
        <f>IFERROR(__xludf.DUMMYFUNCTION("""COMPUTED_VALUE"""),"SEM-6")</f>
        <v>SEM-6</v>
      </c>
      <c r="P959" s="74"/>
      <c r="Q959" s="74"/>
      <c r="R959" s="74"/>
      <c r="S959" s="74"/>
      <c r="T959" s="74"/>
      <c r="U959" s="74"/>
      <c r="V959" s="74"/>
      <c r="W959" s="74"/>
      <c r="X959" s="74"/>
      <c r="Y959" s="74"/>
    </row>
    <row r="960" ht="26.25" customHeight="1">
      <c r="A960" s="74" t="str">
        <f>IFERROR(__xludf.DUMMYFUNCTION("""COMPUTED_VALUE"""),"TAMMINENI RAJASREE INDIRA PRIYADARSHINI ")</f>
        <v>TAMMINENI RAJASREE INDIRA PRIYADARSHINI </v>
      </c>
      <c r="B960" s="74" t="str">
        <f>IFERROR(__xludf.DUMMYFUNCTION("""COMPUTED_VALUE"""),"19331A05H0 ")</f>
        <v>19331A05H0 </v>
      </c>
      <c r="C960" s="90" t="str">
        <f>IFERROR(__xludf.DUMMYFUNCTION("""COMPUTED_VALUE"""),"Programming Essentials in Python")</f>
        <v>Programming Essentials in Python</v>
      </c>
      <c r="D960" s="74" t="str">
        <f>IFERROR(__xludf.DUMMYFUNCTION("""COMPUTED_VALUE"""),"Cisco - Python Institute ")</f>
        <v>Cisco - Python Institute </v>
      </c>
      <c r="E960" s="74" t="str">
        <f>IFERROR(__xludf.DUMMYFUNCTION("""COMPUTED_VALUE"""),"12 weeks")</f>
        <v>12 weeks</v>
      </c>
      <c r="F960" s="91">
        <f>IFERROR(__xludf.DUMMYFUNCTION("""COMPUTED_VALUE"""),44202.0)</f>
        <v>44202</v>
      </c>
      <c r="G960" s="91">
        <f>IFERROR(__xludf.DUMMYFUNCTION("""COMPUTED_VALUE"""),44293.0)</f>
        <v>44293</v>
      </c>
      <c r="H960" s="79">
        <f>IFERROR(__xludf.DUMMYFUNCTION("""COMPUTED_VALUE"""),44293.0)</f>
        <v>44293</v>
      </c>
      <c r="I960" s="92"/>
      <c r="J960" s="74" t="str">
        <f>IFERROR(__xludf.DUMMYFUNCTION("""COMPUTED_VALUE"""),"M Beulah Rani")</f>
        <v>M Beulah Rani</v>
      </c>
      <c r="K960" s="80" t="str">
        <f>IFERROR(__xludf.DUMMYFUNCTION("""COMPUTED_VALUE"""),"https://drive.google.com/open?id=1ekD0b4qp3XybxTahJc485K6qS_-LtcxU")</f>
        <v>https://drive.google.com/open?id=1ekD0b4qp3XybxTahJc485K6qS_-LtcxU</v>
      </c>
      <c r="L960" s="74" t="str">
        <f>IFERROR(__xludf.DUMMYFUNCTION("""COMPUTED_VALUE"""),"2019-2023")</f>
        <v>2019-2023</v>
      </c>
      <c r="M960" s="74" t="str">
        <f>IFERROR(__xludf.DUMMYFUNCTION("""COMPUTED_VALUE"""),"S4: Student Certifications")</f>
        <v>S4: Student Certifications</v>
      </c>
      <c r="N960" s="74" t="str">
        <f>IFERROR(__xludf.DUMMYFUNCTION("""COMPUTED_VALUE"""),"indiradarshini126@gmail.com")</f>
        <v>indiradarshini126@gmail.com</v>
      </c>
      <c r="O960" s="74" t="str">
        <f>IFERROR(__xludf.DUMMYFUNCTION("""COMPUTED_VALUE"""),"SEM-6")</f>
        <v>SEM-6</v>
      </c>
      <c r="P960" s="74"/>
      <c r="Q960" s="74"/>
      <c r="R960" s="74"/>
      <c r="S960" s="74"/>
      <c r="T960" s="74"/>
      <c r="U960" s="74"/>
      <c r="V960" s="74"/>
      <c r="W960" s="74"/>
      <c r="X960" s="74"/>
      <c r="Y960" s="74"/>
    </row>
    <row r="961" ht="26.25" customHeight="1">
      <c r="A961" s="74" t="str">
        <f>IFERROR(__xludf.DUMMYFUNCTION("""COMPUTED_VALUE"""),"TAMMINENI RAJASREE INDIRA PRIYADARSHINI ")</f>
        <v>TAMMINENI RAJASREE INDIRA PRIYADARSHINI </v>
      </c>
      <c r="B961" s="74" t="str">
        <f>IFERROR(__xludf.DUMMYFUNCTION("""COMPUTED_VALUE"""),"19331A05H0 ")</f>
        <v>19331A05H0 </v>
      </c>
      <c r="C961" s="90" t="str">
        <f>IFERROR(__xludf.DUMMYFUNCTION("""COMPUTED_VALUE"""),"Introduction to Networks")</f>
        <v>Introduction to Networks</v>
      </c>
      <c r="D961" s="74" t="str">
        <f>IFERROR(__xludf.DUMMYFUNCTION("""COMPUTED_VALUE"""),"Cisco")</f>
        <v>Cisco</v>
      </c>
      <c r="E961" s="74" t="str">
        <f>IFERROR(__xludf.DUMMYFUNCTION("""COMPUTED_VALUE"""),"13 weeks")</f>
        <v>13 weeks</v>
      </c>
      <c r="F961" s="91">
        <f>IFERROR(__xludf.DUMMYFUNCTION("""COMPUTED_VALUE"""),44454.0)</f>
        <v>44454</v>
      </c>
      <c r="G961" s="91">
        <f>IFERROR(__xludf.DUMMYFUNCTION("""COMPUTED_VALUE"""),44545.0)</f>
        <v>44545</v>
      </c>
      <c r="H961" s="79">
        <f>IFERROR(__xludf.DUMMYFUNCTION("""COMPUTED_VALUE"""),44545.0)</f>
        <v>44545</v>
      </c>
      <c r="I961" s="92"/>
      <c r="J961" s="74" t="str">
        <f>IFERROR(__xludf.DUMMYFUNCTION("""COMPUTED_VALUE"""),"DR.RAVI KIRAN VARMA PENMATSA")</f>
        <v>DR.RAVI KIRAN VARMA PENMATSA</v>
      </c>
      <c r="K961" s="80" t="str">
        <f>IFERROR(__xludf.DUMMYFUNCTION("""COMPUTED_VALUE"""),"https://drive.google.com/open?id=1VhH9RHSPe6ipJxt3uwwTfFpfiD1Xs_qV")</f>
        <v>https://drive.google.com/open?id=1VhH9RHSPe6ipJxt3uwwTfFpfiD1Xs_qV</v>
      </c>
      <c r="L961" s="74" t="str">
        <f>IFERROR(__xludf.DUMMYFUNCTION("""COMPUTED_VALUE"""),"2019-2023")</f>
        <v>2019-2023</v>
      </c>
      <c r="M961" s="74" t="str">
        <f>IFERROR(__xludf.DUMMYFUNCTION("""COMPUTED_VALUE"""),"S4: Student Certifications")</f>
        <v>S4: Student Certifications</v>
      </c>
      <c r="N961" s="74" t="str">
        <f>IFERROR(__xludf.DUMMYFUNCTION("""COMPUTED_VALUE"""),"indiradarshini126@gmail.com")</f>
        <v>indiradarshini126@gmail.com</v>
      </c>
      <c r="O961" s="74" t="str">
        <f>IFERROR(__xludf.DUMMYFUNCTION("""COMPUTED_VALUE"""),"SEM-6")</f>
        <v>SEM-6</v>
      </c>
      <c r="P961" s="74"/>
      <c r="Q961" s="74"/>
      <c r="R961" s="74"/>
      <c r="S961" s="74"/>
      <c r="T961" s="74"/>
      <c r="U961" s="74"/>
      <c r="V961" s="74"/>
      <c r="W961" s="74"/>
      <c r="X961" s="74"/>
      <c r="Y961" s="74"/>
    </row>
    <row r="962" ht="26.25" customHeight="1">
      <c r="A962" s="74" t="str">
        <f>IFERROR(__xludf.DUMMYFUNCTION("""COMPUTED_VALUE"""),"TAMMINENI RAJASREE INDIRA PRIYADARSHINI ")</f>
        <v>TAMMINENI RAJASREE INDIRA PRIYADARSHINI </v>
      </c>
      <c r="B962" s="74" t="str">
        <f>IFERROR(__xludf.DUMMYFUNCTION("""COMPUTED_VALUE"""),"19331A05H0 ")</f>
        <v>19331A05H0 </v>
      </c>
      <c r="C962" s="90" t="str">
        <f>IFERROR(__xludf.DUMMYFUNCTION("""COMPUTED_VALUE"""),"Switching, Routing, and Wireless Essentials ")</f>
        <v>Switching, Routing, and Wireless Essentials </v>
      </c>
      <c r="D962" s="74" t="str">
        <f>IFERROR(__xludf.DUMMYFUNCTION("""COMPUTED_VALUE"""),"Cisco")</f>
        <v>Cisco</v>
      </c>
      <c r="E962" s="74" t="str">
        <f>IFERROR(__xludf.DUMMYFUNCTION("""COMPUTED_VALUE"""),"13 weeks")</f>
        <v>13 weeks</v>
      </c>
      <c r="F962" s="91">
        <f>IFERROR(__xludf.DUMMYFUNCTION("""COMPUTED_VALUE"""),44513.0)</f>
        <v>44513</v>
      </c>
      <c r="G962" s="91">
        <f>IFERROR(__xludf.DUMMYFUNCTION("""COMPUTED_VALUE"""),44604.0)</f>
        <v>44604</v>
      </c>
      <c r="H962" s="79">
        <f>IFERROR(__xludf.DUMMYFUNCTION("""COMPUTED_VALUE"""),44604.0)</f>
        <v>44604</v>
      </c>
      <c r="I962" s="92"/>
      <c r="J962" s="74" t="str">
        <f>IFERROR(__xludf.DUMMYFUNCTION("""COMPUTED_VALUE"""),"-")</f>
        <v>-</v>
      </c>
      <c r="K962" s="80" t="str">
        <f>IFERROR(__xludf.DUMMYFUNCTION("""COMPUTED_VALUE"""),"https://drive.google.com/open?id=1dWISsaVl14j3GexqAIMJ5vek3GRmqjni")</f>
        <v>https://drive.google.com/open?id=1dWISsaVl14j3GexqAIMJ5vek3GRmqjni</v>
      </c>
      <c r="L962" s="74" t="str">
        <f>IFERROR(__xludf.DUMMYFUNCTION("""COMPUTED_VALUE"""),"2019-2023")</f>
        <v>2019-2023</v>
      </c>
      <c r="M962" s="74" t="str">
        <f>IFERROR(__xludf.DUMMYFUNCTION("""COMPUTED_VALUE"""),"S4: Student Certifications")</f>
        <v>S4: Student Certifications</v>
      </c>
      <c r="N962" s="74" t="str">
        <f>IFERROR(__xludf.DUMMYFUNCTION("""COMPUTED_VALUE"""),"indiradarshini126@gmail.com")</f>
        <v>indiradarshini126@gmail.com</v>
      </c>
      <c r="O962" s="74" t="str">
        <f>IFERROR(__xludf.DUMMYFUNCTION("""COMPUTED_VALUE"""),"SEM-6")</f>
        <v>SEM-6</v>
      </c>
      <c r="P962" s="74"/>
      <c r="Q962" s="74"/>
      <c r="R962" s="74"/>
      <c r="S962" s="74"/>
      <c r="T962" s="74"/>
      <c r="U962" s="74"/>
      <c r="V962" s="74"/>
      <c r="W962" s="74"/>
      <c r="X962" s="74"/>
      <c r="Y962" s="74"/>
    </row>
    <row r="963" ht="26.25" customHeight="1">
      <c r="A963" s="96" t="str">
        <f>IFERROR(__xludf.DUMMYFUNCTION("""COMPUTED_VALUE"""),"SUREDDI DHANA SRI")</f>
        <v>SUREDDI DHANA SRI</v>
      </c>
      <c r="B963" s="96" t="str">
        <f>IFERROR(__xludf.DUMMYFUNCTION("""COMPUTED_VALUE"""),"19331A05G6")</f>
        <v>19331A05G6</v>
      </c>
      <c r="C963" s="97" t="str">
        <f>IFERROR(__xludf.DUMMYFUNCTION("""COMPUTED_VALUE"""),"Programming Essentials in C")</f>
        <v>Programming Essentials in C</v>
      </c>
      <c r="D963" s="96" t="str">
        <f>IFERROR(__xludf.DUMMYFUNCTION("""COMPUTED_VALUE"""),"C++ Institute Authorized Academy Program")</f>
        <v>C++ Institute Authorized Academy Program</v>
      </c>
      <c r="E963" s="96" t="str">
        <f>IFERROR(__xludf.DUMMYFUNCTION("""COMPUTED_VALUE"""),"April 2020")</f>
        <v>April 2020</v>
      </c>
      <c r="F963" s="98">
        <f>IFERROR(__xludf.DUMMYFUNCTION("""COMPUTED_VALUE"""),43843.0)</f>
        <v>43843</v>
      </c>
      <c r="G963" s="98">
        <f>IFERROR(__xludf.DUMMYFUNCTION("""COMPUTED_VALUE"""),43934.0)</f>
        <v>43934</v>
      </c>
      <c r="H963" s="99">
        <f>IFERROR(__xludf.DUMMYFUNCTION("""COMPUTED_VALUE"""),43934.0)</f>
        <v>43934</v>
      </c>
      <c r="I963" s="100"/>
      <c r="J963" s="96" t="str">
        <f>IFERROR(__xludf.DUMMYFUNCTION("""COMPUTED_VALUE"""),"Mr. M. Beulah Rani")</f>
        <v>Mr. M. Beulah Rani</v>
      </c>
      <c r="K963" s="101" t="str">
        <f>IFERROR(__xludf.DUMMYFUNCTION("""COMPUTED_VALUE"""),"https://drive.google.com/open?id=1CfbU3U2s3LLCTNzskQ-YItSAHqr4yDxe")</f>
        <v>https://drive.google.com/open?id=1CfbU3U2s3LLCTNzskQ-YItSAHqr4yDxe</v>
      </c>
      <c r="L963" s="96" t="str">
        <f>IFERROR(__xludf.DUMMYFUNCTION("""COMPUTED_VALUE"""),"2019-2023")</f>
        <v>2019-2023</v>
      </c>
      <c r="M963" s="96" t="str">
        <f>IFERROR(__xludf.DUMMYFUNCTION("""COMPUTED_VALUE"""),"S4: Student Certifications")</f>
        <v>S4: Student Certifications</v>
      </c>
      <c r="N963" s="96" t="str">
        <f>IFERROR(__xludf.DUMMYFUNCTION("""COMPUTED_VALUE"""),"dhanasureddi08@gmail.com")</f>
        <v>dhanasureddi08@gmail.com</v>
      </c>
      <c r="O963" s="96" t="str">
        <f>IFERROR(__xludf.DUMMYFUNCTION("""COMPUTED_VALUE"""),"SEM-6")</f>
        <v>SEM-6</v>
      </c>
      <c r="P963" s="96"/>
      <c r="Q963" s="96"/>
      <c r="R963" s="96"/>
      <c r="S963" s="96"/>
      <c r="T963" s="96"/>
      <c r="U963" s="96"/>
      <c r="V963" s="96"/>
      <c r="W963" s="96"/>
      <c r="X963" s="96"/>
      <c r="Y963" s="96"/>
    </row>
    <row r="964" ht="26.25" customHeight="1">
      <c r="A964" s="96" t="str">
        <f>IFERROR(__xludf.DUMMYFUNCTION("""COMPUTED_VALUE"""),"SUREDDI DHANA SRI")</f>
        <v>SUREDDI DHANA SRI</v>
      </c>
      <c r="B964" s="96" t="str">
        <f>IFERROR(__xludf.DUMMYFUNCTION("""COMPUTED_VALUE"""),"19331A05G6")</f>
        <v>19331A05G6</v>
      </c>
      <c r="C964" s="97" t="str">
        <f>IFERROR(__xludf.DUMMYFUNCTION("""COMPUTED_VALUE"""),"IT Essentials")</f>
        <v>IT Essentials</v>
      </c>
      <c r="D964" s="96" t="str">
        <f>IFERROR(__xludf.DUMMYFUNCTION("""COMPUTED_VALUE"""),"CISCO Networking Academy")</f>
        <v>CISCO Networking Academy</v>
      </c>
      <c r="E964" s="96" t="str">
        <f>IFERROR(__xludf.DUMMYFUNCTION("""COMPUTED_VALUE"""),"13 weeks")</f>
        <v>13 weeks</v>
      </c>
      <c r="F964" s="98">
        <f>IFERROR(__xludf.DUMMYFUNCTION("""COMPUTED_VALUE"""),43998.0)</f>
        <v>43998</v>
      </c>
      <c r="G964" s="98">
        <f>IFERROR(__xludf.DUMMYFUNCTION("""COMPUTED_VALUE"""),44089.0)</f>
        <v>44089</v>
      </c>
      <c r="H964" s="99">
        <f>IFERROR(__xludf.DUMMYFUNCTION("""COMPUTED_VALUE"""),44089.0)</f>
        <v>44089</v>
      </c>
      <c r="I964" s="100"/>
      <c r="J964" s="96" t="str">
        <f>IFERROR(__xludf.DUMMYFUNCTION("""COMPUTED_VALUE"""),"Suvarna Kumar Gogula")</f>
        <v>Suvarna Kumar Gogula</v>
      </c>
      <c r="K964" s="101" t="str">
        <f>IFERROR(__xludf.DUMMYFUNCTION("""COMPUTED_VALUE"""),"https://drive.google.com/open?id=1pyiYu3IzFV0b5zTm0ZZPIuvaFSCnpnII")</f>
        <v>https://drive.google.com/open?id=1pyiYu3IzFV0b5zTm0ZZPIuvaFSCnpnII</v>
      </c>
      <c r="L964" s="96" t="str">
        <f>IFERROR(__xludf.DUMMYFUNCTION("""COMPUTED_VALUE"""),"2019-2023")</f>
        <v>2019-2023</v>
      </c>
      <c r="M964" s="96" t="str">
        <f>IFERROR(__xludf.DUMMYFUNCTION("""COMPUTED_VALUE"""),"S4: Student Certifications")</f>
        <v>S4: Student Certifications</v>
      </c>
      <c r="N964" s="96" t="str">
        <f>IFERROR(__xludf.DUMMYFUNCTION("""COMPUTED_VALUE"""),"dhanasureddi08@gmail.com")</f>
        <v>dhanasureddi08@gmail.com</v>
      </c>
      <c r="O964" s="96" t="str">
        <f>IFERROR(__xludf.DUMMYFUNCTION("""COMPUTED_VALUE"""),"SEM-6")</f>
        <v>SEM-6</v>
      </c>
      <c r="P964" s="96"/>
      <c r="Q964" s="96"/>
      <c r="R964" s="96"/>
      <c r="S964" s="96"/>
      <c r="T964" s="96"/>
      <c r="U964" s="96"/>
      <c r="V964" s="96"/>
      <c r="W964" s="96"/>
      <c r="X964" s="96"/>
      <c r="Y964" s="96"/>
    </row>
    <row r="965" ht="26.25" customHeight="1">
      <c r="A965" s="96" t="str">
        <f>IFERROR(__xludf.DUMMYFUNCTION("""COMPUTED_VALUE"""),"SUREDDI DHANA SRI")</f>
        <v>SUREDDI DHANA SRI</v>
      </c>
      <c r="B965" s="96" t="str">
        <f>IFERROR(__xludf.DUMMYFUNCTION("""COMPUTED_VALUE"""),"19331A05G6")</f>
        <v>19331A05G6</v>
      </c>
      <c r="C965" s="97" t="str">
        <f>IFERROR(__xludf.DUMMYFUNCTION("""COMPUTED_VALUE"""),"Programming Essentials in Python")</f>
        <v>Programming Essentials in Python</v>
      </c>
      <c r="D965" s="96" t="str">
        <f>IFERROR(__xludf.DUMMYFUNCTION("""COMPUTED_VALUE"""),"OpenEDG Python Institute")</f>
        <v>OpenEDG Python Institute</v>
      </c>
      <c r="E965" s="96" t="str">
        <f>IFERROR(__xludf.DUMMYFUNCTION("""COMPUTED_VALUE"""),"13 weeks")</f>
        <v>13 weeks</v>
      </c>
      <c r="F965" s="98">
        <f>IFERROR(__xludf.DUMMYFUNCTION("""COMPUTED_VALUE"""),44251.0)</f>
        <v>44251</v>
      </c>
      <c r="G965" s="98">
        <f>IFERROR(__xludf.DUMMYFUNCTION("""COMPUTED_VALUE"""),44322.0)</f>
        <v>44322</v>
      </c>
      <c r="H965" s="99">
        <f>IFERROR(__xludf.DUMMYFUNCTION("""COMPUTED_VALUE"""),44322.0)</f>
        <v>44322</v>
      </c>
      <c r="I965" s="100"/>
      <c r="J965" s="96" t="str">
        <f>IFERROR(__xludf.DUMMYFUNCTION("""COMPUTED_VALUE"""),"Mr. M. Beulah Rani")</f>
        <v>Mr. M. Beulah Rani</v>
      </c>
      <c r="K965" s="101" t="str">
        <f>IFERROR(__xludf.DUMMYFUNCTION("""COMPUTED_VALUE"""),"https://drive.google.com/open?id=1jjFuKS_U1QBB36nRW2vjQLkDW9KmooPi")</f>
        <v>https://drive.google.com/open?id=1jjFuKS_U1QBB36nRW2vjQLkDW9KmooPi</v>
      </c>
      <c r="L965" s="96" t="str">
        <f>IFERROR(__xludf.DUMMYFUNCTION("""COMPUTED_VALUE"""),"2019-2023")</f>
        <v>2019-2023</v>
      </c>
      <c r="M965" s="96" t="str">
        <f>IFERROR(__xludf.DUMMYFUNCTION("""COMPUTED_VALUE"""),"S4: Student Certifications")</f>
        <v>S4: Student Certifications</v>
      </c>
      <c r="N965" s="96" t="str">
        <f>IFERROR(__xludf.DUMMYFUNCTION("""COMPUTED_VALUE"""),"dhanasureddi08@gmail.com")</f>
        <v>dhanasureddi08@gmail.com</v>
      </c>
      <c r="O965" s="96" t="str">
        <f>IFERROR(__xludf.DUMMYFUNCTION("""COMPUTED_VALUE"""),"SEM-6")</f>
        <v>SEM-6</v>
      </c>
      <c r="P965" s="96"/>
      <c r="Q965" s="96"/>
      <c r="R965" s="96"/>
      <c r="S965" s="96"/>
      <c r="T965" s="96"/>
      <c r="U965" s="96"/>
      <c r="V965" s="96"/>
      <c r="W965" s="96"/>
      <c r="X965" s="96"/>
      <c r="Y965" s="96"/>
    </row>
    <row r="966" ht="26.25" customHeight="1">
      <c r="A966" s="96" t="str">
        <f>IFERROR(__xludf.DUMMYFUNCTION("""COMPUTED_VALUE"""),"SUREDDI DHANA SRI")</f>
        <v>SUREDDI DHANA SRI</v>
      </c>
      <c r="B966" s="96" t="str">
        <f>IFERROR(__xludf.DUMMYFUNCTION("""COMPUTED_VALUE"""),"19331A05G6")</f>
        <v>19331A05G6</v>
      </c>
      <c r="C966" s="97" t="str">
        <f>IFERROR(__xludf.DUMMYFUNCTION("""COMPUTED_VALUE"""),"CCNAv7:Introduction to Networks")</f>
        <v>CCNAv7:Introduction to Networks</v>
      </c>
      <c r="D966" s="96" t="str">
        <f>IFERROR(__xludf.DUMMYFUNCTION("""COMPUTED_VALUE"""),"CISCO Networking Academy")</f>
        <v>CISCO Networking Academy</v>
      </c>
      <c r="E966" s="96" t="str">
        <f>IFERROR(__xludf.DUMMYFUNCTION("""COMPUTED_VALUE"""),"13 weeks")</f>
        <v>13 weeks</v>
      </c>
      <c r="F966" s="98">
        <f>IFERROR(__xludf.DUMMYFUNCTION("""COMPUTED_VALUE"""),44485.0)</f>
        <v>44485</v>
      </c>
      <c r="G966" s="98">
        <f>IFERROR(__xludf.DUMMYFUNCTION("""COMPUTED_VALUE"""),44545.0)</f>
        <v>44545</v>
      </c>
      <c r="H966" s="99">
        <f>IFERROR(__xludf.DUMMYFUNCTION("""COMPUTED_VALUE"""),44545.0)</f>
        <v>44545</v>
      </c>
      <c r="I966" s="100"/>
      <c r="J966" s="96" t="str">
        <f>IFERROR(__xludf.DUMMYFUNCTION("""COMPUTED_VALUE"""),"Dr. P. Ravi Kiran Varma")</f>
        <v>Dr. P. Ravi Kiran Varma</v>
      </c>
      <c r="K966" s="101" t="str">
        <f>IFERROR(__xludf.DUMMYFUNCTION("""COMPUTED_VALUE"""),"https://drive.google.com/open?id=1ybvtsLvs1vXHRO3LPvAh7AidNBwQuReH")</f>
        <v>https://drive.google.com/open?id=1ybvtsLvs1vXHRO3LPvAh7AidNBwQuReH</v>
      </c>
      <c r="L966" s="96" t="str">
        <f>IFERROR(__xludf.DUMMYFUNCTION("""COMPUTED_VALUE"""),"2019-2023")</f>
        <v>2019-2023</v>
      </c>
      <c r="M966" s="96" t="str">
        <f>IFERROR(__xludf.DUMMYFUNCTION("""COMPUTED_VALUE"""),"S4: Student Certifications")</f>
        <v>S4: Student Certifications</v>
      </c>
      <c r="N966" s="96" t="str">
        <f>IFERROR(__xludf.DUMMYFUNCTION("""COMPUTED_VALUE"""),"dhanasureddi08@gmail.com")</f>
        <v>dhanasureddi08@gmail.com</v>
      </c>
      <c r="O966" s="96" t="str">
        <f>IFERROR(__xludf.DUMMYFUNCTION("""COMPUTED_VALUE"""),"SEM-6")</f>
        <v>SEM-6</v>
      </c>
      <c r="P966" s="96"/>
      <c r="Q966" s="96"/>
      <c r="R966" s="96"/>
      <c r="S966" s="96"/>
      <c r="T966" s="96"/>
      <c r="U966" s="96"/>
      <c r="V966" s="96"/>
      <c r="W966" s="96"/>
      <c r="X966" s="96"/>
      <c r="Y966" s="96"/>
    </row>
    <row r="967" ht="26.25" customHeight="1">
      <c r="A967" s="96" t="str">
        <f>IFERROR(__xludf.DUMMYFUNCTION("""COMPUTED_VALUE"""),"SUREDDI DHANA SRI")</f>
        <v>SUREDDI DHANA SRI</v>
      </c>
      <c r="B967" s="96" t="str">
        <f>IFERROR(__xludf.DUMMYFUNCTION("""COMPUTED_VALUE"""),"19331A05G6")</f>
        <v>19331A05G6</v>
      </c>
      <c r="C967" s="97" t="str">
        <f>IFERROR(__xludf.DUMMYFUNCTION("""COMPUTED_VALUE"""),"CCNAv7:Switching,Routing,Wireless Essentials")</f>
        <v>CCNAv7:Switching,Routing,Wireless Essentials</v>
      </c>
      <c r="D967" s="96" t="str">
        <f>IFERROR(__xludf.DUMMYFUNCTION("""COMPUTED_VALUE"""),"CISCO Networking Academy")</f>
        <v>CISCO Networking Academy</v>
      </c>
      <c r="E967" s="96" t="str">
        <f>IFERROR(__xludf.DUMMYFUNCTION("""COMPUTED_VALUE"""),"13 weeks")</f>
        <v>13 weeks</v>
      </c>
      <c r="F967" s="98">
        <f>IFERROR(__xludf.DUMMYFUNCTION("""COMPUTED_VALUE"""),44514.0)</f>
        <v>44514</v>
      </c>
      <c r="G967" s="98">
        <f>IFERROR(__xludf.DUMMYFUNCTION("""COMPUTED_VALUE"""),44605.0)</f>
        <v>44605</v>
      </c>
      <c r="H967" s="99">
        <f>IFERROR(__xludf.DUMMYFUNCTION("""COMPUTED_VALUE"""),44605.0)</f>
        <v>44605</v>
      </c>
      <c r="I967" s="100"/>
      <c r="J967" s="96" t="str">
        <f>IFERROR(__xludf.DUMMYFUNCTION("""COMPUTED_VALUE"""),"Dr. P. Ravi Kiran Varma")</f>
        <v>Dr. P. Ravi Kiran Varma</v>
      </c>
      <c r="K967" s="101" t="str">
        <f>IFERROR(__xludf.DUMMYFUNCTION("""COMPUTED_VALUE"""),"https://drive.google.com/open?id=1W5kKvlDqs8vLsoPz3W8h8keVuORuLU2_")</f>
        <v>https://drive.google.com/open?id=1W5kKvlDqs8vLsoPz3W8h8keVuORuLU2_</v>
      </c>
      <c r="L967" s="96" t="str">
        <f>IFERROR(__xludf.DUMMYFUNCTION("""COMPUTED_VALUE"""),"2019-2023")</f>
        <v>2019-2023</v>
      </c>
      <c r="M967" s="96" t="str">
        <f>IFERROR(__xludf.DUMMYFUNCTION("""COMPUTED_VALUE"""),"S4: Student Certifications")</f>
        <v>S4: Student Certifications</v>
      </c>
      <c r="N967" s="96" t="str">
        <f>IFERROR(__xludf.DUMMYFUNCTION("""COMPUTED_VALUE"""),"dhanasureddi08@gmail.com")</f>
        <v>dhanasureddi08@gmail.com</v>
      </c>
      <c r="O967" s="96" t="str">
        <f>IFERROR(__xludf.DUMMYFUNCTION("""COMPUTED_VALUE"""),"SEM-6")</f>
        <v>SEM-6</v>
      </c>
      <c r="P967" s="96"/>
      <c r="Q967" s="96"/>
      <c r="R967" s="96"/>
      <c r="S967" s="96"/>
      <c r="T967" s="96"/>
      <c r="U967" s="96"/>
      <c r="V967" s="96"/>
      <c r="W967" s="96"/>
      <c r="X967" s="96"/>
      <c r="Y967" s="96"/>
    </row>
    <row r="968" ht="26.25" customHeight="1">
      <c r="A968" s="96" t="str">
        <f>IFERROR(__xludf.DUMMYFUNCTION("""COMPUTED_VALUE"""),"Chikkala Sowmya Deepika")</f>
        <v>Chikkala Sowmya Deepika</v>
      </c>
      <c r="B968" s="96" t="str">
        <f>IFERROR(__xludf.DUMMYFUNCTION("""COMPUTED_VALUE"""),"19331A0535")</f>
        <v>19331A0535</v>
      </c>
      <c r="C968" s="97" t="str">
        <f>IFERROR(__xludf.DUMMYFUNCTION("""COMPUTED_VALUE"""),"CCNAv7: Introduction to Networks")</f>
        <v>CCNAv7: Introduction to Networks</v>
      </c>
      <c r="D968" s="96" t="str">
        <f>IFERROR(__xludf.DUMMYFUNCTION("""COMPUTED_VALUE"""),"Cisco networking academy")</f>
        <v>Cisco networking academy</v>
      </c>
      <c r="E968" s="96" t="str">
        <f>IFERROR(__xludf.DUMMYFUNCTION("""COMPUTED_VALUE"""),"13 weeks")</f>
        <v>13 weeks</v>
      </c>
      <c r="F968" s="98">
        <f>IFERROR(__xludf.DUMMYFUNCTION("""COMPUTED_VALUE"""),44495.0)</f>
        <v>44495</v>
      </c>
      <c r="G968" s="98">
        <f>IFERROR(__xludf.DUMMYFUNCTION("""COMPUTED_VALUE"""),44681.0)</f>
        <v>44681</v>
      </c>
      <c r="H968" s="99">
        <f>IFERROR(__xludf.DUMMYFUNCTION("""COMPUTED_VALUE"""),44681.0)</f>
        <v>44681</v>
      </c>
      <c r="I968" s="100">
        <f>IFERROR(__xludf.DUMMYFUNCTION("""COMPUTED_VALUE"""),0.92)</f>
        <v>0.92</v>
      </c>
      <c r="J968" s="96" t="str">
        <f>IFERROR(__xludf.DUMMYFUNCTION("""COMPUTED_VALUE"""),"Subba raju K V")</f>
        <v>Subba raju K V</v>
      </c>
      <c r="K968" s="101" t="str">
        <f>IFERROR(__xludf.DUMMYFUNCTION("""COMPUTED_VALUE"""),"https://drive.google.com/open?id=1I9HywU8Eavv9GZbQkP4QRgyhQvXJTAzI")</f>
        <v>https://drive.google.com/open?id=1I9HywU8Eavv9GZbQkP4QRgyhQvXJTAzI</v>
      </c>
      <c r="L968" s="96" t="str">
        <f>IFERROR(__xludf.DUMMYFUNCTION("""COMPUTED_VALUE"""),"2019-2023")</f>
        <v>2019-2023</v>
      </c>
      <c r="M968" s="96" t="str">
        <f>IFERROR(__xludf.DUMMYFUNCTION("""COMPUTED_VALUE"""),"S4: Student Certifications")</f>
        <v>S4: Student Certifications</v>
      </c>
      <c r="N968" s="96" t="str">
        <f>IFERROR(__xludf.DUMMYFUNCTION("""COMPUTED_VALUE"""),"sowmyadeepika2810@gmail.com")</f>
        <v>sowmyadeepika2810@gmail.com</v>
      </c>
      <c r="O968" s="96" t="str">
        <f>IFERROR(__xludf.DUMMYFUNCTION("""COMPUTED_VALUE"""),"SEM-6")</f>
        <v>SEM-6</v>
      </c>
      <c r="P968" s="96"/>
      <c r="Q968" s="96"/>
      <c r="R968" s="96"/>
      <c r="S968" s="96"/>
      <c r="T968" s="96"/>
      <c r="U968" s="96"/>
      <c r="V968" s="96"/>
      <c r="W968" s="96"/>
      <c r="X968" s="96"/>
      <c r="Y968" s="96"/>
    </row>
    <row r="969" ht="26.25" customHeight="1">
      <c r="A969" s="78" t="str">
        <f>IFERROR(__xludf.DUMMYFUNCTION("""COMPUTED_VALUE"""),"S.Praveen Kumar")</f>
        <v>S.Praveen Kumar</v>
      </c>
      <c r="B969" s="78" t="str">
        <f>IFERROR(__xludf.DUMMYFUNCTION("""COMPUTED_VALUE"""),"199331A05F3")</f>
        <v>199331A05F3</v>
      </c>
      <c r="C969" s="93" t="str">
        <f>IFERROR(__xludf.DUMMYFUNCTION("""COMPUTED_VALUE"""),"Programming essentials in C")</f>
        <v>Programming essentials in C</v>
      </c>
      <c r="D969" s="78" t="str">
        <f>IFERROR(__xludf.DUMMYFUNCTION("""COMPUTED_VALUE"""),"CISCO NETWORKING ACADEMY")</f>
        <v>CISCO NETWORKING ACADEMY</v>
      </c>
      <c r="E969" s="78" t="str">
        <f>IFERROR(__xludf.DUMMYFUNCTION("""COMPUTED_VALUE"""),"13 weeks")</f>
        <v>13 weeks</v>
      </c>
      <c r="F969" s="94">
        <f>IFERROR(__xludf.DUMMYFUNCTION("""COMPUTED_VALUE"""),43860.0)</f>
        <v>43860</v>
      </c>
      <c r="G969" s="94">
        <f>IFERROR(__xludf.DUMMYFUNCTION("""COMPUTED_VALUE"""),43952.0)</f>
        <v>43952</v>
      </c>
      <c r="H969" s="84">
        <f>IFERROR(__xludf.DUMMYFUNCTION("""COMPUTED_VALUE"""),43952.0)</f>
        <v>43952</v>
      </c>
      <c r="I969" s="95"/>
      <c r="J969" s="78" t="str">
        <f>IFERROR(__xludf.DUMMYFUNCTION("""COMPUTED_VALUE"""),"M.Beulah Rani")</f>
        <v>M.Beulah Rani</v>
      </c>
      <c r="K969" s="85" t="str">
        <f>IFERROR(__xludf.DUMMYFUNCTION("""COMPUTED_VALUE"""),"https://drive.google.com/open?id=1IQjClfd8ZkPZneTdIzdlb5zC80Vhyxct")</f>
        <v>https://drive.google.com/open?id=1IQjClfd8ZkPZneTdIzdlb5zC80Vhyxct</v>
      </c>
      <c r="L969" s="78" t="str">
        <f>IFERROR(__xludf.DUMMYFUNCTION("""COMPUTED_VALUE"""),"2019-2023")</f>
        <v>2019-2023</v>
      </c>
      <c r="M969" s="78" t="str">
        <f>IFERROR(__xludf.DUMMYFUNCTION("""COMPUTED_VALUE"""),"S4: Student Certifications")</f>
        <v>S4: Student Certifications</v>
      </c>
      <c r="N969" s="78" t="str">
        <f>IFERROR(__xludf.DUMMYFUNCTION("""COMPUTED_VALUE"""),"praveenkumarsavarala0000@gmail.com")</f>
        <v>praveenkumarsavarala0000@gmail.com</v>
      </c>
      <c r="O969" s="78" t="str">
        <f>IFERROR(__xludf.DUMMYFUNCTION("""COMPUTED_VALUE"""),"SEM-6")</f>
        <v>SEM-6</v>
      </c>
      <c r="P969" s="78"/>
      <c r="Q969" s="78"/>
      <c r="R969" s="78"/>
      <c r="S969" s="78"/>
      <c r="T969" s="78"/>
      <c r="U969" s="78"/>
      <c r="V969" s="78"/>
      <c r="W969" s="78"/>
      <c r="X969" s="78"/>
      <c r="Y969" s="78"/>
    </row>
    <row r="970" ht="26.25" customHeight="1">
      <c r="A970" s="96" t="str">
        <f>IFERROR(__xludf.DUMMYFUNCTION("""COMPUTED_VALUE"""),"S.Praveen Kumar")</f>
        <v>S.Praveen Kumar</v>
      </c>
      <c r="B970" s="96" t="str">
        <f>IFERROR(__xludf.DUMMYFUNCTION("""COMPUTED_VALUE"""),"19331A05F3")</f>
        <v>19331A05F3</v>
      </c>
      <c r="C970" s="97" t="str">
        <f>IFERROR(__xludf.DUMMYFUNCTION("""COMPUTED_VALUE"""),"IT Essentials")</f>
        <v>IT Essentials</v>
      </c>
      <c r="D970" s="96" t="str">
        <f>IFERROR(__xludf.DUMMYFUNCTION("""COMPUTED_VALUE"""),"CISCO NETWORKING ACADEMY")</f>
        <v>CISCO NETWORKING ACADEMY</v>
      </c>
      <c r="E970" s="96" t="str">
        <f>IFERROR(__xludf.DUMMYFUNCTION("""COMPUTED_VALUE"""),"13 weeks")</f>
        <v>13 weeks</v>
      </c>
      <c r="F970" s="98">
        <f>IFERROR(__xludf.DUMMYFUNCTION("""COMPUTED_VALUE"""),43998.0)</f>
        <v>43998</v>
      </c>
      <c r="G970" s="98">
        <f>IFERROR(__xludf.DUMMYFUNCTION("""COMPUTED_VALUE"""),44089.0)</f>
        <v>44089</v>
      </c>
      <c r="H970" s="99">
        <f>IFERROR(__xludf.DUMMYFUNCTION("""COMPUTED_VALUE"""),44089.0)</f>
        <v>44089</v>
      </c>
      <c r="I970" s="100"/>
      <c r="J970" s="96" t="str">
        <f>IFERROR(__xludf.DUMMYFUNCTION("""COMPUTED_VALUE"""),"Dr. G.Suvarna Kumar")</f>
        <v>Dr. G.Suvarna Kumar</v>
      </c>
      <c r="K970" s="101" t="str">
        <f>IFERROR(__xludf.DUMMYFUNCTION("""COMPUTED_VALUE"""),"https://drive.google.com/open?id=16TQwR-_pT-P70IKmA0itdGtcZA6xrvP-")</f>
        <v>https://drive.google.com/open?id=16TQwR-_pT-P70IKmA0itdGtcZA6xrvP-</v>
      </c>
      <c r="L970" s="96" t="str">
        <f>IFERROR(__xludf.DUMMYFUNCTION("""COMPUTED_VALUE"""),"2019-2023")</f>
        <v>2019-2023</v>
      </c>
      <c r="M970" s="96" t="str">
        <f>IFERROR(__xludf.DUMMYFUNCTION("""COMPUTED_VALUE"""),"S4: Student Certifications")</f>
        <v>S4: Student Certifications</v>
      </c>
      <c r="N970" s="96" t="str">
        <f>IFERROR(__xludf.DUMMYFUNCTION("""COMPUTED_VALUE"""),"praveenkumarsavarala0000@gmail.com")</f>
        <v>praveenkumarsavarala0000@gmail.com</v>
      </c>
      <c r="O970" s="96" t="str">
        <f>IFERROR(__xludf.DUMMYFUNCTION("""COMPUTED_VALUE"""),"SEM-6")</f>
        <v>SEM-6</v>
      </c>
      <c r="P970" s="96"/>
      <c r="Q970" s="96"/>
      <c r="R970" s="96"/>
      <c r="S970" s="96"/>
      <c r="T970" s="96"/>
      <c r="U970" s="96"/>
      <c r="V970" s="96"/>
      <c r="W970" s="96"/>
      <c r="X970" s="96"/>
      <c r="Y970" s="96"/>
    </row>
    <row r="971" ht="26.25" customHeight="1">
      <c r="A971" s="96" t="str">
        <f>IFERROR(__xludf.DUMMYFUNCTION("""COMPUTED_VALUE"""),"S.Praveen Kumar")</f>
        <v>S.Praveen Kumar</v>
      </c>
      <c r="B971" s="96" t="str">
        <f>IFERROR(__xludf.DUMMYFUNCTION("""COMPUTED_VALUE"""),"19331A05F3")</f>
        <v>19331A05F3</v>
      </c>
      <c r="C971" s="97" t="str">
        <f>IFERROR(__xludf.DUMMYFUNCTION("""COMPUTED_VALUE"""),"Programming Essentials in Python")</f>
        <v>Programming Essentials in Python</v>
      </c>
      <c r="D971" s="96" t="str">
        <f>IFERROR(__xludf.DUMMYFUNCTION("""COMPUTED_VALUE"""),"CISCO NETWORKING ACADEMY")</f>
        <v>CISCO NETWORKING ACADEMY</v>
      </c>
      <c r="E971" s="96" t="str">
        <f>IFERROR(__xludf.DUMMYFUNCTION("""COMPUTED_VALUE"""),"13 weeks")</f>
        <v>13 weeks</v>
      </c>
      <c r="F971" s="98">
        <f>IFERROR(__xludf.DUMMYFUNCTION("""COMPUTED_VALUE"""),43865.0)</f>
        <v>43865</v>
      </c>
      <c r="G971" s="98">
        <f>IFERROR(__xludf.DUMMYFUNCTION("""COMPUTED_VALUE"""),43957.0)</f>
        <v>43957</v>
      </c>
      <c r="H971" s="99">
        <f>IFERROR(__xludf.DUMMYFUNCTION("""COMPUTED_VALUE"""),43957.0)</f>
        <v>43957</v>
      </c>
      <c r="I971" s="100"/>
      <c r="J971" s="96" t="str">
        <f>IFERROR(__xludf.DUMMYFUNCTION("""COMPUTED_VALUE"""),"M.Beulah Rani")</f>
        <v>M.Beulah Rani</v>
      </c>
      <c r="K971" s="101" t="str">
        <f>IFERROR(__xludf.DUMMYFUNCTION("""COMPUTED_VALUE"""),"https://drive.google.com/open?id=16MKzLgAP29mynQq-FQUyJeJhdi7CSMbh")</f>
        <v>https://drive.google.com/open?id=16MKzLgAP29mynQq-FQUyJeJhdi7CSMbh</v>
      </c>
      <c r="L971" s="96" t="str">
        <f>IFERROR(__xludf.DUMMYFUNCTION("""COMPUTED_VALUE"""),"2019-2023")</f>
        <v>2019-2023</v>
      </c>
      <c r="M971" s="96" t="str">
        <f>IFERROR(__xludf.DUMMYFUNCTION("""COMPUTED_VALUE"""),"S4: Student Certifications")</f>
        <v>S4: Student Certifications</v>
      </c>
      <c r="N971" s="96" t="str">
        <f>IFERROR(__xludf.DUMMYFUNCTION("""COMPUTED_VALUE"""),"praveenkumarsavarala0000@gmail.com")</f>
        <v>praveenkumarsavarala0000@gmail.com</v>
      </c>
      <c r="O971" s="96" t="str">
        <f>IFERROR(__xludf.DUMMYFUNCTION("""COMPUTED_VALUE"""),"SEM-6")</f>
        <v>SEM-6</v>
      </c>
      <c r="P971" s="96"/>
      <c r="Q971" s="96"/>
      <c r="R971" s="96"/>
      <c r="S971" s="96"/>
      <c r="T971" s="96"/>
      <c r="U971" s="96"/>
      <c r="V971" s="96"/>
      <c r="W971" s="96"/>
      <c r="X971" s="96"/>
      <c r="Y971" s="96"/>
    </row>
    <row r="972" ht="26.25" customHeight="1">
      <c r="A972" s="96" t="str">
        <f>IFERROR(__xludf.DUMMYFUNCTION("""COMPUTED_VALUE"""),"Sudha Ratan Kumar")</f>
        <v>Sudha Ratan Kumar</v>
      </c>
      <c r="B972" s="96" t="str">
        <f>IFERROR(__xludf.DUMMYFUNCTION("""COMPUTED_VALUE"""),"19331A05G3")</f>
        <v>19331A05G3</v>
      </c>
      <c r="C972" s="97" t="str">
        <f>IFERROR(__xludf.DUMMYFUNCTION("""COMPUTED_VALUE"""),"IT Essentials")</f>
        <v>IT Essentials</v>
      </c>
      <c r="D972" s="96" t="str">
        <f>IFERROR(__xludf.DUMMYFUNCTION("""COMPUTED_VALUE"""),"CISCO")</f>
        <v>CISCO</v>
      </c>
      <c r="E972" s="96" t="str">
        <f>IFERROR(__xludf.DUMMYFUNCTION("""COMPUTED_VALUE"""),"13 weeks")</f>
        <v>13 weeks</v>
      </c>
      <c r="F972" s="98">
        <f>IFERROR(__xludf.DUMMYFUNCTION("""COMPUTED_VALUE"""),43995.0)</f>
        <v>43995</v>
      </c>
      <c r="G972" s="98">
        <f>IFERROR(__xludf.DUMMYFUNCTION("""COMPUTED_VALUE"""),44087.0)</f>
        <v>44087</v>
      </c>
      <c r="H972" s="99">
        <f>IFERROR(__xludf.DUMMYFUNCTION("""COMPUTED_VALUE"""),44087.0)</f>
        <v>44087</v>
      </c>
      <c r="I972" s="100"/>
      <c r="J972" s="96" t="str">
        <f>IFERROR(__xludf.DUMMYFUNCTION("""COMPUTED_VALUE"""),"Suvarna Kumar")</f>
        <v>Suvarna Kumar</v>
      </c>
      <c r="K972" s="101" t="str">
        <f>IFERROR(__xludf.DUMMYFUNCTION("""COMPUTED_VALUE"""),"https://drive.google.com/open?id=1s1q3iJwJRljWVGMsomMYrbT34s2EfgWE")</f>
        <v>https://drive.google.com/open?id=1s1q3iJwJRljWVGMsomMYrbT34s2EfgWE</v>
      </c>
      <c r="L972" s="96" t="str">
        <f>IFERROR(__xludf.DUMMYFUNCTION("""COMPUTED_VALUE"""),"2019-2023")</f>
        <v>2019-2023</v>
      </c>
      <c r="M972" s="96" t="str">
        <f>IFERROR(__xludf.DUMMYFUNCTION("""COMPUTED_VALUE"""),"S4: Student Certifications")</f>
        <v>S4: Student Certifications</v>
      </c>
      <c r="N972" s="96" t="str">
        <f>IFERROR(__xludf.DUMMYFUNCTION("""COMPUTED_VALUE"""),"rattankumar2511@gmail.com")</f>
        <v>rattankumar2511@gmail.com</v>
      </c>
      <c r="O972" s="96" t="str">
        <f>IFERROR(__xludf.DUMMYFUNCTION("""COMPUTED_VALUE"""),"SEM-6")</f>
        <v>SEM-6</v>
      </c>
      <c r="P972" s="96"/>
      <c r="Q972" s="96"/>
      <c r="R972" s="96"/>
      <c r="S972" s="96"/>
      <c r="T972" s="96"/>
      <c r="U972" s="96"/>
      <c r="V972" s="96"/>
      <c r="W972" s="96"/>
      <c r="X972" s="96"/>
      <c r="Y972" s="96"/>
    </row>
    <row r="973" ht="26.25" customHeight="1">
      <c r="A973" s="96" t="str">
        <f>IFERROR(__xludf.DUMMYFUNCTION("""COMPUTED_VALUE"""),"Sudha Ratan Kumar")</f>
        <v>Sudha Ratan Kumar</v>
      </c>
      <c r="B973" s="96" t="str">
        <f>IFERROR(__xludf.DUMMYFUNCTION("""COMPUTED_VALUE"""),"19331A05G3")</f>
        <v>19331A05G3</v>
      </c>
      <c r="C973" s="97" t="str">
        <f>IFERROR(__xludf.DUMMYFUNCTION("""COMPUTED_VALUE"""),"Programming Essentials in Python")</f>
        <v>Programming Essentials in Python</v>
      </c>
      <c r="D973" s="96" t="str">
        <f>IFERROR(__xludf.DUMMYFUNCTION("""COMPUTED_VALUE"""),"Open EDG")</f>
        <v>Open EDG</v>
      </c>
      <c r="E973" s="96" t="str">
        <f>IFERROR(__xludf.DUMMYFUNCTION("""COMPUTED_VALUE"""),"13 weeks")</f>
        <v>13 weeks</v>
      </c>
      <c r="F973" s="98">
        <f>IFERROR(__xludf.DUMMYFUNCTION("""COMPUTED_VALUE"""),44233.0)</f>
        <v>44233</v>
      </c>
      <c r="G973" s="98">
        <f>IFERROR(__xludf.DUMMYFUNCTION("""COMPUTED_VALUE"""),44322.0)</f>
        <v>44322</v>
      </c>
      <c r="H973" s="99">
        <f>IFERROR(__xludf.DUMMYFUNCTION("""COMPUTED_VALUE"""),44322.0)</f>
        <v>44322</v>
      </c>
      <c r="I973" s="100"/>
      <c r="J973" s="96" t="str">
        <f>IFERROR(__xludf.DUMMYFUNCTION("""COMPUTED_VALUE"""),"M.B.Rani")</f>
        <v>M.B.Rani</v>
      </c>
      <c r="K973" s="101" t="str">
        <f>IFERROR(__xludf.DUMMYFUNCTION("""COMPUTED_VALUE"""),"https://drive.google.com/open?id=1O4bOjZeWeUQilfgBN521BRHRlG9xmyuk")</f>
        <v>https://drive.google.com/open?id=1O4bOjZeWeUQilfgBN521BRHRlG9xmyuk</v>
      </c>
      <c r="L973" s="96" t="str">
        <f>IFERROR(__xludf.DUMMYFUNCTION("""COMPUTED_VALUE"""),"2019-2023")</f>
        <v>2019-2023</v>
      </c>
      <c r="M973" s="96" t="str">
        <f>IFERROR(__xludf.DUMMYFUNCTION("""COMPUTED_VALUE"""),"S4: Student Certifications")</f>
        <v>S4: Student Certifications</v>
      </c>
      <c r="N973" s="96" t="str">
        <f>IFERROR(__xludf.DUMMYFUNCTION("""COMPUTED_VALUE"""),"rattankumar2511@gmail.com")</f>
        <v>rattankumar2511@gmail.com</v>
      </c>
      <c r="O973" s="96" t="str">
        <f>IFERROR(__xludf.DUMMYFUNCTION("""COMPUTED_VALUE"""),"SEM-6")</f>
        <v>SEM-6</v>
      </c>
      <c r="P973" s="96"/>
      <c r="Q973" s="96"/>
      <c r="R973" s="96"/>
      <c r="S973" s="96"/>
      <c r="T973" s="96"/>
      <c r="U973" s="96"/>
      <c r="V973" s="96"/>
      <c r="W973" s="96"/>
      <c r="X973" s="96"/>
      <c r="Y973" s="96"/>
    </row>
    <row r="974" ht="26.25" customHeight="1">
      <c r="A974" s="96" t="str">
        <f>IFERROR(__xludf.DUMMYFUNCTION("""COMPUTED_VALUE"""),"Sudha Ratan Kumar")</f>
        <v>Sudha Ratan Kumar</v>
      </c>
      <c r="B974" s="96" t="str">
        <f>IFERROR(__xludf.DUMMYFUNCTION("""COMPUTED_VALUE"""),"19331A05G3")</f>
        <v>19331A05G3</v>
      </c>
      <c r="C974" s="97" t="str">
        <f>IFERROR(__xludf.DUMMYFUNCTION("""COMPUTED_VALUE"""),"HTML")</f>
        <v>HTML</v>
      </c>
      <c r="D974" s="96" t="str">
        <f>IFERROR(__xludf.DUMMYFUNCTION("""COMPUTED_VALUE"""),"Sololearn")</f>
        <v>Sololearn</v>
      </c>
      <c r="E974" s="96" t="str">
        <f>IFERROR(__xludf.DUMMYFUNCTION("""COMPUTED_VALUE"""),"2weeks")</f>
        <v>2weeks</v>
      </c>
      <c r="F974" s="98">
        <f>IFERROR(__xludf.DUMMYFUNCTION("""COMPUTED_VALUE"""),44337.0)</f>
        <v>44337</v>
      </c>
      <c r="G974" s="98">
        <f>IFERROR(__xludf.DUMMYFUNCTION("""COMPUTED_VALUE"""),44349.0)</f>
        <v>44349</v>
      </c>
      <c r="H974" s="99">
        <f>IFERROR(__xludf.DUMMYFUNCTION("""COMPUTED_VALUE"""),44349.0)</f>
        <v>44349</v>
      </c>
      <c r="I974" s="100"/>
      <c r="J974" s="96" t="str">
        <f>IFERROR(__xludf.DUMMYFUNCTION("""COMPUTED_VALUE"""),"-")</f>
        <v>-</v>
      </c>
      <c r="K974" s="101" t="str">
        <f>IFERROR(__xludf.DUMMYFUNCTION("""COMPUTED_VALUE"""),"https://drive.google.com/open?id=1vCUs7KSVqwo8uDNVA6hvfGmjzl2eJ2X5")</f>
        <v>https://drive.google.com/open?id=1vCUs7KSVqwo8uDNVA6hvfGmjzl2eJ2X5</v>
      </c>
      <c r="L974" s="96" t="str">
        <f>IFERROR(__xludf.DUMMYFUNCTION("""COMPUTED_VALUE"""),"2019-2023")</f>
        <v>2019-2023</v>
      </c>
      <c r="M974" s="96" t="str">
        <f>IFERROR(__xludf.DUMMYFUNCTION("""COMPUTED_VALUE"""),"S4: Student Certifications")</f>
        <v>S4: Student Certifications</v>
      </c>
      <c r="N974" s="96" t="str">
        <f>IFERROR(__xludf.DUMMYFUNCTION("""COMPUTED_VALUE"""),"rattankumar2511@gmail.com")</f>
        <v>rattankumar2511@gmail.com</v>
      </c>
      <c r="O974" s="96" t="str">
        <f>IFERROR(__xludf.DUMMYFUNCTION("""COMPUTED_VALUE"""),"SEM-6")</f>
        <v>SEM-6</v>
      </c>
      <c r="P974" s="96"/>
      <c r="Q974" s="96"/>
      <c r="R974" s="96"/>
      <c r="S974" s="96"/>
      <c r="T974" s="96"/>
      <c r="U974" s="96"/>
      <c r="V974" s="96"/>
      <c r="W974" s="96"/>
      <c r="X974" s="96"/>
      <c r="Y974" s="96"/>
    </row>
    <row r="975" ht="26.25" customHeight="1">
      <c r="A975" s="96" t="str">
        <f>IFERROR(__xludf.DUMMYFUNCTION("""COMPUTED_VALUE"""),"Sudha Ratan Kumar")</f>
        <v>Sudha Ratan Kumar</v>
      </c>
      <c r="B975" s="96" t="str">
        <f>IFERROR(__xludf.DUMMYFUNCTION("""COMPUTED_VALUE"""),"19331A05G3")</f>
        <v>19331A05G3</v>
      </c>
      <c r="C975" s="97" t="str">
        <f>IFERROR(__xludf.DUMMYFUNCTION("""COMPUTED_VALUE"""),"C++")</f>
        <v>C++</v>
      </c>
      <c r="D975" s="96" t="str">
        <f>IFERROR(__xludf.DUMMYFUNCTION("""COMPUTED_VALUE"""),"Sololearn")</f>
        <v>Sololearn</v>
      </c>
      <c r="E975" s="96" t="str">
        <f>IFERROR(__xludf.DUMMYFUNCTION("""COMPUTED_VALUE"""),"2weeks")</f>
        <v>2weeks</v>
      </c>
      <c r="F975" s="98">
        <f>IFERROR(__xludf.DUMMYFUNCTION("""COMPUTED_VALUE"""),44270.0)</f>
        <v>44270</v>
      </c>
      <c r="G975" s="98">
        <f>IFERROR(__xludf.DUMMYFUNCTION("""COMPUTED_VALUE"""),44286.0)</f>
        <v>44286</v>
      </c>
      <c r="H975" s="99">
        <f>IFERROR(__xludf.DUMMYFUNCTION("""COMPUTED_VALUE"""),44286.0)</f>
        <v>44286</v>
      </c>
      <c r="I975" s="100"/>
      <c r="J975" s="96" t="str">
        <f>IFERROR(__xludf.DUMMYFUNCTION("""COMPUTED_VALUE"""),"-")</f>
        <v>-</v>
      </c>
      <c r="K975" s="101" t="str">
        <f>IFERROR(__xludf.DUMMYFUNCTION("""COMPUTED_VALUE"""),"https://drive.google.com/open?id=1RYVtJ7qW3pMKl-zwfNJVKAVgfJUVUROD")</f>
        <v>https://drive.google.com/open?id=1RYVtJ7qW3pMKl-zwfNJVKAVgfJUVUROD</v>
      </c>
      <c r="L975" s="96" t="str">
        <f>IFERROR(__xludf.DUMMYFUNCTION("""COMPUTED_VALUE"""),"2019-2023")</f>
        <v>2019-2023</v>
      </c>
      <c r="M975" s="96" t="str">
        <f>IFERROR(__xludf.DUMMYFUNCTION("""COMPUTED_VALUE"""),"S4: Student Certifications")</f>
        <v>S4: Student Certifications</v>
      </c>
      <c r="N975" s="96" t="str">
        <f>IFERROR(__xludf.DUMMYFUNCTION("""COMPUTED_VALUE"""),"rattankumar2511@gmail.com")</f>
        <v>rattankumar2511@gmail.com</v>
      </c>
      <c r="O975" s="96" t="str">
        <f>IFERROR(__xludf.DUMMYFUNCTION("""COMPUTED_VALUE"""),"SEM-6")</f>
        <v>SEM-6</v>
      </c>
      <c r="P975" s="96"/>
      <c r="Q975" s="96"/>
      <c r="R975" s="96"/>
      <c r="S975" s="96"/>
      <c r="T975" s="96"/>
      <c r="U975" s="96"/>
      <c r="V975" s="96"/>
      <c r="W975" s="96"/>
      <c r="X975" s="96"/>
      <c r="Y975" s="96"/>
    </row>
    <row r="976" ht="26.25" customHeight="1">
      <c r="A976" s="96" t="str">
        <f>IFERROR(__xludf.DUMMYFUNCTION("""COMPUTED_VALUE"""),"BODDEPALLI SATYA SAI")</f>
        <v>BODDEPALLI SATYA SAI</v>
      </c>
      <c r="B976" s="96" t="str">
        <f>IFERROR(__xludf.DUMMYFUNCTION("""COMPUTED_VALUE"""),"19331A0520")</f>
        <v>19331A0520</v>
      </c>
      <c r="C976" s="97" t="str">
        <f>IFERROR(__xludf.DUMMYFUNCTION("""COMPUTED_VALUE"""),"Learn Ethical Hacking from Scratch")</f>
        <v>Learn Ethical Hacking from Scratch</v>
      </c>
      <c r="D976" s="96" t="str">
        <f>IFERROR(__xludf.DUMMYFUNCTION("""COMPUTED_VALUE"""),"Udemy")</f>
        <v>Udemy</v>
      </c>
      <c r="E976" s="96" t="str">
        <f>IFERROR(__xludf.DUMMYFUNCTION("""COMPUTED_VALUE"""),"16 hours")</f>
        <v>16 hours</v>
      </c>
      <c r="F976" s="98">
        <f>IFERROR(__xludf.DUMMYFUNCTION("""COMPUTED_VALUE"""),44609.0)</f>
        <v>44609</v>
      </c>
      <c r="G976" s="98">
        <f>IFERROR(__xludf.DUMMYFUNCTION("""COMPUTED_VALUE"""),44616.0)</f>
        <v>44616</v>
      </c>
      <c r="H976" s="99">
        <f>IFERROR(__xludf.DUMMYFUNCTION("""COMPUTED_VALUE"""),44616.0)</f>
        <v>44616</v>
      </c>
      <c r="I976" s="100"/>
      <c r="J976" s="96" t="str">
        <f>IFERROR(__xludf.DUMMYFUNCTION("""COMPUTED_VALUE"""),"Zaid Sabih")</f>
        <v>Zaid Sabih</v>
      </c>
      <c r="K976" s="101" t="str">
        <f>IFERROR(__xludf.DUMMYFUNCTION("""COMPUTED_VALUE"""),"https://drive.google.com/open?id=1Q0_le8X0OZhsoSybWC37y0Qc0OEwaNai")</f>
        <v>https://drive.google.com/open?id=1Q0_le8X0OZhsoSybWC37y0Qc0OEwaNai</v>
      </c>
      <c r="L976" s="96" t="str">
        <f>IFERROR(__xludf.DUMMYFUNCTION("""COMPUTED_VALUE"""),"2019-2023")</f>
        <v>2019-2023</v>
      </c>
      <c r="M976" s="96" t="str">
        <f>IFERROR(__xludf.DUMMYFUNCTION("""COMPUTED_VALUE"""),"S4: Student Certifications")</f>
        <v>S4: Student Certifications</v>
      </c>
      <c r="N976" s="96" t="str">
        <f>IFERROR(__xludf.DUMMYFUNCTION("""COMPUTED_VALUE"""),"bsatyasai2000@gmail.com")</f>
        <v>bsatyasai2000@gmail.com</v>
      </c>
      <c r="O976" s="96" t="str">
        <f>IFERROR(__xludf.DUMMYFUNCTION("""COMPUTED_VALUE"""),"SEM-6")</f>
        <v>SEM-6</v>
      </c>
      <c r="P976" s="96"/>
      <c r="Q976" s="96"/>
      <c r="R976" s="96"/>
      <c r="S976" s="96"/>
      <c r="T976" s="96"/>
      <c r="U976" s="96"/>
      <c r="V976" s="96"/>
      <c r="W976" s="96"/>
      <c r="X976" s="96"/>
      <c r="Y976" s="96"/>
    </row>
    <row r="977" ht="26.25" customHeight="1">
      <c r="A977" s="96" t="str">
        <f>IFERROR(__xludf.DUMMYFUNCTION("""COMPUTED_VALUE"""),"Sudha Ratan Kumar")</f>
        <v>Sudha Ratan Kumar</v>
      </c>
      <c r="B977" s="96" t="str">
        <f>IFERROR(__xludf.DUMMYFUNCTION("""COMPUTED_VALUE"""),"19331A05G3")</f>
        <v>19331A05G3</v>
      </c>
      <c r="C977" s="97" t="str">
        <f>IFERROR(__xludf.DUMMYFUNCTION("""COMPUTED_VALUE"""),"Java")</f>
        <v>Java</v>
      </c>
      <c r="D977" s="96" t="str">
        <f>IFERROR(__xludf.DUMMYFUNCTION("""COMPUTED_VALUE"""),"Sololearn")</f>
        <v>Sololearn</v>
      </c>
      <c r="E977" s="96" t="str">
        <f>IFERROR(__xludf.DUMMYFUNCTION("""COMPUTED_VALUE"""),"2weeks")</f>
        <v>2weeks</v>
      </c>
      <c r="F977" s="98">
        <f>IFERROR(__xludf.DUMMYFUNCTION("""COMPUTED_VALUE"""),44229.0)</f>
        <v>44229</v>
      </c>
      <c r="G977" s="98">
        <f>IFERROR(__xludf.DUMMYFUNCTION("""COMPUTED_VALUE"""),44243.0)</f>
        <v>44243</v>
      </c>
      <c r="H977" s="99">
        <f>IFERROR(__xludf.DUMMYFUNCTION("""COMPUTED_VALUE"""),44243.0)</f>
        <v>44243</v>
      </c>
      <c r="I977" s="100"/>
      <c r="J977" s="96" t="str">
        <f>IFERROR(__xludf.DUMMYFUNCTION("""COMPUTED_VALUE"""),"-")</f>
        <v>-</v>
      </c>
      <c r="K977" s="101" t="str">
        <f>IFERROR(__xludf.DUMMYFUNCTION("""COMPUTED_VALUE"""),"https://drive.google.com/open?id=1ZckkXRSiQIUcPnkmZtgiDNttXK8i3e8_")</f>
        <v>https://drive.google.com/open?id=1ZckkXRSiQIUcPnkmZtgiDNttXK8i3e8_</v>
      </c>
      <c r="L977" s="96" t="str">
        <f>IFERROR(__xludf.DUMMYFUNCTION("""COMPUTED_VALUE"""),"2019-2023")</f>
        <v>2019-2023</v>
      </c>
      <c r="M977" s="96" t="str">
        <f>IFERROR(__xludf.DUMMYFUNCTION("""COMPUTED_VALUE"""),"S4: Student Certifications")</f>
        <v>S4: Student Certifications</v>
      </c>
      <c r="N977" s="96" t="str">
        <f>IFERROR(__xludf.DUMMYFUNCTION("""COMPUTED_VALUE"""),"rattankumar2511@gmail.com")</f>
        <v>rattankumar2511@gmail.com</v>
      </c>
      <c r="O977" s="96" t="str">
        <f>IFERROR(__xludf.DUMMYFUNCTION("""COMPUTED_VALUE"""),"SEM-6")</f>
        <v>SEM-6</v>
      </c>
      <c r="P977" s="96"/>
      <c r="Q977" s="96"/>
      <c r="R977" s="96"/>
      <c r="S977" s="96"/>
      <c r="T977" s="96"/>
      <c r="U977" s="96"/>
      <c r="V977" s="96"/>
      <c r="W977" s="96"/>
      <c r="X977" s="96"/>
      <c r="Y977" s="96"/>
    </row>
    <row r="978" ht="26.25" customHeight="1">
      <c r="A978" s="96" t="str">
        <f>IFERROR(__xludf.DUMMYFUNCTION("""COMPUTED_VALUE"""),"Sudha Ratan Kumar")</f>
        <v>Sudha Ratan Kumar</v>
      </c>
      <c r="B978" s="96" t="str">
        <f>IFERROR(__xludf.DUMMYFUNCTION("""COMPUTED_VALUE"""),"19331A05G3")</f>
        <v>19331A05G3</v>
      </c>
      <c r="C978" s="97" t="str">
        <f>IFERROR(__xludf.DUMMYFUNCTION("""COMPUTED_VALUE"""),"Kotlin")</f>
        <v>Kotlin</v>
      </c>
      <c r="D978" s="96" t="str">
        <f>IFERROR(__xludf.DUMMYFUNCTION("""COMPUTED_VALUE"""),"Sololearn")</f>
        <v>Sololearn</v>
      </c>
      <c r="E978" s="96" t="str">
        <f>IFERROR(__xludf.DUMMYFUNCTION("""COMPUTED_VALUE"""),"2weeks")</f>
        <v>2weeks</v>
      </c>
      <c r="F978" s="98">
        <f>IFERROR(__xludf.DUMMYFUNCTION("""COMPUTED_VALUE"""),44563.0)</f>
        <v>44563</v>
      </c>
      <c r="G978" s="98">
        <f>IFERROR(__xludf.DUMMYFUNCTION("""COMPUTED_VALUE"""),44577.0)</f>
        <v>44577</v>
      </c>
      <c r="H978" s="99">
        <f>IFERROR(__xludf.DUMMYFUNCTION("""COMPUTED_VALUE"""),44577.0)</f>
        <v>44577</v>
      </c>
      <c r="I978" s="100"/>
      <c r="J978" s="96" t="str">
        <f>IFERROR(__xludf.DUMMYFUNCTION("""COMPUTED_VALUE"""),"-")</f>
        <v>-</v>
      </c>
      <c r="K978" s="101" t="str">
        <f>IFERROR(__xludf.DUMMYFUNCTION("""COMPUTED_VALUE"""),"https://drive.google.com/open?id=11FlypJD5h8TqpAKl81rbpOQlRozuDbhK")</f>
        <v>https://drive.google.com/open?id=11FlypJD5h8TqpAKl81rbpOQlRozuDbhK</v>
      </c>
      <c r="L978" s="96" t="str">
        <f>IFERROR(__xludf.DUMMYFUNCTION("""COMPUTED_VALUE"""),"2019-2023")</f>
        <v>2019-2023</v>
      </c>
      <c r="M978" s="96" t="str">
        <f>IFERROR(__xludf.DUMMYFUNCTION("""COMPUTED_VALUE"""),"S4: Student Certifications")</f>
        <v>S4: Student Certifications</v>
      </c>
      <c r="N978" s="96" t="str">
        <f>IFERROR(__xludf.DUMMYFUNCTION("""COMPUTED_VALUE"""),"rattankumar2511@gmail.com")</f>
        <v>rattankumar2511@gmail.com</v>
      </c>
      <c r="O978" s="96" t="str">
        <f>IFERROR(__xludf.DUMMYFUNCTION("""COMPUTED_VALUE"""),"SEM-6")</f>
        <v>SEM-6</v>
      </c>
      <c r="P978" s="96"/>
      <c r="Q978" s="96"/>
      <c r="R978" s="96"/>
      <c r="S978" s="96"/>
      <c r="T978" s="96"/>
      <c r="U978" s="96"/>
      <c r="V978" s="96"/>
      <c r="W978" s="96"/>
      <c r="X978" s="96"/>
      <c r="Y978" s="96"/>
    </row>
    <row r="979" ht="26.25" customHeight="1">
      <c r="A979" s="96" t="str">
        <f>IFERROR(__xludf.DUMMYFUNCTION("""COMPUTED_VALUE"""),"Sudha Ratan Kumar")</f>
        <v>Sudha Ratan Kumar</v>
      </c>
      <c r="B979" s="96" t="str">
        <f>IFERROR(__xludf.DUMMYFUNCTION("""COMPUTED_VALUE"""),"19331A05G3")</f>
        <v>19331A05G3</v>
      </c>
      <c r="C979" s="97" t="str">
        <f>IFERROR(__xludf.DUMMYFUNCTION("""COMPUTED_VALUE"""),"Introduction to Game Development")</f>
        <v>Introduction to Game Development</v>
      </c>
      <c r="D979" s="96" t="str">
        <f>IFERROR(__xludf.DUMMYFUNCTION("""COMPUTED_VALUE"""),"Coursera , Michagan State University")</f>
        <v>Coursera , Michagan State University</v>
      </c>
      <c r="E979" s="96" t="str">
        <f>IFERROR(__xludf.DUMMYFUNCTION("""COMPUTED_VALUE"""),"2weeks")</f>
        <v>2weeks</v>
      </c>
      <c r="F979" s="98">
        <f>IFERROR(__xludf.DUMMYFUNCTION("""COMPUTED_VALUE"""),44013.0)</f>
        <v>44013</v>
      </c>
      <c r="G979" s="98">
        <f>IFERROR(__xludf.DUMMYFUNCTION("""COMPUTED_VALUE"""),44027.0)</f>
        <v>44027</v>
      </c>
      <c r="H979" s="99">
        <f>IFERROR(__xludf.DUMMYFUNCTION("""COMPUTED_VALUE"""),44041.0)</f>
        <v>44041</v>
      </c>
      <c r="I979" s="100"/>
      <c r="J979" s="96" t="str">
        <f>IFERROR(__xludf.DUMMYFUNCTION("""COMPUTED_VALUE"""),"-")</f>
        <v>-</v>
      </c>
      <c r="K979" s="101" t="str">
        <f>IFERROR(__xludf.DUMMYFUNCTION("""COMPUTED_VALUE"""),"https://drive.google.com/open?id=1mh6MI9O29x0iFVBtWKcd6Bq8sETpsS0n")</f>
        <v>https://drive.google.com/open?id=1mh6MI9O29x0iFVBtWKcd6Bq8sETpsS0n</v>
      </c>
      <c r="L979" s="96" t="str">
        <f>IFERROR(__xludf.DUMMYFUNCTION("""COMPUTED_VALUE"""),"2019-2023")</f>
        <v>2019-2023</v>
      </c>
      <c r="M979" s="96" t="str">
        <f>IFERROR(__xludf.DUMMYFUNCTION("""COMPUTED_VALUE"""),"S4: Student Certifications")</f>
        <v>S4: Student Certifications</v>
      </c>
      <c r="N979" s="96" t="str">
        <f>IFERROR(__xludf.DUMMYFUNCTION("""COMPUTED_VALUE"""),"rattankumar2511@gmail.com")</f>
        <v>rattankumar2511@gmail.com</v>
      </c>
      <c r="O979" s="96" t="str">
        <f>IFERROR(__xludf.DUMMYFUNCTION("""COMPUTED_VALUE"""),"SEM-6")</f>
        <v>SEM-6</v>
      </c>
      <c r="P979" s="96"/>
      <c r="Q979" s="96"/>
      <c r="R979" s="96"/>
      <c r="S979" s="96"/>
      <c r="T979" s="96"/>
      <c r="U979" s="96"/>
      <c r="V979" s="96"/>
      <c r="W979" s="96"/>
      <c r="X979" s="96"/>
      <c r="Y979" s="96"/>
    </row>
    <row r="980" ht="26.25" customHeight="1">
      <c r="A980" s="96" t="str">
        <f>IFERROR(__xludf.DUMMYFUNCTION("""COMPUTED_VALUE"""),"Sudha Ratan Kumar")</f>
        <v>Sudha Ratan Kumar</v>
      </c>
      <c r="B980" s="96" t="str">
        <f>IFERROR(__xludf.DUMMYFUNCTION("""COMPUTED_VALUE"""),"19331A05G3")</f>
        <v>19331A05G3</v>
      </c>
      <c r="C980" s="97" t="str">
        <f>IFERROR(__xludf.DUMMYFUNCTION("""COMPUTED_VALUE"""),"Programming for Everybody (Getting Started with Python)")</f>
        <v>Programming for Everybody (Getting Started with Python)</v>
      </c>
      <c r="D980" s="96" t="str">
        <f>IFERROR(__xludf.DUMMYFUNCTION("""COMPUTED_VALUE"""),"Coursera, Michgan State University")</f>
        <v>Coursera, Michgan State University</v>
      </c>
      <c r="E980" s="96" t="str">
        <f>IFERROR(__xludf.DUMMYFUNCTION("""COMPUTED_VALUE"""),"2weeks")</f>
        <v>2weeks</v>
      </c>
      <c r="F980" s="98">
        <f>IFERROR(__xludf.DUMMYFUNCTION("""COMPUTED_VALUE"""),44075.0)</f>
        <v>44075</v>
      </c>
      <c r="G980" s="98">
        <f>IFERROR(__xludf.DUMMYFUNCTION("""COMPUTED_VALUE"""),44089.0)</f>
        <v>44089</v>
      </c>
      <c r="H980" s="99">
        <f>IFERROR(__xludf.DUMMYFUNCTION("""COMPUTED_VALUE"""),44089.0)</f>
        <v>44089</v>
      </c>
      <c r="I980" s="100"/>
      <c r="J980" s="96" t="str">
        <f>IFERROR(__xludf.DUMMYFUNCTION("""COMPUTED_VALUE"""),"-")</f>
        <v>-</v>
      </c>
      <c r="K980" s="101" t="str">
        <f>IFERROR(__xludf.DUMMYFUNCTION("""COMPUTED_VALUE"""),"https://drive.google.com/open?id=1hJ1UkGMZXtezFkARXL2u77tzZJbnRSMG")</f>
        <v>https://drive.google.com/open?id=1hJ1UkGMZXtezFkARXL2u77tzZJbnRSMG</v>
      </c>
      <c r="L980" s="96" t="str">
        <f>IFERROR(__xludf.DUMMYFUNCTION("""COMPUTED_VALUE"""),"2019-2023")</f>
        <v>2019-2023</v>
      </c>
      <c r="M980" s="96" t="str">
        <f>IFERROR(__xludf.DUMMYFUNCTION("""COMPUTED_VALUE"""),"S4: Student Certifications")</f>
        <v>S4: Student Certifications</v>
      </c>
      <c r="N980" s="96" t="str">
        <f>IFERROR(__xludf.DUMMYFUNCTION("""COMPUTED_VALUE"""),"rattankumar2511@gmail.com")</f>
        <v>rattankumar2511@gmail.com</v>
      </c>
      <c r="O980" s="96" t="str">
        <f>IFERROR(__xludf.DUMMYFUNCTION("""COMPUTED_VALUE"""),"SEM-6")</f>
        <v>SEM-6</v>
      </c>
      <c r="P980" s="96"/>
      <c r="Q980" s="96"/>
      <c r="R980" s="96"/>
      <c r="S980" s="96"/>
      <c r="T980" s="96"/>
      <c r="U980" s="96"/>
      <c r="V980" s="96"/>
      <c r="W980" s="96"/>
      <c r="X980" s="96"/>
      <c r="Y980" s="96"/>
    </row>
    <row r="981" ht="26.25" customHeight="1">
      <c r="A981" s="96" t="str">
        <f>IFERROR(__xludf.DUMMYFUNCTION("""COMPUTED_VALUE"""),"Sudha Ratan Kumar")</f>
        <v>Sudha Ratan Kumar</v>
      </c>
      <c r="B981" s="96" t="str">
        <f>IFERROR(__xludf.DUMMYFUNCTION("""COMPUTED_VALUE"""),"19331A05G3")</f>
        <v>19331A05G3</v>
      </c>
      <c r="C981" s="97" t="str">
        <f>IFERROR(__xludf.DUMMYFUNCTION("""COMPUTED_VALUE"""),"PCAP: Programming Essentials in Python")</f>
        <v>PCAP: Programming Essentials in Python</v>
      </c>
      <c r="D981" s="96" t="str">
        <f>IFERROR(__xludf.DUMMYFUNCTION("""COMPUTED_VALUE"""),"Open EDG")</f>
        <v>Open EDG</v>
      </c>
      <c r="E981" s="96" t="str">
        <f>IFERROR(__xludf.DUMMYFUNCTION("""COMPUTED_VALUE"""),"13 weeks")</f>
        <v>13 weeks</v>
      </c>
      <c r="F981" s="98">
        <f>IFERROR(__xludf.DUMMYFUNCTION("""COMPUTED_VALUE"""),44293.0)</f>
        <v>44293</v>
      </c>
      <c r="G981" s="98">
        <f>IFERROR(__xludf.DUMMYFUNCTION("""COMPUTED_VALUE"""),44392.0)</f>
        <v>44392</v>
      </c>
      <c r="H981" s="99">
        <f>IFERROR(__xludf.DUMMYFUNCTION("""COMPUTED_VALUE"""),44392.0)</f>
        <v>44392</v>
      </c>
      <c r="I981" s="100"/>
      <c r="J981" s="96" t="str">
        <f>IFERROR(__xludf.DUMMYFUNCTION("""COMPUTED_VALUE"""),"M.B.Rani")</f>
        <v>M.B.Rani</v>
      </c>
      <c r="K981" s="101" t="str">
        <f>IFERROR(__xludf.DUMMYFUNCTION("""COMPUTED_VALUE"""),"https://drive.google.com/open?id=1eMIbAs5OfvYJrEl5tGrZbmfKE8flQT7g")</f>
        <v>https://drive.google.com/open?id=1eMIbAs5OfvYJrEl5tGrZbmfKE8flQT7g</v>
      </c>
      <c r="L981" s="96" t="str">
        <f>IFERROR(__xludf.DUMMYFUNCTION("""COMPUTED_VALUE"""),"2019-2023")</f>
        <v>2019-2023</v>
      </c>
      <c r="M981" s="96" t="str">
        <f>IFERROR(__xludf.DUMMYFUNCTION("""COMPUTED_VALUE"""),"S4: Student Certifications")</f>
        <v>S4: Student Certifications</v>
      </c>
      <c r="N981" s="96" t="str">
        <f>IFERROR(__xludf.DUMMYFUNCTION("""COMPUTED_VALUE"""),"rattankumar2511@gmail.com")</f>
        <v>rattankumar2511@gmail.com</v>
      </c>
      <c r="O981" s="96" t="str">
        <f>IFERROR(__xludf.DUMMYFUNCTION("""COMPUTED_VALUE"""),"SEM-6")</f>
        <v>SEM-6</v>
      </c>
      <c r="P981" s="96"/>
      <c r="Q981" s="96"/>
      <c r="R981" s="96"/>
      <c r="S981" s="96"/>
      <c r="T981" s="96"/>
      <c r="U981" s="96"/>
      <c r="V981" s="96"/>
      <c r="W981" s="96"/>
      <c r="X981" s="96"/>
      <c r="Y981" s="96"/>
    </row>
    <row r="982" ht="26.25" customHeight="1">
      <c r="A982" s="96" t="str">
        <f>IFERROR(__xludf.DUMMYFUNCTION("""COMPUTED_VALUE"""),"Sudha Ratan Kumar")</f>
        <v>Sudha Ratan Kumar</v>
      </c>
      <c r="B982" s="96" t="str">
        <f>IFERROR(__xludf.DUMMYFUNCTION("""COMPUTED_VALUE"""),"19331A05G3")</f>
        <v>19331A05G3</v>
      </c>
      <c r="C982" s="97" t="str">
        <f>IFERROR(__xludf.DUMMYFUNCTION("""COMPUTED_VALUE"""),"CLA: Programming Essentials in C")</f>
        <v>CLA: Programming Essentials in C</v>
      </c>
      <c r="D982" s="96" t="str">
        <f>IFERROR(__xludf.DUMMYFUNCTION("""COMPUTED_VALUE"""),"Open EDG")</f>
        <v>Open EDG</v>
      </c>
      <c r="E982" s="96" t="str">
        <f>IFERROR(__xludf.DUMMYFUNCTION("""COMPUTED_VALUE"""),"13")</f>
        <v>13</v>
      </c>
      <c r="F982" s="98">
        <f>IFERROR(__xludf.DUMMYFUNCTION("""COMPUTED_VALUE"""),43862.0)</f>
        <v>43862</v>
      </c>
      <c r="G982" s="98">
        <f>IFERROR(__xludf.DUMMYFUNCTION("""COMPUTED_VALUE"""),43957.0)</f>
        <v>43957</v>
      </c>
      <c r="H982" s="99">
        <f>IFERROR(__xludf.DUMMYFUNCTION("""COMPUTED_VALUE"""),43957.0)</f>
        <v>43957</v>
      </c>
      <c r="I982" s="100"/>
      <c r="J982" s="96" t="str">
        <f>IFERROR(__xludf.DUMMYFUNCTION("""COMPUTED_VALUE"""),"-")</f>
        <v>-</v>
      </c>
      <c r="K982" s="101" t="str">
        <f>IFERROR(__xludf.DUMMYFUNCTION("""COMPUTED_VALUE"""),"https://drive.google.com/open?id=117WVIxYtppLZTFHlx2d2-qjltMChK5Rv")</f>
        <v>https://drive.google.com/open?id=117WVIxYtppLZTFHlx2d2-qjltMChK5Rv</v>
      </c>
      <c r="L982" s="96" t="str">
        <f>IFERROR(__xludf.DUMMYFUNCTION("""COMPUTED_VALUE"""),"2019-2023")</f>
        <v>2019-2023</v>
      </c>
      <c r="M982" s="96" t="str">
        <f>IFERROR(__xludf.DUMMYFUNCTION("""COMPUTED_VALUE"""),"S4: Student Certifications")</f>
        <v>S4: Student Certifications</v>
      </c>
      <c r="N982" s="96" t="str">
        <f>IFERROR(__xludf.DUMMYFUNCTION("""COMPUTED_VALUE"""),"rattankumar2511@gmail.com")</f>
        <v>rattankumar2511@gmail.com</v>
      </c>
      <c r="O982" s="96" t="str">
        <f>IFERROR(__xludf.DUMMYFUNCTION("""COMPUTED_VALUE"""),"SEM-6")</f>
        <v>SEM-6</v>
      </c>
      <c r="P982" s="96"/>
      <c r="Q982" s="96"/>
      <c r="R982" s="96"/>
      <c r="S982" s="96"/>
      <c r="T982" s="96"/>
      <c r="U982" s="96"/>
      <c r="V982" s="96"/>
      <c r="W982" s="96"/>
      <c r="X982" s="96"/>
      <c r="Y982" s="96"/>
    </row>
    <row r="983" ht="26.25" customHeight="1">
      <c r="A983" s="74" t="str">
        <f>IFERROR(__xludf.DUMMYFUNCTION("""COMPUTED_VALUE"""),"SURYAVIVEK REDDY SATTI")</f>
        <v>SURYAVIVEK REDDY SATTI</v>
      </c>
      <c r="B983" s="74" t="str">
        <f>IFERROR(__xludf.DUMMYFUNCTION("""COMPUTED_VALUE"""),"19331A05F1")</f>
        <v>19331A05F1</v>
      </c>
      <c r="C983" s="90" t="str">
        <f>IFERROR(__xludf.DUMMYFUNCTION("""COMPUTED_VALUE"""),"c programming")</f>
        <v>c programming</v>
      </c>
      <c r="D983" s="74" t="str">
        <f>IFERROR(__xludf.DUMMYFUNCTION("""COMPUTED_VALUE"""),"cisco (c++ institute)")</f>
        <v>cisco (c++ institute)</v>
      </c>
      <c r="E983" s="74" t="str">
        <f>IFERROR(__xludf.DUMMYFUNCTION("""COMPUTED_VALUE"""),"3 months")</f>
        <v>3 months</v>
      </c>
      <c r="F983" s="91">
        <f>IFERROR(__xludf.DUMMYFUNCTION("""COMPUTED_VALUE"""),43901.0)</f>
        <v>43901</v>
      </c>
      <c r="G983" s="91">
        <f>IFERROR(__xludf.DUMMYFUNCTION("""COMPUTED_VALUE"""),43961.0)</f>
        <v>43961</v>
      </c>
      <c r="H983" s="79">
        <f>IFERROR(__xludf.DUMMYFUNCTION("""COMPUTED_VALUE"""),43962.0)</f>
        <v>43962</v>
      </c>
      <c r="I983" s="92">
        <f>IFERROR(__xludf.DUMMYFUNCTION("""COMPUTED_VALUE"""),96.0)</f>
        <v>96</v>
      </c>
      <c r="J983" s="74" t="str">
        <f>IFERROR(__xludf.DUMMYFUNCTION("""COMPUTED_VALUE"""),"DR. RAVI KIRAN VARMA PENMATSA")</f>
        <v>DR. RAVI KIRAN VARMA PENMATSA</v>
      </c>
      <c r="K983" s="80" t="str">
        <f>IFERROR(__xludf.DUMMYFUNCTION("""COMPUTED_VALUE"""),"https://drive.google.com/open?id=101-k0PH381QzXuNiktUqxFSgczJL9CAW")</f>
        <v>https://drive.google.com/open?id=101-k0PH381QzXuNiktUqxFSgczJL9CAW</v>
      </c>
      <c r="L983" s="74" t="str">
        <f>IFERROR(__xludf.DUMMYFUNCTION("""COMPUTED_VALUE"""),"2019-2023")</f>
        <v>2019-2023</v>
      </c>
      <c r="M983" s="74" t="str">
        <f>IFERROR(__xludf.DUMMYFUNCTION("""COMPUTED_VALUE"""),"S4: Student Certifications")</f>
        <v>S4: Student Certifications</v>
      </c>
      <c r="N983" s="74" t="str">
        <f>IFERROR(__xludf.DUMMYFUNCTION("""COMPUTED_VALUE"""),"suryavivek31@gmail.com")</f>
        <v>suryavivek31@gmail.com</v>
      </c>
      <c r="O983" s="74" t="str">
        <f>IFERROR(__xludf.DUMMYFUNCTION("""COMPUTED_VALUE"""),"SEM-6")</f>
        <v>SEM-6</v>
      </c>
      <c r="P983" s="74"/>
      <c r="Q983" s="74"/>
      <c r="R983" s="74"/>
      <c r="S983" s="74"/>
      <c r="T983" s="74"/>
      <c r="U983" s="74"/>
      <c r="V983" s="74"/>
      <c r="W983" s="74"/>
      <c r="X983" s="74"/>
      <c r="Y983" s="74"/>
    </row>
    <row r="984" ht="26.25" customHeight="1">
      <c r="A984" s="74" t="str">
        <f>IFERROR(__xludf.DUMMYFUNCTION("""COMPUTED_VALUE"""),"SURYAVIVEK REDDY SATTI")</f>
        <v>SURYAVIVEK REDDY SATTI</v>
      </c>
      <c r="B984" s="74" t="str">
        <f>IFERROR(__xludf.DUMMYFUNCTION("""COMPUTED_VALUE"""),"19331A05F1")</f>
        <v>19331A05F1</v>
      </c>
      <c r="C984" s="90" t="str">
        <f>IFERROR(__xludf.DUMMYFUNCTION("""COMPUTED_VALUE"""),"ccnav7 itn")</f>
        <v>ccnav7 itn</v>
      </c>
      <c r="D984" s="74" t="str">
        <f>IFERROR(__xludf.DUMMYFUNCTION("""COMPUTED_VALUE"""),"cisco")</f>
        <v>cisco</v>
      </c>
      <c r="E984" s="74" t="str">
        <f>IFERROR(__xludf.DUMMYFUNCTION("""COMPUTED_VALUE"""),"3 months")</f>
        <v>3 months</v>
      </c>
      <c r="F984" s="91">
        <f>IFERROR(__xludf.DUMMYFUNCTION("""COMPUTED_VALUE"""),44447.0)</f>
        <v>44447</v>
      </c>
      <c r="G984" s="91">
        <f>IFERROR(__xludf.DUMMYFUNCTION("""COMPUTED_VALUE"""),44538.0)</f>
        <v>44538</v>
      </c>
      <c r="H984" s="79">
        <f>IFERROR(__xludf.DUMMYFUNCTION("""COMPUTED_VALUE"""),44539.0)</f>
        <v>44539</v>
      </c>
      <c r="I984" s="92">
        <f>IFERROR(__xludf.DUMMYFUNCTION("""COMPUTED_VALUE"""),95.0)</f>
        <v>95</v>
      </c>
      <c r="J984" s="74" t="str">
        <f>IFERROR(__xludf.DUMMYFUNCTION("""COMPUTED_VALUE"""),"DR. RAVI KIRAN VARMA PENMATSA")</f>
        <v>DR. RAVI KIRAN VARMA PENMATSA</v>
      </c>
      <c r="K984" s="80" t="str">
        <f>IFERROR(__xludf.DUMMYFUNCTION("""COMPUTED_VALUE"""),"https://drive.google.com/open?id=131UHdCmB6eFo6qIrQ3roRy_4BCDm47TG")</f>
        <v>https://drive.google.com/open?id=131UHdCmB6eFo6qIrQ3roRy_4BCDm47TG</v>
      </c>
      <c r="L984" s="74" t="str">
        <f>IFERROR(__xludf.DUMMYFUNCTION("""COMPUTED_VALUE"""),"2019-2023")</f>
        <v>2019-2023</v>
      </c>
      <c r="M984" s="74" t="str">
        <f>IFERROR(__xludf.DUMMYFUNCTION("""COMPUTED_VALUE"""),"S4: Student Certifications")</f>
        <v>S4: Student Certifications</v>
      </c>
      <c r="N984" s="74" t="str">
        <f>IFERROR(__xludf.DUMMYFUNCTION("""COMPUTED_VALUE"""),"suryavivek31@gmail.com")</f>
        <v>suryavivek31@gmail.com</v>
      </c>
      <c r="O984" s="74" t="str">
        <f>IFERROR(__xludf.DUMMYFUNCTION("""COMPUTED_VALUE"""),"SEM-6")</f>
        <v>SEM-6</v>
      </c>
      <c r="P984" s="74"/>
      <c r="Q984" s="74"/>
      <c r="R984" s="74"/>
      <c r="S984" s="74"/>
      <c r="T984" s="74"/>
      <c r="U984" s="74"/>
      <c r="V984" s="74"/>
      <c r="W984" s="74"/>
      <c r="X984" s="74"/>
      <c r="Y984" s="74"/>
    </row>
    <row r="985" ht="26.25" customHeight="1">
      <c r="A985" s="74" t="str">
        <f>IFERROR(__xludf.DUMMYFUNCTION("""COMPUTED_VALUE"""),"SURYAVIVEK REDDY SATTI")</f>
        <v>SURYAVIVEK REDDY SATTI</v>
      </c>
      <c r="B985" s="74" t="str">
        <f>IFERROR(__xludf.DUMMYFUNCTION("""COMPUTED_VALUE"""),"19331A05F1")</f>
        <v>19331A05F1</v>
      </c>
      <c r="C985" s="90" t="str">
        <f>IFERROR(__xludf.DUMMYFUNCTION("""COMPUTED_VALUE"""),"python")</f>
        <v>python</v>
      </c>
      <c r="D985" s="74" t="str">
        <f>IFERROR(__xludf.DUMMYFUNCTION("""COMPUTED_VALUE"""),"cisco (python institute)")</f>
        <v>cisco (python institute)</v>
      </c>
      <c r="E985" s="74" t="str">
        <f>IFERROR(__xludf.DUMMYFUNCTION("""COMPUTED_VALUE"""),"3 months")</f>
        <v>3 months</v>
      </c>
      <c r="F985" s="91">
        <f>IFERROR(__xludf.DUMMYFUNCTION("""COMPUTED_VALUE"""),44300.0)</f>
        <v>44300</v>
      </c>
      <c r="G985" s="91">
        <f>IFERROR(__xludf.DUMMYFUNCTION("""COMPUTED_VALUE"""),44391.0)</f>
        <v>44391</v>
      </c>
      <c r="H985" s="79">
        <f>IFERROR(__xludf.DUMMYFUNCTION("""COMPUTED_VALUE"""),44392.0)</f>
        <v>44392</v>
      </c>
      <c r="I985" s="92">
        <f>IFERROR(__xludf.DUMMYFUNCTION("""COMPUTED_VALUE"""),93.0)</f>
        <v>93</v>
      </c>
      <c r="J985" s="74" t="str">
        <f>IFERROR(__xludf.DUMMYFUNCTION("""COMPUTED_VALUE"""),"DR. RAVI KIRAN VARMA PENMATSA")</f>
        <v>DR. RAVI KIRAN VARMA PENMATSA</v>
      </c>
      <c r="K985" s="80" t="str">
        <f>IFERROR(__xludf.DUMMYFUNCTION("""COMPUTED_VALUE"""),"https://drive.google.com/open?id=12xNTYDHd815Jlm9fkHI6YUdeOB0KizUt")</f>
        <v>https://drive.google.com/open?id=12xNTYDHd815Jlm9fkHI6YUdeOB0KizUt</v>
      </c>
      <c r="L985" s="74" t="str">
        <f>IFERROR(__xludf.DUMMYFUNCTION("""COMPUTED_VALUE"""),"2019-2023")</f>
        <v>2019-2023</v>
      </c>
      <c r="M985" s="74" t="str">
        <f>IFERROR(__xludf.DUMMYFUNCTION("""COMPUTED_VALUE"""),"S4: Student Certifications")</f>
        <v>S4: Student Certifications</v>
      </c>
      <c r="N985" s="74" t="str">
        <f>IFERROR(__xludf.DUMMYFUNCTION("""COMPUTED_VALUE"""),"suryavivek31@gmail.com")</f>
        <v>suryavivek31@gmail.com</v>
      </c>
      <c r="O985" s="74" t="str">
        <f>IFERROR(__xludf.DUMMYFUNCTION("""COMPUTED_VALUE"""),"SEM-6")</f>
        <v>SEM-6</v>
      </c>
      <c r="P985" s="74"/>
      <c r="Q985" s="74"/>
      <c r="R985" s="74"/>
      <c r="S985" s="74"/>
      <c r="T985" s="74"/>
      <c r="U985" s="74"/>
      <c r="V985" s="74"/>
      <c r="W985" s="74"/>
      <c r="X985" s="74"/>
      <c r="Y985" s="74"/>
    </row>
    <row r="986" ht="26.25" customHeight="1">
      <c r="A986" s="74" t="str">
        <f>IFERROR(__xludf.DUMMYFUNCTION("""COMPUTED_VALUE"""),"SURYAVIVEK REDDY SATTI")</f>
        <v>SURYAVIVEK REDDY SATTI</v>
      </c>
      <c r="B986" s="74" t="str">
        <f>IFERROR(__xludf.DUMMYFUNCTION("""COMPUTED_VALUE"""),"19331A05F1")</f>
        <v>19331A05F1</v>
      </c>
      <c r="C986" s="90" t="str">
        <f>IFERROR(__xludf.DUMMYFUNCTION("""COMPUTED_VALUE"""),"it essentials")</f>
        <v>it essentials</v>
      </c>
      <c r="D986" s="74" t="str">
        <f>IFERROR(__xludf.DUMMYFUNCTION("""COMPUTED_VALUE"""),"cisco")</f>
        <v>cisco</v>
      </c>
      <c r="E986" s="74" t="str">
        <f>IFERROR(__xludf.DUMMYFUNCTION("""COMPUTED_VALUE"""),"3 months")</f>
        <v>3 months</v>
      </c>
      <c r="F986" s="91">
        <f>IFERROR(__xludf.DUMMYFUNCTION("""COMPUTED_VALUE"""),44006.0)</f>
        <v>44006</v>
      </c>
      <c r="G986" s="91">
        <f>IFERROR(__xludf.DUMMYFUNCTION("""COMPUTED_VALUE"""),44098.0)</f>
        <v>44098</v>
      </c>
      <c r="H986" s="79">
        <f>IFERROR(__xludf.DUMMYFUNCTION("""COMPUTED_VALUE"""),44100.0)</f>
        <v>44100</v>
      </c>
      <c r="I986" s="92">
        <f>IFERROR(__xludf.DUMMYFUNCTION("""COMPUTED_VALUE"""),94.0)</f>
        <v>94</v>
      </c>
      <c r="J986" s="74" t="str">
        <f>IFERROR(__xludf.DUMMYFUNCTION("""COMPUTED_VALUE"""),"Dr. Suvarna Kumar Gogula")</f>
        <v>Dr. Suvarna Kumar Gogula</v>
      </c>
      <c r="K986" s="80" t="str">
        <f>IFERROR(__xludf.DUMMYFUNCTION("""COMPUTED_VALUE"""),"https://drive.google.com/open?id=1UJN-LPUSltU1gRaB958cZUmZK2jUjUsz")</f>
        <v>https://drive.google.com/open?id=1UJN-LPUSltU1gRaB958cZUmZK2jUjUsz</v>
      </c>
      <c r="L986" s="74" t="str">
        <f>IFERROR(__xludf.DUMMYFUNCTION("""COMPUTED_VALUE"""),"2019-2023")</f>
        <v>2019-2023</v>
      </c>
      <c r="M986" s="74" t="str">
        <f>IFERROR(__xludf.DUMMYFUNCTION("""COMPUTED_VALUE"""),"S4: Student Certifications")</f>
        <v>S4: Student Certifications</v>
      </c>
      <c r="N986" s="74" t="str">
        <f>IFERROR(__xludf.DUMMYFUNCTION("""COMPUTED_VALUE"""),"suryavivek31@gmail.com")</f>
        <v>suryavivek31@gmail.com</v>
      </c>
      <c r="O986" s="74" t="str">
        <f>IFERROR(__xludf.DUMMYFUNCTION("""COMPUTED_VALUE"""),"SEM-6")</f>
        <v>SEM-6</v>
      </c>
      <c r="P986" s="74"/>
      <c r="Q986" s="74"/>
      <c r="R986" s="74"/>
      <c r="S986" s="74"/>
      <c r="T986" s="74"/>
      <c r="U986" s="74"/>
      <c r="V986" s="74"/>
      <c r="W986" s="74"/>
      <c r="X986" s="74"/>
      <c r="Y986" s="74"/>
    </row>
    <row r="987" ht="26.25" customHeight="1">
      <c r="A987" s="74" t="str">
        <f>IFERROR(__xludf.DUMMYFUNCTION("""COMPUTED_VALUE"""),"SURYAVIVEK REDDY SATTI")</f>
        <v>SURYAVIVEK REDDY SATTI</v>
      </c>
      <c r="B987" s="74" t="str">
        <f>IFERROR(__xludf.DUMMYFUNCTION("""COMPUTED_VALUE"""),"19331A05F1")</f>
        <v>19331A05F1</v>
      </c>
      <c r="C987" s="90" t="str">
        <f>IFERROR(__xludf.DUMMYFUNCTION("""COMPUTED_VALUE"""),"pcap (python)")</f>
        <v>pcap (python)</v>
      </c>
      <c r="D987" s="74" t="str">
        <f>IFERROR(__xludf.DUMMYFUNCTION("""COMPUTED_VALUE"""),"cisco")</f>
        <v>cisco</v>
      </c>
      <c r="E987" s="74" t="str">
        <f>IFERROR(__xludf.DUMMYFUNCTION("""COMPUTED_VALUE"""),"3 months")</f>
        <v>3 months</v>
      </c>
      <c r="F987" s="91">
        <f>IFERROR(__xludf.DUMMYFUNCTION("""COMPUTED_VALUE"""),44230.0)</f>
        <v>44230</v>
      </c>
      <c r="G987" s="91">
        <f>IFERROR(__xludf.DUMMYFUNCTION("""COMPUTED_VALUE"""),44320.0)</f>
        <v>44320</v>
      </c>
      <c r="H987" s="79">
        <f>IFERROR(__xludf.DUMMYFUNCTION("""COMPUTED_VALUE"""),44322.0)</f>
        <v>44322</v>
      </c>
      <c r="I987" s="92">
        <f>IFERROR(__xludf.DUMMYFUNCTION("""COMPUTED_VALUE"""),92.0)</f>
        <v>92</v>
      </c>
      <c r="J987" s="74" t="str">
        <f>IFERROR(__xludf.DUMMYFUNCTION("""COMPUTED_VALUE"""),"DR. RAVI KIRAN VARMA PENMATSA")</f>
        <v>DR. RAVI KIRAN VARMA PENMATSA</v>
      </c>
      <c r="K987" s="80" t="str">
        <f>IFERROR(__xludf.DUMMYFUNCTION("""COMPUTED_VALUE"""),"https://drive.google.com/open?id=1JRAD_nJiZHpvSCFsygRWjlPHLQqTkif4")</f>
        <v>https://drive.google.com/open?id=1JRAD_nJiZHpvSCFsygRWjlPHLQqTkif4</v>
      </c>
      <c r="L987" s="74" t="str">
        <f>IFERROR(__xludf.DUMMYFUNCTION("""COMPUTED_VALUE"""),"2019-2023")</f>
        <v>2019-2023</v>
      </c>
      <c r="M987" s="74" t="str">
        <f>IFERROR(__xludf.DUMMYFUNCTION("""COMPUTED_VALUE"""),"S4: Student Certifications")</f>
        <v>S4: Student Certifications</v>
      </c>
      <c r="N987" s="74" t="str">
        <f>IFERROR(__xludf.DUMMYFUNCTION("""COMPUTED_VALUE"""),"suryavivek31@gmail.com")</f>
        <v>suryavivek31@gmail.com</v>
      </c>
      <c r="O987" s="74" t="str">
        <f>IFERROR(__xludf.DUMMYFUNCTION("""COMPUTED_VALUE"""),"SEM-6")</f>
        <v>SEM-6</v>
      </c>
      <c r="P987" s="74"/>
      <c r="Q987" s="74"/>
      <c r="R987" s="74"/>
      <c r="S987" s="74"/>
      <c r="T987" s="74"/>
      <c r="U987" s="74"/>
      <c r="V987" s="74"/>
      <c r="W987" s="74"/>
      <c r="X987" s="74"/>
      <c r="Y987" s="74"/>
    </row>
    <row r="988" ht="26.25" customHeight="1">
      <c r="A988" s="74" t="str">
        <f>IFERROR(__xludf.DUMMYFUNCTION("""COMPUTED_VALUE"""),"SURYAVIVEK REDDY SATTI")</f>
        <v>SURYAVIVEK REDDY SATTI</v>
      </c>
      <c r="B988" s="74" t="str">
        <f>IFERROR(__xludf.DUMMYFUNCTION("""COMPUTED_VALUE"""),"19331A05F1")</f>
        <v>19331A05F1</v>
      </c>
      <c r="C988" s="90" t="str">
        <f>IFERROR(__xludf.DUMMYFUNCTION("""COMPUTED_VALUE"""),"ccnav7 srwe")</f>
        <v>ccnav7 srwe</v>
      </c>
      <c r="D988" s="74" t="str">
        <f>IFERROR(__xludf.DUMMYFUNCTION("""COMPUTED_VALUE"""),"cisco")</f>
        <v>cisco</v>
      </c>
      <c r="E988" s="74" t="str">
        <f>IFERROR(__xludf.DUMMYFUNCTION("""COMPUTED_VALUE"""),"3 months")</f>
        <v>3 months</v>
      </c>
      <c r="F988" s="91">
        <f>IFERROR(__xludf.DUMMYFUNCTION("""COMPUTED_VALUE"""),44533.0)</f>
        <v>44533</v>
      </c>
      <c r="G988" s="91">
        <f>IFERROR(__xludf.DUMMYFUNCTION("""COMPUTED_VALUE"""),44598.0)</f>
        <v>44598</v>
      </c>
      <c r="H988" s="79">
        <f>IFERROR(__xludf.DUMMYFUNCTION("""COMPUTED_VALUE"""),44604.0)</f>
        <v>44604</v>
      </c>
      <c r="I988" s="92">
        <f>IFERROR(__xludf.DUMMYFUNCTION("""COMPUTED_VALUE"""),95.0)</f>
        <v>95</v>
      </c>
      <c r="J988" s="74" t="str">
        <f>IFERROR(__xludf.DUMMYFUNCTION("""COMPUTED_VALUE"""),"DR. RAVI KIRAN VARMA PENMATSA")</f>
        <v>DR. RAVI KIRAN VARMA PENMATSA</v>
      </c>
      <c r="K988" s="80" t="str">
        <f>IFERROR(__xludf.DUMMYFUNCTION("""COMPUTED_VALUE"""),"https://drive.google.com/open?id=1DrxLM0APLShL37CfIZfhwjCf7xXy8xm3")</f>
        <v>https://drive.google.com/open?id=1DrxLM0APLShL37CfIZfhwjCf7xXy8xm3</v>
      </c>
      <c r="L988" s="74" t="str">
        <f>IFERROR(__xludf.DUMMYFUNCTION("""COMPUTED_VALUE"""),"2019-2023")</f>
        <v>2019-2023</v>
      </c>
      <c r="M988" s="74" t="str">
        <f>IFERROR(__xludf.DUMMYFUNCTION("""COMPUTED_VALUE"""),"S4: Student Certifications")</f>
        <v>S4: Student Certifications</v>
      </c>
      <c r="N988" s="74" t="str">
        <f>IFERROR(__xludf.DUMMYFUNCTION("""COMPUTED_VALUE"""),"suryavivek31@gmail.com")</f>
        <v>suryavivek31@gmail.com</v>
      </c>
      <c r="O988" s="74" t="str">
        <f>IFERROR(__xludf.DUMMYFUNCTION("""COMPUTED_VALUE"""),"SEM-6")</f>
        <v>SEM-6</v>
      </c>
      <c r="P988" s="74"/>
      <c r="Q988" s="74"/>
      <c r="R988" s="74"/>
      <c r="S988" s="74"/>
      <c r="T988" s="74"/>
      <c r="U988" s="74"/>
      <c r="V988" s="74"/>
      <c r="W988" s="74"/>
      <c r="X988" s="74"/>
      <c r="Y988" s="74"/>
    </row>
    <row r="989" ht="26.25" customHeight="1">
      <c r="A989" s="96" t="str">
        <f>IFERROR(__xludf.DUMMYFUNCTION("""COMPUTED_VALUE"""),"Bondapalli Priyanka")</f>
        <v>Bondapalli Priyanka</v>
      </c>
      <c r="B989" s="96" t="str">
        <f>IFERROR(__xludf.DUMMYFUNCTION("""COMPUTED_VALUE"""),"19331A0523")</f>
        <v>19331A0523</v>
      </c>
      <c r="C989" s="97" t="str">
        <f>IFERROR(__xludf.DUMMYFUNCTION("""COMPUTED_VALUE"""),"Programming for everybody(Getting started with python)")</f>
        <v>Programming for everybody(Getting started with python)</v>
      </c>
      <c r="D989" s="96" t="str">
        <f>IFERROR(__xludf.DUMMYFUNCTION("""COMPUTED_VALUE"""),"Coursera")</f>
        <v>Coursera</v>
      </c>
      <c r="E989" s="96" t="str">
        <f>IFERROR(__xludf.DUMMYFUNCTION("""COMPUTED_VALUE"""),"5 weeks")</f>
        <v>5 weeks</v>
      </c>
      <c r="F989" s="98">
        <f>IFERROR(__xludf.DUMMYFUNCTION("""COMPUTED_VALUE"""),44065.0)</f>
        <v>44065</v>
      </c>
      <c r="G989" s="98">
        <f>IFERROR(__xludf.DUMMYFUNCTION("""COMPUTED_VALUE"""),44103.0)</f>
        <v>44103</v>
      </c>
      <c r="H989" s="99">
        <f>IFERROR(__xludf.DUMMYFUNCTION("""COMPUTED_VALUE"""),44103.0)</f>
        <v>44103</v>
      </c>
      <c r="I989" s="100">
        <f>IFERROR(__xludf.DUMMYFUNCTION("""COMPUTED_VALUE"""),85.0)</f>
        <v>85</v>
      </c>
      <c r="J989" s="96" t="str">
        <f>IFERROR(__xludf.DUMMYFUNCTION("""COMPUTED_VALUE"""),"Dr. P. Ravi Kiran Varma")</f>
        <v>Dr. P. Ravi Kiran Varma</v>
      </c>
      <c r="K989" s="101" t="str">
        <f>IFERROR(__xludf.DUMMYFUNCTION("""COMPUTED_VALUE"""),"https://drive.google.com/open?id=1dJ-mtNzklCH5YH8DCIDGDhjgaJotf3e2")</f>
        <v>https://drive.google.com/open?id=1dJ-mtNzklCH5YH8DCIDGDhjgaJotf3e2</v>
      </c>
      <c r="L989" s="96" t="str">
        <f>IFERROR(__xludf.DUMMYFUNCTION("""COMPUTED_VALUE"""),"2019-2023")</f>
        <v>2019-2023</v>
      </c>
      <c r="M989" s="96" t="str">
        <f>IFERROR(__xludf.DUMMYFUNCTION("""COMPUTED_VALUE"""),"S4: Student Certifications")</f>
        <v>S4: Student Certifications</v>
      </c>
      <c r="N989" s="96" t="str">
        <f>IFERROR(__xludf.DUMMYFUNCTION("""COMPUTED_VALUE"""),"priyankapriya0416@gmail.com")</f>
        <v>priyankapriya0416@gmail.com</v>
      </c>
      <c r="O989" s="96" t="str">
        <f>IFERROR(__xludf.DUMMYFUNCTION("""COMPUTED_VALUE"""),"SEM-6")</f>
        <v>SEM-6</v>
      </c>
      <c r="P989" s="96"/>
      <c r="Q989" s="96"/>
      <c r="R989" s="96"/>
      <c r="S989" s="96"/>
      <c r="T989" s="96"/>
      <c r="U989" s="96"/>
      <c r="V989" s="96"/>
      <c r="W989" s="96"/>
      <c r="X989" s="96"/>
      <c r="Y989" s="96"/>
    </row>
    <row r="990" ht="26.25" customHeight="1">
      <c r="A990" s="96" t="str">
        <f>IFERROR(__xludf.DUMMYFUNCTION("""COMPUTED_VALUE"""),"Sai Akshaya Kasireddi")</f>
        <v>Sai Akshaya Kasireddi</v>
      </c>
      <c r="B990" s="96" t="str">
        <f>IFERROR(__xludf.DUMMYFUNCTION("""COMPUTED_VALUE"""),"19331A05E6")</f>
        <v>19331A05E6</v>
      </c>
      <c r="C990" s="97" t="str">
        <f>IFERROR(__xludf.DUMMYFUNCTION("""COMPUTED_VALUE"""),"Programming for Everybody (Getting Started With Python)")</f>
        <v>Programming for Everybody (Getting Started With Python)</v>
      </c>
      <c r="D990" s="96" t="str">
        <f>IFERROR(__xludf.DUMMYFUNCTION("""COMPUTED_VALUE"""),"Coursera")</f>
        <v>Coursera</v>
      </c>
      <c r="E990" s="96" t="str">
        <f>IFERROR(__xludf.DUMMYFUNCTION("""COMPUTED_VALUE"""),"5 weeks")</f>
        <v>5 weeks</v>
      </c>
      <c r="F990" s="98">
        <f>IFERROR(__xludf.DUMMYFUNCTION("""COMPUTED_VALUE"""),44076.0)</f>
        <v>44076</v>
      </c>
      <c r="G990" s="98">
        <f>IFERROR(__xludf.DUMMYFUNCTION("""COMPUTED_VALUE"""),44113.0)</f>
        <v>44113</v>
      </c>
      <c r="H990" s="99">
        <f>IFERROR(__xludf.DUMMYFUNCTION("""COMPUTED_VALUE"""),44113.0)</f>
        <v>44113</v>
      </c>
      <c r="I990" s="100">
        <f>IFERROR(__xludf.DUMMYFUNCTION("""COMPUTED_VALUE"""),0.85)</f>
        <v>0.85</v>
      </c>
      <c r="J990" s="96" t="str">
        <f>IFERROR(__xludf.DUMMYFUNCTION("""COMPUTED_VALUE"""),"Dr. P. RAVI KIRAN VARMA")</f>
        <v>Dr. P. RAVI KIRAN VARMA</v>
      </c>
      <c r="K990" s="101" t="str">
        <f>IFERROR(__xludf.DUMMYFUNCTION("""COMPUTED_VALUE"""),"https://drive.google.com/open?id=138f6yHa3189UbJCjvrRWd_ALv0cqL-z5")</f>
        <v>https://drive.google.com/open?id=138f6yHa3189UbJCjvrRWd_ALv0cqL-z5</v>
      </c>
      <c r="L990" s="96" t="str">
        <f>IFERROR(__xludf.DUMMYFUNCTION("""COMPUTED_VALUE"""),"2019-2023")</f>
        <v>2019-2023</v>
      </c>
      <c r="M990" s="96" t="str">
        <f>IFERROR(__xludf.DUMMYFUNCTION("""COMPUTED_VALUE"""),"S4: Student Certifications")</f>
        <v>S4: Student Certifications</v>
      </c>
      <c r="N990" s="96" t="str">
        <f>IFERROR(__xludf.DUMMYFUNCTION("""COMPUTED_VALUE"""),"saiakshaya3042@gmail.com")</f>
        <v>saiakshaya3042@gmail.com</v>
      </c>
      <c r="O990" s="96" t="str">
        <f>IFERROR(__xludf.DUMMYFUNCTION("""COMPUTED_VALUE"""),"SEM-6")</f>
        <v>SEM-6</v>
      </c>
      <c r="P990" s="96"/>
      <c r="Q990" s="96"/>
      <c r="R990" s="96"/>
      <c r="S990" s="96"/>
      <c r="T990" s="96"/>
      <c r="U990" s="96"/>
      <c r="V990" s="96"/>
      <c r="W990" s="96"/>
      <c r="X990" s="96"/>
      <c r="Y990" s="96"/>
    </row>
    <row r="991" ht="26.25" customHeight="1">
      <c r="A991" s="96" t="str">
        <f>IFERROR(__xludf.DUMMYFUNCTION("""COMPUTED_VALUE"""),"Sai Akshaya Kasireddi")</f>
        <v>Sai Akshaya Kasireddi</v>
      </c>
      <c r="B991" s="96" t="str">
        <f>IFERROR(__xludf.DUMMYFUNCTION("""COMPUTED_VALUE"""),"19331A05E6")</f>
        <v>19331A05E6</v>
      </c>
      <c r="C991" s="97" t="str">
        <f>IFERROR(__xludf.DUMMYFUNCTION("""COMPUTED_VALUE"""),"Python Data Structures")</f>
        <v>Python Data Structures</v>
      </c>
      <c r="D991" s="96" t="str">
        <f>IFERROR(__xludf.DUMMYFUNCTION("""COMPUTED_VALUE"""),"Coursera")</f>
        <v>Coursera</v>
      </c>
      <c r="E991" s="96" t="str">
        <f>IFERROR(__xludf.DUMMYFUNCTION("""COMPUTED_VALUE"""),"6 weeks")</f>
        <v>6 weeks</v>
      </c>
      <c r="F991" s="98">
        <f>IFERROR(__xludf.DUMMYFUNCTION("""COMPUTED_VALUE"""),44313.0)</f>
        <v>44313</v>
      </c>
      <c r="G991" s="98">
        <f>IFERROR(__xludf.DUMMYFUNCTION("""COMPUTED_VALUE"""),44358.0)</f>
        <v>44358</v>
      </c>
      <c r="H991" s="99">
        <f>IFERROR(__xludf.DUMMYFUNCTION("""COMPUTED_VALUE"""),44358.0)</f>
        <v>44358</v>
      </c>
      <c r="I991" s="100">
        <f>IFERROR(__xludf.DUMMYFUNCTION("""COMPUTED_VALUE"""),0.85)</f>
        <v>0.85</v>
      </c>
      <c r="J991" s="96" t="str">
        <f>IFERROR(__xludf.DUMMYFUNCTION("""COMPUTED_VALUE"""),"Dr. P. Ravi Kiran Varma")</f>
        <v>Dr. P. Ravi Kiran Varma</v>
      </c>
      <c r="K991" s="101" t="str">
        <f>IFERROR(__xludf.DUMMYFUNCTION("""COMPUTED_VALUE"""),"https://drive.google.com/open?id=1qLyV67Z_VCCP5lgnAGrE4Sc0D434zQfp")</f>
        <v>https://drive.google.com/open?id=1qLyV67Z_VCCP5lgnAGrE4Sc0D434zQfp</v>
      </c>
      <c r="L991" s="96" t="str">
        <f>IFERROR(__xludf.DUMMYFUNCTION("""COMPUTED_VALUE"""),"2019-2023")</f>
        <v>2019-2023</v>
      </c>
      <c r="M991" s="96" t="str">
        <f>IFERROR(__xludf.DUMMYFUNCTION("""COMPUTED_VALUE"""),"S4: Student Certifications")</f>
        <v>S4: Student Certifications</v>
      </c>
      <c r="N991" s="96" t="str">
        <f>IFERROR(__xludf.DUMMYFUNCTION("""COMPUTED_VALUE"""),"saiakshaya3042@gmail.com")</f>
        <v>saiakshaya3042@gmail.com</v>
      </c>
      <c r="O991" s="96" t="str">
        <f>IFERROR(__xludf.DUMMYFUNCTION("""COMPUTED_VALUE"""),"SEM-6")</f>
        <v>SEM-6</v>
      </c>
      <c r="P991" s="96"/>
      <c r="Q991" s="96"/>
      <c r="R991" s="96"/>
      <c r="S991" s="96"/>
      <c r="T991" s="96"/>
      <c r="U991" s="96"/>
      <c r="V991" s="96"/>
      <c r="W991" s="96"/>
      <c r="X991" s="96"/>
      <c r="Y991" s="96"/>
    </row>
    <row r="992" ht="26.25" customHeight="1">
      <c r="A992" s="96" t="str">
        <f>IFERROR(__xludf.DUMMYFUNCTION("""COMPUTED_VALUE"""),"Sai Akshaya Kasireddi")</f>
        <v>Sai Akshaya Kasireddi</v>
      </c>
      <c r="B992" s="96" t="str">
        <f>IFERROR(__xludf.DUMMYFUNCTION("""COMPUTED_VALUE"""),"19331A05E6")</f>
        <v>19331A05E6</v>
      </c>
      <c r="C992" s="97" t="str">
        <f>IFERROR(__xludf.DUMMYFUNCTION("""COMPUTED_VALUE"""),"PCAP: Programming Essential in Python")</f>
        <v>PCAP: Programming Essential in Python</v>
      </c>
      <c r="D992" s="96" t="str">
        <f>IFERROR(__xludf.DUMMYFUNCTION("""COMPUTED_VALUE"""),"Cisco")</f>
        <v>Cisco</v>
      </c>
      <c r="E992" s="96" t="str">
        <f>IFERROR(__xludf.DUMMYFUNCTION("""COMPUTED_VALUE"""),"13 weeks")</f>
        <v>13 weeks</v>
      </c>
      <c r="F992" s="98">
        <f>IFERROR(__xludf.DUMMYFUNCTION("""COMPUTED_VALUE"""),44175.0)</f>
        <v>44175</v>
      </c>
      <c r="G992" s="98">
        <f>IFERROR(__xludf.DUMMYFUNCTION("""COMPUTED_VALUE"""),44271.0)</f>
        <v>44271</v>
      </c>
      <c r="H992" s="99">
        <f>IFERROR(__xludf.DUMMYFUNCTION("""COMPUTED_VALUE"""),44271.0)</f>
        <v>44271</v>
      </c>
      <c r="I992" s="100">
        <f>IFERROR(__xludf.DUMMYFUNCTION("""COMPUTED_VALUE"""),0.85)</f>
        <v>0.85</v>
      </c>
      <c r="J992" s="96" t="str">
        <f>IFERROR(__xludf.DUMMYFUNCTION("""COMPUTED_VALUE"""),"M Beulah Rani")</f>
        <v>M Beulah Rani</v>
      </c>
      <c r="K992" s="101" t="str">
        <f>IFERROR(__xludf.DUMMYFUNCTION("""COMPUTED_VALUE"""),"https://drive.google.com/open?id=1tUoCxPZkEIDAdNpQO-LjCzdyKBTokb0E")</f>
        <v>https://drive.google.com/open?id=1tUoCxPZkEIDAdNpQO-LjCzdyKBTokb0E</v>
      </c>
      <c r="L992" s="96" t="str">
        <f>IFERROR(__xludf.DUMMYFUNCTION("""COMPUTED_VALUE"""),"2019-2023")</f>
        <v>2019-2023</v>
      </c>
      <c r="M992" s="96" t="str">
        <f>IFERROR(__xludf.DUMMYFUNCTION("""COMPUTED_VALUE"""),"S4: Student Certifications")</f>
        <v>S4: Student Certifications</v>
      </c>
      <c r="N992" s="96" t="str">
        <f>IFERROR(__xludf.DUMMYFUNCTION("""COMPUTED_VALUE"""),"saiakshaya3042@gmail.com")</f>
        <v>saiakshaya3042@gmail.com</v>
      </c>
      <c r="O992" s="96" t="str">
        <f>IFERROR(__xludf.DUMMYFUNCTION("""COMPUTED_VALUE"""),"SEM-6")</f>
        <v>SEM-6</v>
      </c>
      <c r="P992" s="96"/>
      <c r="Q992" s="96"/>
      <c r="R992" s="96"/>
      <c r="S992" s="96"/>
      <c r="T992" s="96"/>
      <c r="U992" s="96"/>
      <c r="V992" s="96"/>
      <c r="W992" s="96"/>
      <c r="X992" s="96"/>
      <c r="Y992" s="96"/>
    </row>
    <row r="993" ht="26.25" customHeight="1">
      <c r="A993" s="96" t="str">
        <f>IFERROR(__xludf.DUMMYFUNCTION("""COMPUTED_VALUE"""),"Bondapalli Priyanka")</f>
        <v>Bondapalli Priyanka</v>
      </c>
      <c r="B993" s="96" t="str">
        <f>IFERROR(__xludf.DUMMYFUNCTION("""COMPUTED_VALUE"""),"19331A0523")</f>
        <v>19331A0523</v>
      </c>
      <c r="C993" s="97" t="str">
        <f>IFERROR(__xludf.DUMMYFUNCTION("""COMPUTED_VALUE"""),"Programming Essentials in Python")</f>
        <v>Programming Essentials in Python</v>
      </c>
      <c r="D993" s="96" t="str">
        <f>IFERROR(__xludf.DUMMYFUNCTION("""COMPUTED_VALUE"""),"Cisco")</f>
        <v>Cisco</v>
      </c>
      <c r="E993" s="96" t="str">
        <f>IFERROR(__xludf.DUMMYFUNCTION("""COMPUTED_VALUE"""),"13 weeks")</f>
        <v>13 weeks</v>
      </c>
      <c r="F993" s="98">
        <f>IFERROR(__xludf.DUMMYFUNCTION("""COMPUTED_VALUE"""),44175.0)</f>
        <v>44175</v>
      </c>
      <c r="G993" s="98">
        <f>IFERROR(__xludf.DUMMYFUNCTION("""COMPUTED_VALUE"""),44271.0)</f>
        <v>44271</v>
      </c>
      <c r="H993" s="99">
        <f>IFERROR(__xludf.DUMMYFUNCTION("""COMPUTED_VALUE"""),44260.0)</f>
        <v>44260</v>
      </c>
      <c r="I993" s="100">
        <f>IFERROR(__xludf.DUMMYFUNCTION("""COMPUTED_VALUE"""),86.0)</f>
        <v>86</v>
      </c>
      <c r="J993" s="96" t="str">
        <f>IFERROR(__xludf.DUMMYFUNCTION("""COMPUTED_VALUE"""),"Jayasri sai venkata angara")</f>
        <v>Jayasri sai venkata angara</v>
      </c>
      <c r="K993" s="101" t="str">
        <f>IFERROR(__xludf.DUMMYFUNCTION("""COMPUTED_VALUE"""),"https://drive.google.com/open?id=1NtUkSihxEWMR5UiOnPGcfwycRv8i3_4z")</f>
        <v>https://drive.google.com/open?id=1NtUkSihxEWMR5UiOnPGcfwycRv8i3_4z</v>
      </c>
      <c r="L993" s="96" t="str">
        <f>IFERROR(__xludf.DUMMYFUNCTION("""COMPUTED_VALUE"""),"2019-2023")</f>
        <v>2019-2023</v>
      </c>
      <c r="M993" s="96" t="str">
        <f>IFERROR(__xludf.DUMMYFUNCTION("""COMPUTED_VALUE"""),"S4: Student Certifications")</f>
        <v>S4: Student Certifications</v>
      </c>
      <c r="N993" s="96" t="str">
        <f>IFERROR(__xludf.DUMMYFUNCTION("""COMPUTED_VALUE"""),"priyankapriya0416@gmail.com")</f>
        <v>priyankapriya0416@gmail.com</v>
      </c>
      <c r="O993" s="96" t="str">
        <f>IFERROR(__xludf.DUMMYFUNCTION("""COMPUTED_VALUE"""),"SEM-6")</f>
        <v>SEM-6</v>
      </c>
      <c r="P993" s="96"/>
      <c r="Q993" s="96"/>
      <c r="R993" s="96"/>
      <c r="S993" s="96"/>
      <c r="T993" s="96"/>
      <c r="U993" s="96"/>
      <c r="V993" s="96"/>
      <c r="W993" s="96"/>
      <c r="X993" s="96"/>
      <c r="Y993" s="96"/>
    </row>
    <row r="994" ht="26.25" customHeight="1">
      <c r="A994" s="96" t="str">
        <f>IFERROR(__xludf.DUMMYFUNCTION("""COMPUTED_VALUE"""),"Sai Akshaya Kasireddi")</f>
        <v>Sai Akshaya Kasireddi</v>
      </c>
      <c r="B994" s="96" t="str">
        <f>IFERROR(__xludf.DUMMYFUNCTION("""COMPUTED_VALUE"""),"19331A05E6")</f>
        <v>19331A05E6</v>
      </c>
      <c r="C994" s="97" t="str">
        <f>IFERROR(__xludf.DUMMYFUNCTION("""COMPUTED_VALUE"""),"IT Essentials")</f>
        <v>IT Essentials</v>
      </c>
      <c r="D994" s="96" t="str">
        <f>IFERROR(__xludf.DUMMYFUNCTION("""COMPUTED_VALUE"""),"Cisco")</f>
        <v>Cisco</v>
      </c>
      <c r="E994" s="96" t="str">
        <f>IFERROR(__xludf.DUMMYFUNCTION("""COMPUTED_VALUE"""),"13 weeks")</f>
        <v>13 weeks</v>
      </c>
      <c r="F994" s="98">
        <f>IFERROR(__xludf.DUMMYFUNCTION("""COMPUTED_VALUE"""),43981.0)</f>
        <v>43981</v>
      </c>
      <c r="G994" s="98">
        <f>IFERROR(__xludf.DUMMYFUNCTION("""COMPUTED_VALUE"""),44080.0)</f>
        <v>44080</v>
      </c>
      <c r="H994" s="99">
        <f>IFERROR(__xludf.DUMMYFUNCTION("""COMPUTED_VALUE"""),44080.0)</f>
        <v>44080</v>
      </c>
      <c r="I994" s="100">
        <f>IFERROR(__xludf.DUMMYFUNCTION("""COMPUTED_VALUE"""),0.85)</f>
        <v>0.85</v>
      </c>
      <c r="J994" s="96" t="str">
        <f>IFERROR(__xludf.DUMMYFUNCTION("""COMPUTED_VALUE"""),"Dr. Suvarna Kumar Gogula")</f>
        <v>Dr. Suvarna Kumar Gogula</v>
      </c>
      <c r="K994" s="101" t="str">
        <f>IFERROR(__xludf.DUMMYFUNCTION("""COMPUTED_VALUE"""),"https://drive.google.com/open?id=1b-O47Dbw0uHH-97unxldLdjRjP620YiJ")</f>
        <v>https://drive.google.com/open?id=1b-O47Dbw0uHH-97unxldLdjRjP620YiJ</v>
      </c>
      <c r="L994" s="96" t="str">
        <f>IFERROR(__xludf.DUMMYFUNCTION("""COMPUTED_VALUE"""),"2019-2023")</f>
        <v>2019-2023</v>
      </c>
      <c r="M994" s="96" t="str">
        <f>IFERROR(__xludf.DUMMYFUNCTION("""COMPUTED_VALUE"""),"S4: Student Certifications")</f>
        <v>S4: Student Certifications</v>
      </c>
      <c r="N994" s="96" t="str">
        <f>IFERROR(__xludf.DUMMYFUNCTION("""COMPUTED_VALUE"""),"saiakshaya3042@gmail.com")</f>
        <v>saiakshaya3042@gmail.com</v>
      </c>
      <c r="O994" s="96" t="str">
        <f>IFERROR(__xludf.DUMMYFUNCTION("""COMPUTED_VALUE"""),"SEM-6")</f>
        <v>SEM-6</v>
      </c>
      <c r="P994" s="96"/>
      <c r="Q994" s="96"/>
      <c r="R994" s="96"/>
      <c r="S994" s="96"/>
      <c r="T994" s="96"/>
      <c r="U994" s="96"/>
      <c r="V994" s="96"/>
      <c r="W994" s="96"/>
      <c r="X994" s="96"/>
      <c r="Y994" s="96"/>
    </row>
    <row r="995" ht="26.25" customHeight="1">
      <c r="A995" s="96" t="str">
        <f>IFERROR(__xludf.DUMMYFUNCTION("""COMPUTED_VALUE"""),"Bondapalli Priyanka")</f>
        <v>Bondapalli Priyanka</v>
      </c>
      <c r="B995" s="96" t="str">
        <f>IFERROR(__xludf.DUMMYFUNCTION("""COMPUTED_VALUE"""),"19331A0523")</f>
        <v>19331A0523</v>
      </c>
      <c r="C995" s="97" t="str">
        <f>IFERROR(__xludf.DUMMYFUNCTION("""COMPUTED_VALUE"""),"IT Essentials")</f>
        <v>IT Essentials</v>
      </c>
      <c r="D995" s="96" t="str">
        <f>IFERROR(__xludf.DUMMYFUNCTION("""COMPUTED_VALUE"""),"Cisco")</f>
        <v>Cisco</v>
      </c>
      <c r="E995" s="96" t="str">
        <f>IFERROR(__xludf.DUMMYFUNCTION("""COMPUTED_VALUE"""),"13 weeks")</f>
        <v>13 weeks</v>
      </c>
      <c r="F995" s="98">
        <f>IFERROR(__xludf.DUMMYFUNCTION("""COMPUTED_VALUE"""),43981.0)</f>
        <v>43981</v>
      </c>
      <c r="G995" s="98">
        <f>IFERROR(__xludf.DUMMYFUNCTION("""COMPUTED_VALUE"""),44074.0)</f>
        <v>44074</v>
      </c>
      <c r="H995" s="99">
        <f>IFERROR(__xludf.DUMMYFUNCTION("""COMPUTED_VALUE"""),44074.0)</f>
        <v>44074</v>
      </c>
      <c r="I995" s="100">
        <f>IFERROR(__xludf.DUMMYFUNCTION("""COMPUTED_VALUE"""),86.0)</f>
        <v>86</v>
      </c>
      <c r="J995" s="96" t="str">
        <f>IFERROR(__xludf.DUMMYFUNCTION("""COMPUTED_VALUE"""),"Dr. Suvarna Kumar Gogula")</f>
        <v>Dr. Suvarna Kumar Gogula</v>
      </c>
      <c r="K995" s="101" t="str">
        <f>IFERROR(__xludf.DUMMYFUNCTION("""COMPUTED_VALUE"""),"https://drive.google.com/open?id=1dThvNvJWz-h3sXwVhlicx4Xde5EWm02E")</f>
        <v>https://drive.google.com/open?id=1dThvNvJWz-h3sXwVhlicx4Xde5EWm02E</v>
      </c>
      <c r="L995" s="96" t="str">
        <f>IFERROR(__xludf.DUMMYFUNCTION("""COMPUTED_VALUE"""),"2019-2023")</f>
        <v>2019-2023</v>
      </c>
      <c r="M995" s="96" t="str">
        <f>IFERROR(__xludf.DUMMYFUNCTION("""COMPUTED_VALUE"""),"S4: Student Certifications")</f>
        <v>S4: Student Certifications</v>
      </c>
      <c r="N995" s="96" t="str">
        <f>IFERROR(__xludf.DUMMYFUNCTION("""COMPUTED_VALUE"""),"priyankapriya0416@gmail.com")</f>
        <v>priyankapriya0416@gmail.com</v>
      </c>
      <c r="O995" s="96" t="str">
        <f>IFERROR(__xludf.DUMMYFUNCTION("""COMPUTED_VALUE"""),"SEM-6")</f>
        <v>SEM-6</v>
      </c>
      <c r="P995" s="96"/>
      <c r="Q995" s="96"/>
      <c r="R995" s="96"/>
      <c r="S995" s="96"/>
      <c r="T995" s="96"/>
      <c r="U995" s="96"/>
      <c r="V995" s="96"/>
      <c r="W995" s="96"/>
      <c r="X995" s="96"/>
      <c r="Y995" s="96"/>
    </row>
    <row r="996" ht="26.25" customHeight="1">
      <c r="A996" s="96" t="str">
        <f>IFERROR(__xludf.DUMMYFUNCTION("""COMPUTED_VALUE"""),"Sai Akshaya Kasireddi")</f>
        <v>Sai Akshaya Kasireddi</v>
      </c>
      <c r="B996" s="96" t="str">
        <f>IFERROR(__xludf.DUMMYFUNCTION("""COMPUTED_VALUE"""),"19331A05E6")</f>
        <v>19331A05E6</v>
      </c>
      <c r="C996" s="97" t="str">
        <f>IFERROR(__xludf.DUMMYFUNCTION("""COMPUTED_VALUE"""),"CLA: Programming Essentials in C")</f>
        <v>CLA: Programming Essentials in C</v>
      </c>
      <c r="D996" s="96" t="str">
        <f>IFERROR(__xludf.DUMMYFUNCTION("""COMPUTED_VALUE"""),"Cisco")</f>
        <v>Cisco</v>
      </c>
      <c r="E996" s="96" t="str">
        <f>IFERROR(__xludf.DUMMYFUNCTION("""COMPUTED_VALUE"""),"13 weeks")</f>
        <v>13 weeks</v>
      </c>
      <c r="F996" s="98">
        <f>IFERROR(__xludf.DUMMYFUNCTION("""COMPUTED_VALUE"""),43848.0)</f>
        <v>43848</v>
      </c>
      <c r="G996" s="98">
        <f>IFERROR(__xludf.DUMMYFUNCTION("""COMPUTED_VALUE"""),43946.0)</f>
        <v>43946</v>
      </c>
      <c r="H996" s="99">
        <f>IFERROR(__xludf.DUMMYFUNCTION("""COMPUTED_VALUE"""),43946.0)</f>
        <v>43946</v>
      </c>
      <c r="I996" s="100">
        <f>IFERROR(__xludf.DUMMYFUNCTION("""COMPUTED_VALUE"""),0.85)</f>
        <v>0.85</v>
      </c>
      <c r="J996" s="96" t="str">
        <f>IFERROR(__xludf.DUMMYFUNCTION("""COMPUTED_VALUE"""),"Dr. P Ravi Kiran Varma")</f>
        <v>Dr. P Ravi Kiran Varma</v>
      </c>
      <c r="K996" s="101" t="str">
        <f>IFERROR(__xludf.DUMMYFUNCTION("""COMPUTED_VALUE"""),"https://drive.google.com/open?id=1QopFjGX8KpJX--uXvBx7CnQGM6XwEKOX")</f>
        <v>https://drive.google.com/open?id=1QopFjGX8KpJX--uXvBx7CnQGM6XwEKOX</v>
      </c>
      <c r="L996" s="96" t="str">
        <f>IFERROR(__xludf.DUMMYFUNCTION("""COMPUTED_VALUE"""),"2019-2023")</f>
        <v>2019-2023</v>
      </c>
      <c r="M996" s="96" t="str">
        <f>IFERROR(__xludf.DUMMYFUNCTION("""COMPUTED_VALUE"""),"S4: Student Certifications")</f>
        <v>S4: Student Certifications</v>
      </c>
      <c r="N996" s="96" t="str">
        <f>IFERROR(__xludf.DUMMYFUNCTION("""COMPUTED_VALUE"""),"saiakshaya3042@gmail.com")</f>
        <v>saiakshaya3042@gmail.com</v>
      </c>
      <c r="O996" s="96" t="str">
        <f>IFERROR(__xludf.DUMMYFUNCTION("""COMPUTED_VALUE"""),"SEM-6")</f>
        <v>SEM-6</v>
      </c>
      <c r="P996" s="96"/>
      <c r="Q996" s="96"/>
      <c r="R996" s="96"/>
      <c r="S996" s="96"/>
      <c r="T996" s="96"/>
      <c r="U996" s="96"/>
      <c r="V996" s="96"/>
      <c r="W996" s="96"/>
      <c r="X996" s="96"/>
      <c r="Y996" s="96"/>
    </row>
    <row r="997" ht="26.25" customHeight="1">
      <c r="A997" s="96" t="str">
        <f>IFERROR(__xludf.DUMMYFUNCTION("""COMPUTED_VALUE"""),"Bondapalli Priyanka")</f>
        <v>Bondapalli Priyanka</v>
      </c>
      <c r="B997" s="96" t="str">
        <f>IFERROR(__xludf.DUMMYFUNCTION("""COMPUTED_VALUE"""),"19331A0523")</f>
        <v>19331A0523</v>
      </c>
      <c r="C997" s="97" t="str">
        <f>IFERROR(__xludf.DUMMYFUNCTION("""COMPUTED_VALUE"""),"Introduction to Networks")</f>
        <v>Introduction to Networks</v>
      </c>
      <c r="D997" s="96" t="str">
        <f>IFERROR(__xludf.DUMMYFUNCTION("""COMPUTED_VALUE"""),"Cisco")</f>
        <v>Cisco</v>
      </c>
      <c r="E997" s="96" t="str">
        <f>IFERROR(__xludf.DUMMYFUNCTION("""COMPUTED_VALUE"""),"19 weeks")</f>
        <v>19 weeks</v>
      </c>
      <c r="F997" s="98">
        <f>IFERROR(__xludf.DUMMYFUNCTION("""COMPUTED_VALUE"""),44495.0)</f>
        <v>44495</v>
      </c>
      <c r="G997" s="98">
        <f>IFERROR(__xludf.DUMMYFUNCTION("""COMPUTED_VALUE"""),44681.0)</f>
        <v>44681</v>
      </c>
      <c r="H997" s="99">
        <f>IFERROR(__xludf.DUMMYFUNCTION("""COMPUTED_VALUE"""),44650.0)</f>
        <v>44650</v>
      </c>
      <c r="I997" s="100">
        <f>IFERROR(__xludf.DUMMYFUNCTION("""COMPUTED_VALUE"""),87.0)</f>
        <v>87</v>
      </c>
      <c r="J997" s="96" t="str">
        <f>IFERROR(__xludf.DUMMYFUNCTION("""COMPUTED_VALUE"""),"Subba Raju K.V")</f>
        <v>Subba Raju K.V</v>
      </c>
      <c r="K997" s="101" t="str">
        <f>IFERROR(__xludf.DUMMYFUNCTION("""COMPUTED_VALUE"""),"https://drive.google.com/open?id=1gKZccjARjkO78CNl0Xjb6Z_KhakiS7sb")</f>
        <v>https://drive.google.com/open?id=1gKZccjARjkO78CNl0Xjb6Z_KhakiS7sb</v>
      </c>
      <c r="L997" s="96" t="str">
        <f>IFERROR(__xludf.DUMMYFUNCTION("""COMPUTED_VALUE"""),"2019-2023")</f>
        <v>2019-2023</v>
      </c>
      <c r="M997" s="96" t="str">
        <f>IFERROR(__xludf.DUMMYFUNCTION("""COMPUTED_VALUE"""),"S4: Student Certifications")</f>
        <v>S4: Student Certifications</v>
      </c>
      <c r="N997" s="96" t="str">
        <f>IFERROR(__xludf.DUMMYFUNCTION("""COMPUTED_VALUE"""),"priyankapriya0416@gmail.com")</f>
        <v>priyankapriya0416@gmail.com</v>
      </c>
      <c r="O997" s="96" t="str">
        <f>IFERROR(__xludf.DUMMYFUNCTION("""COMPUTED_VALUE"""),"SEM-6")</f>
        <v>SEM-6</v>
      </c>
      <c r="P997" s="96"/>
      <c r="Q997" s="96"/>
      <c r="R997" s="96"/>
      <c r="S997" s="96"/>
      <c r="T997" s="96"/>
      <c r="U997" s="96"/>
      <c r="V997" s="96"/>
      <c r="W997" s="96"/>
      <c r="X997" s="96"/>
      <c r="Y997" s="96"/>
    </row>
    <row r="998" ht="26.25" customHeight="1">
      <c r="A998" s="78" t="str">
        <f>IFERROR(__xludf.DUMMYFUNCTION("""COMPUTED_VALUE"""),"Bondapalli Priyanka")</f>
        <v>Bondapalli Priyanka</v>
      </c>
      <c r="B998" s="78" t="str">
        <f>IFERROR(__xludf.DUMMYFUNCTION("""COMPUTED_VALUE"""),"1933A0523")</f>
        <v>1933A0523</v>
      </c>
      <c r="C998" s="93" t="str">
        <f>IFERROR(__xludf.DUMMYFUNCTION("""COMPUTED_VALUE"""),"Code riders 2021")</f>
        <v>Code riders 2021</v>
      </c>
      <c r="D998" s="78" t="str">
        <f>IFERROR(__xludf.DUMMYFUNCTION("""COMPUTED_VALUE"""),"Cisco")</f>
        <v>Cisco</v>
      </c>
      <c r="E998" s="78" t="str">
        <f>IFERROR(__xludf.DUMMYFUNCTION("""COMPUTED_VALUE"""),"2 months")</f>
        <v>2 months</v>
      </c>
      <c r="F998" s="94">
        <f>IFERROR(__xludf.DUMMYFUNCTION("""COMPUTED_VALUE"""),44355.0)</f>
        <v>44355</v>
      </c>
      <c r="G998" s="94">
        <f>IFERROR(__xludf.DUMMYFUNCTION("""COMPUTED_VALUE"""),44384.0)</f>
        <v>44384</v>
      </c>
      <c r="H998" s="84">
        <f>IFERROR(__xludf.DUMMYFUNCTION("""COMPUTED_VALUE"""),44384.0)</f>
        <v>44384</v>
      </c>
      <c r="I998" s="95">
        <f>IFERROR(__xludf.DUMMYFUNCTION("""COMPUTED_VALUE"""),80.0)</f>
        <v>80</v>
      </c>
      <c r="J998" s="78" t="str">
        <f>IFERROR(__xludf.DUMMYFUNCTION("""COMPUTED_VALUE"""),"Subba Raju K. V")</f>
        <v>Subba Raju K. V</v>
      </c>
      <c r="K998" s="85" t="str">
        <f>IFERROR(__xludf.DUMMYFUNCTION("""COMPUTED_VALUE"""),"https://drive.google.com/open?id=1r36h2svKAsiqj6E6ZUbPLbk-HoqQ0E2T")</f>
        <v>https://drive.google.com/open?id=1r36h2svKAsiqj6E6ZUbPLbk-HoqQ0E2T</v>
      </c>
      <c r="L998" s="78" t="str">
        <f>IFERROR(__xludf.DUMMYFUNCTION("""COMPUTED_VALUE"""),"2019-2023")</f>
        <v>2019-2023</v>
      </c>
      <c r="M998" s="78" t="str">
        <f>IFERROR(__xludf.DUMMYFUNCTION("""COMPUTED_VALUE"""),"S4: Student Certifications")</f>
        <v>S4: Student Certifications</v>
      </c>
      <c r="N998" s="78" t="str">
        <f>IFERROR(__xludf.DUMMYFUNCTION("""COMPUTED_VALUE"""),"priyankapriya0416@gmail.com")</f>
        <v>priyankapriya0416@gmail.com</v>
      </c>
      <c r="O998" s="78" t="str">
        <f>IFERROR(__xludf.DUMMYFUNCTION("""COMPUTED_VALUE"""),"SEM-6")</f>
        <v>SEM-6</v>
      </c>
      <c r="P998" s="78"/>
      <c r="Q998" s="78"/>
      <c r="R998" s="78"/>
      <c r="S998" s="78"/>
      <c r="T998" s="78"/>
      <c r="U998" s="78"/>
      <c r="V998" s="78"/>
      <c r="W998" s="78"/>
      <c r="X998" s="78"/>
      <c r="Y998" s="78"/>
    </row>
    <row r="999" ht="26.25" customHeight="1">
      <c r="A999" s="96" t="str">
        <f>IFERROR(__xludf.DUMMYFUNCTION("""COMPUTED_VALUE"""),"Bondapalli Priyanka")</f>
        <v>Bondapalli Priyanka</v>
      </c>
      <c r="B999" s="96" t="str">
        <f>IFERROR(__xludf.DUMMYFUNCTION("""COMPUTED_VALUE"""),"19331A0523")</f>
        <v>19331A0523</v>
      </c>
      <c r="C999" s="97" t="str">
        <f>IFERROR(__xludf.DUMMYFUNCTION("""COMPUTED_VALUE"""),"Programming Essentials in C")</f>
        <v>Programming Essentials in C</v>
      </c>
      <c r="D999" s="96" t="str">
        <f>IFERROR(__xludf.DUMMYFUNCTION("""COMPUTED_VALUE"""),"Cisco")</f>
        <v>Cisco</v>
      </c>
      <c r="E999" s="96" t="str">
        <f>IFERROR(__xludf.DUMMYFUNCTION("""COMPUTED_VALUE"""),"13 weeks")</f>
        <v>13 weeks</v>
      </c>
      <c r="F999" s="98">
        <f>IFERROR(__xludf.DUMMYFUNCTION("""COMPUTED_VALUE"""),43848.0)</f>
        <v>43848</v>
      </c>
      <c r="G999" s="98">
        <f>IFERROR(__xludf.DUMMYFUNCTION("""COMPUTED_VALUE"""),43955.0)</f>
        <v>43955</v>
      </c>
      <c r="H999" s="99">
        <f>IFERROR(__xludf.DUMMYFUNCTION("""COMPUTED_VALUE"""),43955.0)</f>
        <v>43955</v>
      </c>
      <c r="I999" s="100">
        <f>IFERROR(__xludf.DUMMYFUNCTION("""COMPUTED_VALUE"""),86.0)</f>
        <v>86</v>
      </c>
      <c r="J999" s="96" t="str">
        <f>IFERROR(__xludf.DUMMYFUNCTION("""COMPUTED_VALUE"""),"Subba Raju K V")</f>
        <v>Subba Raju K V</v>
      </c>
      <c r="K999" s="101" t="str">
        <f>IFERROR(__xludf.DUMMYFUNCTION("""COMPUTED_VALUE"""),"https://drive.google.com/open?id=17jF9ZWjbtmcNjd5Qxr6_YY9jirI8T6ln")</f>
        <v>https://drive.google.com/open?id=17jF9ZWjbtmcNjd5Qxr6_YY9jirI8T6ln</v>
      </c>
      <c r="L999" s="96" t="str">
        <f>IFERROR(__xludf.DUMMYFUNCTION("""COMPUTED_VALUE"""),"2019-2023")</f>
        <v>2019-2023</v>
      </c>
      <c r="M999" s="96" t="str">
        <f>IFERROR(__xludf.DUMMYFUNCTION("""COMPUTED_VALUE"""),"S4: Student Certifications")</f>
        <v>S4: Student Certifications</v>
      </c>
      <c r="N999" s="96" t="str">
        <f>IFERROR(__xludf.DUMMYFUNCTION("""COMPUTED_VALUE"""),"priyankapriya0416@gmail.com")</f>
        <v>priyankapriya0416@gmail.com</v>
      </c>
      <c r="O999" s="96" t="str">
        <f>IFERROR(__xludf.DUMMYFUNCTION("""COMPUTED_VALUE"""),"SEM-6")</f>
        <v>SEM-6</v>
      </c>
      <c r="P999" s="96"/>
      <c r="Q999" s="96"/>
      <c r="R999" s="96"/>
      <c r="S999" s="96"/>
      <c r="T999" s="96"/>
      <c r="U999" s="96"/>
      <c r="V999" s="96"/>
      <c r="W999" s="96"/>
      <c r="X999" s="96"/>
      <c r="Y999" s="96"/>
    </row>
    <row r="1000" ht="26.25" customHeight="1">
      <c r="A1000" s="96" t="str">
        <f>IFERROR(__xludf.DUMMYFUNCTION("""COMPUTED_VALUE"""),"GRANDHI.VASAVI")</f>
        <v>GRANDHI.VASAVI</v>
      </c>
      <c r="B1000" s="96" t="str">
        <f>IFERROR(__xludf.DUMMYFUNCTION("""COMPUTED_VALUE"""),"19331A0558")</f>
        <v>19331A0558</v>
      </c>
      <c r="C1000" s="97" t="str">
        <f>IFERROR(__xludf.DUMMYFUNCTION("""COMPUTED_VALUE"""),"Programming Essentials in Python")</f>
        <v>Programming Essentials in Python</v>
      </c>
      <c r="D1000" s="96" t="str">
        <f>IFERROR(__xludf.DUMMYFUNCTION("""COMPUTED_VALUE"""),"CISCO")</f>
        <v>CISCO</v>
      </c>
      <c r="E1000" s="96" t="str">
        <f>IFERROR(__xludf.DUMMYFUNCTION("""COMPUTED_VALUE"""),"2 months")</f>
        <v>2 months</v>
      </c>
      <c r="F1000" s="98">
        <f>IFERROR(__xludf.DUMMYFUNCTION("""COMPUTED_VALUE"""),44249.0)</f>
        <v>44249</v>
      </c>
      <c r="G1000" s="98">
        <f>IFERROR(__xludf.DUMMYFUNCTION("""COMPUTED_VALUE"""),44308.0)</f>
        <v>44308</v>
      </c>
      <c r="H1000" s="99">
        <f>IFERROR(__xludf.DUMMYFUNCTION("""COMPUTED_VALUE"""),44308.0)</f>
        <v>44308</v>
      </c>
      <c r="I1000" s="100">
        <f>IFERROR(__xludf.DUMMYFUNCTION("""COMPUTED_VALUE"""),0.92)</f>
        <v>0.92</v>
      </c>
      <c r="J1000" s="96" t="str">
        <f>IFERROR(__xludf.DUMMYFUNCTION("""COMPUTED_VALUE"""),"Jayasri Sai Venkata Angara")</f>
        <v>Jayasri Sai Venkata Angara</v>
      </c>
      <c r="K1000" s="101" t="str">
        <f>IFERROR(__xludf.DUMMYFUNCTION("""COMPUTED_VALUE"""),"https://drive.google.com/open?id=1cZgcVV4LahskSjC1q9zky_-5Agirb43f")</f>
        <v>https://drive.google.com/open?id=1cZgcVV4LahskSjC1q9zky_-5Agirb43f</v>
      </c>
      <c r="L1000" s="96" t="str">
        <f>IFERROR(__xludf.DUMMYFUNCTION("""COMPUTED_VALUE"""),"2019-2023")</f>
        <v>2019-2023</v>
      </c>
      <c r="M1000" s="96" t="str">
        <f>IFERROR(__xludf.DUMMYFUNCTION("""COMPUTED_VALUE"""),"S4: Student Certifications")</f>
        <v>S4: Student Certifications</v>
      </c>
      <c r="N1000" s="96" t="str">
        <f>IFERROR(__xludf.DUMMYFUNCTION("""COMPUTED_VALUE"""),"vasavigrandhi02@gmail.com")</f>
        <v>vasavigrandhi02@gmail.com</v>
      </c>
      <c r="O1000" s="96" t="str">
        <f>IFERROR(__xludf.DUMMYFUNCTION("""COMPUTED_VALUE"""),"SEM-6")</f>
        <v>SEM-6</v>
      </c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</row>
    <row r="1001" ht="26.25" customHeight="1">
      <c r="A1001" s="96" t="str">
        <f>IFERROR(__xludf.DUMMYFUNCTION("""COMPUTED_VALUE"""),"GRANDHI.VASAVI")</f>
        <v>GRANDHI.VASAVI</v>
      </c>
      <c r="B1001" s="96" t="str">
        <f>IFERROR(__xludf.DUMMYFUNCTION("""COMPUTED_VALUE"""),"19331A0558")</f>
        <v>19331A0558</v>
      </c>
      <c r="C1001" s="97" t="str">
        <f>IFERROR(__xludf.DUMMYFUNCTION("""COMPUTED_VALUE"""),"IT Essentials")</f>
        <v>IT Essentials</v>
      </c>
      <c r="D1001" s="96" t="str">
        <f>IFERROR(__xludf.DUMMYFUNCTION("""COMPUTED_VALUE"""),"CISCO")</f>
        <v>CISCO</v>
      </c>
      <c r="E1001" s="96" t="str">
        <f>IFERROR(__xludf.DUMMYFUNCTION("""COMPUTED_VALUE"""),"2 months")</f>
        <v>2 months</v>
      </c>
      <c r="F1001" s="98">
        <f>IFERROR(__xludf.DUMMYFUNCTION("""COMPUTED_VALUE"""),44012.0)</f>
        <v>44012</v>
      </c>
      <c r="G1001" s="98">
        <f>IFERROR(__xludf.DUMMYFUNCTION("""COMPUTED_VALUE"""),44074.0)</f>
        <v>44074</v>
      </c>
      <c r="H1001" s="99">
        <f>IFERROR(__xludf.DUMMYFUNCTION("""COMPUTED_VALUE"""),44074.0)</f>
        <v>44074</v>
      </c>
      <c r="I1001" s="100">
        <f>IFERROR(__xludf.DUMMYFUNCTION("""COMPUTED_VALUE"""),0.9)</f>
        <v>0.9</v>
      </c>
      <c r="J1001" s="96" t="str">
        <f>IFERROR(__xludf.DUMMYFUNCTION("""COMPUTED_VALUE"""),"Dr. Suvarna Kumar Gogula")</f>
        <v>Dr. Suvarna Kumar Gogula</v>
      </c>
      <c r="K1001" s="101" t="str">
        <f>IFERROR(__xludf.DUMMYFUNCTION("""COMPUTED_VALUE"""),"https://drive.google.com/open?id=1pD2e9B5Hv9IGNULfeY7i8T5RQQAc-CXA")</f>
        <v>https://drive.google.com/open?id=1pD2e9B5Hv9IGNULfeY7i8T5RQQAc-CXA</v>
      </c>
      <c r="L1001" s="96" t="str">
        <f>IFERROR(__xludf.DUMMYFUNCTION("""COMPUTED_VALUE"""),"2019-2023")</f>
        <v>2019-2023</v>
      </c>
      <c r="M1001" s="96" t="str">
        <f>IFERROR(__xludf.DUMMYFUNCTION("""COMPUTED_VALUE"""),"S4: Student Certifications")</f>
        <v>S4: Student Certifications</v>
      </c>
      <c r="N1001" s="96" t="str">
        <f>IFERROR(__xludf.DUMMYFUNCTION("""COMPUTED_VALUE"""),"vasavigrandhi02@gmail.com")</f>
        <v>vasavigrandhi02@gmail.com</v>
      </c>
      <c r="O1001" s="96" t="str">
        <f>IFERROR(__xludf.DUMMYFUNCTION("""COMPUTED_VALUE"""),"SEM-6")</f>
        <v>SEM-6</v>
      </c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</row>
    <row r="1002" ht="26.25" customHeight="1">
      <c r="A1002" s="96" t="str">
        <f>IFERROR(__xludf.DUMMYFUNCTION("""COMPUTED_VALUE"""),"GRANDHI.VASAVI")</f>
        <v>GRANDHI.VASAVI</v>
      </c>
      <c r="B1002" s="96" t="str">
        <f>IFERROR(__xludf.DUMMYFUNCTION("""COMPUTED_VALUE"""),"19331A0558")</f>
        <v>19331A0558</v>
      </c>
      <c r="C1002" s="97" t="str">
        <f>IFERROR(__xludf.DUMMYFUNCTION("""COMPUTED_VALUE"""),"CCNAv7: Introduction to Networks")</f>
        <v>CCNAv7: Introduction to Networks</v>
      </c>
      <c r="D1002" s="96" t="str">
        <f>IFERROR(__xludf.DUMMYFUNCTION("""COMPUTED_VALUE"""),"CISCO")</f>
        <v>CISCO</v>
      </c>
      <c r="E1002" s="96" t="str">
        <f>IFERROR(__xludf.DUMMYFUNCTION("""COMPUTED_VALUE"""),"3 months")</f>
        <v>3 months</v>
      </c>
      <c r="F1002" s="98">
        <f>IFERROR(__xludf.DUMMYFUNCTION("""COMPUTED_VALUE"""),44568.0)</f>
        <v>44568</v>
      </c>
      <c r="G1002" s="98">
        <f>IFERROR(__xludf.DUMMYFUNCTION("""COMPUTED_VALUE"""),44658.0)</f>
        <v>44658</v>
      </c>
      <c r="H1002" s="99">
        <f>IFERROR(__xludf.DUMMYFUNCTION("""COMPUTED_VALUE"""),44658.0)</f>
        <v>44658</v>
      </c>
      <c r="I1002" s="100">
        <f>IFERROR(__xludf.DUMMYFUNCTION("""COMPUTED_VALUE"""),0.93)</f>
        <v>0.93</v>
      </c>
      <c r="J1002" s="96" t="str">
        <f>IFERROR(__xludf.DUMMYFUNCTION("""COMPUTED_VALUE"""),"Subba Raju KV")</f>
        <v>Subba Raju KV</v>
      </c>
      <c r="K1002" s="101" t="str">
        <f>IFERROR(__xludf.DUMMYFUNCTION("""COMPUTED_VALUE"""),"https://drive.google.com/open?id=1tF87yKVJ49i59eexgwgbM07otii8qrm5")</f>
        <v>https://drive.google.com/open?id=1tF87yKVJ49i59eexgwgbM07otii8qrm5</v>
      </c>
      <c r="L1002" s="96" t="str">
        <f>IFERROR(__xludf.DUMMYFUNCTION("""COMPUTED_VALUE"""),"2019-2023")</f>
        <v>2019-2023</v>
      </c>
      <c r="M1002" s="96" t="str">
        <f>IFERROR(__xludf.DUMMYFUNCTION("""COMPUTED_VALUE"""),"S4: Student Certifications")</f>
        <v>S4: Student Certifications</v>
      </c>
      <c r="N1002" s="96" t="str">
        <f>IFERROR(__xludf.DUMMYFUNCTION("""COMPUTED_VALUE"""),"vasavigrandhi02@gmail.com")</f>
        <v>vasavigrandhi02@gmail.com</v>
      </c>
      <c r="O1002" s="96" t="str">
        <f>IFERROR(__xludf.DUMMYFUNCTION("""COMPUTED_VALUE"""),"SEM-6")</f>
        <v>SEM-6</v>
      </c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</row>
    <row r="1003" ht="26.25" customHeight="1">
      <c r="A1003" s="96" t="str">
        <f>IFERROR(__xludf.DUMMYFUNCTION("""COMPUTED_VALUE"""),"GRANDHI.VASAVI")</f>
        <v>GRANDHI.VASAVI</v>
      </c>
      <c r="B1003" s="96" t="str">
        <f>IFERROR(__xludf.DUMMYFUNCTION("""COMPUTED_VALUE"""),"19331A0558")</f>
        <v>19331A0558</v>
      </c>
      <c r="C1003" s="97" t="str">
        <f>IFERROR(__xludf.DUMMYFUNCTION("""COMPUTED_VALUE"""),"HTML5")</f>
        <v>HTML5</v>
      </c>
      <c r="D1003" s="96" t="str">
        <f>IFERROR(__xludf.DUMMYFUNCTION("""COMPUTED_VALUE"""),"Coursera")</f>
        <v>Coursera</v>
      </c>
      <c r="E1003" s="96" t="str">
        <f>IFERROR(__xludf.DUMMYFUNCTION("""COMPUTED_VALUE"""),"1 month")</f>
        <v>1 month</v>
      </c>
      <c r="F1003" s="98">
        <f>IFERROR(__xludf.DUMMYFUNCTION("""COMPUTED_VALUE"""),44115.0)</f>
        <v>44115</v>
      </c>
      <c r="G1003" s="98">
        <f>IFERROR(__xludf.DUMMYFUNCTION("""COMPUTED_VALUE"""),44146.0)</f>
        <v>44146</v>
      </c>
      <c r="H1003" s="99">
        <f>IFERROR(__xludf.DUMMYFUNCTION("""COMPUTED_VALUE"""),44146.0)</f>
        <v>44146</v>
      </c>
      <c r="I1003" s="100">
        <f>IFERROR(__xludf.DUMMYFUNCTION("""COMPUTED_VALUE"""),0.9)</f>
        <v>0.9</v>
      </c>
      <c r="J1003" s="96" t="str">
        <f>IFERROR(__xludf.DUMMYFUNCTION("""COMPUTED_VALUE"""),"None")</f>
        <v>None</v>
      </c>
      <c r="K1003" s="101" t="str">
        <f>IFERROR(__xludf.DUMMYFUNCTION("""COMPUTED_VALUE"""),"https://drive.google.com/open?id=1cNm8rfYrdkk4DDv3FWYajsbWscR-t55Q")</f>
        <v>https://drive.google.com/open?id=1cNm8rfYrdkk4DDv3FWYajsbWscR-t55Q</v>
      </c>
      <c r="L1003" s="96" t="str">
        <f>IFERROR(__xludf.DUMMYFUNCTION("""COMPUTED_VALUE"""),"2019-2023")</f>
        <v>2019-2023</v>
      </c>
      <c r="M1003" s="96" t="str">
        <f>IFERROR(__xludf.DUMMYFUNCTION("""COMPUTED_VALUE"""),"S4: Student Certifications")</f>
        <v>S4: Student Certifications</v>
      </c>
      <c r="N1003" s="96" t="str">
        <f>IFERROR(__xludf.DUMMYFUNCTION("""COMPUTED_VALUE"""),"vasavigrandhi02@gmail.com")</f>
        <v>vasavigrandhi02@gmail.com</v>
      </c>
      <c r="O1003" s="96" t="str">
        <f>IFERROR(__xludf.DUMMYFUNCTION("""COMPUTED_VALUE"""),"SEM-6")</f>
        <v>SEM-6</v>
      </c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</row>
    <row r="1004" ht="26.25" customHeight="1">
      <c r="A1004" s="96" t="str">
        <f>IFERROR(__xludf.DUMMYFUNCTION("""COMPUTED_VALUE"""),"GRANDHI.VASAVI")</f>
        <v>GRANDHI.VASAVI</v>
      </c>
      <c r="B1004" s="96" t="str">
        <f>IFERROR(__xludf.DUMMYFUNCTION("""COMPUTED_VALUE"""),"19331A0558")</f>
        <v>19331A0558</v>
      </c>
      <c r="C1004" s="97" t="str">
        <f>IFERROR(__xludf.DUMMYFUNCTION("""COMPUTED_VALUE"""),"JavaScript Essentials 1")</f>
        <v>JavaScript Essentials 1</v>
      </c>
      <c r="D1004" s="96" t="str">
        <f>IFERROR(__xludf.DUMMYFUNCTION("""COMPUTED_VALUE"""),"CISCO")</f>
        <v>CISCO</v>
      </c>
      <c r="E1004" s="96" t="str">
        <f>IFERROR(__xludf.DUMMYFUNCTION("""COMPUTED_VALUE"""),"3 months")</f>
        <v>3 months</v>
      </c>
      <c r="F1004" s="98">
        <f>IFERROR(__xludf.DUMMYFUNCTION("""COMPUTED_VALUE"""),44583.0)</f>
        <v>44583</v>
      </c>
      <c r="G1004" s="98">
        <f>IFERROR(__xludf.DUMMYFUNCTION("""COMPUTED_VALUE"""),44673.0)</f>
        <v>44673</v>
      </c>
      <c r="H1004" s="99">
        <f>IFERROR(__xludf.DUMMYFUNCTION("""COMPUTED_VALUE"""),44673.0)</f>
        <v>44673</v>
      </c>
      <c r="I1004" s="100">
        <f>IFERROR(__xludf.DUMMYFUNCTION("""COMPUTED_VALUE"""),0.9)</f>
        <v>0.9</v>
      </c>
      <c r="J1004" s="96" t="str">
        <f>IFERROR(__xludf.DUMMYFUNCTION("""COMPUTED_VALUE"""),"None")</f>
        <v>None</v>
      </c>
      <c r="K1004" s="101" t="str">
        <f>IFERROR(__xludf.DUMMYFUNCTION("""COMPUTED_VALUE"""),"https://drive.google.com/open?id=1Bsea0bCNgDVtdDN1EJHl413Q9UBo-jsl")</f>
        <v>https://drive.google.com/open?id=1Bsea0bCNgDVtdDN1EJHl413Q9UBo-jsl</v>
      </c>
      <c r="L1004" s="96" t="str">
        <f>IFERROR(__xludf.DUMMYFUNCTION("""COMPUTED_VALUE"""),"2019-2023")</f>
        <v>2019-2023</v>
      </c>
      <c r="M1004" s="96" t="str">
        <f>IFERROR(__xludf.DUMMYFUNCTION("""COMPUTED_VALUE"""),"S4: Student Certifications")</f>
        <v>S4: Student Certifications</v>
      </c>
      <c r="N1004" s="96" t="str">
        <f>IFERROR(__xludf.DUMMYFUNCTION("""COMPUTED_VALUE"""),"vasavigrandhi02@gmail.com")</f>
        <v>vasavigrandhi02@gmail.com</v>
      </c>
      <c r="O1004" s="96" t="str">
        <f>IFERROR(__xludf.DUMMYFUNCTION("""COMPUTED_VALUE"""),"SEM-6")</f>
        <v>SEM-6</v>
      </c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</row>
    <row r="1005" ht="26.25" customHeight="1">
      <c r="A1005" s="96" t="str">
        <f>IFERROR(__xludf.DUMMYFUNCTION("""COMPUTED_VALUE"""),"Mohammed Imran")</f>
        <v>Mohammed Imran</v>
      </c>
      <c r="B1005" s="96" t="str">
        <f>IFERROR(__xludf.DUMMYFUNCTION("""COMPUTED_VALUE"""),"20335A0509")</f>
        <v>20335A0509</v>
      </c>
      <c r="C1005" s="97" t="str">
        <f>IFERROR(__xludf.DUMMYFUNCTION("""COMPUTED_VALUE"""),"PCAP: Programming Essentials in Python")</f>
        <v>PCAP: Programming Essentials in Python</v>
      </c>
      <c r="D1005" s="96" t="str">
        <f>IFERROR(__xludf.DUMMYFUNCTION("""COMPUTED_VALUE"""),"Cisco and Open EDG Python Institute")</f>
        <v>Cisco and Open EDG Python Institute</v>
      </c>
      <c r="E1005" s="96" t="str">
        <f>IFERROR(__xludf.DUMMYFUNCTION("""COMPUTED_VALUE"""),"2 months")</f>
        <v>2 months</v>
      </c>
      <c r="F1005" s="98">
        <f>IFERROR(__xludf.DUMMYFUNCTION("""COMPUTED_VALUE"""),44198.0)</f>
        <v>44198</v>
      </c>
      <c r="G1005" s="98">
        <f>IFERROR(__xludf.DUMMYFUNCTION("""COMPUTED_VALUE"""),44263.0)</f>
        <v>44263</v>
      </c>
      <c r="H1005" s="99">
        <f>IFERROR(__xludf.DUMMYFUNCTION("""COMPUTED_VALUE"""),44263.0)</f>
        <v>44263</v>
      </c>
      <c r="I1005" s="100">
        <f>IFERROR(__xludf.DUMMYFUNCTION("""COMPUTED_VALUE"""),0.83)</f>
        <v>0.83</v>
      </c>
      <c r="J1005" s="96" t="str">
        <f>IFERROR(__xludf.DUMMYFUNCTION("""COMPUTED_VALUE"""),"DR. RAVI KIRAN VARMA PENMATSA")</f>
        <v>DR. RAVI KIRAN VARMA PENMATSA</v>
      </c>
      <c r="K1005" s="101" t="str">
        <f>IFERROR(__xludf.DUMMYFUNCTION("""COMPUTED_VALUE"""),"https://drive.google.com/open?id=15GoKHBRzHAmJAnhm2bay_SxWGjdfYtV-")</f>
        <v>https://drive.google.com/open?id=15GoKHBRzHAmJAnhm2bay_SxWGjdfYtV-</v>
      </c>
      <c r="L1005" s="96" t="str">
        <f>IFERROR(__xludf.DUMMYFUNCTION("""COMPUTED_VALUE"""),"2019-2023")</f>
        <v>2019-2023</v>
      </c>
      <c r="M1005" s="96" t="str">
        <f>IFERROR(__xludf.DUMMYFUNCTION("""COMPUTED_VALUE"""),"S4: Student Certifications")</f>
        <v>S4: Student Certifications</v>
      </c>
      <c r="N1005" s="96" t="str">
        <f>IFERROR(__xludf.DUMMYFUNCTION("""COMPUTED_VALUE"""),"md116imran@gmail.com")</f>
        <v>md116imran@gmail.com</v>
      </c>
      <c r="O1005" s="96" t="str">
        <f>IFERROR(__xludf.DUMMYFUNCTION("""COMPUTED_VALUE"""),"SEM-6")</f>
        <v>SEM-6</v>
      </c>
      <c r="P1005" s="96"/>
      <c r="Q1005" s="96"/>
      <c r="R1005" s="96"/>
      <c r="S1005" s="96"/>
      <c r="T1005" s="96"/>
      <c r="U1005" s="96"/>
      <c r="V1005" s="96"/>
      <c r="W1005" s="96"/>
      <c r="X1005" s="96"/>
      <c r="Y1005" s="96"/>
    </row>
    <row r="1006" ht="26.25" customHeight="1">
      <c r="A1006" s="96" t="str">
        <f>IFERROR(__xludf.DUMMYFUNCTION("""COMPUTED_VALUE"""),"Mohammed Imran")</f>
        <v>Mohammed Imran</v>
      </c>
      <c r="B1006" s="96" t="str">
        <f>IFERROR(__xludf.DUMMYFUNCTION("""COMPUTED_VALUE"""),"20335A0509")</f>
        <v>20335A0509</v>
      </c>
      <c r="C1006" s="97" t="str">
        <f>IFERROR(__xludf.DUMMYFUNCTION("""COMPUTED_VALUE"""),"Blue Prism RPA Foundation Training")</f>
        <v>Blue Prism RPA Foundation Training</v>
      </c>
      <c r="D1006" s="96" t="str">
        <f>IFERROR(__xludf.DUMMYFUNCTION("""COMPUTED_VALUE"""),"Blue Prism University")</f>
        <v>Blue Prism University</v>
      </c>
      <c r="E1006" s="96" t="str">
        <f>IFERROR(__xludf.DUMMYFUNCTION("""COMPUTED_VALUE"""),"1 month")</f>
        <v>1 month</v>
      </c>
      <c r="F1006" s="98">
        <f>IFERROR(__xludf.DUMMYFUNCTION("""COMPUTED_VALUE"""),44485.0)</f>
        <v>44485</v>
      </c>
      <c r="G1006" s="98">
        <f>IFERROR(__xludf.DUMMYFUNCTION("""COMPUTED_VALUE"""),44514.0)</f>
        <v>44514</v>
      </c>
      <c r="H1006" s="99">
        <f>IFERROR(__xludf.DUMMYFUNCTION("""COMPUTED_VALUE"""),44514.0)</f>
        <v>44514</v>
      </c>
      <c r="I1006" s="100"/>
      <c r="J1006" s="96" t="str">
        <f>IFERROR(__xludf.DUMMYFUNCTION("""COMPUTED_VALUE"""),"K. Sobha Rani")</f>
        <v>K. Sobha Rani</v>
      </c>
      <c r="K1006" s="101" t="str">
        <f>IFERROR(__xludf.DUMMYFUNCTION("""COMPUTED_VALUE"""),"https://drive.google.com/open?id=13RECIhsq6O1gBCPoj8XZKTs2umUMjKO8")</f>
        <v>https://drive.google.com/open?id=13RECIhsq6O1gBCPoj8XZKTs2umUMjKO8</v>
      </c>
      <c r="L1006" s="96" t="str">
        <f>IFERROR(__xludf.DUMMYFUNCTION("""COMPUTED_VALUE"""),"2019-2023")</f>
        <v>2019-2023</v>
      </c>
      <c r="M1006" s="96" t="str">
        <f>IFERROR(__xludf.DUMMYFUNCTION("""COMPUTED_VALUE"""),"S4: Student Certifications")</f>
        <v>S4: Student Certifications</v>
      </c>
      <c r="N1006" s="96" t="str">
        <f>IFERROR(__xludf.DUMMYFUNCTION("""COMPUTED_VALUE"""),"md116imran@gmail.com")</f>
        <v>md116imran@gmail.com</v>
      </c>
      <c r="O1006" s="96" t="str">
        <f>IFERROR(__xludf.DUMMYFUNCTION("""COMPUTED_VALUE"""),"SEM-6")</f>
        <v>SEM-6</v>
      </c>
      <c r="P1006" s="96"/>
      <c r="Q1006" s="96"/>
      <c r="R1006" s="96"/>
      <c r="S1006" s="96"/>
      <c r="T1006" s="96"/>
      <c r="U1006" s="96"/>
      <c r="V1006" s="96"/>
      <c r="W1006" s="96"/>
      <c r="X1006" s="96"/>
      <c r="Y1006" s="96"/>
    </row>
    <row r="1007" ht="26.25" customHeight="1">
      <c r="A1007" s="96" t="str">
        <f>IFERROR(__xludf.DUMMYFUNCTION("""COMPUTED_VALUE"""),"Mohammed Imran")</f>
        <v>Mohammed Imran</v>
      </c>
      <c r="B1007" s="96" t="str">
        <f>IFERROR(__xludf.DUMMYFUNCTION("""COMPUTED_VALUE"""),"20335A0509")</f>
        <v>20335A0509</v>
      </c>
      <c r="C1007" s="97" t="str">
        <f>IFERROR(__xludf.DUMMYFUNCTION("""COMPUTED_VALUE"""),"Blue Prism RPA Associate Developer")</f>
        <v>Blue Prism RPA Associate Developer</v>
      </c>
      <c r="D1007" s="96" t="str">
        <f>IFERROR(__xludf.DUMMYFUNCTION("""COMPUTED_VALUE"""),"Blue Prism University")</f>
        <v>Blue Prism University</v>
      </c>
      <c r="E1007" s="96" t="str">
        <f>IFERROR(__xludf.DUMMYFUNCTION("""COMPUTED_VALUE"""),"1 month")</f>
        <v>1 month</v>
      </c>
      <c r="F1007" s="98">
        <f>IFERROR(__xludf.DUMMYFUNCTION("""COMPUTED_VALUE"""),44515.0)</f>
        <v>44515</v>
      </c>
      <c r="G1007" s="98">
        <f>IFERROR(__xludf.DUMMYFUNCTION("""COMPUTED_VALUE"""),44538.0)</f>
        <v>44538</v>
      </c>
      <c r="H1007" s="99">
        <f>IFERROR(__xludf.DUMMYFUNCTION("""COMPUTED_VALUE"""),44538.0)</f>
        <v>44538</v>
      </c>
      <c r="I1007" s="100">
        <f>IFERROR(__xludf.DUMMYFUNCTION("""COMPUTED_VALUE"""),1.0)</f>
        <v>1</v>
      </c>
      <c r="J1007" s="96" t="str">
        <f>IFERROR(__xludf.DUMMYFUNCTION("""COMPUTED_VALUE"""),"K.Sobha Rani")</f>
        <v>K.Sobha Rani</v>
      </c>
      <c r="K1007" s="101" t="str">
        <f>IFERROR(__xludf.DUMMYFUNCTION("""COMPUTED_VALUE"""),"https://drive.google.com/open?id=1B_mNtwIA238pqxj_7i1QWoH4F5DMIfTH")</f>
        <v>https://drive.google.com/open?id=1B_mNtwIA238pqxj_7i1QWoH4F5DMIfTH</v>
      </c>
      <c r="L1007" s="96" t="str">
        <f>IFERROR(__xludf.DUMMYFUNCTION("""COMPUTED_VALUE"""),"2019-2023")</f>
        <v>2019-2023</v>
      </c>
      <c r="M1007" s="96" t="str">
        <f>IFERROR(__xludf.DUMMYFUNCTION("""COMPUTED_VALUE"""),"S4: Student Certifications")</f>
        <v>S4: Student Certifications</v>
      </c>
      <c r="N1007" s="96" t="str">
        <f>IFERROR(__xludf.DUMMYFUNCTION("""COMPUTED_VALUE"""),"md116imran@gmail.com")</f>
        <v>md116imran@gmail.com</v>
      </c>
      <c r="O1007" s="96" t="str">
        <f>IFERROR(__xludf.DUMMYFUNCTION("""COMPUTED_VALUE"""),"SEM-6")</f>
        <v>SEM-6</v>
      </c>
      <c r="P1007" s="96"/>
      <c r="Q1007" s="96"/>
      <c r="R1007" s="96"/>
      <c r="S1007" s="96"/>
      <c r="T1007" s="96"/>
      <c r="U1007" s="96"/>
      <c r="V1007" s="96"/>
      <c r="W1007" s="96"/>
      <c r="X1007" s="96"/>
      <c r="Y1007" s="96"/>
    </row>
    <row r="1008" ht="26.25" customHeight="1">
      <c r="A1008" s="96" t="str">
        <f>IFERROR(__xludf.DUMMYFUNCTION("""COMPUTED_VALUE"""),"Chikkala Sowmya Deepika")</f>
        <v>Chikkala Sowmya Deepika</v>
      </c>
      <c r="B1008" s="96" t="str">
        <f>IFERROR(__xludf.DUMMYFUNCTION("""COMPUTED_VALUE"""),"19331A0535")</f>
        <v>19331A0535</v>
      </c>
      <c r="C1008" s="97" t="str">
        <f>IFERROR(__xludf.DUMMYFUNCTION("""COMPUTED_VALUE"""),"CLA: Programming Essentials In C")</f>
        <v>CLA: Programming Essentials In C</v>
      </c>
      <c r="D1008" s="96" t="str">
        <f>IFERROR(__xludf.DUMMYFUNCTION("""COMPUTED_VALUE"""),"Cisco networking academy")</f>
        <v>Cisco networking academy</v>
      </c>
      <c r="E1008" s="96" t="str">
        <f>IFERROR(__xludf.DUMMYFUNCTION("""COMPUTED_VALUE"""),"13 weeks")</f>
        <v>13 weeks</v>
      </c>
      <c r="F1008" s="98">
        <f>IFERROR(__xludf.DUMMYFUNCTION("""COMPUTED_VALUE"""),43845.0)</f>
        <v>43845</v>
      </c>
      <c r="G1008" s="98">
        <f>IFERROR(__xludf.DUMMYFUNCTION("""COMPUTED_VALUE"""),43974.0)</f>
        <v>43974</v>
      </c>
      <c r="H1008" s="99">
        <f>IFERROR(__xludf.DUMMYFUNCTION("""COMPUTED_VALUE"""),43974.0)</f>
        <v>43974</v>
      </c>
      <c r="I1008" s="100">
        <f>IFERROR(__xludf.DUMMYFUNCTION("""COMPUTED_VALUE"""),0.92)</f>
        <v>0.92</v>
      </c>
      <c r="J1008" s="96" t="str">
        <f>IFERROR(__xludf.DUMMYFUNCTION("""COMPUTED_VALUE"""),"Subba Raju KV")</f>
        <v>Subba Raju KV</v>
      </c>
      <c r="K1008" s="101" t="str">
        <f>IFERROR(__xludf.DUMMYFUNCTION("""COMPUTED_VALUE"""),"https://drive.google.com/open?id=1rkByFfdIvGmL1Mo1JrwEcUp2vvdGo_fv")</f>
        <v>https://drive.google.com/open?id=1rkByFfdIvGmL1Mo1JrwEcUp2vvdGo_fv</v>
      </c>
      <c r="L1008" s="96" t="str">
        <f>IFERROR(__xludf.DUMMYFUNCTION("""COMPUTED_VALUE"""),"2019-2023")</f>
        <v>2019-2023</v>
      </c>
      <c r="M1008" s="96" t="str">
        <f>IFERROR(__xludf.DUMMYFUNCTION("""COMPUTED_VALUE"""),"S4: Student Certifications")</f>
        <v>S4: Student Certifications</v>
      </c>
      <c r="N1008" s="96" t="str">
        <f>IFERROR(__xludf.DUMMYFUNCTION("""COMPUTED_VALUE"""),"sowmyadeepika2810@gmail.com")</f>
        <v>sowmyadeepika2810@gmail.com</v>
      </c>
      <c r="O1008" s="96" t="str">
        <f>IFERROR(__xludf.DUMMYFUNCTION("""COMPUTED_VALUE"""),"SEM-6")</f>
        <v>SEM-6</v>
      </c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</row>
    <row r="1009" ht="26.25" customHeight="1">
      <c r="A1009" s="96" t="str">
        <f>IFERROR(__xludf.DUMMYFUNCTION("""COMPUTED_VALUE"""),"Mohammed Imran")</f>
        <v>Mohammed Imran</v>
      </c>
      <c r="B1009" s="96" t="str">
        <f>IFERROR(__xludf.DUMMYFUNCTION("""COMPUTED_VALUE"""),"20335A0509")</f>
        <v>20335A0509</v>
      </c>
      <c r="C1009" s="97" t="str">
        <f>IFERROR(__xludf.DUMMYFUNCTION("""COMPUTED_VALUE"""),"Introduction to Cybersecurity")</f>
        <v>Introduction to Cybersecurity</v>
      </c>
      <c r="D1009" s="96" t="str">
        <f>IFERROR(__xludf.DUMMYFUNCTION("""COMPUTED_VALUE"""),"Palo Alto Networks BEACON")</f>
        <v>Palo Alto Networks BEACON</v>
      </c>
      <c r="E1009" s="96" t="str">
        <f>IFERROR(__xludf.DUMMYFUNCTION("""COMPUTED_VALUE"""),"2 weeks")</f>
        <v>2 weeks</v>
      </c>
      <c r="F1009" s="98">
        <f>IFERROR(__xludf.DUMMYFUNCTION("""COMPUTED_VALUE"""),44657.0)</f>
        <v>44657</v>
      </c>
      <c r="G1009" s="98">
        <f>IFERROR(__xludf.DUMMYFUNCTION("""COMPUTED_VALUE"""),44672.0)</f>
        <v>44672</v>
      </c>
      <c r="H1009" s="99">
        <f>IFERROR(__xludf.DUMMYFUNCTION("""COMPUTED_VALUE"""),44672.0)</f>
        <v>44672</v>
      </c>
      <c r="I1009" s="100">
        <f>IFERROR(__xludf.DUMMYFUNCTION("""COMPUTED_VALUE"""),100.0)</f>
        <v>100</v>
      </c>
      <c r="J1009" s="96" t="str">
        <f>IFERROR(__xludf.DUMMYFUNCTION("""COMPUTED_VALUE"""),"Dr. P. Ravi Kiran Varma")</f>
        <v>Dr. P. Ravi Kiran Varma</v>
      </c>
      <c r="K1009" s="101" t="str">
        <f>IFERROR(__xludf.DUMMYFUNCTION("""COMPUTED_VALUE"""),"https://drive.google.com/open?id=16QSPTmi5d7tGtjMg0rWMqqUDiT0gw9aI")</f>
        <v>https://drive.google.com/open?id=16QSPTmi5d7tGtjMg0rWMqqUDiT0gw9aI</v>
      </c>
      <c r="L1009" s="96" t="str">
        <f>IFERROR(__xludf.DUMMYFUNCTION("""COMPUTED_VALUE"""),"2019-2023")</f>
        <v>2019-2023</v>
      </c>
      <c r="M1009" s="96" t="str">
        <f>IFERROR(__xludf.DUMMYFUNCTION("""COMPUTED_VALUE"""),"S4: Student Certifications")</f>
        <v>S4: Student Certifications</v>
      </c>
      <c r="N1009" s="96" t="str">
        <f>IFERROR(__xludf.DUMMYFUNCTION("""COMPUTED_VALUE"""),"md116imran@gmail.com")</f>
        <v>md116imran@gmail.com</v>
      </c>
      <c r="O1009" s="96" t="str">
        <f>IFERROR(__xludf.DUMMYFUNCTION("""COMPUTED_VALUE"""),"SEM-6")</f>
        <v>SEM-6</v>
      </c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</row>
    <row r="1010" ht="26.25" customHeight="1">
      <c r="A1010" s="96" t="str">
        <f>IFERROR(__xludf.DUMMYFUNCTION("""COMPUTED_VALUE"""),"Mohammed Imran")</f>
        <v>Mohammed Imran</v>
      </c>
      <c r="B1010" s="96" t="str">
        <f>IFERROR(__xludf.DUMMYFUNCTION("""COMPUTED_VALUE"""),"20335A0509")</f>
        <v>20335A0509</v>
      </c>
      <c r="C1010" s="97" t="str">
        <f>IFERROR(__xludf.DUMMYFUNCTION("""COMPUTED_VALUE"""),"Fundamentals of Network Security")</f>
        <v>Fundamentals of Network Security</v>
      </c>
      <c r="D1010" s="96" t="str">
        <f>IFERROR(__xludf.DUMMYFUNCTION("""COMPUTED_VALUE"""),"Palo Alto Networks BEACON")</f>
        <v>Palo Alto Networks BEACON</v>
      </c>
      <c r="E1010" s="96" t="str">
        <f>IFERROR(__xludf.DUMMYFUNCTION("""COMPUTED_VALUE"""),"2 weeks")</f>
        <v>2 weeks</v>
      </c>
      <c r="F1010" s="98">
        <f>IFERROR(__xludf.DUMMYFUNCTION("""COMPUTED_VALUE"""),44657.0)</f>
        <v>44657</v>
      </c>
      <c r="G1010" s="98">
        <f>IFERROR(__xludf.DUMMYFUNCTION("""COMPUTED_VALUE"""),44672.0)</f>
        <v>44672</v>
      </c>
      <c r="H1010" s="99">
        <f>IFERROR(__xludf.DUMMYFUNCTION("""COMPUTED_VALUE"""),44672.0)</f>
        <v>44672</v>
      </c>
      <c r="I1010" s="100">
        <f>IFERROR(__xludf.DUMMYFUNCTION("""COMPUTED_VALUE"""),100.0)</f>
        <v>100</v>
      </c>
      <c r="J1010" s="96" t="str">
        <f>IFERROR(__xludf.DUMMYFUNCTION("""COMPUTED_VALUE"""),"Dr. P. Ravi Kiran Varma")</f>
        <v>Dr. P. Ravi Kiran Varma</v>
      </c>
      <c r="K1010" s="101" t="str">
        <f>IFERROR(__xludf.DUMMYFUNCTION("""COMPUTED_VALUE"""),"https://drive.google.com/open?id=1M-PlXv_iyIe-NZYibUywBffqHv_IMFuw")</f>
        <v>https://drive.google.com/open?id=1M-PlXv_iyIe-NZYibUywBffqHv_IMFuw</v>
      </c>
      <c r="L1010" s="96" t="str">
        <f>IFERROR(__xludf.DUMMYFUNCTION("""COMPUTED_VALUE"""),"2019-2023")</f>
        <v>2019-2023</v>
      </c>
      <c r="M1010" s="96" t="str">
        <f>IFERROR(__xludf.DUMMYFUNCTION("""COMPUTED_VALUE"""),"S4: Student Certifications")</f>
        <v>S4: Student Certifications</v>
      </c>
      <c r="N1010" s="96" t="str">
        <f>IFERROR(__xludf.DUMMYFUNCTION("""COMPUTED_VALUE"""),"md116imran@gmail.com")</f>
        <v>md116imran@gmail.com</v>
      </c>
      <c r="O1010" s="96" t="str">
        <f>IFERROR(__xludf.DUMMYFUNCTION("""COMPUTED_VALUE"""),"SEM-6")</f>
        <v>SEM-6</v>
      </c>
      <c r="P1010" s="96"/>
      <c r="Q1010" s="96"/>
      <c r="R1010" s="96"/>
      <c r="S1010" s="96"/>
      <c r="T1010" s="96"/>
      <c r="U1010" s="96"/>
      <c r="V1010" s="96"/>
      <c r="W1010" s="96"/>
      <c r="X1010" s="96"/>
      <c r="Y1010" s="96"/>
    </row>
    <row r="1011" ht="26.25" customHeight="1">
      <c r="A1011" s="96" t="str">
        <f>IFERROR(__xludf.DUMMYFUNCTION("""COMPUTED_VALUE"""),"Mohammed Imran")</f>
        <v>Mohammed Imran</v>
      </c>
      <c r="B1011" s="96" t="str">
        <f>IFERROR(__xludf.DUMMYFUNCTION("""COMPUTED_VALUE"""),"20335A0509")</f>
        <v>20335A0509</v>
      </c>
      <c r="C1011" s="97" t="str">
        <f>IFERROR(__xludf.DUMMYFUNCTION("""COMPUTED_VALUE"""),"Fundamentals of Cloud Security")</f>
        <v>Fundamentals of Cloud Security</v>
      </c>
      <c r="D1011" s="96" t="str">
        <f>IFERROR(__xludf.DUMMYFUNCTION("""COMPUTED_VALUE"""),"Palo Alto Networks BEACON")</f>
        <v>Palo Alto Networks BEACON</v>
      </c>
      <c r="E1011" s="96" t="str">
        <f>IFERROR(__xludf.DUMMYFUNCTION("""COMPUTED_VALUE"""),"2 weeks")</f>
        <v>2 weeks</v>
      </c>
      <c r="F1011" s="98">
        <f>IFERROR(__xludf.DUMMYFUNCTION("""COMPUTED_VALUE"""),44657.0)</f>
        <v>44657</v>
      </c>
      <c r="G1011" s="98">
        <f>IFERROR(__xludf.DUMMYFUNCTION("""COMPUTED_VALUE"""),44672.0)</f>
        <v>44672</v>
      </c>
      <c r="H1011" s="99">
        <f>IFERROR(__xludf.DUMMYFUNCTION("""COMPUTED_VALUE"""),44672.0)</f>
        <v>44672</v>
      </c>
      <c r="I1011" s="100">
        <f>IFERROR(__xludf.DUMMYFUNCTION("""COMPUTED_VALUE"""),93.0)</f>
        <v>93</v>
      </c>
      <c r="J1011" s="96" t="str">
        <f>IFERROR(__xludf.DUMMYFUNCTION("""COMPUTED_VALUE"""),"Dr. P. Ravi Kiran Varma")</f>
        <v>Dr. P. Ravi Kiran Varma</v>
      </c>
      <c r="K1011" s="101" t="str">
        <f>IFERROR(__xludf.DUMMYFUNCTION("""COMPUTED_VALUE"""),"https://drive.google.com/open?id=12cKxNGzq7BqZblHW8w88_BmTbeLjoEKm")</f>
        <v>https://drive.google.com/open?id=12cKxNGzq7BqZblHW8w88_BmTbeLjoEKm</v>
      </c>
      <c r="L1011" s="96" t="str">
        <f>IFERROR(__xludf.DUMMYFUNCTION("""COMPUTED_VALUE"""),"2019-2023")</f>
        <v>2019-2023</v>
      </c>
      <c r="M1011" s="96" t="str">
        <f>IFERROR(__xludf.DUMMYFUNCTION("""COMPUTED_VALUE"""),"S4: Student Certifications")</f>
        <v>S4: Student Certifications</v>
      </c>
      <c r="N1011" s="96" t="str">
        <f>IFERROR(__xludf.DUMMYFUNCTION("""COMPUTED_VALUE"""),"md116imran@gmail.com")</f>
        <v>md116imran@gmail.com</v>
      </c>
      <c r="O1011" s="96" t="str">
        <f>IFERROR(__xludf.DUMMYFUNCTION("""COMPUTED_VALUE"""),"SEM-6")</f>
        <v>SEM-6</v>
      </c>
      <c r="P1011" s="96"/>
      <c r="Q1011" s="96"/>
      <c r="R1011" s="96"/>
      <c r="S1011" s="96"/>
      <c r="T1011" s="96"/>
      <c r="U1011" s="96"/>
      <c r="V1011" s="96"/>
      <c r="W1011" s="96"/>
      <c r="X1011" s="96"/>
      <c r="Y1011" s="96"/>
    </row>
    <row r="1012" ht="26.25" customHeight="1">
      <c r="A1012" s="96" t="str">
        <f>IFERROR(__xludf.DUMMYFUNCTION("""COMPUTED_VALUE"""),"Mohammed Imran")</f>
        <v>Mohammed Imran</v>
      </c>
      <c r="B1012" s="96" t="str">
        <f>IFERROR(__xludf.DUMMYFUNCTION("""COMPUTED_VALUE"""),"20335A0509")</f>
        <v>20335A0509</v>
      </c>
      <c r="C1012" s="97" t="str">
        <f>IFERROR(__xludf.DUMMYFUNCTION("""COMPUTED_VALUE"""),"Fundamentals of SOC")</f>
        <v>Fundamentals of SOC</v>
      </c>
      <c r="D1012" s="96" t="str">
        <f>IFERROR(__xludf.DUMMYFUNCTION("""COMPUTED_VALUE"""),"Palo Alto Networks BEACON")</f>
        <v>Palo Alto Networks BEACON</v>
      </c>
      <c r="E1012" s="96" t="str">
        <f>IFERROR(__xludf.DUMMYFUNCTION("""COMPUTED_VALUE"""),"2 weeks")</f>
        <v>2 weeks</v>
      </c>
      <c r="F1012" s="98">
        <f>IFERROR(__xludf.DUMMYFUNCTION("""COMPUTED_VALUE"""),44657.0)</f>
        <v>44657</v>
      </c>
      <c r="G1012" s="98">
        <f>IFERROR(__xludf.DUMMYFUNCTION("""COMPUTED_VALUE"""),44673.0)</f>
        <v>44673</v>
      </c>
      <c r="H1012" s="99">
        <f>IFERROR(__xludf.DUMMYFUNCTION("""COMPUTED_VALUE"""),44673.0)</f>
        <v>44673</v>
      </c>
      <c r="I1012" s="100">
        <f>IFERROR(__xludf.DUMMYFUNCTION("""COMPUTED_VALUE"""),97.0)</f>
        <v>97</v>
      </c>
      <c r="J1012" s="96" t="str">
        <f>IFERROR(__xludf.DUMMYFUNCTION("""COMPUTED_VALUE"""),"Dr. P. Ravi Kiran Varma")</f>
        <v>Dr. P. Ravi Kiran Varma</v>
      </c>
      <c r="K1012" s="101" t="str">
        <f>IFERROR(__xludf.DUMMYFUNCTION("""COMPUTED_VALUE"""),"https://drive.google.com/open?id=1rnoDj_3R1iAWUE7VhS_6dYf9d_4Te9hg")</f>
        <v>https://drive.google.com/open?id=1rnoDj_3R1iAWUE7VhS_6dYf9d_4Te9hg</v>
      </c>
      <c r="L1012" s="96" t="str">
        <f>IFERROR(__xludf.DUMMYFUNCTION("""COMPUTED_VALUE"""),"2019-2023")</f>
        <v>2019-2023</v>
      </c>
      <c r="M1012" s="96" t="str">
        <f>IFERROR(__xludf.DUMMYFUNCTION("""COMPUTED_VALUE"""),"S4: Student Certifications")</f>
        <v>S4: Student Certifications</v>
      </c>
      <c r="N1012" s="96" t="str">
        <f>IFERROR(__xludf.DUMMYFUNCTION("""COMPUTED_VALUE"""),"md116imran@gmail.com")</f>
        <v>md116imran@gmail.com</v>
      </c>
      <c r="O1012" s="96" t="str">
        <f>IFERROR(__xludf.DUMMYFUNCTION("""COMPUTED_VALUE"""),"SEM-6")</f>
        <v>SEM-6</v>
      </c>
      <c r="P1012" s="96"/>
      <c r="Q1012" s="96"/>
      <c r="R1012" s="96"/>
      <c r="S1012" s="96"/>
      <c r="T1012" s="96"/>
      <c r="U1012" s="96"/>
      <c r="V1012" s="96"/>
      <c r="W1012" s="96"/>
      <c r="X1012" s="96"/>
      <c r="Y1012" s="96"/>
    </row>
    <row r="1013" ht="26.25" customHeight="1">
      <c r="A1013" s="96" t="str">
        <f>IFERROR(__xludf.DUMMYFUNCTION("""COMPUTED_VALUE"""),"Battu Syam")</f>
        <v>Battu Syam</v>
      </c>
      <c r="B1013" s="96" t="str">
        <f>IFERROR(__xludf.DUMMYFUNCTION("""COMPUTED_VALUE"""),"19331A0514")</f>
        <v>19331A0514</v>
      </c>
      <c r="C1013" s="97" t="str">
        <f>IFERROR(__xludf.DUMMYFUNCTION("""COMPUTED_VALUE"""),"Switching, Routing and wireless essentials")</f>
        <v>Switching, Routing and wireless essentials</v>
      </c>
      <c r="D1013" s="96" t="str">
        <f>IFERROR(__xludf.DUMMYFUNCTION("""COMPUTED_VALUE"""),"Cisco")</f>
        <v>Cisco</v>
      </c>
      <c r="E1013" s="96" t="str">
        <f>IFERROR(__xludf.DUMMYFUNCTION("""COMPUTED_VALUE"""),"19 weeks")</f>
        <v>19 weeks</v>
      </c>
      <c r="F1013" s="98">
        <f>IFERROR(__xludf.DUMMYFUNCTION("""COMPUTED_VALUE"""),44482.0)</f>
        <v>44482</v>
      </c>
      <c r="G1013" s="98">
        <f>IFERROR(__xludf.DUMMYFUNCTION("""COMPUTED_VALUE"""),44605.0)</f>
        <v>44605</v>
      </c>
      <c r="H1013" s="99">
        <f>IFERROR(__xludf.DUMMYFUNCTION("""COMPUTED_VALUE"""),44605.0)</f>
        <v>44605</v>
      </c>
      <c r="I1013" s="100">
        <f>IFERROR(__xludf.DUMMYFUNCTION("""COMPUTED_VALUE"""),86.0)</f>
        <v>86</v>
      </c>
      <c r="J1013" s="96" t="str">
        <f>IFERROR(__xludf.DUMMYFUNCTION("""COMPUTED_VALUE"""),"Dr. Ravi Kiran Varma Penmatsa")</f>
        <v>Dr. Ravi Kiran Varma Penmatsa</v>
      </c>
      <c r="K1013" s="101" t="str">
        <f>IFERROR(__xludf.DUMMYFUNCTION("""COMPUTED_VALUE"""),"https://drive.google.com/open?id=1qZUmrq_9blNoR5XqvoDA1ZDlVLHX2JZU")</f>
        <v>https://drive.google.com/open?id=1qZUmrq_9blNoR5XqvoDA1ZDlVLHX2JZU</v>
      </c>
      <c r="L1013" s="96" t="str">
        <f>IFERROR(__xludf.DUMMYFUNCTION("""COMPUTED_VALUE"""),"2019-2023")</f>
        <v>2019-2023</v>
      </c>
      <c r="M1013" s="96" t="str">
        <f>IFERROR(__xludf.DUMMYFUNCTION("""COMPUTED_VALUE"""),"S4: Student Certifications")</f>
        <v>S4: Student Certifications</v>
      </c>
      <c r="N1013" s="96" t="str">
        <f>IFERROR(__xludf.DUMMYFUNCTION("""COMPUTED_VALUE"""),"shyamkumar113131@gmail.com")</f>
        <v>shyamkumar113131@gmail.com</v>
      </c>
      <c r="O1013" s="96" t="str">
        <f>IFERROR(__xludf.DUMMYFUNCTION("""COMPUTED_VALUE"""),"SEM-6")</f>
        <v>SEM-6</v>
      </c>
      <c r="P1013" s="96"/>
      <c r="Q1013" s="96"/>
      <c r="R1013" s="96"/>
      <c r="S1013" s="96"/>
      <c r="T1013" s="96"/>
      <c r="U1013" s="96"/>
      <c r="V1013" s="96"/>
      <c r="W1013" s="96"/>
      <c r="X1013" s="96"/>
      <c r="Y1013" s="96"/>
    </row>
    <row r="1014" ht="26.25" customHeight="1">
      <c r="A1014" s="96" t="str">
        <f>IFERROR(__xludf.DUMMYFUNCTION("""COMPUTED_VALUE"""),"Battu Syam")</f>
        <v>Battu Syam</v>
      </c>
      <c r="B1014" s="96" t="str">
        <f>IFERROR(__xludf.DUMMYFUNCTION("""COMPUTED_VALUE"""),"19331A0514")</f>
        <v>19331A0514</v>
      </c>
      <c r="C1014" s="97" t="str">
        <f>IFERROR(__xludf.DUMMYFUNCTION("""COMPUTED_VALUE"""),"Programming Essentials in Python")</f>
        <v>Programming Essentials in Python</v>
      </c>
      <c r="D1014" s="96" t="str">
        <f>IFERROR(__xludf.DUMMYFUNCTION("""COMPUTED_VALUE"""),"Cisco")</f>
        <v>Cisco</v>
      </c>
      <c r="E1014" s="96" t="str">
        <f>IFERROR(__xludf.DUMMYFUNCTION("""COMPUTED_VALUE"""),"13 weeks")</f>
        <v>13 weeks</v>
      </c>
      <c r="F1014" s="98">
        <f>IFERROR(__xludf.DUMMYFUNCTION("""COMPUTED_VALUE"""),44212.0)</f>
        <v>44212</v>
      </c>
      <c r="G1014" s="98">
        <f>IFERROR(__xludf.DUMMYFUNCTION("""COMPUTED_VALUE"""),44308.0)</f>
        <v>44308</v>
      </c>
      <c r="H1014" s="99">
        <f>IFERROR(__xludf.DUMMYFUNCTION("""COMPUTED_VALUE"""),44308.0)</f>
        <v>44308</v>
      </c>
      <c r="I1014" s="100">
        <f>IFERROR(__xludf.DUMMYFUNCTION("""COMPUTED_VALUE"""),86.0)</f>
        <v>86</v>
      </c>
      <c r="J1014" s="96" t="str">
        <f>IFERROR(__xludf.DUMMYFUNCTION("""COMPUTED_VALUE"""),"Jayasri sai venkata angara")</f>
        <v>Jayasri sai venkata angara</v>
      </c>
      <c r="K1014" s="101" t="str">
        <f>IFERROR(__xludf.DUMMYFUNCTION("""COMPUTED_VALUE"""),"https://drive.google.com/open?id=1AhrtraA6doa8yzIXt6bSmZSFn4Ia4x4r")</f>
        <v>https://drive.google.com/open?id=1AhrtraA6doa8yzIXt6bSmZSFn4Ia4x4r</v>
      </c>
      <c r="L1014" s="96" t="str">
        <f>IFERROR(__xludf.DUMMYFUNCTION("""COMPUTED_VALUE"""),"2019-2023")</f>
        <v>2019-2023</v>
      </c>
      <c r="M1014" s="96" t="str">
        <f>IFERROR(__xludf.DUMMYFUNCTION("""COMPUTED_VALUE"""),"S4: Student Certifications")</f>
        <v>S4: Student Certifications</v>
      </c>
      <c r="N1014" s="96" t="str">
        <f>IFERROR(__xludf.DUMMYFUNCTION("""COMPUTED_VALUE"""),"shyamkumar113131@gmail.com")</f>
        <v>shyamkumar113131@gmail.com</v>
      </c>
      <c r="O1014" s="96" t="str">
        <f>IFERROR(__xludf.DUMMYFUNCTION("""COMPUTED_VALUE"""),"SEM-6")</f>
        <v>SEM-6</v>
      </c>
      <c r="P1014" s="96"/>
      <c r="Q1014" s="96"/>
      <c r="R1014" s="96"/>
      <c r="S1014" s="96"/>
      <c r="T1014" s="96"/>
      <c r="U1014" s="96"/>
      <c r="V1014" s="96"/>
      <c r="W1014" s="96"/>
      <c r="X1014" s="96"/>
      <c r="Y1014" s="96"/>
    </row>
    <row r="1015" ht="26.25" customHeight="1">
      <c r="A1015" s="96" t="str">
        <f>IFERROR(__xludf.DUMMYFUNCTION("""COMPUTED_VALUE"""),"Battu Syam")</f>
        <v>Battu Syam</v>
      </c>
      <c r="B1015" s="96" t="str">
        <f>IFERROR(__xludf.DUMMYFUNCTION("""COMPUTED_VALUE"""),"19331A0514")</f>
        <v>19331A0514</v>
      </c>
      <c r="C1015" s="97" t="str">
        <f>IFERROR(__xludf.DUMMYFUNCTION("""COMPUTED_VALUE"""),"Introduction to Networks")</f>
        <v>Introduction to Networks</v>
      </c>
      <c r="D1015" s="96" t="str">
        <f>IFERROR(__xludf.DUMMYFUNCTION("""COMPUTED_VALUE"""),"Cisco")</f>
        <v>Cisco</v>
      </c>
      <c r="E1015" s="96" t="str">
        <f>IFERROR(__xludf.DUMMYFUNCTION("""COMPUTED_VALUE"""),"19 weeks")</f>
        <v>19 weeks</v>
      </c>
      <c r="F1015" s="98">
        <f>IFERROR(__xludf.DUMMYFUNCTION("""COMPUTED_VALUE"""),44430.0)</f>
        <v>44430</v>
      </c>
      <c r="G1015" s="98">
        <f>IFERROR(__xludf.DUMMYFUNCTION("""COMPUTED_VALUE"""),44545.0)</f>
        <v>44545</v>
      </c>
      <c r="H1015" s="99">
        <f>IFERROR(__xludf.DUMMYFUNCTION("""COMPUTED_VALUE"""),44545.0)</f>
        <v>44545</v>
      </c>
      <c r="I1015" s="100">
        <f>IFERROR(__xludf.DUMMYFUNCTION("""COMPUTED_VALUE"""),87.0)</f>
        <v>87</v>
      </c>
      <c r="J1015" s="96" t="str">
        <f>IFERROR(__xludf.DUMMYFUNCTION("""COMPUTED_VALUE"""),"Dr. Ravi Kiran Varma Penmatsa")</f>
        <v>Dr. Ravi Kiran Varma Penmatsa</v>
      </c>
      <c r="K1015" s="101" t="str">
        <f>IFERROR(__xludf.DUMMYFUNCTION("""COMPUTED_VALUE"""),"https://drive.google.com/open?id=1KoHPI-_rgVMVjFnsX89pGfsaNATJ_05U")</f>
        <v>https://drive.google.com/open?id=1KoHPI-_rgVMVjFnsX89pGfsaNATJ_05U</v>
      </c>
      <c r="L1015" s="96" t="str">
        <f>IFERROR(__xludf.DUMMYFUNCTION("""COMPUTED_VALUE"""),"2019-2023")</f>
        <v>2019-2023</v>
      </c>
      <c r="M1015" s="96" t="str">
        <f>IFERROR(__xludf.DUMMYFUNCTION("""COMPUTED_VALUE"""),"S4: Student Certifications")</f>
        <v>S4: Student Certifications</v>
      </c>
      <c r="N1015" s="96" t="str">
        <f>IFERROR(__xludf.DUMMYFUNCTION("""COMPUTED_VALUE"""),"shyamkumar113131@gmail.com")</f>
        <v>shyamkumar113131@gmail.com</v>
      </c>
      <c r="O1015" s="96" t="str">
        <f>IFERROR(__xludf.DUMMYFUNCTION("""COMPUTED_VALUE"""),"SEM-6")</f>
        <v>SEM-6</v>
      </c>
      <c r="P1015" s="96"/>
      <c r="Q1015" s="96"/>
      <c r="R1015" s="96"/>
      <c r="S1015" s="96"/>
      <c r="T1015" s="96"/>
      <c r="U1015" s="96"/>
      <c r="V1015" s="96"/>
      <c r="W1015" s="96"/>
      <c r="X1015" s="96"/>
      <c r="Y1015" s="96"/>
    </row>
    <row r="1016" ht="26.25" customHeight="1">
      <c r="A1016" s="96" t="str">
        <f>IFERROR(__xludf.DUMMYFUNCTION("""COMPUTED_VALUE"""),"Battu Syam")</f>
        <v>Battu Syam</v>
      </c>
      <c r="B1016" s="96" t="str">
        <f>IFERROR(__xludf.DUMMYFUNCTION("""COMPUTED_VALUE"""),"19331A0514")</f>
        <v>19331A0514</v>
      </c>
      <c r="C1016" s="97" t="str">
        <f>IFERROR(__xludf.DUMMYFUNCTION("""COMPUTED_VALUE"""),"IT Essentials")</f>
        <v>IT Essentials</v>
      </c>
      <c r="D1016" s="96" t="str">
        <f>IFERROR(__xludf.DUMMYFUNCTION("""COMPUTED_VALUE"""),"Cisco")</f>
        <v>Cisco</v>
      </c>
      <c r="E1016" s="96" t="str">
        <f>IFERROR(__xludf.DUMMYFUNCTION("""COMPUTED_VALUE"""),"13 weeks")</f>
        <v>13 weeks</v>
      </c>
      <c r="F1016" s="98">
        <f>IFERROR(__xludf.DUMMYFUNCTION("""COMPUTED_VALUE"""),43987.0)</f>
        <v>43987</v>
      </c>
      <c r="G1016" s="98">
        <f>IFERROR(__xludf.DUMMYFUNCTION("""COMPUTED_VALUE"""),44087.0)</f>
        <v>44087</v>
      </c>
      <c r="H1016" s="99">
        <f>IFERROR(__xludf.DUMMYFUNCTION("""COMPUTED_VALUE"""),44087.0)</f>
        <v>44087</v>
      </c>
      <c r="I1016" s="100">
        <f>IFERROR(__xludf.DUMMYFUNCTION("""COMPUTED_VALUE"""),86.0)</f>
        <v>86</v>
      </c>
      <c r="J1016" s="96" t="str">
        <f>IFERROR(__xludf.DUMMYFUNCTION("""COMPUTED_VALUE"""),"Dr Suvarna Kumar Gogula")</f>
        <v>Dr Suvarna Kumar Gogula</v>
      </c>
      <c r="K1016" s="101" t="str">
        <f>IFERROR(__xludf.DUMMYFUNCTION("""COMPUTED_VALUE"""),"https://drive.google.com/open?id=1N6w2Osvzhicx1zkq8AH3hUuCIaM5pPPo")</f>
        <v>https://drive.google.com/open?id=1N6w2Osvzhicx1zkq8AH3hUuCIaM5pPPo</v>
      </c>
      <c r="L1016" s="96" t="str">
        <f>IFERROR(__xludf.DUMMYFUNCTION("""COMPUTED_VALUE"""),"2019-2023")</f>
        <v>2019-2023</v>
      </c>
      <c r="M1016" s="96" t="str">
        <f>IFERROR(__xludf.DUMMYFUNCTION("""COMPUTED_VALUE"""),"S4: Student Certifications")</f>
        <v>S4: Student Certifications</v>
      </c>
      <c r="N1016" s="96" t="str">
        <f>IFERROR(__xludf.DUMMYFUNCTION("""COMPUTED_VALUE"""),"shyamkumar113131@gmail.com")</f>
        <v>shyamkumar113131@gmail.com</v>
      </c>
      <c r="O1016" s="96" t="str">
        <f>IFERROR(__xludf.DUMMYFUNCTION("""COMPUTED_VALUE"""),"SEM-6")</f>
        <v>SEM-6</v>
      </c>
      <c r="P1016" s="96"/>
      <c r="Q1016" s="96"/>
      <c r="R1016" s="96"/>
      <c r="S1016" s="96"/>
      <c r="T1016" s="96"/>
      <c r="U1016" s="96"/>
      <c r="V1016" s="96"/>
      <c r="W1016" s="96"/>
      <c r="X1016" s="96"/>
      <c r="Y1016" s="96"/>
    </row>
    <row r="1017" ht="26.25" customHeight="1">
      <c r="A1017" s="74" t="str">
        <f>IFERROR(__xludf.DUMMYFUNCTION("""COMPUTED_VALUE"""),"thatimallaniveditha@gmail.com")</f>
        <v>thatimallaniveditha@gmail.com</v>
      </c>
      <c r="B1017" s="74" t="str">
        <f>IFERROR(__xludf.DUMMYFUNCTION("""COMPUTED_VALUE"""),"19331A05H1")</f>
        <v>19331A05H1</v>
      </c>
      <c r="C1017" s="90" t="str">
        <f>IFERROR(__xludf.DUMMYFUNCTION("""COMPUTED_VALUE"""),"AI For Everyone")</f>
        <v>AI For Everyone</v>
      </c>
      <c r="D1017" s="74" t="str">
        <f>IFERROR(__xludf.DUMMYFUNCTION("""COMPUTED_VALUE"""),"Coursera")</f>
        <v>Coursera</v>
      </c>
      <c r="E1017" s="74" t="str">
        <f>IFERROR(__xludf.DUMMYFUNCTION("""COMPUTED_VALUE"""),"4 weeks ")</f>
        <v>4 weeks </v>
      </c>
      <c r="F1017" s="91">
        <f>IFERROR(__xludf.DUMMYFUNCTION("""COMPUTED_VALUE"""),43925.0)</f>
        <v>43925</v>
      </c>
      <c r="G1017" s="91">
        <f>IFERROR(__xludf.DUMMYFUNCTION("""COMPUTED_VALUE"""),43946.0)</f>
        <v>43946</v>
      </c>
      <c r="H1017" s="79">
        <f>IFERROR(__xludf.DUMMYFUNCTION("""COMPUTED_VALUE"""),43946.0)</f>
        <v>43946</v>
      </c>
      <c r="I1017" s="92">
        <f>IFERROR(__xludf.DUMMYFUNCTION("""COMPUTED_VALUE"""),0.9)</f>
        <v>0.9</v>
      </c>
      <c r="J1017" s="74" t="str">
        <f>IFERROR(__xludf.DUMMYFUNCTION("""COMPUTED_VALUE"""),"Prof. Andrew Neg")</f>
        <v>Prof. Andrew Neg</v>
      </c>
      <c r="K1017" s="80" t="str">
        <f>IFERROR(__xludf.DUMMYFUNCTION("""COMPUTED_VALUE"""),"https://drive.google.com/open?id=1hrqCfJA5AjCyLObjEWAEKbCaDsDxXpo8")</f>
        <v>https://drive.google.com/open?id=1hrqCfJA5AjCyLObjEWAEKbCaDsDxXpo8</v>
      </c>
      <c r="L1017" s="74" t="str">
        <f>IFERROR(__xludf.DUMMYFUNCTION("""COMPUTED_VALUE"""),"2019-2023")</f>
        <v>2019-2023</v>
      </c>
      <c r="M1017" s="74" t="str">
        <f>IFERROR(__xludf.DUMMYFUNCTION("""COMPUTED_VALUE"""),"S4: Student Certifications")</f>
        <v>S4: Student Certifications</v>
      </c>
      <c r="N1017" s="74" t="str">
        <f>IFERROR(__xludf.DUMMYFUNCTION("""COMPUTED_VALUE"""),"thatimallaniveditha@gmail.com")</f>
        <v>thatimallaniveditha@gmail.com</v>
      </c>
      <c r="O1017" s="74" t="str">
        <f>IFERROR(__xludf.DUMMYFUNCTION("""COMPUTED_VALUE"""),"SEM-2")</f>
        <v>SEM-2</v>
      </c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</row>
    <row r="1018" ht="26.25" customHeight="1">
      <c r="A1018" s="74" t="str">
        <f>IFERROR(__xludf.DUMMYFUNCTION("""COMPUTED_VALUE"""),"Thatimalla Niveditha")</f>
        <v>Thatimalla Niveditha</v>
      </c>
      <c r="B1018" s="74" t="str">
        <f>IFERROR(__xludf.DUMMYFUNCTION("""COMPUTED_VALUE"""),"19331A05H1")</f>
        <v>19331A05H1</v>
      </c>
      <c r="C1018" s="90" t="str">
        <f>IFERROR(__xludf.DUMMYFUNCTION("""COMPUTED_VALUE"""),"Work Smarter, Not Harder: Time Management for Personal and Professional Productivity")</f>
        <v>Work Smarter, Not Harder: Time Management for Personal and Professional Productivity</v>
      </c>
      <c r="D1018" s="74" t="str">
        <f>IFERROR(__xludf.DUMMYFUNCTION("""COMPUTED_VALUE"""),"Coursera ")</f>
        <v>Coursera </v>
      </c>
      <c r="E1018" s="74" t="str">
        <f>IFERROR(__xludf.DUMMYFUNCTION("""COMPUTED_VALUE"""),"4 weeks")</f>
        <v>4 weeks</v>
      </c>
      <c r="F1018" s="91">
        <f>IFERROR(__xludf.DUMMYFUNCTION("""COMPUTED_VALUE"""),43942.0)</f>
        <v>43942</v>
      </c>
      <c r="G1018" s="91">
        <f>IFERROR(__xludf.DUMMYFUNCTION("""COMPUTED_VALUE"""),43963.0)</f>
        <v>43963</v>
      </c>
      <c r="H1018" s="79">
        <f>IFERROR(__xludf.DUMMYFUNCTION("""COMPUTED_VALUE"""),43963.0)</f>
        <v>43963</v>
      </c>
      <c r="I1018" s="92">
        <f>IFERROR(__xludf.DUMMYFUNCTION("""COMPUTED_VALUE"""),0.8)</f>
        <v>0.8</v>
      </c>
      <c r="J1018" s="74" t="str">
        <f>IFERROR(__xludf.DUMMYFUNCTION("""COMPUTED_VALUE"""),"Margret Meloni")</f>
        <v>Margret Meloni</v>
      </c>
      <c r="K1018" s="80" t="str">
        <f>IFERROR(__xludf.DUMMYFUNCTION("""COMPUTED_VALUE"""),"https://drive.google.com/open?id=1rG4EJ1Xqc-6fR1N43YSCpAQDK6l260v-")</f>
        <v>https://drive.google.com/open?id=1rG4EJ1Xqc-6fR1N43YSCpAQDK6l260v-</v>
      </c>
      <c r="L1018" s="74" t="str">
        <f>IFERROR(__xludf.DUMMYFUNCTION("""COMPUTED_VALUE"""),"2019-2023")</f>
        <v>2019-2023</v>
      </c>
      <c r="M1018" s="74" t="str">
        <f>IFERROR(__xludf.DUMMYFUNCTION("""COMPUTED_VALUE"""),"S4: Student Certifications")</f>
        <v>S4: Student Certifications</v>
      </c>
      <c r="N1018" s="74" t="str">
        <f>IFERROR(__xludf.DUMMYFUNCTION("""COMPUTED_VALUE"""),"thatimallaniveditha@gmail.com")</f>
        <v>thatimallaniveditha@gmail.com</v>
      </c>
      <c r="O1018" s="74" t="str">
        <f>IFERROR(__xludf.DUMMYFUNCTION("""COMPUTED_VALUE"""),"SEM-2")</f>
        <v>SEM-2</v>
      </c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</row>
    <row r="1019" ht="26.25" customHeight="1">
      <c r="A1019" s="74" t="str">
        <f>IFERROR(__xludf.DUMMYFUNCTION("""COMPUTED_VALUE"""),"Thatimalla Niveditha")</f>
        <v>Thatimalla Niveditha</v>
      </c>
      <c r="B1019" s="74" t="str">
        <f>IFERROR(__xludf.DUMMYFUNCTION("""COMPUTED_VALUE"""),"19331A05H1")</f>
        <v>19331A05H1</v>
      </c>
      <c r="C1019" s="90" t="str">
        <f>IFERROR(__xludf.DUMMYFUNCTION("""COMPUTED_VALUE"""),"What is Data Science?")</f>
        <v>What is Data Science?</v>
      </c>
      <c r="D1019" s="74" t="str">
        <f>IFERROR(__xludf.DUMMYFUNCTION("""COMPUTED_VALUE"""),"Coursera")</f>
        <v>Coursera</v>
      </c>
      <c r="E1019" s="74" t="str">
        <f>IFERROR(__xludf.DUMMYFUNCTION("""COMPUTED_VALUE"""),"5 weeks")</f>
        <v>5 weeks</v>
      </c>
      <c r="F1019" s="91">
        <f>IFERROR(__xludf.DUMMYFUNCTION("""COMPUTED_VALUE"""),43934.0)</f>
        <v>43934</v>
      </c>
      <c r="G1019" s="91">
        <f>IFERROR(__xludf.DUMMYFUNCTION("""COMPUTED_VALUE"""),43961.0)</f>
        <v>43961</v>
      </c>
      <c r="H1019" s="79">
        <f>IFERROR(__xludf.DUMMYFUNCTION("""COMPUTED_VALUE"""),43961.0)</f>
        <v>43961</v>
      </c>
      <c r="I1019" s="92">
        <f>IFERROR(__xludf.DUMMYFUNCTION("""COMPUTED_VALUE"""),0.93)</f>
        <v>0.93</v>
      </c>
      <c r="J1019" s="74" t="str">
        <f>IFERROR(__xludf.DUMMYFUNCTION("""COMPUTED_VALUE"""),"Alex Aklson, Poling Lin")</f>
        <v>Alex Aklson, Poling Lin</v>
      </c>
      <c r="K1019" s="80" t="str">
        <f>IFERROR(__xludf.DUMMYFUNCTION("""COMPUTED_VALUE"""),"https://drive.google.com/open?id=1hknPXsRfJdlZwtzV7qvCc7FQEiMuUG3Q")</f>
        <v>https://drive.google.com/open?id=1hknPXsRfJdlZwtzV7qvCc7FQEiMuUG3Q</v>
      </c>
      <c r="L1019" s="74" t="str">
        <f>IFERROR(__xludf.DUMMYFUNCTION("""COMPUTED_VALUE"""),"2019-2023")</f>
        <v>2019-2023</v>
      </c>
      <c r="M1019" s="74" t="str">
        <f>IFERROR(__xludf.DUMMYFUNCTION("""COMPUTED_VALUE"""),"S4: Student Certifications")</f>
        <v>S4: Student Certifications</v>
      </c>
      <c r="N1019" s="74" t="str">
        <f>IFERROR(__xludf.DUMMYFUNCTION("""COMPUTED_VALUE"""),"thatimallaniveditha@gmail.com")</f>
        <v>thatimallaniveditha@gmail.com</v>
      </c>
      <c r="O1019" s="74" t="str">
        <f>IFERROR(__xludf.DUMMYFUNCTION("""COMPUTED_VALUE"""),"SEM-2")</f>
        <v>SEM-2</v>
      </c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</row>
    <row r="1020" ht="26.25" customHeight="1">
      <c r="A1020" s="74" t="str">
        <f>IFERROR(__xludf.DUMMYFUNCTION("""COMPUTED_VALUE"""),"Thatimalla Niveditha")</f>
        <v>Thatimalla Niveditha</v>
      </c>
      <c r="B1020" s="74" t="str">
        <f>IFERROR(__xludf.DUMMYFUNCTION("""COMPUTED_VALUE"""),"19331A05H1")</f>
        <v>19331A05H1</v>
      </c>
      <c r="C1020" s="90" t="str">
        <f>IFERROR(__xludf.DUMMYFUNCTION("""COMPUTED_VALUE"""),"Haryana Culture and History")</f>
        <v>Haryana Culture and History</v>
      </c>
      <c r="D1020" s="74" t="str">
        <f>IFERROR(__xludf.DUMMYFUNCTION("""COMPUTED_VALUE"""),"Indira Priyadarshini Government Degree College")</f>
        <v>Indira Priyadarshini Government Degree College</v>
      </c>
      <c r="E1020" s="74" t="str">
        <f>IFERROR(__xludf.DUMMYFUNCTION("""COMPUTED_VALUE"""),"1 day")</f>
        <v>1 day</v>
      </c>
      <c r="F1020" s="91">
        <f>IFERROR(__xludf.DUMMYFUNCTION("""COMPUTED_VALUE"""),43991.0)</f>
        <v>43991</v>
      </c>
      <c r="G1020" s="91">
        <f>IFERROR(__xludf.DUMMYFUNCTION("""COMPUTED_VALUE"""),43991.0)</f>
        <v>43991</v>
      </c>
      <c r="H1020" s="79">
        <f>IFERROR(__xludf.DUMMYFUNCTION("""COMPUTED_VALUE"""),43991.0)</f>
        <v>43991</v>
      </c>
      <c r="I1020" s="92">
        <f>IFERROR(__xludf.DUMMYFUNCTION("""COMPUTED_VALUE"""),0.8)</f>
        <v>0.8</v>
      </c>
      <c r="J1020" s="74" t="str">
        <f>IFERROR(__xludf.DUMMYFUNCTION("""COMPUTED_VALUE"""),"Dr. D.Varalakshmi")</f>
        <v>Dr. D.Varalakshmi</v>
      </c>
      <c r="K1020" s="80" t="str">
        <f>IFERROR(__xludf.DUMMYFUNCTION("""COMPUTED_VALUE"""),"https://drive.google.com/open?id=1ceV13wAPYZ7S8U9qFZ6lUfAO6y-dF4Du")</f>
        <v>https://drive.google.com/open?id=1ceV13wAPYZ7S8U9qFZ6lUfAO6y-dF4Du</v>
      </c>
      <c r="L1020" s="74" t="str">
        <f>IFERROR(__xludf.DUMMYFUNCTION("""COMPUTED_VALUE"""),"2019-2023")</f>
        <v>2019-2023</v>
      </c>
      <c r="M1020" s="74" t="str">
        <f>IFERROR(__xludf.DUMMYFUNCTION("""COMPUTED_VALUE"""),"S4: Student Certifications")</f>
        <v>S4: Student Certifications</v>
      </c>
      <c r="N1020" s="74" t="str">
        <f>IFERROR(__xludf.DUMMYFUNCTION("""COMPUTED_VALUE"""),"thatimallaniveditha@gmail.com")</f>
        <v>thatimallaniveditha@gmail.com</v>
      </c>
      <c r="O1020" s="74" t="str">
        <f>IFERROR(__xludf.DUMMYFUNCTION("""COMPUTED_VALUE"""),"SEM-2")</f>
        <v>SEM-2</v>
      </c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</row>
    <row r="1021" ht="26.25" customHeight="1">
      <c r="A1021" s="74" t="str">
        <f>IFERROR(__xludf.DUMMYFUNCTION("""COMPUTED_VALUE"""),"Thatimalla Niveditha")</f>
        <v>Thatimalla Niveditha</v>
      </c>
      <c r="B1021" s="74" t="str">
        <f>IFERROR(__xludf.DUMMYFUNCTION("""COMPUTED_VALUE"""),"19331A05H1")</f>
        <v>19331A05H1</v>
      </c>
      <c r="C1021" s="90" t="str">
        <f>IFERROR(__xludf.DUMMYFUNCTION("""COMPUTED_VALUE"""),"Programming for Everybody ( Getting started with python)")</f>
        <v>Programming for Everybody ( Getting started with python)</v>
      </c>
      <c r="D1021" s="74" t="str">
        <f>IFERROR(__xludf.DUMMYFUNCTION("""COMPUTED_VALUE"""),"Coursera")</f>
        <v>Coursera</v>
      </c>
      <c r="E1021" s="74" t="str">
        <f>IFERROR(__xludf.DUMMYFUNCTION("""COMPUTED_VALUE"""),"6 weeks")</f>
        <v>6 weeks</v>
      </c>
      <c r="F1021" s="91">
        <f>IFERROR(__xludf.DUMMYFUNCTION("""COMPUTED_VALUE"""),43965.0)</f>
        <v>43965</v>
      </c>
      <c r="G1021" s="91">
        <f>IFERROR(__xludf.DUMMYFUNCTION("""COMPUTED_VALUE"""),43993.0)</f>
        <v>43993</v>
      </c>
      <c r="H1021" s="79">
        <f>IFERROR(__xludf.DUMMYFUNCTION("""COMPUTED_VALUE"""),43993.0)</f>
        <v>43993</v>
      </c>
      <c r="I1021" s="92">
        <f>IFERROR(__xludf.DUMMYFUNCTION("""COMPUTED_VALUE"""),0.9)</f>
        <v>0.9</v>
      </c>
      <c r="J1021" s="74" t="str">
        <f>IFERROR(__xludf.DUMMYFUNCTION("""COMPUTED_VALUE"""),"Charles Severance")</f>
        <v>Charles Severance</v>
      </c>
      <c r="K1021" s="80" t="str">
        <f>IFERROR(__xludf.DUMMYFUNCTION("""COMPUTED_VALUE"""),"https://drive.google.com/open?id=1H3GoFLxf1VSUhJsEW6gQaKHKp4ZMIhts")</f>
        <v>https://drive.google.com/open?id=1H3GoFLxf1VSUhJsEW6gQaKHKp4ZMIhts</v>
      </c>
      <c r="L1021" s="74" t="str">
        <f>IFERROR(__xludf.DUMMYFUNCTION("""COMPUTED_VALUE"""),"2019-2023")</f>
        <v>2019-2023</v>
      </c>
      <c r="M1021" s="74" t="str">
        <f>IFERROR(__xludf.DUMMYFUNCTION("""COMPUTED_VALUE"""),"S4: Student Certifications")</f>
        <v>S4: Student Certifications</v>
      </c>
      <c r="N1021" s="74" t="str">
        <f>IFERROR(__xludf.DUMMYFUNCTION("""COMPUTED_VALUE"""),"thatimallaniveditha@gmail.com")</f>
        <v>thatimallaniveditha@gmail.com</v>
      </c>
      <c r="O1021" s="74" t="str">
        <f>IFERROR(__xludf.DUMMYFUNCTION("""COMPUTED_VALUE"""),"SEM-2")</f>
        <v>SEM-2</v>
      </c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</row>
    <row r="1022" ht="26.25" customHeight="1">
      <c r="A1022" s="74" t="str">
        <f>IFERROR(__xludf.DUMMYFUNCTION("""COMPUTED_VALUE"""),"Thatimalla Niveditha")</f>
        <v>Thatimalla Niveditha</v>
      </c>
      <c r="B1022" s="74" t="str">
        <f>IFERROR(__xludf.DUMMYFUNCTION("""COMPUTED_VALUE"""),"19331A05H1")</f>
        <v>19331A05H1</v>
      </c>
      <c r="C1022" s="90" t="str">
        <f>IFERROR(__xludf.DUMMYFUNCTION("""COMPUTED_VALUE"""),"AWS Fundamentals: Going Cloud - Native")</f>
        <v>AWS Fundamentals: Going Cloud - Native</v>
      </c>
      <c r="D1022" s="74" t="str">
        <f>IFERROR(__xludf.DUMMYFUNCTION("""COMPUTED_VALUE"""),"Coursera")</f>
        <v>Coursera</v>
      </c>
      <c r="E1022" s="74" t="str">
        <f>IFERROR(__xludf.DUMMYFUNCTION("""COMPUTED_VALUE"""),"5 weeks")</f>
        <v>5 weeks</v>
      </c>
      <c r="F1022" s="91">
        <f>IFERROR(__xludf.DUMMYFUNCTION("""COMPUTED_VALUE"""),43952.0)</f>
        <v>43952</v>
      </c>
      <c r="G1022" s="91">
        <f>IFERROR(__xludf.DUMMYFUNCTION("""COMPUTED_VALUE"""),43980.0)</f>
        <v>43980</v>
      </c>
      <c r="H1022" s="79">
        <f>IFERROR(__xludf.DUMMYFUNCTION("""COMPUTED_VALUE"""),43980.0)</f>
        <v>43980</v>
      </c>
      <c r="I1022" s="92">
        <f>IFERROR(__xludf.DUMMYFUNCTION("""COMPUTED_VALUE"""),0.85)</f>
        <v>0.85</v>
      </c>
      <c r="J1022" s="74" t="str">
        <f>IFERROR(__xludf.DUMMYFUNCTION("""COMPUTED_VALUE"""),"Allen Goldberg, Morgan Willis, Blaine Sundrud")</f>
        <v>Allen Goldberg, Morgan Willis, Blaine Sundrud</v>
      </c>
      <c r="K1022" s="80" t="str">
        <f>IFERROR(__xludf.DUMMYFUNCTION("""COMPUTED_VALUE"""),"https://drive.google.com/open?id=1ikb4RUMybXGnR6eEBvygdkV4omPEt9s3")</f>
        <v>https://drive.google.com/open?id=1ikb4RUMybXGnR6eEBvygdkV4omPEt9s3</v>
      </c>
      <c r="L1022" s="74" t="str">
        <f>IFERROR(__xludf.DUMMYFUNCTION("""COMPUTED_VALUE"""),"2019-2023")</f>
        <v>2019-2023</v>
      </c>
      <c r="M1022" s="74" t="str">
        <f>IFERROR(__xludf.DUMMYFUNCTION("""COMPUTED_VALUE"""),"S4: Student Certifications")</f>
        <v>S4: Student Certifications</v>
      </c>
      <c r="N1022" s="74" t="str">
        <f>IFERROR(__xludf.DUMMYFUNCTION("""COMPUTED_VALUE"""),"thatimallaniveditha@gmail.com")</f>
        <v>thatimallaniveditha@gmail.com</v>
      </c>
      <c r="O1022" s="74" t="str">
        <f>IFERROR(__xludf.DUMMYFUNCTION("""COMPUTED_VALUE"""),"SEM-2")</f>
        <v>SEM-2</v>
      </c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</row>
    <row r="1023" ht="26.25" customHeight="1">
      <c r="A1023" s="74" t="str">
        <f>IFERROR(__xludf.DUMMYFUNCTION("""COMPUTED_VALUE"""),"Thatimalla Niveditha")</f>
        <v>Thatimalla Niveditha</v>
      </c>
      <c r="B1023" s="74" t="str">
        <f>IFERROR(__xludf.DUMMYFUNCTION("""COMPUTED_VALUE"""),"19331A05H1")</f>
        <v>19331A05H1</v>
      </c>
      <c r="C1023" s="90" t="str">
        <f>IFERROR(__xludf.DUMMYFUNCTION("""COMPUTED_VALUE"""),"Python Data Structures")</f>
        <v>Python Data Structures</v>
      </c>
      <c r="D1023" s="74" t="str">
        <f>IFERROR(__xludf.DUMMYFUNCTION("""COMPUTED_VALUE"""),"Coursera")</f>
        <v>Coursera</v>
      </c>
      <c r="E1023" s="74" t="str">
        <f>IFERROR(__xludf.DUMMYFUNCTION("""COMPUTED_VALUE"""),"6 weeks")</f>
        <v>6 weeks</v>
      </c>
      <c r="F1023" s="91">
        <f>IFERROR(__xludf.DUMMYFUNCTION("""COMPUTED_VALUE"""),43969.0)</f>
        <v>43969</v>
      </c>
      <c r="G1023" s="91">
        <f>IFERROR(__xludf.DUMMYFUNCTION("""COMPUTED_VALUE"""),44003.0)</f>
        <v>44003</v>
      </c>
      <c r="H1023" s="79">
        <f>IFERROR(__xludf.DUMMYFUNCTION("""COMPUTED_VALUE"""),44003.0)</f>
        <v>44003</v>
      </c>
      <c r="I1023" s="92">
        <f>IFERROR(__xludf.DUMMYFUNCTION("""COMPUTED_VALUE"""),0.9)</f>
        <v>0.9</v>
      </c>
      <c r="J1023" s="74" t="str">
        <f>IFERROR(__xludf.DUMMYFUNCTION("""COMPUTED_VALUE"""),"Charles Severance")</f>
        <v>Charles Severance</v>
      </c>
      <c r="K1023" s="80" t="str">
        <f>IFERROR(__xludf.DUMMYFUNCTION("""COMPUTED_VALUE"""),"https://drive.google.com/open?id=1wnMLJ67bhw6ZTJBz1hgDD6ApPWB6xovl")</f>
        <v>https://drive.google.com/open?id=1wnMLJ67bhw6ZTJBz1hgDD6ApPWB6xovl</v>
      </c>
      <c r="L1023" s="74" t="str">
        <f>IFERROR(__xludf.DUMMYFUNCTION("""COMPUTED_VALUE"""),"2019-2023")</f>
        <v>2019-2023</v>
      </c>
      <c r="M1023" s="74" t="str">
        <f>IFERROR(__xludf.DUMMYFUNCTION("""COMPUTED_VALUE"""),"S4: Student Certifications")</f>
        <v>S4: Student Certifications</v>
      </c>
      <c r="N1023" s="74" t="str">
        <f>IFERROR(__xludf.DUMMYFUNCTION("""COMPUTED_VALUE"""),"thatimallaniveditha@gmail.com")</f>
        <v>thatimallaniveditha@gmail.com</v>
      </c>
      <c r="O1023" s="74" t="str">
        <f>IFERROR(__xludf.DUMMYFUNCTION("""COMPUTED_VALUE"""),"SEM-3")</f>
        <v>SEM-3</v>
      </c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</row>
    <row r="1024" ht="26.25" customHeight="1">
      <c r="A1024" s="74" t="str">
        <f>IFERROR(__xludf.DUMMYFUNCTION("""COMPUTED_VALUE"""),"Thatimalla Niveditha")</f>
        <v>Thatimalla Niveditha</v>
      </c>
      <c r="B1024" s="74" t="str">
        <f>IFERROR(__xludf.DUMMYFUNCTION("""COMPUTED_VALUE"""),"19331A05H1")</f>
        <v>19331A05H1</v>
      </c>
      <c r="C1024" s="90" t="str">
        <f>IFERROR(__xludf.DUMMYFUNCTION("""COMPUTED_VALUE"""),"Information Security: Context and Introduction")</f>
        <v>Information Security: Context and Introduction</v>
      </c>
      <c r="D1024" s="74" t="str">
        <f>IFERROR(__xludf.DUMMYFUNCTION("""COMPUTED_VALUE"""),"Coursera")</f>
        <v>Coursera</v>
      </c>
      <c r="E1024" s="74" t="str">
        <f>IFERROR(__xludf.DUMMYFUNCTION("""COMPUTED_VALUE"""),"5 weeks")</f>
        <v>5 weeks</v>
      </c>
      <c r="F1024" s="91">
        <f>IFERROR(__xludf.DUMMYFUNCTION("""COMPUTED_VALUE"""),44063.0)</f>
        <v>44063</v>
      </c>
      <c r="G1024" s="91">
        <f>IFERROR(__xludf.DUMMYFUNCTION("""COMPUTED_VALUE"""),44091.0)</f>
        <v>44091</v>
      </c>
      <c r="H1024" s="79">
        <f>IFERROR(__xludf.DUMMYFUNCTION("""COMPUTED_VALUE"""),44091.0)</f>
        <v>44091</v>
      </c>
      <c r="I1024" s="92">
        <f>IFERROR(__xludf.DUMMYFUNCTION("""COMPUTED_VALUE"""),0.85)</f>
        <v>0.85</v>
      </c>
      <c r="J1024" s="74" t="str">
        <f>IFERROR(__xludf.DUMMYFUNCTION("""COMPUTED_VALUE"""),"Peter Kominsarczuk")</f>
        <v>Peter Kominsarczuk</v>
      </c>
      <c r="K1024" s="80" t="str">
        <f>IFERROR(__xludf.DUMMYFUNCTION("""COMPUTED_VALUE"""),"https://drive.google.com/open?id=1c4QTkDb4JK63IsWzeuGGX2Jq9Swy5QiJ")</f>
        <v>https://drive.google.com/open?id=1c4QTkDb4JK63IsWzeuGGX2Jq9Swy5QiJ</v>
      </c>
      <c r="L1024" s="74" t="str">
        <f>IFERROR(__xludf.DUMMYFUNCTION("""COMPUTED_VALUE"""),"2019-2023")</f>
        <v>2019-2023</v>
      </c>
      <c r="M1024" s="74" t="str">
        <f>IFERROR(__xludf.DUMMYFUNCTION("""COMPUTED_VALUE"""),"S4: Student Certifications")</f>
        <v>S4: Student Certifications</v>
      </c>
      <c r="N1024" s="74" t="str">
        <f>IFERROR(__xludf.DUMMYFUNCTION("""COMPUTED_VALUE"""),"thatimallaniveditha@gmail.com")</f>
        <v>thatimallaniveditha@gmail.com</v>
      </c>
      <c r="O1024" s="74" t="str">
        <f>IFERROR(__xludf.DUMMYFUNCTION("""COMPUTED_VALUE"""),"SEM-3")</f>
        <v>SEM-3</v>
      </c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</row>
    <row r="1025" ht="26.25" customHeight="1">
      <c r="A1025" s="74" t="str">
        <f>IFERROR(__xludf.DUMMYFUNCTION("""COMPUTED_VALUE"""),"Thatimalla Niveditha")</f>
        <v>Thatimalla Niveditha</v>
      </c>
      <c r="B1025" s="74" t="str">
        <f>IFERROR(__xludf.DUMMYFUNCTION("""COMPUTED_VALUE"""),"19331A05H1")</f>
        <v>19331A05H1</v>
      </c>
      <c r="C1025" s="90" t="str">
        <f>IFERROR(__xludf.DUMMYFUNCTION("""COMPUTED_VALUE"""),"Cybersecurity Roles, Process and Operating System Security")</f>
        <v>Cybersecurity Roles, Process and Operating System Security</v>
      </c>
      <c r="D1025" s="74" t="str">
        <f>IFERROR(__xludf.DUMMYFUNCTION("""COMPUTED_VALUE"""),"Coursera")</f>
        <v>Coursera</v>
      </c>
      <c r="E1025" s="74" t="str">
        <f>IFERROR(__xludf.DUMMYFUNCTION("""COMPUTED_VALUE"""),"5 weeks")</f>
        <v>5 weeks</v>
      </c>
      <c r="F1025" s="91">
        <f>IFERROR(__xludf.DUMMYFUNCTION("""COMPUTED_VALUE"""),44062.0)</f>
        <v>44062</v>
      </c>
      <c r="G1025" s="91">
        <f>IFERROR(__xludf.DUMMYFUNCTION("""COMPUTED_VALUE"""),44093.0)</f>
        <v>44093</v>
      </c>
      <c r="H1025" s="79">
        <f>IFERROR(__xludf.DUMMYFUNCTION("""COMPUTED_VALUE"""),44093.0)</f>
        <v>44093</v>
      </c>
      <c r="I1025" s="92">
        <f>IFERROR(__xludf.DUMMYFUNCTION("""COMPUTED_VALUE"""),0.87)</f>
        <v>0.87</v>
      </c>
      <c r="J1025" s="74" t="str">
        <f>IFERROR(__xludf.DUMMYFUNCTION("""COMPUTED_VALUE"""),"Coreen Ryskamp")</f>
        <v>Coreen Ryskamp</v>
      </c>
      <c r="K1025" s="80" t="str">
        <f>IFERROR(__xludf.DUMMYFUNCTION("""COMPUTED_VALUE"""),"https://drive.google.com/open?id=1siFrthDb3_pp7kC3mZ87xF-pvvmnD2M2")</f>
        <v>https://drive.google.com/open?id=1siFrthDb3_pp7kC3mZ87xF-pvvmnD2M2</v>
      </c>
      <c r="L1025" s="74" t="str">
        <f>IFERROR(__xludf.DUMMYFUNCTION("""COMPUTED_VALUE"""),"2019-2023")</f>
        <v>2019-2023</v>
      </c>
      <c r="M1025" s="74" t="str">
        <f>IFERROR(__xludf.DUMMYFUNCTION("""COMPUTED_VALUE"""),"S4: Student Certifications")</f>
        <v>S4: Student Certifications</v>
      </c>
      <c r="N1025" s="74" t="str">
        <f>IFERROR(__xludf.DUMMYFUNCTION("""COMPUTED_VALUE"""),"thatimallaniveditha@gmail.com")</f>
        <v>thatimallaniveditha@gmail.com</v>
      </c>
      <c r="O1025" s="74" t="str">
        <f>IFERROR(__xludf.DUMMYFUNCTION("""COMPUTED_VALUE"""),"SEM-3")</f>
        <v>SEM-3</v>
      </c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</row>
    <row r="1026" ht="26.25" customHeight="1">
      <c r="A1026" s="96" t="str">
        <f>IFERROR(__xludf.DUMMYFUNCTION("""COMPUTED_VALUE"""),"SAI CHETANA PRIYA SUREDDI")</f>
        <v>SAI CHETANA PRIYA SUREDDI</v>
      </c>
      <c r="B1026" s="96" t="str">
        <f>IFERROR(__xludf.DUMMYFUNCTION("""COMPUTED_VALUE"""),"19331A05G7")</f>
        <v>19331A05G7</v>
      </c>
      <c r="C1026" s="97" t="str">
        <f>IFERROR(__xludf.DUMMYFUNCTION("""COMPUTED_VALUE"""),"ARTIFICIAL INTELLIGENCE CONCEPTS")</f>
        <v>ARTIFICIAL INTELLIGENCE CONCEPTS</v>
      </c>
      <c r="D1026" s="96" t="str">
        <f>IFERROR(__xludf.DUMMYFUNCTION("""COMPUTED_VALUE"""),"Udemy")</f>
        <v>Udemy</v>
      </c>
      <c r="E1026" s="96" t="str">
        <f>IFERROR(__xludf.DUMMYFUNCTION("""COMPUTED_VALUE"""),"2.5 hours")</f>
        <v>2.5 hours</v>
      </c>
      <c r="F1026" s="98">
        <f>IFERROR(__xludf.DUMMYFUNCTION("""COMPUTED_VALUE"""),44663.0)</f>
        <v>44663</v>
      </c>
      <c r="G1026" s="98">
        <f>IFERROR(__xludf.DUMMYFUNCTION("""COMPUTED_VALUE"""),44664.0)</f>
        <v>44664</v>
      </c>
      <c r="H1026" s="99">
        <f>IFERROR(__xludf.DUMMYFUNCTION("""COMPUTED_VALUE"""),44664.0)</f>
        <v>44664</v>
      </c>
      <c r="I1026" s="100">
        <f>IFERROR(__xludf.DUMMYFUNCTION("""COMPUTED_VALUE"""),0.9)</f>
        <v>0.9</v>
      </c>
      <c r="J1026" s="96" t="str">
        <f>IFERROR(__xludf.DUMMYFUNCTION("""COMPUTED_VALUE"""),"Spotflock education ")</f>
        <v>Spotflock education </v>
      </c>
      <c r="K1026" s="101" t="str">
        <f>IFERROR(__xludf.DUMMYFUNCTION("""COMPUTED_VALUE"""),"https://drive.google.com/open?id=1Q_PzrBMt35JhtEoFNSvcFowFAcCrPUcQ")</f>
        <v>https://drive.google.com/open?id=1Q_PzrBMt35JhtEoFNSvcFowFAcCrPUcQ</v>
      </c>
      <c r="L1026" s="96" t="str">
        <f>IFERROR(__xludf.DUMMYFUNCTION("""COMPUTED_VALUE"""),"2019-2023")</f>
        <v>2019-2023</v>
      </c>
      <c r="M1026" s="96" t="str">
        <f>IFERROR(__xludf.DUMMYFUNCTION("""COMPUTED_VALUE"""),"S4: Student Certifications")</f>
        <v>S4: Student Certifications</v>
      </c>
      <c r="N1026" s="96" t="str">
        <f>IFERROR(__xludf.DUMMYFUNCTION("""COMPUTED_VALUE"""),"chetana6006@gmail.com")</f>
        <v>chetana6006@gmail.com</v>
      </c>
      <c r="O1026" s="96" t="str">
        <f>IFERROR(__xludf.DUMMYFUNCTION("""COMPUTED_VALUE"""),"SEM-6")</f>
        <v>SEM-6</v>
      </c>
      <c r="P1026" s="96"/>
      <c r="Q1026" s="96"/>
      <c r="R1026" s="96"/>
      <c r="S1026" s="96"/>
      <c r="T1026" s="96"/>
      <c r="U1026" s="96"/>
      <c r="V1026" s="96"/>
      <c r="W1026" s="96"/>
      <c r="X1026" s="96"/>
      <c r="Y1026" s="96"/>
    </row>
    <row r="1027" ht="26.25" customHeight="1">
      <c r="A1027" s="78" t="str">
        <f>IFERROR(__xludf.DUMMYFUNCTION("""COMPUTED_VALUE"""),"Thatimalla Niveditha")</f>
        <v>Thatimalla Niveditha</v>
      </c>
      <c r="B1027" s="78" t="str">
        <f>IFERROR(__xludf.DUMMYFUNCTION("""COMPUTED_VALUE"""),"19331A05H1")</f>
        <v>19331A05H1</v>
      </c>
      <c r="C1027" s="93" t="str">
        <f>IFERROR(__xludf.DUMMYFUNCTION("""COMPUTED_VALUE"""),"MyNEP Quiz Compitition")</f>
        <v>MyNEP Quiz Compitition</v>
      </c>
      <c r="D1027" s="78" t="str">
        <f>IFERROR(__xludf.DUMMYFUNCTION("""COMPUTED_VALUE"""),"MyNEP")</f>
        <v>MyNEP</v>
      </c>
      <c r="E1027" s="78" t="str">
        <f>IFERROR(__xludf.DUMMYFUNCTION("""COMPUTED_VALUE"""),"1 day")</f>
        <v>1 day</v>
      </c>
      <c r="F1027" s="94">
        <f>IFERROR(__xludf.DUMMYFUNCTION("""COMPUTED_VALUE"""),44098.0)</f>
        <v>44098</v>
      </c>
      <c r="G1027" s="94">
        <f>IFERROR(__xludf.DUMMYFUNCTION("""COMPUTED_VALUE"""),44098.0)</f>
        <v>44098</v>
      </c>
      <c r="H1027" s="84">
        <f>IFERROR(__xludf.DUMMYFUNCTION("""COMPUTED_VALUE"""),44098.0)</f>
        <v>44098</v>
      </c>
      <c r="I1027" s="95">
        <f>IFERROR(__xludf.DUMMYFUNCTION("""COMPUTED_VALUE"""),1.0)</f>
        <v>1</v>
      </c>
      <c r="J1027" s="78" t="str">
        <f>IFERROR(__xludf.DUMMYFUNCTION("""COMPUTED_VALUE"""),"Dr.D.Rama Krishna")</f>
        <v>Dr.D.Rama Krishna</v>
      </c>
      <c r="K1027" s="85" t="str">
        <f>IFERROR(__xludf.DUMMYFUNCTION("""COMPUTED_VALUE"""),"https://drive.google.com/open?id=1ApT6gCTPyG2CIbTUaM2tEOzfHSKPrsXI")</f>
        <v>https://drive.google.com/open?id=1ApT6gCTPyG2CIbTUaM2tEOzfHSKPrsXI</v>
      </c>
      <c r="L1027" s="78" t="str">
        <f>IFERROR(__xludf.DUMMYFUNCTION("""COMPUTED_VALUE"""),"2019-2023")</f>
        <v>2019-2023</v>
      </c>
      <c r="M1027" s="78" t="str">
        <f>IFERROR(__xludf.DUMMYFUNCTION("""COMPUTED_VALUE"""),"S4: Student Certifications")</f>
        <v>S4: Student Certifications</v>
      </c>
      <c r="N1027" s="78" t="str">
        <f>IFERROR(__xludf.DUMMYFUNCTION("""COMPUTED_VALUE"""),"thatimallaniveditha@gmail.com")</f>
        <v>thatimallaniveditha@gmail.com</v>
      </c>
      <c r="O1027" s="78" t="str">
        <f>IFERROR(__xludf.DUMMYFUNCTION("""COMPUTED_VALUE"""),"SEM-3")</f>
        <v>SEM-3</v>
      </c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</row>
    <row r="1028" ht="26.25" customHeight="1">
      <c r="A1028" s="96" t="str">
        <f>IFERROR(__xludf.DUMMYFUNCTION("""COMPUTED_VALUE"""),"SAI CHETANA PRIYA SUREDDI ")</f>
        <v>SAI CHETANA PRIYA SUREDDI </v>
      </c>
      <c r="B1028" s="96" t="str">
        <f>IFERROR(__xludf.DUMMYFUNCTION("""COMPUTED_VALUE"""),"19331A05G7")</f>
        <v>19331A05G7</v>
      </c>
      <c r="C1028" s="97" t="str">
        <f>IFERROR(__xludf.DUMMYFUNCTION("""COMPUTED_VALUE"""),"Programming Essentials in Python ")</f>
        <v>Programming Essentials in Python </v>
      </c>
      <c r="D1028" s="96" t="str">
        <f>IFERROR(__xludf.DUMMYFUNCTION("""COMPUTED_VALUE"""),"Cisco")</f>
        <v>Cisco</v>
      </c>
      <c r="E1028" s="96" t="str">
        <f>IFERROR(__xludf.DUMMYFUNCTION("""COMPUTED_VALUE"""),"13 weeks")</f>
        <v>13 weeks</v>
      </c>
      <c r="F1028" s="98">
        <f>IFERROR(__xludf.DUMMYFUNCTION("""COMPUTED_VALUE"""),44231.0)</f>
        <v>44231</v>
      </c>
      <c r="G1028" s="98">
        <f>IFERROR(__xludf.DUMMYFUNCTION("""COMPUTED_VALUE"""),44322.0)</f>
        <v>44322</v>
      </c>
      <c r="H1028" s="99">
        <f>IFERROR(__xludf.DUMMYFUNCTION("""COMPUTED_VALUE"""),44322.0)</f>
        <v>44322</v>
      </c>
      <c r="I1028" s="100"/>
      <c r="J1028" s="96" t="str">
        <f>IFERROR(__xludf.DUMMYFUNCTION("""COMPUTED_VALUE"""),"M BEULAH RANI")</f>
        <v>M BEULAH RANI</v>
      </c>
      <c r="K1028" s="101" t="str">
        <f>IFERROR(__xludf.DUMMYFUNCTION("""COMPUTED_VALUE"""),"https://drive.google.com/open?id=1eTEOVI-tUQnvrXgy7I6zm130vonFQrQ2")</f>
        <v>https://drive.google.com/open?id=1eTEOVI-tUQnvrXgy7I6zm130vonFQrQ2</v>
      </c>
      <c r="L1028" s="96" t="str">
        <f>IFERROR(__xludf.DUMMYFUNCTION("""COMPUTED_VALUE"""),"2019-2023")</f>
        <v>2019-2023</v>
      </c>
      <c r="M1028" s="96" t="str">
        <f>IFERROR(__xludf.DUMMYFUNCTION("""COMPUTED_VALUE"""),"S4: Student Certifications")</f>
        <v>S4: Student Certifications</v>
      </c>
      <c r="N1028" s="96" t="str">
        <f>IFERROR(__xludf.DUMMYFUNCTION("""COMPUTED_VALUE"""),"chetana6006@gmail.com")</f>
        <v>chetana6006@gmail.com</v>
      </c>
      <c r="O1028" s="96" t="str">
        <f>IFERROR(__xludf.DUMMYFUNCTION("""COMPUTED_VALUE"""),"SEM-6")</f>
        <v>SEM-6</v>
      </c>
      <c r="P1028" s="96"/>
      <c r="Q1028" s="96"/>
      <c r="R1028" s="96"/>
      <c r="S1028" s="96"/>
      <c r="T1028" s="96"/>
      <c r="U1028" s="96"/>
      <c r="V1028" s="96"/>
      <c r="W1028" s="96"/>
      <c r="X1028" s="96"/>
      <c r="Y1028" s="96"/>
    </row>
    <row r="1029" ht="26.25" customHeight="1">
      <c r="A1029" s="96" t="str">
        <f>IFERROR(__xludf.DUMMYFUNCTION("""COMPUTED_VALUE"""),"SAI CHETANA PRIYA SUREDDI ")</f>
        <v>SAI CHETANA PRIYA SUREDDI </v>
      </c>
      <c r="B1029" s="96" t="str">
        <f>IFERROR(__xludf.DUMMYFUNCTION("""COMPUTED_VALUE"""),"19331A05G7")</f>
        <v>19331A05G7</v>
      </c>
      <c r="C1029" s="97" t="str">
        <f>IFERROR(__xludf.DUMMYFUNCTION("""COMPUTED_VALUE"""),"Programming Essentials in C")</f>
        <v>Programming Essentials in C</v>
      </c>
      <c r="D1029" s="96" t="str">
        <f>IFERROR(__xludf.DUMMYFUNCTION("""COMPUTED_VALUE"""),"Cisco")</f>
        <v>Cisco</v>
      </c>
      <c r="E1029" s="96" t="str">
        <f>IFERROR(__xludf.DUMMYFUNCTION("""COMPUTED_VALUE"""),"13 weeks")</f>
        <v>13 weeks</v>
      </c>
      <c r="F1029" s="98">
        <f>IFERROR(__xludf.DUMMYFUNCTION("""COMPUTED_VALUE"""),43843.0)</f>
        <v>43843</v>
      </c>
      <c r="G1029" s="98">
        <f>IFERROR(__xludf.DUMMYFUNCTION("""COMPUTED_VALUE"""),43934.0)</f>
        <v>43934</v>
      </c>
      <c r="H1029" s="99">
        <f>IFERROR(__xludf.DUMMYFUNCTION("""COMPUTED_VALUE"""),43934.0)</f>
        <v>43934</v>
      </c>
      <c r="I1029" s="100"/>
      <c r="J1029" s="96" t="str">
        <f>IFERROR(__xludf.DUMMYFUNCTION("""COMPUTED_VALUE"""),"DR.RAVI KIRAN VARMA PENMATSA")</f>
        <v>DR.RAVI KIRAN VARMA PENMATSA</v>
      </c>
      <c r="K1029" s="101" t="str">
        <f>IFERROR(__xludf.DUMMYFUNCTION("""COMPUTED_VALUE"""),"https://drive.google.com/open?id=13d9d_cmFiWFIHcwD6TFH_0GvmH1AwEVj")</f>
        <v>https://drive.google.com/open?id=13d9d_cmFiWFIHcwD6TFH_0GvmH1AwEVj</v>
      </c>
      <c r="L1029" s="96" t="str">
        <f>IFERROR(__xludf.DUMMYFUNCTION("""COMPUTED_VALUE"""),"2019-2023")</f>
        <v>2019-2023</v>
      </c>
      <c r="M1029" s="96" t="str">
        <f>IFERROR(__xludf.DUMMYFUNCTION("""COMPUTED_VALUE"""),"S4: Student Certifications")</f>
        <v>S4: Student Certifications</v>
      </c>
      <c r="N1029" s="96" t="str">
        <f>IFERROR(__xludf.DUMMYFUNCTION("""COMPUTED_VALUE"""),"chetana6006@gmail.com")</f>
        <v>chetana6006@gmail.com</v>
      </c>
      <c r="O1029" s="96" t="str">
        <f>IFERROR(__xludf.DUMMYFUNCTION("""COMPUTED_VALUE"""),"SEM-6")</f>
        <v>SEM-6</v>
      </c>
      <c r="P1029" s="96"/>
      <c r="Q1029" s="96"/>
      <c r="R1029" s="96"/>
      <c r="S1029" s="96"/>
      <c r="T1029" s="96"/>
      <c r="U1029" s="96"/>
      <c r="V1029" s="96"/>
      <c r="W1029" s="96"/>
      <c r="X1029" s="96"/>
      <c r="Y1029" s="96"/>
    </row>
    <row r="1030" ht="26.25" customHeight="1">
      <c r="A1030" s="96" t="str">
        <f>IFERROR(__xludf.DUMMYFUNCTION("""COMPUTED_VALUE"""),"SAI CHETANA PRIYA SUREDDI")</f>
        <v>SAI CHETANA PRIYA SUREDDI</v>
      </c>
      <c r="B1030" s="96" t="str">
        <f>IFERROR(__xludf.DUMMYFUNCTION("""COMPUTED_VALUE"""),"19331A05G7")</f>
        <v>19331A05G7</v>
      </c>
      <c r="C1030" s="97" t="str">
        <f>IFERROR(__xludf.DUMMYFUNCTION("""COMPUTED_VALUE"""),"IT Essentials")</f>
        <v>IT Essentials</v>
      </c>
      <c r="D1030" s="96" t="str">
        <f>IFERROR(__xludf.DUMMYFUNCTION("""COMPUTED_VALUE"""),"Cisco ")</f>
        <v>Cisco </v>
      </c>
      <c r="E1030" s="96" t="str">
        <f>IFERROR(__xludf.DUMMYFUNCTION("""COMPUTED_VALUE"""),"13 weeks")</f>
        <v>13 weeks</v>
      </c>
      <c r="F1030" s="98">
        <f>IFERROR(__xludf.DUMMYFUNCTION("""COMPUTED_VALUE"""),43995.0)</f>
        <v>43995</v>
      </c>
      <c r="G1030" s="98">
        <f>IFERROR(__xludf.DUMMYFUNCTION("""COMPUTED_VALUE"""),44086.0)</f>
        <v>44086</v>
      </c>
      <c r="H1030" s="99">
        <f>IFERROR(__xludf.DUMMYFUNCTION("""COMPUTED_VALUE"""),44086.0)</f>
        <v>44086</v>
      </c>
      <c r="I1030" s="100"/>
      <c r="J1030" s="96" t="str">
        <f>IFERROR(__xludf.DUMMYFUNCTION("""COMPUTED_VALUE"""),"Dr. Suvarna Kumar Gogula")</f>
        <v>Dr. Suvarna Kumar Gogula</v>
      </c>
      <c r="K1030" s="101" t="str">
        <f>IFERROR(__xludf.DUMMYFUNCTION("""COMPUTED_VALUE"""),"https://drive.google.com/open?id=1RUJPgOiFq1v3Pw_6-RrNfw016_pC9UM9")</f>
        <v>https://drive.google.com/open?id=1RUJPgOiFq1v3Pw_6-RrNfw016_pC9UM9</v>
      </c>
      <c r="L1030" s="96" t="str">
        <f>IFERROR(__xludf.DUMMYFUNCTION("""COMPUTED_VALUE"""),"2019-2023")</f>
        <v>2019-2023</v>
      </c>
      <c r="M1030" s="96" t="str">
        <f>IFERROR(__xludf.DUMMYFUNCTION("""COMPUTED_VALUE"""),"S4: Student Certifications")</f>
        <v>S4: Student Certifications</v>
      </c>
      <c r="N1030" s="96" t="str">
        <f>IFERROR(__xludf.DUMMYFUNCTION("""COMPUTED_VALUE"""),"chetana6006@gmail.com")</f>
        <v>chetana6006@gmail.com</v>
      </c>
      <c r="O1030" s="96" t="str">
        <f>IFERROR(__xludf.DUMMYFUNCTION("""COMPUTED_VALUE"""),"SEM-6")</f>
        <v>SEM-6</v>
      </c>
      <c r="P1030" s="96"/>
      <c r="Q1030" s="96"/>
      <c r="R1030" s="96"/>
      <c r="S1030" s="96"/>
      <c r="T1030" s="96"/>
      <c r="U1030" s="96"/>
      <c r="V1030" s="96"/>
      <c r="W1030" s="96"/>
      <c r="X1030" s="96"/>
      <c r="Y1030" s="96"/>
    </row>
    <row r="1031" ht="26.25" customHeight="1">
      <c r="A1031" s="96" t="str">
        <f>IFERROR(__xludf.DUMMYFUNCTION("""COMPUTED_VALUE"""),"SAI CHETANA PRIYA SUREDDI ")</f>
        <v>SAI CHETANA PRIYA SUREDDI </v>
      </c>
      <c r="B1031" s="96" t="str">
        <f>IFERROR(__xludf.DUMMYFUNCTION("""COMPUTED_VALUE"""),"19331A05G7")</f>
        <v>19331A05G7</v>
      </c>
      <c r="C1031" s="97" t="str">
        <f>IFERROR(__xludf.DUMMYFUNCTION("""COMPUTED_VALUE"""),"Object Oriented Programming for beginners-Using Python ")</f>
        <v>Object Oriented Programming for beginners-Using Python </v>
      </c>
      <c r="D1031" s="96" t="str">
        <f>IFERROR(__xludf.DUMMYFUNCTION("""COMPUTED_VALUE"""),"Udemy")</f>
        <v>Udemy</v>
      </c>
      <c r="E1031" s="96" t="str">
        <f>IFERROR(__xludf.DUMMYFUNCTION("""COMPUTED_VALUE"""),"3 hours")</f>
        <v>3 hours</v>
      </c>
      <c r="F1031" s="98">
        <f>IFERROR(__xludf.DUMMYFUNCTION("""COMPUTED_VALUE"""),44665.0)</f>
        <v>44665</v>
      </c>
      <c r="G1031" s="98">
        <f>IFERROR(__xludf.DUMMYFUNCTION("""COMPUTED_VALUE"""),44666.0)</f>
        <v>44666</v>
      </c>
      <c r="H1031" s="99">
        <f>IFERROR(__xludf.DUMMYFUNCTION("""COMPUTED_VALUE"""),44666.0)</f>
        <v>44666</v>
      </c>
      <c r="I1031" s="100">
        <f>IFERROR(__xludf.DUMMYFUNCTION("""COMPUTED_VALUE"""),0.9)</f>
        <v>0.9</v>
      </c>
      <c r="J1031" s="96" t="str">
        <f>IFERROR(__xludf.DUMMYFUNCTION("""COMPUTED_VALUE"""),"Bluelime Learning Solutions ")</f>
        <v>Bluelime Learning Solutions </v>
      </c>
      <c r="K1031" s="101" t="str">
        <f>IFERROR(__xludf.DUMMYFUNCTION("""COMPUTED_VALUE"""),"https://drive.google.com/open?id=1sZ0hN717YUstxVgCWHkgq1WXBajB4SCa")</f>
        <v>https://drive.google.com/open?id=1sZ0hN717YUstxVgCWHkgq1WXBajB4SCa</v>
      </c>
      <c r="L1031" s="96" t="str">
        <f>IFERROR(__xludf.DUMMYFUNCTION("""COMPUTED_VALUE"""),"2019-2023")</f>
        <v>2019-2023</v>
      </c>
      <c r="M1031" s="96" t="str">
        <f>IFERROR(__xludf.DUMMYFUNCTION("""COMPUTED_VALUE"""),"S4: Student Certifications")</f>
        <v>S4: Student Certifications</v>
      </c>
      <c r="N1031" s="96" t="str">
        <f>IFERROR(__xludf.DUMMYFUNCTION("""COMPUTED_VALUE"""),"chetana6006@gmail.com")</f>
        <v>chetana6006@gmail.com</v>
      </c>
      <c r="O1031" s="96" t="str">
        <f>IFERROR(__xludf.DUMMYFUNCTION("""COMPUTED_VALUE"""),"SEM-6")</f>
        <v>SEM-6</v>
      </c>
      <c r="P1031" s="96"/>
      <c r="Q1031" s="96"/>
      <c r="R1031" s="96"/>
      <c r="S1031" s="96"/>
      <c r="T1031" s="96"/>
      <c r="U1031" s="96"/>
      <c r="V1031" s="96"/>
      <c r="W1031" s="96"/>
      <c r="X1031" s="96"/>
      <c r="Y1031" s="96"/>
    </row>
    <row r="1032" ht="26.25" customHeight="1">
      <c r="A1032" s="96" t="str">
        <f>IFERROR(__xludf.DUMMYFUNCTION("""COMPUTED_VALUE"""),"V Lalith Madhav")</f>
        <v>V Lalith Madhav</v>
      </c>
      <c r="B1032" s="96" t="str">
        <f>IFERROR(__xludf.DUMMYFUNCTION("""COMPUTED_VALUE"""),"19331A05I5")</f>
        <v>19331A05I5</v>
      </c>
      <c r="C1032" s="97" t="str">
        <f>IFERROR(__xludf.DUMMYFUNCTION("""COMPUTED_VALUE"""),"Programming Essentials in Python")</f>
        <v>Programming Essentials in Python</v>
      </c>
      <c r="D1032" s="96" t="str">
        <f>IFERROR(__xludf.DUMMYFUNCTION("""COMPUTED_VALUE"""),"Cisco")</f>
        <v>Cisco</v>
      </c>
      <c r="E1032" s="96" t="str">
        <f>IFERROR(__xludf.DUMMYFUNCTION("""COMPUTED_VALUE"""),"3 months")</f>
        <v>3 months</v>
      </c>
      <c r="F1032" s="98">
        <f>IFERROR(__xludf.DUMMYFUNCTION("""COMPUTED_VALUE"""),44258.0)</f>
        <v>44258</v>
      </c>
      <c r="G1032" s="98">
        <f>IFERROR(__xludf.DUMMYFUNCTION("""COMPUTED_VALUE"""),44322.0)</f>
        <v>44322</v>
      </c>
      <c r="H1032" s="99">
        <f>IFERROR(__xludf.DUMMYFUNCTION("""COMPUTED_VALUE"""),44322.0)</f>
        <v>44322</v>
      </c>
      <c r="I1032" s="100">
        <f>IFERROR(__xludf.DUMMYFUNCTION("""COMPUTED_VALUE"""),90.0)</f>
        <v>90</v>
      </c>
      <c r="J1032" s="96" t="str">
        <f>IFERROR(__xludf.DUMMYFUNCTION("""COMPUTED_VALUE"""),"M Beulah Rani")</f>
        <v>M Beulah Rani</v>
      </c>
      <c r="K1032" s="101" t="str">
        <f>IFERROR(__xludf.DUMMYFUNCTION("""COMPUTED_VALUE"""),"https://drive.google.com/open?id=1FRddUgQJR5Ssi501YOywnX7SvMiLmWf9")</f>
        <v>https://drive.google.com/open?id=1FRddUgQJR5Ssi501YOywnX7SvMiLmWf9</v>
      </c>
      <c r="L1032" s="96" t="str">
        <f>IFERROR(__xludf.DUMMYFUNCTION("""COMPUTED_VALUE"""),"2019-2023")</f>
        <v>2019-2023</v>
      </c>
      <c r="M1032" s="96" t="str">
        <f>IFERROR(__xludf.DUMMYFUNCTION("""COMPUTED_VALUE"""),"S4: Student Certifications")</f>
        <v>S4: Student Certifications</v>
      </c>
      <c r="N1032" s="96" t="str">
        <f>IFERROR(__xludf.DUMMYFUNCTION("""COMPUTED_VALUE"""),"lalithmadhav2002@gmail.com")</f>
        <v>lalithmadhav2002@gmail.com</v>
      </c>
      <c r="O1032" s="96" t="str">
        <f>IFERROR(__xludf.DUMMYFUNCTION("""COMPUTED_VALUE"""),"SEM-6")</f>
        <v>SEM-6</v>
      </c>
      <c r="P1032" s="96"/>
      <c r="Q1032" s="96"/>
      <c r="R1032" s="96"/>
      <c r="S1032" s="96"/>
      <c r="T1032" s="96"/>
      <c r="U1032" s="96"/>
      <c r="V1032" s="96"/>
      <c r="W1032" s="96"/>
      <c r="X1032" s="96"/>
      <c r="Y1032" s="96"/>
    </row>
    <row r="1033" ht="26.25" customHeight="1">
      <c r="A1033" s="96" t="str">
        <f>IFERROR(__xludf.DUMMYFUNCTION("""COMPUTED_VALUE"""),"V Leonel Richie")</f>
        <v>V Leonel Richie</v>
      </c>
      <c r="B1033" s="96" t="str">
        <f>IFERROR(__xludf.DUMMYFUNCTION("""COMPUTED_VALUE"""),"19331A05J0")</f>
        <v>19331A05J0</v>
      </c>
      <c r="C1033" s="97" t="str">
        <f>IFERROR(__xludf.DUMMYFUNCTION("""COMPUTED_VALUE"""),"Programming Essentials in Python")</f>
        <v>Programming Essentials in Python</v>
      </c>
      <c r="D1033" s="96" t="str">
        <f>IFERROR(__xludf.DUMMYFUNCTION("""COMPUTED_VALUE"""),"Cisco")</f>
        <v>Cisco</v>
      </c>
      <c r="E1033" s="96" t="str">
        <f>IFERROR(__xludf.DUMMYFUNCTION("""COMPUTED_VALUE"""),"3 months")</f>
        <v>3 months</v>
      </c>
      <c r="F1033" s="98">
        <f>IFERROR(__xludf.DUMMYFUNCTION("""COMPUTED_VALUE"""),44258.0)</f>
        <v>44258</v>
      </c>
      <c r="G1033" s="98">
        <f>IFERROR(__xludf.DUMMYFUNCTION("""COMPUTED_VALUE"""),44322.0)</f>
        <v>44322</v>
      </c>
      <c r="H1033" s="99">
        <f>IFERROR(__xludf.DUMMYFUNCTION("""COMPUTED_VALUE"""),44322.0)</f>
        <v>44322</v>
      </c>
      <c r="I1033" s="100">
        <f>IFERROR(__xludf.DUMMYFUNCTION("""COMPUTED_VALUE"""),90.0)</f>
        <v>90</v>
      </c>
      <c r="J1033" s="96" t="str">
        <f>IFERROR(__xludf.DUMMYFUNCTION("""COMPUTED_VALUE"""),"M Beulah Rani")</f>
        <v>M Beulah Rani</v>
      </c>
      <c r="K1033" s="101" t="str">
        <f>IFERROR(__xludf.DUMMYFUNCTION("""COMPUTED_VALUE"""),"https://drive.google.com/open?id=1mtPWmo4RB40tP79gPqYcwQ_pNf6hW-sP")</f>
        <v>https://drive.google.com/open?id=1mtPWmo4RB40tP79gPqYcwQ_pNf6hW-sP</v>
      </c>
      <c r="L1033" s="96" t="str">
        <f>IFERROR(__xludf.DUMMYFUNCTION("""COMPUTED_VALUE"""),"2019-2023")</f>
        <v>2019-2023</v>
      </c>
      <c r="M1033" s="96" t="str">
        <f>IFERROR(__xludf.DUMMYFUNCTION("""COMPUTED_VALUE"""),"S4: Student Certifications")</f>
        <v>S4: Student Certifications</v>
      </c>
      <c r="N1033" s="96" t="str">
        <f>IFERROR(__xludf.DUMMYFUNCTION("""COMPUTED_VALUE"""),"vleonelrichie18@gmail.com")</f>
        <v>vleonelrichie18@gmail.com</v>
      </c>
      <c r="O1033" s="96" t="str">
        <f>IFERROR(__xludf.DUMMYFUNCTION("""COMPUTED_VALUE"""),"SEM-6")</f>
        <v>SEM-6</v>
      </c>
      <c r="P1033" s="96"/>
      <c r="Q1033" s="96"/>
      <c r="R1033" s="96"/>
      <c r="S1033" s="96"/>
      <c r="T1033" s="96"/>
      <c r="U1033" s="96"/>
      <c r="V1033" s="96"/>
      <c r="W1033" s="96"/>
      <c r="X1033" s="96"/>
      <c r="Y1033" s="96"/>
    </row>
    <row r="1034" ht="26.25" customHeight="1">
      <c r="A1034" s="96" t="str">
        <f>IFERROR(__xludf.DUMMYFUNCTION("""COMPUTED_VALUE"""),"V Leonel Richie")</f>
        <v>V Leonel Richie</v>
      </c>
      <c r="B1034" s="96" t="str">
        <f>IFERROR(__xludf.DUMMYFUNCTION("""COMPUTED_VALUE"""),"19331A05J0")</f>
        <v>19331A05J0</v>
      </c>
      <c r="C1034" s="97" t="str">
        <f>IFERROR(__xludf.DUMMYFUNCTION("""COMPUTED_VALUE"""),"Programming Essentials in C")</f>
        <v>Programming Essentials in C</v>
      </c>
      <c r="D1034" s="96" t="str">
        <f>IFERROR(__xludf.DUMMYFUNCTION("""COMPUTED_VALUE"""),"Cisco")</f>
        <v>Cisco</v>
      </c>
      <c r="E1034" s="96" t="str">
        <f>IFERROR(__xludf.DUMMYFUNCTION("""COMPUTED_VALUE"""),"3 months")</f>
        <v>3 months</v>
      </c>
      <c r="F1034" s="98">
        <f>IFERROR(__xludf.DUMMYFUNCTION("""COMPUTED_VALUE"""),43961.0)</f>
        <v>43961</v>
      </c>
      <c r="G1034" s="98">
        <f>IFERROR(__xludf.DUMMYFUNCTION("""COMPUTED_VALUE"""),44024.0)</f>
        <v>44024</v>
      </c>
      <c r="H1034" s="99">
        <f>IFERROR(__xludf.DUMMYFUNCTION("""COMPUTED_VALUE"""),44024.0)</f>
        <v>44024</v>
      </c>
      <c r="I1034" s="100">
        <f>IFERROR(__xludf.DUMMYFUNCTION("""COMPUTED_VALUE"""),93.0)</f>
        <v>93</v>
      </c>
      <c r="J1034" s="96" t="str">
        <f>IFERROR(__xludf.DUMMYFUNCTION("""COMPUTED_VALUE"""),"P.Ravi Kiran Varma")</f>
        <v>P.Ravi Kiran Varma</v>
      </c>
      <c r="K1034" s="101" t="str">
        <f>IFERROR(__xludf.DUMMYFUNCTION("""COMPUTED_VALUE"""),"https://drive.google.com/open?id=1GMpwa8QhZ96JVmVPR62-Emwf9SVBrh5m")</f>
        <v>https://drive.google.com/open?id=1GMpwa8QhZ96JVmVPR62-Emwf9SVBrh5m</v>
      </c>
      <c r="L1034" s="96" t="str">
        <f>IFERROR(__xludf.DUMMYFUNCTION("""COMPUTED_VALUE"""),"2019-2023")</f>
        <v>2019-2023</v>
      </c>
      <c r="M1034" s="96" t="str">
        <f>IFERROR(__xludf.DUMMYFUNCTION("""COMPUTED_VALUE"""),"S4: Student Certifications")</f>
        <v>S4: Student Certifications</v>
      </c>
      <c r="N1034" s="96" t="str">
        <f>IFERROR(__xludf.DUMMYFUNCTION("""COMPUTED_VALUE"""),"vleonelrichie18@gmail.com")</f>
        <v>vleonelrichie18@gmail.com</v>
      </c>
      <c r="O1034" s="96" t="str">
        <f>IFERROR(__xludf.DUMMYFUNCTION("""COMPUTED_VALUE"""),"SEM-6")</f>
        <v>SEM-6</v>
      </c>
      <c r="P1034" s="96"/>
      <c r="Q1034" s="96"/>
      <c r="R1034" s="96"/>
      <c r="S1034" s="96"/>
      <c r="T1034" s="96"/>
      <c r="U1034" s="96"/>
      <c r="V1034" s="96"/>
      <c r="W1034" s="96"/>
      <c r="X1034" s="96"/>
      <c r="Y1034" s="96"/>
    </row>
    <row r="1035" ht="26.25" customHeight="1">
      <c r="A1035" s="96" t="str">
        <f>IFERROR(__xludf.DUMMYFUNCTION("""COMPUTED_VALUE"""),"V Leonel Richie")</f>
        <v>V Leonel Richie</v>
      </c>
      <c r="B1035" s="96" t="str">
        <f>IFERROR(__xludf.DUMMYFUNCTION("""COMPUTED_VALUE"""),"19331A05J0")</f>
        <v>19331A05J0</v>
      </c>
      <c r="C1035" s="97" t="str">
        <f>IFERROR(__xludf.DUMMYFUNCTION("""COMPUTED_VALUE"""),"IT essentials")</f>
        <v>IT essentials</v>
      </c>
      <c r="D1035" s="96" t="str">
        <f>IFERROR(__xludf.DUMMYFUNCTION("""COMPUTED_VALUE"""),"Cisco")</f>
        <v>Cisco</v>
      </c>
      <c r="E1035" s="96" t="str">
        <f>IFERROR(__xludf.DUMMYFUNCTION("""COMPUTED_VALUE"""),"3 months")</f>
        <v>3 months</v>
      </c>
      <c r="F1035" s="98">
        <f>IFERROR(__xludf.DUMMYFUNCTION("""COMPUTED_VALUE"""),44019.0)</f>
        <v>44019</v>
      </c>
      <c r="G1035" s="98">
        <f>IFERROR(__xludf.DUMMYFUNCTION("""COMPUTED_VALUE"""),44083.0)</f>
        <v>44083</v>
      </c>
      <c r="H1035" s="99">
        <f>IFERROR(__xludf.DUMMYFUNCTION("""COMPUTED_VALUE"""),44083.0)</f>
        <v>44083</v>
      </c>
      <c r="I1035" s="100">
        <f>IFERROR(__xludf.DUMMYFUNCTION("""COMPUTED_VALUE"""),96.0)</f>
        <v>96</v>
      </c>
      <c r="J1035" s="96" t="str">
        <f>IFERROR(__xludf.DUMMYFUNCTION("""COMPUTED_VALUE"""),"P.Ravi Kiran Varma")</f>
        <v>P.Ravi Kiran Varma</v>
      </c>
      <c r="K1035" s="101" t="str">
        <f>IFERROR(__xludf.DUMMYFUNCTION("""COMPUTED_VALUE"""),"https://drive.google.com/open?id=14zkyBx8zqxv9-jG-BFZrN5J2spuhsHQL")</f>
        <v>https://drive.google.com/open?id=14zkyBx8zqxv9-jG-BFZrN5J2spuhsHQL</v>
      </c>
      <c r="L1035" s="96" t="str">
        <f>IFERROR(__xludf.DUMMYFUNCTION("""COMPUTED_VALUE"""),"2019-2023")</f>
        <v>2019-2023</v>
      </c>
      <c r="M1035" s="96" t="str">
        <f>IFERROR(__xludf.DUMMYFUNCTION("""COMPUTED_VALUE"""),"S4: Student Certifications")</f>
        <v>S4: Student Certifications</v>
      </c>
      <c r="N1035" s="96" t="str">
        <f>IFERROR(__xludf.DUMMYFUNCTION("""COMPUTED_VALUE"""),"vleonelrichie18@gmail.com")</f>
        <v>vleonelrichie18@gmail.com</v>
      </c>
      <c r="O1035" s="96" t="str">
        <f>IFERROR(__xludf.DUMMYFUNCTION("""COMPUTED_VALUE"""),"SEM-6")</f>
        <v>SEM-6</v>
      </c>
      <c r="P1035" s="96"/>
      <c r="Q1035" s="96"/>
      <c r="R1035" s="96"/>
      <c r="S1035" s="96"/>
      <c r="T1035" s="96"/>
      <c r="U1035" s="96"/>
      <c r="V1035" s="96"/>
      <c r="W1035" s="96"/>
      <c r="X1035" s="96"/>
      <c r="Y1035" s="96"/>
    </row>
    <row r="1036" ht="26.25" customHeight="1">
      <c r="A1036" s="96" t="str">
        <f>IFERROR(__xludf.DUMMYFUNCTION("""COMPUTED_VALUE"""),"Ravi Varma Vatsavai")</f>
        <v>Ravi Varma Vatsavai</v>
      </c>
      <c r="B1036" s="96" t="str">
        <f>IFERROR(__xludf.DUMMYFUNCTION("""COMPUTED_VALUE"""),"19331A05I3")</f>
        <v>19331A05I3</v>
      </c>
      <c r="C1036" s="97" t="str">
        <f>IFERROR(__xludf.DUMMYFUNCTION("""COMPUTED_VALUE"""),"Python")</f>
        <v>Python</v>
      </c>
      <c r="D1036" s="96" t="str">
        <f>IFERROR(__xludf.DUMMYFUNCTION("""COMPUTED_VALUE"""),"Cisco netcad")</f>
        <v>Cisco netcad</v>
      </c>
      <c r="E1036" s="96" t="str">
        <f>IFERROR(__xludf.DUMMYFUNCTION("""COMPUTED_VALUE"""),"3 Months")</f>
        <v>3 Months</v>
      </c>
      <c r="F1036" s="98">
        <f>IFERROR(__xludf.DUMMYFUNCTION("""COMPUTED_VALUE"""),44258.0)</f>
        <v>44258</v>
      </c>
      <c r="G1036" s="98">
        <f>IFERROR(__xludf.DUMMYFUNCTION("""COMPUTED_VALUE"""),44322.0)</f>
        <v>44322</v>
      </c>
      <c r="H1036" s="99">
        <f>IFERROR(__xludf.DUMMYFUNCTION("""COMPUTED_VALUE"""),44657.0)</f>
        <v>44657</v>
      </c>
      <c r="I1036" s="100">
        <f>IFERROR(__xludf.DUMMYFUNCTION("""COMPUTED_VALUE"""),92.0)</f>
        <v>92</v>
      </c>
      <c r="J1036" s="96" t="str">
        <f>IFERROR(__xludf.DUMMYFUNCTION("""COMPUTED_VALUE"""),"M.Beulah Rani")</f>
        <v>M.Beulah Rani</v>
      </c>
      <c r="K1036" s="101" t="str">
        <f>IFERROR(__xludf.DUMMYFUNCTION("""COMPUTED_VALUE"""),"https://drive.google.com/open?id=1Ie8z_x_bN3lP5mLmT4DoeU37zeDoyfN4")</f>
        <v>https://drive.google.com/open?id=1Ie8z_x_bN3lP5mLmT4DoeU37zeDoyfN4</v>
      </c>
      <c r="L1036" s="96" t="str">
        <f>IFERROR(__xludf.DUMMYFUNCTION("""COMPUTED_VALUE"""),"2019-2023")</f>
        <v>2019-2023</v>
      </c>
      <c r="M1036" s="96" t="str">
        <f>IFERROR(__xludf.DUMMYFUNCTION("""COMPUTED_VALUE"""),"S4: Student Certifications")</f>
        <v>S4: Student Certifications</v>
      </c>
      <c r="N1036" s="96" t="str">
        <f>IFERROR(__xludf.DUMMYFUNCTION("""COMPUTED_VALUE"""),"ravivarmavatsavai5@gmail.com")</f>
        <v>ravivarmavatsavai5@gmail.com</v>
      </c>
      <c r="O1036" s="96" t="str">
        <f>IFERROR(__xludf.DUMMYFUNCTION("""COMPUTED_VALUE"""),"SEM-6")</f>
        <v>SEM-6</v>
      </c>
      <c r="P1036" s="96"/>
      <c r="Q1036" s="96"/>
      <c r="R1036" s="96"/>
      <c r="S1036" s="96"/>
      <c r="T1036" s="96"/>
      <c r="U1036" s="96"/>
      <c r="V1036" s="96"/>
      <c r="W1036" s="96"/>
      <c r="X1036" s="96"/>
      <c r="Y1036" s="96"/>
    </row>
    <row r="1037" ht="26.25" customHeight="1">
      <c r="A1037" s="96" t="str">
        <f>IFERROR(__xludf.DUMMYFUNCTION("""COMPUTED_VALUE"""),"Sammingi Anju Sai Neha Bhuvya ")</f>
        <v>Sammingi Anju Sai Neha Bhuvya </v>
      </c>
      <c r="B1037" s="96" t="str">
        <f>IFERROR(__xludf.DUMMYFUNCTION("""COMPUTED_VALUE"""),"19331A05E7 ")</f>
        <v>19331A05E7 </v>
      </c>
      <c r="C1037" s="97" t="str">
        <f>IFERROR(__xludf.DUMMYFUNCTION("""COMPUTED_VALUE"""),"CLA: Programming Essentials in C")</f>
        <v>CLA: Programming Essentials in C</v>
      </c>
      <c r="D1037" s="96" t="str">
        <f>IFERROR(__xludf.DUMMYFUNCTION("""COMPUTED_VALUE"""),"Cisco")</f>
        <v>Cisco</v>
      </c>
      <c r="E1037" s="96" t="str">
        <f>IFERROR(__xludf.DUMMYFUNCTION("""COMPUTED_VALUE"""),"13 weeks ")</f>
        <v>13 weeks </v>
      </c>
      <c r="F1037" s="98">
        <f>IFERROR(__xludf.DUMMYFUNCTION("""COMPUTED_VALUE"""),43855.0)</f>
        <v>43855</v>
      </c>
      <c r="G1037" s="98">
        <f>IFERROR(__xludf.DUMMYFUNCTION("""COMPUTED_VALUE"""),43952.0)</f>
        <v>43952</v>
      </c>
      <c r="H1037" s="99">
        <f>IFERROR(__xludf.DUMMYFUNCTION("""COMPUTED_VALUE"""),43952.0)</f>
        <v>43952</v>
      </c>
      <c r="I1037" s="100">
        <f>IFERROR(__xludf.DUMMYFUNCTION("""COMPUTED_VALUE"""),85.0)</f>
        <v>85</v>
      </c>
      <c r="J1037" s="96" t="str">
        <f>IFERROR(__xludf.DUMMYFUNCTION("""COMPUTED_VALUE"""),"Dr. P Ravi Kiran Varma")</f>
        <v>Dr. P Ravi Kiran Varma</v>
      </c>
      <c r="K1037" s="101" t="str">
        <f>IFERROR(__xludf.DUMMYFUNCTION("""COMPUTED_VALUE"""),"https://drive.google.com/open?id=1Y6eamjVYEjuTLoFmYhA6lNvefe8zs8aZ")</f>
        <v>https://drive.google.com/open?id=1Y6eamjVYEjuTLoFmYhA6lNvefe8zs8aZ</v>
      </c>
      <c r="L1037" s="96" t="str">
        <f>IFERROR(__xludf.DUMMYFUNCTION("""COMPUTED_VALUE"""),"2019-2023")</f>
        <v>2019-2023</v>
      </c>
      <c r="M1037" s="96" t="str">
        <f>IFERROR(__xludf.DUMMYFUNCTION("""COMPUTED_VALUE"""),"S4: Student Certifications")</f>
        <v>S4: Student Certifications</v>
      </c>
      <c r="N1037" s="96" t="str">
        <f>IFERROR(__xludf.DUMMYFUNCTION("""COMPUTED_VALUE"""),"nehabhuvya@gmail.com")</f>
        <v>nehabhuvya@gmail.com</v>
      </c>
      <c r="O1037" s="96" t="str">
        <f>IFERROR(__xludf.DUMMYFUNCTION("""COMPUTED_VALUE"""),"SEM-6")</f>
        <v>SEM-6</v>
      </c>
      <c r="P1037" s="96"/>
      <c r="Q1037" s="96"/>
      <c r="R1037" s="96"/>
      <c r="S1037" s="96"/>
      <c r="T1037" s="96"/>
      <c r="U1037" s="96"/>
      <c r="V1037" s="96"/>
      <c r="W1037" s="96"/>
      <c r="X1037" s="96"/>
      <c r="Y1037" s="96"/>
    </row>
    <row r="1038" ht="26.25" customHeight="1">
      <c r="A1038" s="96" t="str">
        <f>IFERROR(__xludf.DUMMYFUNCTION("""COMPUTED_VALUE"""),"Sammingi Anju Sai Neha Bhuvya ")</f>
        <v>Sammingi Anju Sai Neha Bhuvya </v>
      </c>
      <c r="B1038" s="96" t="str">
        <f>IFERROR(__xludf.DUMMYFUNCTION("""COMPUTED_VALUE"""),"19331A05E7 ")</f>
        <v>19331A05E7 </v>
      </c>
      <c r="C1038" s="97" t="str">
        <f>IFERROR(__xludf.DUMMYFUNCTION("""COMPUTED_VALUE"""),"PCAP: Programming Essentials in Python ")</f>
        <v>PCAP: Programming Essentials in Python </v>
      </c>
      <c r="D1038" s="96" t="str">
        <f>IFERROR(__xludf.DUMMYFUNCTION("""COMPUTED_VALUE"""),"Cisco")</f>
        <v>Cisco</v>
      </c>
      <c r="E1038" s="96" t="str">
        <f>IFERROR(__xludf.DUMMYFUNCTION("""COMPUTED_VALUE"""),"13 weeks")</f>
        <v>13 weeks</v>
      </c>
      <c r="F1038" s="98">
        <f>IFERROR(__xludf.DUMMYFUNCTION("""COMPUTED_VALUE"""),44224.0)</f>
        <v>44224</v>
      </c>
      <c r="G1038" s="98">
        <f>IFERROR(__xludf.DUMMYFUNCTION("""COMPUTED_VALUE"""),44322.0)</f>
        <v>44322</v>
      </c>
      <c r="H1038" s="99">
        <f>IFERROR(__xludf.DUMMYFUNCTION("""COMPUTED_VALUE"""),44322.0)</f>
        <v>44322</v>
      </c>
      <c r="I1038" s="100">
        <f>IFERROR(__xludf.DUMMYFUNCTION("""COMPUTED_VALUE"""),85.0)</f>
        <v>85</v>
      </c>
      <c r="J1038" s="96" t="str">
        <f>IFERROR(__xludf.DUMMYFUNCTION("""COMPUTED_VALUE"""),"Mrs. M. Beaulah Rani")</f>
        <v>Mrs. M. Beaulah Rani</v>
      </c>
      <c r="K1038" s="101" t="str">
        <f>IFERROR(__xludf.DUMMYFUNCTION("""COMPUTED_VALUE"""),"https://drive.google.com/open?id=180RMSboh5lb4-TaHJXkYH_G822nzneaf")</f>
        <v>https://drive.google.com/open?id=180RMSboh5lb4-TaHJXkYH_G822nzneaf</v>
      </c>
      <c r="L1038" s="96" t="str">
        <f>IFERROR(__xludf.DUMMYFUNCTION("""COMPUTED_VALUE"""),"2019-2023")</f>
        <v>2019-2023</v>
      </c>
      <c r="M1038" s="96" t="str">
        <f>IFERROR(__xludf.DUMMYFUNCTION("""COMPUTED_VALUE"""),"S4: Student Certifications")</f>
        <v>S4: Student Certifications</v>
      </c>
      <c r="N1038" s="96" t="str">
        <f>IFERROR(__xludf.DUMMYFUNCTION("""COMPUTED_VALUE"""),"nehabhuvya@gmail.com")</f>
        <v>nehabhuvya@gmail.com</v>
      </c>
      <c r="O1038" s="96" t="str">
        <f>IFERROR(__xludf.DUMMYFUNCTION("""COMPUTED_VALUE"""),"SEM-6")</f>
        <v>SEM-6</v>
      </c>
      <c r="P1038" s="96"/>
      <c r="Q1038" s="96"/>
      <c r="R1038" s="96"/>
      <c r="S1038" s="96"/>
      <c r="T1038" s="96"/>
      <c r="U1038" s="96"/>
      <c r="V1038" s="96"/>
      <c r="W1038" s="96"/>
      <c r="X1038" s="96"/>
      <c r="Y1038" s="96"/>
    </row>
    <row r="1039" ht="26.25" customHeight="1">
      <c r="A1039" s="96" t="str">
        <f>IFERROR(__xludf.DUMMYFUNCTION("""COMPUTED_VALUE"""),"Sammingi Anju Sai Neha Bhuvya ")</f>
        <v>Sammingi Anju Sai Neha Bhuvya </v>
      </c>
      <c r="B1039" s="96" t="str">
        <f>IFERROR(__xludf.DUMMYFUNCTION("""COMPUTED_VALUE"""),"19331A05E7 ")</f>
        <v>19331A05E7 </v>
      </c>
      <c r="C1039" s="97" t="str">
        <f>IFERROR(__xludf.DUMMYFUNCTION("""COMPUTED_VALUE"""),"IT Essentials ")</f>
        <v>IT Essentials </v>
      </c>
      <c r="D1039" s="96" t="str">
        <f>IFERROR(__xludf.DUMMYFUNCTION("""COMPUTED_VALUE"""),"Cisco")</f>
        <v>Cisco</v>
      </c>
      <c r="E1039" s="96" t="str">
        <f>IFERROR(__xludf.DUMMYFUNCTION("""COMPUTED_VALUE"""),"13 weeks ")</f>
        <v>13 weeks </v>
      </c>
      <c r="F1039" s="98">
        <f>IFERROR(__xludf.DUMMYFUNCTION("""COMPUTED_VALUE"""),44010.0)</f>
        <v>44010</v>
      </c>
      <c r="G1039" s="98">
        <f>IFERROR(__xludf.DUMMYFUNCTION("""COMPUTED_VALUE"""),44087.0)</f>
        <v>44087</v>
      </c>
      <c r="H1039" s="99">
        <f>IFERROR(__xludf.DUMMYFUNCTION("""COMPUTED_VALUE"""),44087.0)</f>
        <v>44087</v>
      </c>
      <c r="I1039" s="100">
        <f>IFERROR(__xludf.DUMMYFUNCTION("""COMPUTED_VALUE"""),78.0)</f>
        <v>78</v>
      </c>
      <c r="J1039" s="96" t="str">
        <f>IFERROR(__xludf.DUMMYFUNCTION("""COMPUTED_VALUE"""),"Dr. G. Suvarna Kumar")</f>
        <v>Dr. G. Suvarna Kumar</v>
      </c>
      <c r="K1039" s="101" t="str">
        <f>IFERROR(__xludf.DUMMYFUNCTION("""COMPUTED_VALUE"""),"https://drive.google.com/open?id=1dJ9ABhLFZZY0fINtpQ-KcZL5Pd_zQEeB")</f>
        <v>https://drive.google.com/open?id=1dJ9ABhLFZZY0fINtpQ-KcZL5Pd_zQEeB</v>
      </c>
      <c r="L1039" s="96" t="str">
        <f>IFERROR(__xludf.DUMMYFUNCTION("""COMPUTED_VALUE"""),"2019-2023")</f>
        <v>2019-2023</v>
      </c>
      <c r="M1039" s="96" t="str">
        <f>IFERROR(__xludf.DUMMYFUNCTION("""COMPUTED_VALUE"""),"S4: Student Certifications")</f>
        <v>S4: Student Certifications</v>
      </c>
      <c r="N1039" s="96" t="str">
        <f>IFERROR(__xludf.DUMMYFUNCTION("""COMPUTED_VALUE"""),"nehabhuvya@gmail.com")</f>
        <v>nehabhuvya@gmail.com</v>
      </c>
      <c r="O1039" s="96" t="str">
        <f>IFERROR(__xludf.DUMMYFUNCTION("""COMPUTED_VALUE"""),"SEM-6")</f>
        <v>SEM-6</v>
      </c>
      <c r="P1039" s="96"/>
      <c r="Q1039" s="96"/>
      <c r="R1039" s="96"/>
      <c r="S1039" s="96"/>
      <c r="T1039" s="96"/>
      <c r="U1039" s="96"/>
      <c r="V1039" s="96"/>
      <c r="W1039" s="96"/>
      <c r="X1039" s="96"/>
      <c r="Y1039" s="96"/>
    </row>
    <row r="1040" ht="26.25" customHeight="1">
      <c r="A1040" s="96" t="str">
        <f>IFERROR(__xludf.DUMMYFUNCTION("""COMPUTED_VALUE"""),"Sammingi Anju Sai Neha Bhuvya ")</f>
        <v>Sammingi Anju Sai Neha Bhuvya </v>
      </c>
      <c r="B1040" s="96" t="str">
        <f>IFERROR(__xludf.DUMMYFUNCTION("""COMPUTED_VALUE"""),"19331A05E7 ")</f>
        <v>19331A05E7 </v>
      </c>
      <c r="C1040" s="97" t="str">
        <f>IFERROR(__xludf.DUMMYFUNCTION("""COMPUTED_VALUE"""),"Programming for Everybody( Getting Started with Python)")</f>
        <v>Programming for Everybody( Getting Started with Python)</v>
      </c>
      <c r="D1040" s="96" t="str">
        <f>IFERROR(__xludf.DUMMYFUNCTION("""COMPUTED_VALUE"""),"Coursera ")</f>
        <v>Coursera </v>
      </c>
      <c r="E1040" s="96" t="str">
        <f>IFERROR(__xludf.DUMMYFUNCTION("""COMPUTED_VALUE"""),"5 weeks")</f>
        <v>5 weeks</v>
      </c>
      <c r="F1040" s="98">
        <f>IFERROR(__xludf.DUMMYFUNCTION("""COMPUTED_VALUE"""),44078.0)</f>
        <v>44078</v>
      </c>
      <c r="G1040" s="98">
        <f>IFERROR(__xludf.DUMMYFUNCTION("""COMPUTED_VALUE"""),44113.0)</f>
        <v>44113</v>
      </c>
      <c r="H1040" s="99">
        <f>IFERROR(__xludf.DUMMYFUNCTION("""COMPUTED_VALUE"""),44113.0)</f>
        <v>44113</v>
      </c>
      <c r="I1040" s="100">
        <f>IFERROR(__xludf.DUMMYFUNCTION("""COMPUTED_VALUE"""),85.0)</f>
        <v>85</v>
      </c>
      <c r="J1040" s="96" t="str">
        <f>IFERROR(__xludf.DUMMYFUNCTION("""COMPUTED_VALUE"""),"Dr. P. Ravi Kiran Varma")</f>
        <v>Dr. P. Ravi Kiran Varma</v>
      </c>
      <c r="K1040" s="101" t="str">
        <f>IFERROR(__xludf.DUMMYFUNCTION("""COMPUTED_VALUE"""),"https://drive.google.com/open?id=1GWF5p5wpP-ohlca0k7lNFp4ru0jMfG_i")</f>
        <v>https://drive.google.com/open?id=1GWF5p5wpP-ohlca0k7lNFp4ru0jMfG_i</v>
      </c>
      <c r="L1040" s="96" t="str">
        <f>IFERROR(__xludf.DUMMYFUNCTION("""COMPUTED_VALUE"""),"2019-2023")</f>
        <v>2019-2023</v>
      </c>
      <c r="M1040" s="96" t="str">
        <f>IFERROR(__xludf.DUMMYFUNCTION("""COMPUTED_VALUE"""),"S4: Student Certifications")</f>
        <v>S4: Student Certifications</v>
      </c>
      <c r="N1040" s="96" t="str">
        <f>IFERROR(__xludf.DUMMYFUNCTION("""COMPUTED_VALUE"""),"nehabhuvya@gmail.com")</f>
        <v>nehabhuvya@gmail.com</v>
      </c>
      <c r="O1040" s="96" t="str">
        <f>IFERROR(__xludf.DUMMYFUNCTION("""COMPUTED_VALUE"""),"SEM-6")</f>
        <v>SEM-6</v>
      </c>
      <c r="P1040" s="96"/>
      <c r="Q1040" s="96"/>
      <c r="R1040" s="96"/>
      <c r="S1040" s="96"/>
      <c r="T1040" s="96"/>
      <c r="U1040" s="96"/>
      <c r="V1040" s="96"/>
      <c r="W1040" s="96"/>
      <c r="X1040" s="96"/>
      <c r="Y1040" s="96"/>
    </row>
    <row r="1041" ht="26.25" customHeight="1">
      <c r="A1041" s="96" t="str">
        <f>IFERROR(__xludf.DUMMYFUNCTION("""COMPUTED_VALUE"""),"Yelleti Hema Satya")</f>
        <v>Yelleti Hema Satya</v>
      </c>
      <c r="B1041" s="96" t="str">
        <f>IFERROR(__xludf.DUMMYFUNCTION("""COMPUTED_VALUE"""),"19331A05J3")</f>
        <v>19331A05J3</v>
      </c>
      <c r="C1041" s="97" t="str">
        <f>IFERROR(__xludf.DUMMYFUNCTION("""COMPUTED_VALUE"""),"PCAP: Programming Essentials in Python")</f>
        <v>PCAP: Programming Essentials in Python</v>
      </c>
      <c r="D1041" s="96" t="str">
        <f>IFERROR(__xludf.DUMMYFUNCTION("""COMPUTED_VALUE"""),"Cisco")</f>
        <v>Cisco</v>
      </c>
      <c r="E1041" s="96" t="str">
        <f>IFERROR(__xludf.DUMMYFUNCTION("""COMPUTED_VALUE"""),"13 weeks")</f>
        <v>13 weeks</v>
      </c>
      <c r="F1041" s="98">
        <f>IFERROR(__xludf.DUMMYFUNCTION("""COMPUTED_VALUE"""),44227.0)</f>
        <v>44227</v>
      </c>
      <c r="G1041" s="98">
        <f>IFERROR(__xludf.DUMMYFUNCTION("""COMPUTED_VALUE"""),44322.0)</f>
        <v>44322</v>
      </c>
      <c r="H1041" s="99">
        <f>IFERROR(__xludf.DUMMYFUNCTION("""COMPUTED_VALUE"""),44322.0)</f>
        <v>44322</v>
      </c>
      <c r="I1041" s="100">
        <f>IFERROR(__xludf.DUMMYFUNCTION("""COMPUTED_VALUE"""),85.0)</f>
        <v>85</v>
      </c>
      <c r="J1041" s="96" t="str">
        <f>IFERROR(__xludf.DUMMYFUNCTION("""COMPUTED_VALUE"""),"M Beulah Rani")</f>
        <v>M Beulah Rani</v>
      </c>
      <c r="K1041" s="101" t="str">
        <f>IFERROR(__xludf.DUMMYFUNCTION("""COMPUTED_VALUE"""),"https://drive.google.com/open?id=17BIqO0i4s8xisgjb8A4VuaPqEfh2Js4G")</f>
        <v>https://drive.google.com/open?id=17BIqO0i4s8xisgjb8A4VuaPqEfh2Js4G</v>
      </c>
      <c r="L1041" s="96" t="str">
        <f>IFERROR(__xludf.DUMMYFUNCTION("""COMPUTED_VALUE"""),"2019-2023")</f>
        <v>2019-2023</v>
      </c>
      <c r="M1041" s="96" t="str">
        <f>IFERROR(__xludf.DUMMYFUNCTION("""COMPUTED_VALUE"""),"S4: Student Certifications")</f>
        <v>S4: Student Certifications</v>
      </c>
      <c r="N1041" s="96" t="str">
        <f>IFERROR(__xludf.DUMMYFUNCTION("""COMPUTED_VALUE"""),"hemasatyayelleti6126@gmail.com")</f>
        <v>hemasatyayelleti6126@gmail.com</v>
      </c>
      <c r="O1041" s="96" t="str">
        <f>IFERROR(__xludf.DUMMYFUNCTION("""COMPUTED_VALUE"""),"SEM-6")</f>
        <v>SEM-6</v>
      </c>
      <c r="P1041" s="96"/>
      <c r="Q1041" s="96"/>
      <c r="R1041" s="96"/>
      <c r="S1041" s="96"/>
      <c r="T1041" s="96"/>
      <c r="U1041" s="96"/>
      <c r="V1041" s="96"/>
      <c r="W1041" s="96"/>
      <c r="X1041" s="96"/>
      <c r="Y1041" s="96"/>
    </row>
    <row r="1042" ht="26.25" customHeight="1">
      <c r="A1042" s="96" t="str">
        <f>IFERROR(__xludf.DUMMYFUNCTION("""COMPUTED_VALUE"""),"Yelleti Hema Satya")</f>
        <v>Yelleti Hema Satya</v>
      </c>
      <c r="B1042" s="96" t="str">
        <f>IFERROR(__xludf.DUMMYFUNCTION("""COMPUTED_VALUE"""),"19331A05J3")</f>
        <v>19331A05J3</v>
      </c>
      <c r="C1042" s="97" t="str">
        <f>IFERROR(__xludf.DUMMYFUNCTION("""COMPUTED_VALUE"""),"CLA: Programming Essentials in C")</f>
        <v>CLA: Programming Essentials in C</v>
      </c>
      <c r="D1042" s="96" t="str">
        <f>IFERROR(__xludf.DUMMYFUNCTION("""COMPUTED_VALUE"""),"Cisco")</f>
        <v>Cisco</v>
      </c>
      <c r="E1042" s="96" t="str">
        <f>IFERROR(__xludf.DUMMYFUNCTION("""COMPUTED_VALUE"""),"13 weeks")</f>
        <v>13 weeks</v>
      </c>
      <c r="F1042" s="98">
        <f>IFERROR(__xludf.DUMMYFUNCTION("""COMPUTED_VALUE"""),43854.0)</f>
        <v>43854</v>
      </c>
      <c r="G1042" s="98">
        <f>IFERROR(__xludf.DUMMYFUNCTION("""COMPUTED_VALUE"""),43952.0)</f>
        <v>43952</v>
      </c>
      <c r="H1042" s="99">
        <f>IFERROR(__xludf.DUMMYFUNCTION("""COMPUTED_VALUE"""),43952.0)</f>
        <v>43952</v>
      </c>
      <c r="I1042" s="100">
        <f>IFERROR(__xludf.DUMMYFUNCTION("""COMPUTED_VALUE"""),85.0)</f>
        <v>85</v>
      </c>
      <c r="J1042" s="96" t="str">
        <f>IFERROR(__xludf.DUMMYFUNCTION("""COMPUTED_VALUE"""),"Dr. P. Ravi Kiran Varma ")</f>
        <v>Dr. P. Ravi Kiran Varma </v>
      </c>
      <c r="K1042" s="101" t="str">
        <f>IFERROR(__xludf.DUMMYFUNCTION("""COMPUTED_VALUE"""),"https://drive.google.com/open?id=1ouRGNBjjHGaP1LLm4rok9WQJhTp011So")</f>
        <v>https://drive.google.com/open?id=1ouRGNBjjHGaP1LLm4rok9WQJhTp011So</v>
      </c>
      <c r="L1042" s="96" t="str">
        <f>IFERROR(__xludf.DUMMYFUNCTION("""COMPUTED_VALUE"""),"2019-2023")</f>
        <v>2019-2023</v>
      </c>
      <c r="M1042" s="96" t="str">
        <f>IFERROR(__xludf.DUMMYFUNCTION("""COMPUTED_VALUE"""),"S4: Student Certifications")</f>
        <v>S4: Student Certifications</v>
      </c>
      <c r="N1042" s="96" t="str">
        <f>IFERROR(__xludf.DUMMYFUNCTION("""COMPUTED_VALUE"""),"hemasatyayelleti6126@gmail.com")</f>
        <v>hemasatyayelleti6126@gmail.com</v>
      </c>
      <c r="O1042" s="96" t="str">
        <f>IFERROR(__xludf.DUMMYFUNCTION("""COMPUTED_VALUE"""),"SEM-6")</f>
        <v>SEM-6</v>
      </c>
      <c r="P1042" s="96"/>
      <c r="Q1042" s="96"/>
      <c r="R1042" s="96"/>
      <c r="S1042" s="96"/>
      <c r="T1042" s="96"/>
      <c r="U1042" s="96"/>
      <c r="V1042" s="96"/>
      <c r="W1042" s="96"/>
      <c r="X1042" s="96"/>
      <c r="Y1042" s="96"/>
    </row>
    <row r="1043" ht="26.25" customHeight="1">
      <c r="A1043" s="74" t="str">
        <f>IFERROR(__xludf.DUMMYFUNCTION("""COMPUTED_VALUE"""),"Thatimalla Niveditha")</f>
        <v>Thatimalla Niveditha</v>
      </c>
      <c r="B1043" s="74" t="str">
        <f>IFERROR(__xludf.DUMMYFUNCTION("""COMPUTED_VALUE"""),"19331A05H1")</f>
        <v>19331A05H1</v>
      </c>
      <c r="C1043" s="90" t="str">
        <f>IFERROR(__xludf.DUMMYFUNCTION("""COMPUTED_VALUE"""),"Programming Fundamentals")</f>
        <v>Programming Fundamentals</v>
      </c>
      <c r="D1043" s="74" t="str">
        <f>IFERROR(__xludf.DUMMYFUNCTION("""COMPUTED_VALUE"""),"Coursera")</f>
        <v>Coursera</v>
      </c>
      <c r="E1043" s="74" t="str">
        <f>IFERROR(__xludf.DUMMYFUNCTION("""COMPUTED_VALUE"""),"5 weeks")</f>
        <v>5 weeks</v>
      </c>
      <c r="F1043" s="91">
        <f>IFERROR(__xludf.DUMMYFUNCTION("""COMPUTED_VALUE"""),44073.0)</f>
        <v>44073</v>
      </c>
      <c r="G1043" s="91">
        <f>IFERROR(__xludf.DUMMYFUNCTION("""COMPUTED_VALUE"""),44101.0)</f>
        <v>44101</v>
      </c>
      <c r="H1043" s="79">
        <f>IFERROR(__xludf.DUMMYFUNCTION("""COMPUTED_VALUE"""),44101.0)</f>
        <v>44101</v>
      </c>
      <c r="I1043" s="92">
        <f>IFERROR(__xludf.DUMMYFUNCTION("""COMPUTED_VALUE"""),0.9)</f>
        <v>0.9</v>
      </c>
      <c r="J1043" s="74" t="str">
        <f>IFERROR(__xludf.DUMMYFUNCTION("""COMPUTED_VALUE"""),"Andrew D. Hilton, Geneivieve, Anne Bracy")</f>
        <v>Andrew D. Hilton, Geneivieve, Anne Bracy</v>
      </c>
      <c r="K1043" s="80" t="str">
        <f>IFERROR(__xludf.DUMMYFUNCTION("""COMPUTED_VALUE"""),"https://drive.google.com/open?id=15RwwX6_KXxXLoRwvTt6wBbpQ_vZE6R1b")</f>
        <v>https://drive.google.com/open?id=15RwwX6_KXxXLoRwvTt6wBbpQ_vZE6R1b</v>
      </c>
      <c r="L1043" s="74" t="str">
        <f>IFERROR(__xludf.DUMMYFUNCTION("""COMPUTED_VALUE"""),"2019-2023")</f>
        <v>2019-2023</v>
      </c>
      <c r="M1043" s="74" t="str">
        <f>IFERROR(__xludf.DUMMYFUNCTION("""COMPUTED_VALUE"""),"S4: Student Certifications")</f>
        <v>S4: Student Certifications</v>
      </c>
      <c r="N1043" s="74" t="str">
        <f>IFERROR(__xludf.DUMMYFUNCTION("""COMPUTED_VALUE"""),"thatimallaniveditha@gmail.com")</f>
        <v>thatimallaniveditha@gmail.com</v>
      </c>
      <c r="O1043" s="74" t="str">
        <f>IFERROR(__xludf.DUMMYFUNCTION("""COMPUTED_VALUE"""),"SEM-3")</f>
        <v>SEM-3</v>
      </c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</row>
    <row r="1044" ht="26.25" customHeight="1">
      <c r="A1044" s="96" t="str">
        <f>IFERROR(__xludf.DUMMYFUNCTION("""COMPUTED_VALUE"""),"Yelleti Hema Satya ")</f>
        <v>Yelleti Hema Satya </v>
      </c>
      <c r="B1044" s="96" t="str">
        <f>IFERROR(__xludf.DUMMYFUNCTION("""COMPUTED_VALUE"""),"19331A05J3")</f>
        <v>19331A05J3</v>
      </c>
      <c r="C1044" s="97" t="str">
        <f>IFERROR(__xludf.DUMMYFUNCTION("""COMPUTED_VALUE"""),"IT Essentials ")</f>
        <v>IT Essentials </v>
      </c>
      <c r="D1044" s="96" t="str">
        <f>IFERROR(__xludf.DUMMYFUNCTION("""COMPUTED_VALUE"""),"Cisco")</f>
        <v>Cisco</v>
      </c>
      <c r="E1044" s="96" t="str">
        <f>IFERROR(__xludf.DUMMYFUNCTION("""COMPUTED_VALUE"""),"13 weeks")</f>
        <v>13 weeks</v>
      </c>
      <c r="F1044" s="98">
        <f>IFERROR(__xludf.DUMMYFUNCTION("""COMPUTED_VALUE"""),43982.0)</f>
        <v>43982</v>
      </c>
      <c r="G1044" s="98">
        <f>IFERROR(__xludf.DUMMYFUNCTION("""COMPUTED_VALUE"""),44080.0)</f>
        <v>44080</v>
      </c>
      <c r="H1044" s="99">
        <f>IFERROR(__xludf.DUMMYFUNCTION("""COMPUTED_VALUE"""),44080.0)</f>
        <v>44080</v>
      </c>
      <c r="I1044" s="100">
        <f>IFERROR(__xludf.DUMMYFUNCTION("""COMPUTED_VALUE"""),85.0)</f>
        <v>85</v>
      </c>
      <c r="J1044" s="96" t="str">
        <f>IFERROR(__xludf.DUMMYFUNCTION("""COMPUTED_VALUE"""),"Dr. Suvarna Kumar Gogula")</f>
        <v>Dr. Suvarna Kumar Gogula</v>
      </c>
      <c r="K1044" s="101" t="str">
        <f>IFERROR(__xludf.DUMMYFUNCTION("""COMPUTED_VALUE"""),"https://drive.google.com/open?id=1_45txGM6CLdtXy4xP8LAop5_rnW6kK0n")</f>
        <v>https://drive.google.com/open?id=1_45txGM6CLdtXy4xP8LAop5_rnW6kK0n</v>
      </c>
      <c r="L1044" s="96" t="str">
        <f>IFERROR(__xludf.DUMMYFUNCTION("""COMPUTED_VALUE"""),"2019-2023")</f>
        <v>2019-2023</v>
      </c>
      <c r="M1044" s="96" t="str">
        <f>IFERROR(__xludf.DUMMYFUNCTION("""COMPUTED_VALUE"""),"S4: Student Certifications")</f>
        <v>S4: Student Certifications</v>
      </c>
      <c r="N1044" s="96" t="str">
        <f>IFERROR(__xludf.DUMMYFUNCTION("""COMPUTED_VALUE"""),"yelletihemasatyayelleti6126@gmail.com")</f>
        <v>yelletihemasatyayelleti6126@gmail.com</v>
      </c>
      <c r="O1044" s="96" t="str">
        <f>IFERROR(__xludf.DUMMYFUNCTION("""COMPUTED_VALUE"""),"SEM-6")</f>
        <v>SEM-6</v>
      </c>
      <c r="P1044" s="96"/>
      <c r="Q1044" s="96"/>
      <c r="R1044" s="96"/>
      <c r="S1044" s="96"/>
      <c r="T1044" s="96"/>
      <c r="U1044" s="96"/>
      <c r="V1044" s="96"/>
      <c r="W1044" s="96"/>
      <c r="X1044" s="96"/>
      <c r="Y1044" s="96"/>
    </row>
    <row r="1045" ht="26.25" customHeight="1">
      <c r="A1045" s="74" t="str">
        <f>IFERROR(__xludf.DUMMYFUNCTION("""COMPUTED_VALUE"""),"Thatimalla Niveditha")</f>
        <v>Thatimalla Niveditha</v>
      </c>
      <c r="B1045" s="74" t="str">
        <f>IFERROR(__xludf.DUMMYFUNCTION("""COMPUTED_VALUE"""),"19331A05H1")</f>
        <v>19331A05H1</v>
      </c>
      <c r="C1045" s="90" t="str">
        <f>IFERROR(__xludf.DUMMYFUNCTION("""COMPUTED_VALUE"""),"Cybersecurity and It's Ten Domains")</f>
        <v>Cybersecurity and It's Ten Domains</v>
      </c>
      <c r="D1045" s="74" t="str">
        <f>IFERROR(__xludf.DUMMYFUNCTION("""COMPUTED_VALUE"""),"Coursera")</f>
        <v>Coursera</v>
      </c>
      <c r="E1045" s="74" t="str">
        <f>IFERROR(__xludf.DUMMYFUNCTION("""COMPUTED_VALUE"""),"5 weeks")</f>
        <v>5 weeks</v>
      </c>
      <c r="F1045" s="91">
        <f>IFERROR(__xludf.DUMMYFUNCTION("""COMPUTED_VALUE"""),44071.0)</f>
        <v>44071</v>
      </c>
      <c r="G1045" s="91">
        <f>IFERROR(__xludf.DUMMYFUNCTION("""COMPUTED_VALUE"""),44106.0)</f>
        <v>44106</v>
      </c>
      <c r="H1045" s="79">
        <f>IFERROR(__xludf.DUMMYFUNCTION("""COMPUTED_VALUE"""),44106.0)</f>
        <v>44106</v>
      </c>
      <c r="I1045" s="92">
        <f>IFERROR(__xludf.DUMMYFUNCTION("""COMPUTED_VALUE"""),0.88)</f>
        <v>0.88</v>
      </c>
      <c r="J1045" s="74" t="str">
        <f>IFERROR(__xludf.DUMMYFUNCTION("""COMPUTED_VALUE"""),"Dr. Humanyun Zafar")</f>
        <v>Dr. Humanyun Zafar</v>
      </c>
      <c r="K1045" s="80" t="str">
        <f>IFERROR(__xludf.DUMMYFUNCTION("""COMPUTED_VALUE"""),"https://drive.google.com/open?id=1L8pSeS7cavXIWpKuEkmB31MABEG4iouJ")</f>
        <v>https://drive.google.com/open?id=1L8pSeS7cavXIWpKuEkmB31MABEG4iouJ</v>
      </c>
      <c r="L1045" s="74" t="str">
        <f>IFERROR(__xludf.DUMMYFUNCTION("""COMPUTED_VALUE"""),"2019-2023")</f>
        <v>2019-2023</v>
      </c>
      <c r="M1045" s="74" t="str">
        <f>IFERROR(__xludf.DUMMYFUNCTION("""COMPUTED_VALUE"""),"S4: Student Certifications")</f>
        <v>S4: Student Certifications</v>
      </c>
      <c r="N1045" s="74" t="str">
        <f>IFERROR(__xludf.DUMMYFUNCTION("""COMPUTED_VALUE"""),"thatimallaniveditha@gmail.com")</f>
        <v>thatimallaniveditha@gmail.com</v>
      </c>
      <c r="O1045" s="74" t="str">
        <f>IFERROR(__xludf.DUMMYFUNCTION("""COMPUTED_VALUE"""),"SEM-3")</f>
        <v>SEM-3</v>
      </c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</row>
    <row r="1046" ht="26.25" customHeight="1">
      <c r="A1046" s="96" t="str">
        <f>IFERROR(__xludf.DUMMYFUNCTION("""COMPUTED_VALUE"""),"Yelleti Hema Satya ")</f>
        <v>Yelleti Hema Satya </v>
      </c>
      <c r="B1046" s="96" t="str">
        <f>IFERROR(__xludf.DUMMYFUNCTION("""COMPUTED_VALUE"""),"19331A05J3 ")</f>
        <v>19331A05J3 </v>
      </c>
      <c r="C1046" s="97" t="str">
        <f>IFERROR(__xludf.DUMMYFUNCTION("""COMPUTED_VALUE"""),"AI for everyone ")</f>
        <v>AI for everyone </v>
      </c>
      <c r="D1046" s="96" t="str">
        <f>IFERROR(__xludf.DUMMYFUNCTION("""COMPUTED_VALUE"""),"Coursera ")</f>
        <v>Coursera </v>
      </c>
      <c r="E1046" s="96" t="str">
        <f>IFERROR(__xludf.DUMMYFUNCTION("""COMPUTED_VALUE"""),"4 weeks")</f>
        <v>4 weeks</v>
      </c>
      <c r="F1046" s="98">
        <f>IFERROR(__xludf.DUMMYFUNCTION("""COMPUTED_VALUE"""),44485.0)</f>
        <v>44485</v>
      </c>
      <c r="G1046" s="98">
        <f>IFERROR(__xludf.DUMMYFUNCTION("""COMPUTED_VALUE"""),44516.0)</f>
        <v>44516</v>
      </c>
      <c r="H1046" s="99">
        <f>IFERROR(__xludf.DUMMYFUNCTION("""COMPUTED_VALUE"""),44516.0)</f>
        <v>44516</v>
      </c>
      <c r="I1046" s="100">
        <f>IFERROR(__xludf.DUMMYFUNCTION("""COMPUTED_VALUE"""),85.0)</f>
        <v>85</v>
      </c>
      <c r="J1046" s="96" t="str">
        <f>IFERROR(__xludf.DUMMYFUNCTION("""COMPUTED_VALUE"""),"Dr. P. Ravi Kiran Varma ")</f>
        <v>Dr. P. Ravi Kiran Varma </v>
      </c>
      <c r="K1046" s="101" t="str">
        <f>IFERROR(__xludf.DUMMYFUNCTION("""COMPUTED_VALUE"""),"https://drive.google.com/open?id=1NHOakMHiPTu7d2Ll_foajsNzaSk9UZ6j")</f>
        <v>https://drive.google.com/open?id=1NHOakMHiPTu7d2Ll_foajsNzaSk9UZ6j</v>
      </c>
      <c r="L1046" s="96" t="str">
        <f>IFERROR(__xludf.DUMMYFUNCTION("""COMPUTED_VALUE"""),"2019-2023")</f>
        <v>2019-2023</v>
      </c>
      <c r="M1046" s="96" t="str">
        <f>IFERROR(__xludf.DUMMYFUNCTION("""COMPUTED_VALUE"""),"S4: Student Certifications")</f>
        <v>S4: Student Certifications</v>
      </c>
      <c r="N1046" s="96" t="str">
        <f>IFERROR(__xludf.DUMMYFUNCTION("""COMPUTED_VALUE"""),"hemasatyayelleti6126@gmail.com")</f>
        <v>hemasatyayelleti6126@gmail.com</v>
      </c>
      <c r="O1046" s="96" t="str">
        <f>IFERROR(__xludf.DUMMYFUNCTION("""COMPUTED_VALUE"""),"SEM-6")</f>
        <v>SEM-6</v>
      </c>
      <c r="P1046" s="96"/>
      <c r="Q1046" s="96"/>
      <c r="R1046" s="96"/>
      <c r="S1046" s="96"/>
      <c r="T1046" s="96"/>
      <c r="U1046" s="96"/>
      <c r="V1046" s="96"/>
      <c r="W1046" s="96"/>
      <c r="X1046" s="96"/>
      <c r="Y1046" s="96"/>
    </row>
    <row r="1047" ht="26.25" customHeight="1">
      <c r="A1047" s="96" t="str">
        <f>IFERROR(__xludf.DUMMYFUNCTION("""COMPUTED_VALUE"""),"Yelleti Hema Satya ")</f>
        <v>Yelleti Hema Satya </v>
      </c>
      <c r="B1047" s="96" t="str">
        <f>IFERROR(__xludf.DUMMYFUNCTION("""COMPUTED_VALUE"""),"19331A05J3 ")</f>
        <v>19331A05J3 </v>
      </c>
      <c r="C1047" s="97" t="str">
        <f>IFERROR(__xludf.DUMMYFUNCTION("""COMPUTED_VALUE"""),"Programming for Everybody(Getting started with python)")</f>
        <v>Programming for Everybody(Getting started with python)</v>
      </c>
      <c r="D1047" s="96" t="str">
        <f>IFERROR(__xludf.DUMMYFUNCTION("""COMPUTED_VALUE"""),"Coursera ")</f>
        <v>Coursera </v>
      </c>
      <c r="E1047" s="96" t="str">
        <f>IFERROR(__xludf.DUMMYFUNCTION("""COMPUTED_VALUE"""),"5 weeks")</f>
        <v>5 weeks</v>
      </c>
      <c r="F1047" s="98">
        <f>IFERROR(__xludf.DUMMYFUNCTION("""COMPUTED_VALUE"""),44478.0)</f>
        <v>44478</v>
      </c>
      <c r="G1047" s="98">
        <f>IFERROR(__xludf.DUMMYFUNCTION("""COMPUTED_VALUE"""),44516.0)</f>
        <v>44516</v>
      </c>
      <c r="H1047" s="99">
        <f>IFERROR(__xludf.DUMMYFUNCTION("""COMPUTED_VALUE"""),44516.0)</f>
        <v>44516</v>
      </c>
      <c r="I1047" s="100">
        <f>IFERROR(__xludf.DUMMYFUNCTION("""COMPUTED_VALUE"""),85.0)</f>
        <v>85</v>
      </c>
      <c r="J1047" s="96" t="str">
        <f>IFERROR(__xludf.DUMMYFUNCTION("""COMPUTED_VALUE"""),"M.Beulah Rani")</f>
        <v>M.Beulah Rani</v>
      </c>
      <c r="K1047" s="101" t="str">
        <f>IFERROR(__xludf.DUMMYFUNCTION("""COMPUTED_VALUE"""),"https://drive.google.com/open?id=1taX9Dra00xlb47uWajmdo51k0m97Is7Q")</f>
        <v>https://drive.google.com/open?id=1taX9Dra00xlb47uWajmdo51k0m97Is7Q</v>
      </c>
      <c r="L1047" s="96" t="str">
        <f>IFERROR(__xludf.DUMMYFUNCTION("""COMPUTED_VALUE"""),"2019-2023")</f>
        <v>2019-2023</v>
      </c>
      <c r="M1047" s="96" t="str">
        <f>IFERROR(__xludf.DUMMYFUNCTION("""COMPUTED_VALUE"""),"S4: Student Certifications")</f>
        <v>S4: Student Certifications</v>
      </c>
      <c r="N1047" s="96" t="str">
        <f>IFERROR(__xludf.DUMMYFUNCTION("""COMPUTED_VALUE"""),"hemasatyayelleti6126@gmail.com")</f>
        <v>hemasatyayelleti6126@gmail.com</v>
      </c>
      <c r="O1047" s="96" t="str">
        <f>IFERROR(__xludf.DUMMYFUNCTION("""COMPUTED_VALUE"""),"SEM-6")</f>
        <v>SEM-6</v>
      </c>
      <c r="P1047" s="96"/>
      <c r="Q1047" s="96"/>
      <c r="R1047" s="96"/>
      <c r="S1047" s="96"/>
      <c r="T1047" s="96"/>
      <c r="U1047" s="96"/>
      <c r="V1047" s="96"/>
      <c r="W1047" s="96"/>
      <c r="X1047" s="96"/>
      <c r="Y1047" s="96"/>
    </row>
    <row r="1048" ht="26.25" customHeight="1">
      <c r="A1048" s="96" t="str">
        <f>IFERROR(__xludf.DUMMYFUNCTION("""COMPUTED_VALUE"""),"Sravani Sreepada")</f>
        <v>Sravani Sreepada</v>
      </c>
      <c r="B1048" s="96" t="str">
        <f>IFERROR(__xludf.DUMMYFUNCTION("""COMPUTED_VALUE"""),"19331A05G1")</f>
        <v>19331A05G1</v>
      </c>
      <c r="C1048" s="97" t="str">
        <f>IFERROR(__xludf.DUMMYFUNCTION("""COMPUTED_VALUE"""),"CLA: Programming Essentials in C")</f>
        <v>CLA: Programming Essentials in C</v>
      </c>
      <c r="D1048" s="96" t="str">
        <f>IFERROR(__xludf.DUMMYFUNCTION("""COMPUTED_VALUE"""),"Cisco")</f>
        <v>Cisco</v>
      </c>
      <c r="E1048" s="96" t="str">
        <f>IFERROR(__xludf.DUMMYFUNCTION("""COMPUTED_VALUE"""),"13 weeks")</f>
        <v>13 weeks</v>
      </c>
      <c r="F1048" s="98">
        <f>IFERROR(__xludf.DUMMYFUNCTION("""COMPUTED_VALUE"""),43845.0)</f>
        <v>43845</v>
      </c>
      <c r="G1048" s="98">
        <f>IFERROR(__xludf.DUMMYFUNCTION("""COMPUTED_VALUE"""),43943.0)</f>
        <v>43943</v>
      </c>
      <c r="H1048" s="99">
        <f>IFERROR(__xludf.DUMMYFUNCTION("""COMPUTED_VALUE"""),43943.0)</f>
        <v>43943</v>
      </c>
      <c r="I1048" s="100"/>
      <c r="J1048" s="96" t="str">
        <f>IFERROR(__xludf.DUMMYFUNCTION("""COMPUTED_VALUE"""),"Dr. Ravi Kiran Varma Penmatsa")</f>
        <v>Dr. Ravi Kiran Varma Penmatsa</v>
      </c>
      <c r="K1048" s="101" t="str">
        <f>IFERROR(__xludf.DUMMYFUNCTION("""COMPUTED_VALUE"""),"https://drive.google.com/open?id=1paflOfQdeW0HYUJZwb_OpYzIzVjrjYdP")</f>
        <v>https://drive.google.com/open?id=1paflOfQdeW0HYUJZwb_OpYzIzVjrjYdP</v>
      </c>
      <c r="L1048" s="96" t="str">
        <f>IFERROR(__xludf.DUMMYFUNCTION("""COMPUTED_VALUE"""),"2019-2023")</f>
        <v>2019-2023</v>
      </c>
      <c r="M1048" s="96" t="str">
        <f>IFERROR(__xludf.DUMMYFUNCTION("""COMPUTED_VALUE"""),"S4: Student Certifications")</f>
        <v>S4: Student Certifications</v>
      </c>
      <c r="N1048" s="96" t="str">
        <f>IFERROR(__xludf.DUMMYFUNCTION("""COMPUTED_VALUE"""),"sreepadasravani@gmail.com")</f>
        <v>sreepadasravani@gmail.com</v>
      </c>
      <c r="O1048" s="96" t="str">
        <f>IFERROR(__xludf.DUMMYFUNCTION("""COMPUTED_VALUE"""),"SEM-6")</f>
        <v>SEM-6</v>
      </c>
      <c r="P1048" s="96"/>
      <c r="Q1048" s="96"/>
      <c r="R1048" s="96"/>
      <c r="S1048" s="96"/>
      <c r="T1048" s="96"/>
      <c r="U1048" s="96"/>
      <c r="V1048" s="96"/>
      <c r="W1048" s="96"/>
      <c r="X1048" s="96"/>
      <c r="Y1048" s="96"/>
    </row>
    <row r="1049" ht="26.25" customHeight="1">
      <c r="A1049" s="74" t="str">
        <f>IFERROR(__xludf.DUMMYFUNCTION("""COMPUTED_VALUE"""),"Niveditha Thatimalla")</f>
        <v>Niveditha Thatimalla</v>
      </c>
      <c r="B1049" s="74" t="str">
        <f>IFERROR(__xludf.DUMMYFUNCTION("""COMPUTED_VALUE"""),"19331A05H1")</f>
        <v>19331A05H1</v>
      </c>
      <c r="C1049" s="90" t="str">
        <f>IFERROR(__xludf.DUMMYFUNCTION("""COMPUTED_VALUE"""),"Code Riders 2021")</f>
        <v>Code Riders 2021</v>
      </c>
      <c r="D1049" s="74" t="str">
        <f>IFERROR(__xludf.DUMMYFUNCTION("""COMPUTED_VALUE"""),"EduSkills")</f>
        <v>EduSkills</v>
      </c>
      <c r="E1049" s="74" t="str">
        <f>IFERROR(__xludf.DUMMYFUNCTION("""COMPUTED_VALUE"""),"1 month")</f>
        <v>1 month</v>
      </c>
      <c r="F1049" s="91">
        <f>IFERROR(__xludf.DUMMYFUNCTION("""COMPUTED_VALUE"""),44348.0)</f>
        <v>44348</v>
      </c>
      <c r="G1049" s="91">
        <f>IFERROR(__xludf.DUMMYFUNCTION("""COMPUTED_VALUE"""),44378.0)</f>
        <v>44378</v>
      </c>
      <c r="H1049" s="79">
        <f>IFERROR(__xludf.DUMMYFUNCTION("""COMPUTED_VALUE"""),44378.0)</f>
        <v>44378</v>
      </c>
      <c r="I1049" s="92"/>
      <c r="J1049" s="74" t="str">
        <f>IFERROR(__xludf.DUMMYFUNCTION("""COMPUTED_VALUE"""),"Mr. Anurag Srivastava")</f>
        <v>Mr. Anurag Srivastava</v>
      </c>
      <c r="K1049" s="80" t="str">
        <f>IFERROR(__xludf.DUMMYFUNCTION("""COMPUTED_VALUE"""),"https://drive.google.com/open?id=1HDYnFSCSOaAgSKMgg8AAQK9BB0j3J0k6")</f>
        <v>https://drive.google.com/open?id=1HDYnFSCSOaAgSKMgg8AAQK9BB0j3J0k6</v>
      </c>
      <c r="L1049" s="74" t="str">
        <f>IFERROR(__xludf.DUMMYFUNCTION("""COMPUTED_VALUE"""),"2019-2023")</f>
        <v>2019-2023</v>
      </c>
      <c r="M1049" s="74" t="str">
        <f>IFERROR(__xludf.DUMMYFUNCTION("""COMPUTED_VALUE"""),"S4: Student Certifications")</f>
        <v>S4: Student Certifications</v>
      </c>
      <c r="N1049" s="74" t="str">
        <f>IFERROR(__xludf.DUMMYFUNCTION("""COMPUTED_VALUE"""),"thatimallaniveditha@gmail.com")</f>
        <v>thatimallaniveditha@gmail.com</v>
      </c>
      <c r="O1049" s="74" t="str">
        <f>IFERROR(__xludf.DUMMYFUNCTION("""COMPUTED_VALUE"""),"SEM-5")</f>
        <v>SEM-5</v>
      </c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</row>
    <row r="1050" ht="26.25" customHeight="1">
      <c r="A1050" s="96" t="str">
        <f>IFERROR(__xludf.DUMMYFUNCTION("""COMPUTED_VALUE"""),"Sanjana Vantaram")</f>
        <v>Sanjana Vantaram</v>
      </c>
      <c r="B1050" s="96" t="str">
        <f>IFERROR(__xludf.DUMMYFUNCTION("""COMPUTED_VALUE"""),"19331A05E8")</f>
        <v>19331A05E8</v>
      </c>
      <c r="C1050" s="97" t="str">
        <f>IFERROR(__xludf.DUMMYFUNCTION("""COMPUTED_VALUE"""),"PCAP : Programming Essentials in Python")</f>
        <v>PCAP : Programming Essentials in Python</v>
      </c>
      <c r="D1050" s="96" t="str">
        <f>IFERROR(__xludf.DUMMYFUNCTION("""COMPUTED_VALUE"""),"Cisco")</f>
        <v>Cisco</v>
      </c>
      <c r="E1050" s="96" t="str">
        <f>IFERROR(__xludf.DUMMYFUNCTION("""COMPUTED_VALUE"""),"13 weeks")</f>
        <v>13 weeks</v>
      </c>
      <c r="F1050" s="98">
        <f>IFERROR(__xludf.DUMMYFUNCTION("""COMPUTED_VALUE"""),44591.0)</f>
        <v>44591</v>
      </c>
      <c r="G1050" s="98">
        <f>IFERROR(__xludf.DUMMYFUNCTION("""COMPUTED_VALUE"""),44322.0)</f>
        <v>44322</v>
      </c>
      <c r="H1050" s="99">
        <f>IFERROR(__xludf.DUMMYFUNCTION("""COMPUTED_VALUE"""),44322.0)</f>
        <v>44322</v>
      </c>
      <c r="I1050" s="100">
        <f>IFERROR(__xludf.DUMMYFUNCTION("""COMPUTED_VALUE"""),0.85)</f>
        <v>0.85</v>
      </c>
      <c r="J1050" s="96" t="str">
        <f>IFERROR(__xludf.DUMMYFUNCTION("""COMPUTED_VALUE"""),"M. Beulah Rani")</f>
        <v>M. Beulah Rani</v>
      </c>
      <c r="K1050" s="101" t="str">
        <f>IFERROR(__xludf.DUMMYFUNCTION("""COMPUTED_VALUE"""),"https://drive.google.com/open?id=1snEOPbpl2j8wbo2kZMcELDwwBRnh-Bey")</f>
        <v>https://drive.google.com/open?id=1snEOPbpl2j8wbo2kZMcELDwwBRnh-Bey</v>
      </c>
      <c r="L1050" s="96" t="str">
        <f>IFERROR(__xludf.DUMMYFUNCTION("""COMPUTED_VALUE"""),"2019-2023")</f>
        <v>2019-2023</v>
      </c>
      <c r="M1050" s="96" t="str">
        <f>IFERROR(__xludf.DUMMYFUNCTION("""COMPUTED_VALUE"""),"S4: Student Certifications")</f>
        <v>S4: Student Certifications</v>
      </c>
      <c r="N1050" s="96" t="str">
        <f>IFERROR(__xludf.DUMMYFUNCTION("""COMPUTED_VALUE"""),"sanjana379cruise@gmail.con")</f>
        <v>sanjana379cruise@gmail.con</v>
      </c>
      <c r="O1050" s="96" t="str">
        <f>IFERROR(__xludf.DUMMYFUNCTION("""COMPUTED_VALUE"""),"SEM-6")</f>
        <v>SEM-6</v>
      </c>
      <c r="P1050" s="96"/>
      <c r="Q1050" s="96"/>
      <c r="R1050" s="96"/>
      <c r="S1050" s="96"/>
      <c r="T1050" s="96"/>
      <c r="U1050" s="96"/>
      <c r="V1050" s="96"/>
      <c r="W1050" s="96"/>
      <c r="X1050" s="96"/>
      <c r="Y1050" s="96"/>
    </row>
    <row r="1051" ht="26.25" customHeight="1">
      <c r="A1051" s="96" t="str">
        <f>IFERROR(__xludf.DUMMYFUNCTION("""COMPUTED_VALUE"""),"Sanjana Vantaram")</f>
        <v>Sanjana Vantaram</v>
      </c>
      <c r="B1051" s="96" t="str">
        <f>IFERROR(__xludf.DUMMYFUNCTION("""COMPUTED_VALUE"""),"19331A05E8")</f>
        <v>19331A05E8</v>
      </c>
      <c r="C1051" s="97" t="str">
        <f>IFERROR(__xludf.DUMMYFUNCTION("""COMPUTED_VALUE"""),"CLA : Programming Essentials in C")</f>
        <v>CLA : Programming Essentials in C</v>
      </c>
      <c r="D1051" s="96" t="str">
        <f>IFERROR(__xludf.DUMMYFUNCTION("""COMPUTED_VALUE"""),"Cisco")</f>
        <v>Cisco</v>
      </c>
      <c r="E1051" s="96" t="str">
        <f>IFERROR(__xludf.DUMMYFUNCTION("""COMPUTED_VALUE"""),"13 weeks")</f>
        <v>13 weeks</v>
      </c>
      <c r="F1051" s="98">
        <f>IFERROR(__xludf.DUMMYFUNCTION("""COMPUTED_VALUE"""),43855.0)</f>
        <v>43855</v>
      </c>
      <c r="G1051" s="98">
        <f>IFERROR(__xludf.DUMMYFUNCTION("""COMPUTED_VALUE"""),43952.0)</f>
        <v>43952</v>
      </c>
      <c r="H1051" s="99">
        <f>IFERROR(__xludf.DUMMYFUNCTION("""COMPUTED_VALUE"""),43952.0)</f>
        <v>43952</v>
      </c>
      <c r="I1051" s="100">
        <f>IFERROR(__xludf.DUMMYFUNCTION("""COMPUTED_VALUE"""),0.85)</f>
        <v>0.85</v>
      </c>
      <c r="J1051" s="96" t="str">
        <f>IFERROR(__xludf.DUMMYFUNCTION("""COMPUTED_VALUE"""),"Dr.P. Ravi Kiran Varma")</f>
        <v>Dr.P. Ravi Kiran Varma</v>
      </c>
      <c r="K1051" s="101" t="str">
        <f>IFERROR(__xludf.DUMMYFUNCTION("""COMPUTED_VALUE"""),"https://drive.google.com/open?id=1brfPSUg7sbiCqO9FsWqg9TWrZovHIO6D")</f>
        <v>https://drive.google.com/open?id=1brfPSUg7sbiCqO9FsWqg9TWrZovHIO6D</v>
      </c>
      <c r="L1051" s="96" t="str">
        <f>IFERROR(__xludf.DUMMYFUNCTION("""COMPUTED_VALUE"""),"2019-2023")</f>
        <v>2019-2023</v>
      </c>
      <c r="M1051" s="96" t="str">
        <f>IFERROR(__xludf.DUMMYFUNCTION("""COMPUTED_VALUE"""),"S4: Student Certifications")</f>
        <v>S4: Student Certifications</v>
      </c>
      <c r="N1051" s="96" t="str">
        <f>IFERROR(__xludf.DUMMYFUNCTION("""COMPUTED_VALUE"""),"sanjana379cruise@gmail.con")</f>
        <v>sanjana379cruise@gmail.con</v>
      </c>
      <c r="O1051" s="96" t="str">
        <f>IFERROR(__xludf.DUMMYFUNCTION("""COMPUTED_VALUE"""),"SEM-6")</f>
        <v>SEM-6</v>
      </c>
      <c r="P1051" s="96"/>
      <c r="Q1051" s="96"/>
      <c r="R1051" s="96"/>
      <c r="S1051" s="96"/>
      <c r="T1051" s="96"/>
      <c r="U1051" s="96"/>
      <c r="V1051" s="96"/>
      <c r="W1051" s="96"/>
      <c r="X1051" s="96"/>
      <c r="Y1051" s="96"/>
    </row>
    <row r="1052" ht="26.25" customHeight="1">
      <c r="A1052" s="96" t="str">
        <f>IFERROR(__xludf.DUMMYFUNCTION("""COMPUTED_VALUE"""),"venkata surya sailesh kurella")</f>
        <v>venkata surya sailesh kurella</v>
      </c>
      <c r="B1052" s="96" t="str">
        <f>IFERROR(__xludf.DUMMYFUNCTION("""COMPUTED_VALUE"""),"19331A0593")</f>
        <v>19331A0593</v>
      </c>
      <c r="C1052" s="97" t="str">
        <f>IFERROR(__xludf.DUMMYFUNCTION("""COMPUTED_VALUE"""),"Programming essentials in c")</f>
        <v>Programming essentials in c</v>
      </c>
      <c r="D1052" s="96" t="str">
        <f>IFERROR(__xludf.DUMMYFUNCTION("""COMPUTED_VALUE"""),"Cisco networking academy ")</f>
        <v>Cisco networking academy </v>
      </c>
      <c r="E1052" s="96" t="str">
        <f>IFERROR(__xludf.DUMMYFUNCTION("""COMPUTED_VALUE"""),"2 months")</f>
        <v>2 months</v>
      </c>
      <c r="F1052" s="98">
        <f>IFERROR(__xludf.DUMMYFUNCTION("""COMPUTED_VALUE"""),43926.0)</f>
        <v>43926</v>
      </c>
      <c r="G1052" s="98">
        <f>IFERROR(__xludf.DUMMYFUNCTION("""COMPUTED_VALUE"""),43987.0)</f>
        <v>43987</v>
      </c>
      <c r="H1052" s="99">
        <f>IFERROR(__xludf.DUMMYFUNCTION("""COMPUTED_VALUE"""),43987.0)</f>
        <v>43987</v>
      </c>
      <c r="I1052" s="100">
        <f>IFERROR(__xludf.DUMMYFUNCTION("""COMPUTED_VALUE"""),80.0)</f>
        <v>80</v>
      </c>
      <c r="J1052" s="96" t="str">
        <f>IFERROR(__xludf.DUMMYFUNCTION("""COMPUTED_VALUE"""),"Dr ravi kiran varma penmatsa")</f>
        <v>Dr ravi kiran varma penmatsa</v>
      </c>
      <c r="K1052" s="101" t="str">
        <f>IFERROR(__xludf.DUMMYFUNCTION("""COMPUTED_VALUE"""),"https://drive.google.com/open?id=1EeG2EJ5A_SCrDfXnfGKz79dLF7x7UsAP")</f>
        <v>https://drive.google.com/open?id=1EeG2EJ5A_SCrDfXnfGKz79dLF7x7UsAP</v>
      </c>
      <c r="L1052" s="96" t="str">
        <f>IFERROR(__xludf.DUMMYFUNCTION("""COMPUTED_VALUE"""),"2019-2023")</f>
        <v>2019-2023</v>
      </c>
      <c r="M1052" s="96" t="str">
        <f>IFERROR(__xludf.DUMMYFUNCTION("""COMPUTED_VALUE"""),"S4: Student Certifications")</f>
        <v>S4: Student Certifications</v>
      </c>
      <c r="N1052" s="96" t="str">
        <f>IFERROR(__xludf.DUMMYFUNCTION("""COMPUTED_VALUE"""),"suryasailesh422@gmail.com")</f>
        <v>suryasailesh422@gmail.com</v>
      </c>
      <c r="O1052" s="96" t="str">
        <f>IFERROR(__xludf.DUMMYFUNCTION("""COMPUTED_VALUE"""),"SEM-6")</f>
        <v>SEM-6</v>
      </c>
      <c r="P1052" s="96"/>
      <c r="Q1052" s="96"/>
      <c r="R1052" s="96"/>
      <c r="S1052" s="96"/>
      <c r="T1052" s="96"/>
      <c r="U1052" s="96"/>
      <c r="V1052" s="96"/>
      <c r="W1052" s="96"/>
      <c r="X1052" s="96"/>
      <c r="Y1052" s="96"/>
    </row>
    <row r="1053" ht="26.25" customHeight="1">
      <c r="A1053" s="96" t="str">
        <f>IFERROR(__xludf.DUMMYFUNCTION("""COMPUTED_VALUE"""),"KUNDRAPU DIVYA SATYA KUMARI ")</f>
        <v>KUNDRAPU DIVYA SATYA KUMARI </v>
      </c>
      <c r="B1053" s="96" t="str">
        <f>IFERROR(__xludf.DUMMYFUNCTION("""COMPUTED_VALUE"""),"19331A0592")</f>
        <v>19331A0592</v>
      </c>
      <c r="C1053" s="97" t="str">
        <f>IFERROR(__xludf.DUMMYFUNCTION("""COMPUTED_VALUE"""),"CCNAV7: Introduction to Networks")</f>
        <v>CCNAV7: Introduction to Networks</v>
      </c>
      <c r="D1053" s="96" t="str">
        <f>IFERROR(__xludf.DUMMYFUNCTION("""COMPUTED_VALUE"""),"Cisco Networking Academy ")</f>
        <v>Cisco Networking Academy </v>
      </c>
      <c r="E1053" s="96" t="str">
        <f>IFERROR(__xludf.DUMMYFUNCTION("""COMPUTED_VALUE"""),"4 months ")</f>
        <v>4 months </v>
      </c>
      <c r="F1053" s="98">
        <f>IFERROR(__xludf.DUMMYFUNCTION("""COMPUTED_VALUE"""),44454.0)</f>
        <v>44454</v>
      </c>
      <c r="G1053" s="98">
        <f>IFERROR(__xludf.DUMMYFUNCTION("""COMPUTED_VALUE"""),44555.0)</f>
        <v>44555</v>
      </c>
      <c r="H1053" s="99">
        <f>IFERROR(__xludf.DUMMYFUNCTION("""COMPUTED_VALUE"""),44543.0)</f>
        <v>44543</v>
      </c>
      <c r="I1053" s="100">
        <f>IFERROR(__xludf.DUMMYFUNCTION("""COMPUTED_VALUE"""),90.0)</f>
        <v>90</v>
      </c>
      <c r="J1053" s="96" t="str">
        <f>IFERROR(__xludf.DUMMYFUNCTION("""COMPUTED_VALUE"""),"DR.RAVI KIRAN VARMA PENMATSA")</f>
        <v>DR.RAVI KIRAN VARMA PENMATSA</v>
      </c>
      <c r="K1053" s="101" t="str">
        <f>IFERROR(__xludf.DUMMYFUNCTION("""COMPUTED_VALUE"""),"https://drive.google.com/open?id=1fxsbZo3r5a0GpNs574f58pv05l1YLK1o")</f>
        <v>https://drive.google.com/open?id=1fxsbZo3r5a0GpNs574f58pv05l1YLK1o</v>
      </c>
      <c r="L1053" s="96" t="str">
        <f>IFERROR(__xludf.DUMMYFUNCTION("""COMPUTED_VALUE"""),"2019-2023")</f>
        <v>2019-2023</v>
      </c>
      <c r="M1053" s="96" t="str">
        <f>IFERROR(__xludf.DUMMYFUNCTION("""COMPUTED_VALUE"""),"S4: Student Certifications")</f>
        <v>S4: Student Certifications</v>
      </c>
      <c r="N1053" s="96" t="str">
        <f>IFERROR(__xludf.DUMMYFUNCTION("""COMPUTED_VALUE"""),"satyadivyaa0401@gmail.com")</f>
        <v>satyadivyaa0401@gmail.com</v>
      </c>
      <c r="O1053" s="96" t="str">
        <f>IFERROR(__xludf.DUMMYFUNCTION("""COMPUTED_VALUE"""),"SEM-6")</f>
        <v>SEM-6</v>
      </c>
      <c r="P1053" s="96"/>
      <c r="Q1053" s="96"/>
      <c r="R1053" s="96"/>
      <c r="S1053" s="96"/>
      <c r="T1053" s="96"/>
      <c r="U1053" s="96"/>
      <c r="V1053" s="96"/>
      <c r="W1053" s="96"/>
      <c r="X1053" s="96"/>
      <c r="Y1053" s="96"/>
    </row>
    <row r="1054" ht="26.25" customHeight="1">
      <c r="A1054" s="74" t="str">
        <f>IFERROR(__xludf.DUMMYFUNCTION("""COMPUTED_VALUE"""),"Mahanthi Rama")</f>
        <v>Mahanthi Rama</v>
      </c>
      <c r="B1054" s="74" t="str">
        <f>IFERROR(__xludf.DUMMYFUNCTION("""COMPUTED_VALUE"""),"19331A05A1")</f>
        <v>19331A05A1</v>
      </c>
      <c r="C1054" s="90" t="str">
        <f>IFERROR(__xludf.DUMMYFUNCTION("""COMPUTED_VALUE"""),"Programming Essentials in Python")</f>
        <v>Programming Essentials in Python</v>
      </c>
      <c r="D1054" s="74" t="str">
        <f>IFERROR(__xludf.DUMMYFUNCTION("""COMPUTED_VALUE"""),"cisco")</f>
        <v>cisco</v>
      </c>
      <c r="E1054" s="74" t="str">
        <f>IFERROR(__xludf.DUMMYFUNCTION("""COMPUTED_VALUE"""),"2 months")</f>
        <v>2 months</v>
      </c>
      <c r="F1054" s="91">
        <f>IFERROR(__xludf.DUMMYFUNCTION("""COMPUTED_VALUE"""),44200.0)</f>
        <v>44200</v>
      </c>
      <c r="G1054" s="91">
        <f>IFERROR(__xludf.DUMMYFUNCTION("""COMPUTED_VALUE"""),44259.0)</f>
        <v>44259</v>
      </c>
      <c r="H1054" s="79">
        <f>IFERROR(__xludf.DUMMYFUNCTION("""COMPUTED_VALUE"""),44259.0)</f>
        <v>44259</v>
      </c>
      <c r="I1054" s="92">
        <f>IFERROR(__xludf.DUMMYFUNCTION("""COMPUTED_VALUE"""),95.0)</f>
        <v>95</v>
      </c>
      <c r="J1054" s="74" t="str">
        <f>IFERROR(__xludf.DUMMYFUNCTION("""COMPUTED_VALUE"""),"Dr. Ravi Kiran Varma Penmatsa")</f>
        <v>Dr. Ravi Kiran Varma Penmatsa</v>
      </c>
      <c r="K1054" s="80" t="str">
        <f>IFERROR(__xludf.DUMMYFUNCTION("""COMPUTED_VALUE"""),"https://drive.google.com/open?id=1pt98CLmy0IZQP7OYCI2MpGUy51iodIuy")</f>
        <v>https://drive.google.com/open?id=1pt98CLmy0IZQP7OYCI2MpGUy51iodIuy</v>
      </c>
      <c r="L1054" s="74" t="str">
        <f>IFERROR(__xludf.DUMMYFUNCTION("""COMPUTED_VALUE"""),"2019-2023")</f>
        <v>2019-2023</v>
      </c>
      <c r="M1054" s="74" t="str">
        <f>IFERROR(__xludf.DUMMYFUNCTION("""COMPUTED_VALUE"""),"S4: Student Certifications")</f>
        <v>S4: Student Certifications</v>
      </c>
      <c r="N1054" s="74" t="str">
        <f>IFERROR(__xludf.DUMMYFUNCTION("""COMPUTED_VALUE"""),"ramamahanthi123@gmail.com")</f>
        <v>ramamahanthi123@gmail.com</v>
      </c>
      <c r="O1054" s="74" t="str">
        <f>IFERROR(__xludf.DUMMYFUNCTION("""COMPUTED_VALUE"""),"SEM-6")</f>
        <v>SEM-6</v>
      </c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</row>
    <row r="1055" ht="26.25" customHeight="1">
      <c r="A1055" s="74" t="str">
        <f>IFERROR(__xludf.DUMMYFUNCTION("""COMPUTED_VALUE"""),"Maddila Meghana")</f>
        <v>Maddila Meghana</v>
      </c>
      <c r="B1055" s="74" t="str">
        <f>IFERROR(__xludf.DUMMYFUNCTION("""COMPUTED_VALUE"""),"19331A0598")</f>
        <v>19331A0598</v>
      </c>
      <c r="C1055" s="90" t="str">
        <f>IFERROR(__xludf.DUMMYFUNCTION("""COMPUTED_VALUE"""),"Introduction To Networks")</f>
        <v>Introduction To Networks</v>
      </c>
      <c r="D1055" s="74" t="str">
        <f>IFERROR(__xludf.DUMMYFUNCTION("""COMPUTED_VALUE"""),"Cisco Networking Academy")</f>
        <v>Cisco Networking Academy</v>
      </c>
      <c r="E1055" s="74" t="str">
        <f>IFERROR(__xludf.DUMMYFUNCTION("""COMPUTED_VALUE"""),"2 months")</f>
        <v>2 months</v>
      </c>
      <c r="F1055" s="91">
        <f>IFERROR(__xludf.DUMMYFUNCTION("""COMPUTED_VALUE"""),44609.0)</f>
        <v>44609</v>
      </c>
      <c r="G1055" s="91">
        <f>IFERROR(__xludf.DUMMYFUNCTION("""COMPUTED_VALUE"""),44676.0)</f>
        <v>44676</v>
      </c>
      <c r="H1055" s="79">
        <f>IFERROR(__xludf.DUMMYFUNCTION("""COMPUTED_VALUE"""),44676.0)</f>
        <v>44676</v>
      </c>
      <c r="I1055" s="92">
        <f>IFERROR(__xludf.DUMMYFUNCTION("""COMPUTED_VALUE"""),92.0)</f>
        <v>92</v>
      </c>
      <c r="J1055" s="74" t="str">
        <f>IFERROR(__xludf.DUMMYFUNCTION("""COMPUTED_VALUE"""),"Subba Raju K V")</f>
        <v>Subba Raju K V</v>
      </c>
      <c r="K1055" s="80" t="str">
        <f>IFERROR(__xludf.DUMMYFUNCTION("""COMPUTED_VALUE"""),"https://drive.google.com/open?id=1n1__JVu-uyEyBcDmEDMsx6J1WQO-mqq0")</f>
        <v>https://drive.google.com/open?id=1n1__JVu-uyEyBcDmEDMsx6J1WQO-mqq0</v>
      </c>
      <c r="L1055" s="74" t="str">
        <f>IFERROR(__xludf.DUMMYFUNCTION("""COMPUTED_VALUE"""),"2019-2023")</f>
        <v>2019-2023</v>
      </c>
      <c r="M1055" s="74" t="str">
        <f>IFERROR(__xludf.DUMMYFUNCTION("""COMPUTED_VALUE"""),"S4: Student Certifications")</f>
        <v>S4: Student Certifications</v>
      </c>
      <c r="N1055" s="74" t="str">
        <f>IFERROR(__xludf.DUMMYFUNCTION("""COMPUTED_VALUE"""),"meghana.maddila02@gmail.com")</f>
        <v>meghana.maddila02@gmail.com</v>
      </c>
      <c r="O1055" s="74" t="str">
        <f>IFERROR(__xludf.DUMMYFUNCTION("""COMPUTED_VALUE"""),"SEM-6")</f>
        <v>SEM-6</v>
      </c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</row>
    <row r="1056" ht="26.25" customHeight="1">
      <c r="A1056" s="74" t="str">
        <f>IFERROR(__xludf.DUMMYFUNCTION("""COMPUTED_VALUE"""),"Maddu Bhavana")</f>
        <v>Maddu Bhavana</v>
      </c>
      <c r="B1056" s="74" t="str">
        <f>IFERROR(__xludf.DUMMYFUNCTION("""COMPUTED_VALUE"""),"19331A0599")</f>
        <v>19331A0599</v>
      </c>
      <c r="C1056" s="90" t="str">
        <f>IFERROR(__xludf.DUMMYFUNCTION("""COMPUTED_VALUE"""),"Introduction to Networks")</f>
        <v>Introduction to Networks</v>
      </c>
      <c r="D1056" s="74" t="str">
        <f>IFERROR(__xludf.DUMMYFUNCTION("""COMPUTED_VALUE"""),"Cisco Networking Academy")</f>
        <v>Cisco Networking Academy</v>
      </c>
      <c r="E1056" s="74" t="str">
        <f>IFERROR(__xludf.DUMMYFUNCTION("""COMPUTED_VALUE"""),"2 months")</f>
        <v>2 months</v>
      </c>
      <c r="F1056" s="91">
        <f>IFERROR(__xludf.DUMMYFUNCTION("""COMPUTED_VALUE"""),44609.0)</f>
        <v>44609</v>
      </c>
      <c r="G1056" s="91">
        <f>IFERROR(__xludf.DUMMYFUNCTION("""COMPUTED_VALUE"""),44676.0)</f>
        <v>44676</v>
      </c>
      <c r="H1056" s="79">
        <f>IFERROR(__xludf.DUMMYFUNCTION("""COMPUTED_VALUE"""),44676.0)</f>
        <v>44676</v>
      </c>
      <c r="I1056" s="92">
        <f>IFERROR(__xludf.DUMMYFUNCTION("""COMPUTED_VALUE"""),90.0)</f>
        <v>90</v>
      </c>
      <c r="J1056" s="74" t="str">
        <f>IFERROR(__xludf.DUMMYFUNCTION("""COMPUTED_VALUE"""),"Subba Raju K V")</f>
        <v>Subba Raju K V</v>
      </c>
      <c r="K1056" s="80" t="str">
        <f>IFERROR(__xludf.DUMMYFUNCTION("""COMPUTED_VALUE"""),"https://drive.google.com/open?id=1_n269z69t17QBraObeoGdWWurvdJ69V7")</f>
        <v>https://drive.google.com/open?id=1_n269z69t17QBraObeoGdWWurvdJ69V7</v>
      </c>
      <c r="L1056" s="74" t="str">
        <f>IFERROR(__xludf.DUMMYFUNCTION("""COMPUTED_VALUE"""),"2019-2023")</f>
        <v>2019-2023</v>
      </c>
      <c r="M1056" s="74" t="str">
        <f>IFERROR(__xludf.DUMMYFUNCTION("""COMPUTED_VALUE"""),"S4: Student Certifications")</f>
        <v>S4: Student Certifications</v>
      </c>
      <c r="N1056" s="74" t="str">
        <f>IFERROR(__xludf.DUMMYFUNCTION("""COMPUTED_VALUE"""),"bhavanamaddu2002@gmail.com")</f>
        <v>bhavanamaddu2002@gmail.com</v>
      </c>
      <c r="O1056" s="74" t="str">
        <f>IFERROR(__xludf.DUMMYFUNCTION("""COMPUTED_VALUE"""),"SEM-6")</f>
        <v>SEM-6</v>
      </c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</row>
    <row r="1057" ht="26.25" customHeight="1">
      <c r="A1057" s="74" t="str">
        <f>IFERROR(__xludf.DUMMYFUNCTION("""COMPUTED_VALUE"""),"M.Tanusha")</f>
        <v>M.Tanusha</v>
      </c>
      <c r="B1057" s="74" t="str">
        <f>IFERROR(__xludf.DUMMYFUNCTION("""COMPUTED_VALUE"""),"19331A0595")</f>
        <v>19331A0595</v>
      </c>
      <c r="C1057" s="90" t="str">
        <f>IFERROR(__xludf.DUMMYFUNCTION("""COMPUTED_VALUE"""),"Cisco IT essentials")</f>
        <v>Cisco IT essentials</v>
      </c>
      <c r="D1057" s="74" t="str">
        <f>IFERROR(__xludf.DUMMYFUNCTION("""COMPUTED_VALUE"""),"Cisco")</f>
        <v>Cisco</v>
      </c>
      <c r="E1057" s="74" t="str">
        <f>IFERROR(__xludf.DUMMYFUNCTION("""COMPUTED_VALUE"""),"2 months")</f>
        <v>2 months</v>
      </c>
      <c r="F1057" s="91">
        <f>IFERROR(__xludf.DUMMYFUNCTION("""COMPUTED_VALUE"""),44105.0)</f>
        <v>44105</v>
      </c>
      <c r="G1057" s="91">
        <f>IFERROR(__xludf.DUMMYFUNCTION("""COMPUTED_VALUE"""),44165.0)</f>
        <v>44165</v>
      </c>
      <c r="H1057" s="79">
        <f>IFERROR(__xludf.DUMMYFUNCTION("""COMPUTED_VALUE"""),44136.0)</f>
        <v>44136</v>
      </c>
      <c r="I1057" s="92">
        <f>IFERROR(__xludf.DUMMYFUNCTION("""COMPUTED_VALUE"""),90.0)</f>
        <v>90</v>
      </c>
      <c r="J1057" s="74" t="str">
        <f>IFERROR(__xludf.DUMMYFUNCTION("""COMPUTED_VALUE"""),"Dr. Suvarna Kumar Gogula")</f>
        <v>Dr. Suvarna Kumar Gogula</v>
      </c>
      <c r="K1057" s="80" t="str">
        <f>IFERROR(__xludf.DUMMYFUNCTION("""COMPUTED_VALUE"""),"https://drive.google.com/open?id=11cHTzUQ_PEmEj4fYMb0QjEAap5RgzF7-")</f>
        <v>https://drive.google.com/open?id=11cHTzUQ_PEmEj4fYMb0QjEAap5RgzF7-</v>
      </c>
      <c r="L1057" s="74" t="str">
        <f>IFERROR(__xludf.DUMMYFUNCTION("""COMPUTED_VALUE"""),"2019-2023")</f>
        <v>2019-2023</v>
      </c>
      <c r="M1057" s="74" t="str">
        <f>IFERROR(__xludf.DUMMYFUNCTION("""COMPUTED_VALUE"""),"S4: Student Certifications")</f>
        <v>S4: Student Certifications</v>
      </c>
      <c r="N1057" s="74" t="str">
        <f>IFERROR(__xludf.DUMMYFUNCTION("""COMPUTED_VALUE"""),"bhavanimula07@gmail.com")</f>
        <v>bhavanimula07@gmail.com</v>
      </c>
      <c r="O1057" s="74" t="str">
        <f>IFERROR(__xludf.DUMMYFUNCTION("""COMPUTED_VALUE"""),"SEM-6")</f>
        <v>SEM-6</v>
      </c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</row>
    <row r="1058" ht="26.25" customHeight="1">
      <c r="A1058" s="74" t="str">
        <f>IFERROR(__xludf.DUMMYFUNCTION("""COMPUTED_VALUE"""),"Mahanthi Rama")</f>
        <v>Mahanthi Rama</v>
      </c>
      <c r="B1058" s="74" t="str">
        <f>IFERROR(__xludf.DUMMYFUNCTION("""COMPUTED_VALUE"""),"19331A05A1")</f>
        <v>19331A05A1</v>
      </c>
      <c r="C1058" s="90" t="str">
        <f>IFERROR(__xludf.DUMMYFUNCTION("""COMPUTED_VALUE"""),"code riders 2021")</f>
        <v>code riders 2021</v>
      </c>
      <c r="D1058" s="74" t="str">
        <f>IFERROR(__xludf.DUMMYFUNCTION("""COMPUTED_VALUE"""),"cisco")</f>
        <v>cisco</v>
      </c>
      <c r="E1058" s="74" t="str">
        <f>IFERROR(__xludf.DUMMYFUNCTION("""COMPUTED_VALUE"""),"1 month")</f>
        <v>1 month</v>
      </c>
      <c r="F1058" s="91">
        <f>IFERROR(__xludf.DUMMYFUNCTION("""COMPUTED_VALUE"""),44348.0)</f>
        <v>44348</v>
      </c>
      <c r="G1058" s="91">
        <f>IFERROR(__xludf.DUMMYFUNCTION("""COMPUTED_VALUE"""),44378.0)</f>
        <v>44378</v>
      </c>
      <c r="H1058" s="79">
        <f>IFERROR(__xludf.DUMMYFUNCTION("""COMPUTED_VALUE"""),44378.0)</f>
        <v>44378</v>
      </c>
      <c r="I1058" s="92">
        <f>IFERROR(__xludf.DUMMYFUNCTION("""COMPUTED_VALUE"""),95.0)</f>
        <v>95</v>
      </c>
      <c r="J1058" s="74" t="str">
        <f>IFERROR(__xludf.DUMMYFUNCTION("""COMPUTED_VALUE"""),"Mr.  Anurag Srivastava")</f>
        <v>Mr.  Anurag Srivastava</v>
      </c>
      <c r="K1058" s="80" t="str">
        <f>IFERROR(__xludf.DUMMYFUNCTION("""COMPUTED_VALUE"""),"https://drive.google.com/open?id=1lUm9lxeXywj7bYU5X1CV0zf90bM5touW")</f>
        <v>https://drive.google.com/open?id=1lUm9lxeXywj7bYU5X1CV0zf90bM5touW</v>
      </c>
      <c r="L1058" s="74" t="str">
        <f>IFERROR(__xludf.DUMMYFUNCTION("""COMPUTED_VALUE"""),"2019-2023")</f>
        <v>2019-2023</v>
      </c>
      <c r="M1058" s="74" t="str">
        <f>IFERROR(__xludf.DUMMYFUNCTION("""COMPUTED_VALUE"""),"S4: Student Certifications")</f>
        <v>S4: Student Certifications</v>
      </c>
      <c r="N1058" s="74" t="str">
        <f>IFERROR(__xludf.DUMMYFUNCTION("""COMPUTED_VALUE"""),"ramamahanthi123@gmail.com")</f>
        <v>ramamahanthi123@gmail.com</v>
      </c>
      <c r="O1058" s="74" t="str">
        <f>IFERROR(__xludf.DUMMYFUNCTION("""COMPUTED_VALUE"""),"SEM-6")</f>
        <v>SEM-6</v>
      </c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</row>
    <row r="1059" ht="26.25" customHeight="1">
      <c r="A1059" s="74" t="str">
        <f>IFERROR(__xludf.DUMMYFUNCTION("""COMPUTED_VALUE"""),"kalla bhagya sri")</f>
        <v>kalla bhagya sri</v>
      </c>
      <c r="B1059" s="74" t="str">
        <f>IFERROR(__xludf.DUMMYFUNCTION("""COMPUTED_VALUE"""),"19331a0570")</f>
        <v>19331a0570</v>
      </c>
      <c r="C1059" s="90" t="str">
        <f>IFERROR(__xludf.DUMMYFUNCTION("""COMPUTED_VALUE"""),"Responsive Web Design")</f>
        <v>Responsive Web Design</v>
      </c>
      <c r="D1059" s="74" t="str">
        <f>IFERROR(__xludf.DUMMYFUNCTION("""COMPUTED_VALUE"""),"FREECODECAMP")</f>
        <v>FREECODECAMP</v>
      </c>
      <c r="E1059" s="74" t="str">
        <f>IFERROR(__xludf.DUMMYFUNCTION("""COMPUTED_VALUE"""),"13DAYS")</f>
        <v>13DAYS</v>
      </c>
      <c r="F1059" s="91">
        <f>IFERROR(__xludf.DUMMYFUNCTION("""COMPUTED_VALUE"""),44360.0)</f>
        <v>44360</v>
      </c>
      <c r="G1059" s="91">
        <f>IFERROR(__xludf.DUMMYFUNCTION("""COMPUTED_VALUE"""),44373.0)</f>
        <v>44373</v>
      </c>
      <c r="H1059" s="79">
        <f>IFERROR(__xludf.DUMMYFUNCTION("""COMPUTED_VALUE"""),44373.0)</f>
        <v>44373</v>
      </c>
      <c r="I1059" s="92">
        <f>IFERROR(__xludf.DUMMYFUNCTION("""COMPUTED_VALUE"""),0.75)</f>
        <v>0.75</v>
      </c>
      <c r="J1059" s="74" t="str">
        <f>IFERROR(__xludf.DUMMYFUNCTION("""COMPUTED_VALUE"""),"Quincy Larson")</f>
        <v>Quincy Larson</v>
      </c>
      <c r="K1059" s="80" t="str">
        <f>IFERROR(__xludf.DUMMYFUNCTION("""COMPUTED_VALUE"""),"https://drive.google.com/open?id=1SAT71BD-gy7IA8C7KRsiXw8vaz2OBhnC")</f>
        <v>https://drive.google.com/open?id=1SAT71BD-gy7IA8C7KRsiXw8vaz2OBhnC</v>
      </c>
      <c r="L1059" s="74" t="str">
        <f>IFERROR(__xludf.DUMMYFUNCTION("""COMPUTED_VALUE"""),"2019-2023")</f>
        <v>2019-2023</v>
      </c>
      <c r="M1059" s="74" t="str">
        <f>IFERROR(__xludf.DUMMYFUNCTION("""COMPUTED_VALUE"""),"S4: Student Certifications")</f>
        <v>S4: Student Certifications</v>
      </c>
      <c r="N1059" s="74" t="str">
        <f>IFERROR(__xludf.DUMMYFUNCTION("""COMPUTED_VALUE"""),"bhagyasrikalla1234@gmail.co")</f>
        <v>bhagyasrikalla1234@gmail.co</v>
      </c>
      <c r="O1059" s="74" t="str">
        <f>IFERROR(__xludf.DUMMYFUNCTION("""COMPUTED_VALUE"""),"SEM-6")</f>
        <v>SEM-6</v>
      </c>
      <c r="P1059" s="74"/>
      <c r="Q1059" s="74"/>
      <c r="R1059" s="74"/>
      <c r="S1059" s="74"/>
      <c r="T1059" s="74"/>
      <c r="U1059" s="74"/>
      <c r="V1059" s="74"/>
      <c r="W1059" s="74"/>
      <c r="X1059" s="74"/>
      <c r="Y1059" s="74"/>
    </row>
    <row r="1060" ht="26.25" customHeight="1">
      <c r="A1060" s="74" t="str">
        <f>IFERROR(__xludf.DUMMYFUNCTION("""COMPUTED_VALUE"""),"Maddila Meghana")</f>
        <v>Maddila Meghana</v>
      </c>
      <c r="B1060" s="74" t="str">
        <f>IFERROR(__xludf.DUMMYFUNCTION("""COMPUTED_VALUE"""),"19331A0598")</f>
        <v>19331A0598</v>
      </c>
      <c r="C1060" s="90" t="str">
        <f>IFERROR(__xludf.DUMMYFUNCTION("""COMPUTED_VALUE"""),"Programming Essentials In Python")</f>
        <v>Programming Essentials In Python</v>
      </c>
      <c r="D1060" s="74" t="str">
        <f>IFERROR(__xludf.DUMMYFUNCTION("""COMPUTED_VALUE"""),"Cisco Networking Academy")</f>
        <v>Cisco Networking Academy</v>
      </c>
      <c r="E1060" s="74" t="str">
        <f>IFERROR(__xludf.DUMMYFUNCTION("""COMPUTED_VALUE"""),"2 months")</f>
        <v>2 months</v>
      </c>
      <c r="F1060" s="91">
        <f>IFERROR(__xludf.DUMMYFUNCTION("""COMPUTED_VALUE"""),44337.0)</f>
        <v>44337</v>
      </c>
      <c r="G1060" s="91">
        <f>IFERROR(__xludf.DUMMYFUNCTION("""COMPUTED_VALUE"""),44387.0)</f>
        <v>44387</v>
      </c>
      <c r="H1060" s="79">
        <f>IFERROR(__xludf.DUMMYFUNCTION("""COMPUTED_VALUE"""),44387.0)</f>
        <v>44387</v>
      </c>
      <c r="I1060" s="92">
        <f>IFERROR(__xludf.DUMMYFUNCTION("""COMPUTED_VALUE"""),94.0)</f>
        <v>94</v>
      </c>
      <c r="J1060" s="74" t="str">
        <f>IFERROR(__xludf.DUMMYFUNCTION("""COMPUTED_VALUE"""),"DR. RAVI KIRAN VARMA PENMATSA")</f>
        <v>DR. RAVI KIRAN VARMA PENMATSA</v>
      </c>
      <c r="K1060" s="80" t="str">
        <f>IFERROR(__xludf.DUMMYFUNCTION("""COMPUTED_VALUE"""),"https://drive.google.com/open?id=1bBYODdW8o8YfBO7EGqmSkkCJooh7WEC6")</f>
        <v>https://drive.google.com/open?id=1bBYODdW8o8YfBO7EGqmSkkCJooh7WEC6</v>
      </c>
      <c r="L1060" s="74" t="str">
        <f>IFERROR(__xludf.DUMMYFUNCTION("""COMPUTED_VALUE"""),"2019-2023")</f>
        <v>2019-2023</v>
      </c>
      <c r="M1060" s="74" t="str">
        <f>IFERROR(__xludf.DUMMYFUNCTION("""COMPUTED_VALUE"""),"S4: Student Certifications")</f>
        <v>S4: Student Certifications</v>
      </c>
      <c r="N1060" s="74" t="str">
        <f>IFERROR(__xludf.DUMMYFUNCTION("""COMPUTED_VALUE"""),"meghana.maddila02@gmail.com")</f>
        <v>meghana.maddila02@gmail.com</v>
      </c>
      <c r="O1060" s="74" t="str">
        <f>IFERROR(__xludf.DUMMYFUNCTION("""COMPUTED_VALUE"""),"SEM-6")</f>
        <v>SEM-6</v>
      </c>
      <c r="P1060" s="74"/>
      <c r="Q1060" s="74"/>
      <c r="R1060" s="74"/>
      <c r="S1060" s="74"/>
      <c r="T1060" s="74"/>
      <c r="U1060" s="74"/>
      <c r="V1060" s="74"/>
      <c r="W1060" s="74"/>
      <c r="X1060" s="74"/>
      <c r="Y1060" s="74"/>
    </row>
    <row r="1061" ht="26.25" customHeight="1">
      <c r="A1061" s="74" t="str">
        <f>IFERROR(__xludf.DUMMYFUNCTION("""COMPUTED_VALUE"""),"KALLA BHAGYA  SRI")</f>
        <v>KALLA BHAGYA  SRI</v>
      </c>
      <c r="B1061" s="74" t="str">
        <f>IFERROR(__xludf.DUMMYFUNCTION("""COMPUTED_VALUE"""),"19331A0570")</f>
        <v>19331A0570</v>
      </c>
      <c r="C1061" s="90" t="str">
        <f>IFERROR(__xludf.DUMMYFUNCTION("""COMPUTED_VALUE"""),"PYTHON(BASIC)")</f>
        <v>PYTHON(BASIC)</v>
      </c>
      <c r="D1061" s="74" t="str">
        <f>IFERROR(__xludf.DUMMYFUNCTION("""COMPUTED_VALUE"""),"HACKERRANK")</f>
        <v>HACKERRANK</v>
      </c>
      <c r="E1061" s="74" t="str">
        <f>IFERROR(__xludf.DUMMYFUNCTION("""COMPUTED_VALUE"""),"2")</f>
        <v>2</v>
      </c>
      <c r="F1061" s="91">
        <f>IFERROR(__xludf.DUMMYFUNCTION("""COMPUTED_VALUE"""),44506.0)</f>
        <v>44506</v>
      </c>
      <c r="G1061" s="91">
        <f>IFERROR(__xludf.DUMMYFUNCTION("""COMPUTED_VALUE"""),44567.0)</f>
        <v>44567</v>
      </c>
      <c r="H1061" s="79">
        <f>IFERROR(__xludf.DUMMYFUNCTION("""COMPUTED_VALUE"""),44567.0)</f>
        <v>44567</v>
      </c>
      <c r="I1061" s="92">
        <f>IFERROR(__xludf.DUMMYFUNCTION("""COMPUTED_VALUE"""),75.0)</f>
        <v>75</v>
      </c>
      <c r="J1061" s="74" t="str">
        <f>IFERROR(__xludf.DUMMYFUNCTION("""COMPUTED_VALUE"""),"harishankaran K")</f>
        <v>harishankaran K</v>
      </c>
      <c r="K1061" s="80" t="str">
        <f>IFERROR(__xludf.DUMMYFUNCTION("""COMPUTED_VALUE"""),"https://drive.google.com/open?id=13AYnhq7pjbtpAWpYbU4qmDvK6Cjn8KQY")</f>
        <v>https://drive.google.com/open?id=13AYnhq7pjbtpAWpYbU4qmDvK6Cjn8KQY</v>
      </c>
      <c r="L1061" s="74" t="str">
        <f>IFERROR(__xludf.DUMMYFUNCTION("""COMPUTED_VALUE"""),"2019-2023")</f>
        <v>2019-2023</v>
      </c>
      <c r="M1061" s="74" t="str">
        <f>IFERROR(__xludf.DUMMYFUNCTION("""COMPUTED_VALUE"""),"S4: Student Certifications")</f>
        <v>S4: Student Certifications</v>
      </c>
      <c r="N1061" s="74" t="str">
        <f>IFERROR(__xludf.DUMMYFUNCTION("""COMPUTED_VALUE"""),"bhagyasrikalla1234@gmail.co")</f>
        <v>bhagyasrikalla1234@gmail.co</v>
      </c>
      <c r="O1061" s="74" t="str">
        <f>IFERROR(__xludf.DUMMYFUNCTION("""COMPUTED_VALUE"""),"SEM-6")</f>
        <v>SEM-6</v>
      </c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</row>
    <row r="1062" ht="26.25" customHeight="1">
      <c r="A1062" s="74" t="str">
        <f>IFERROR(__xludf.DUMMYFUNCTION("""COMPUTED_VALUE"""),"M.Tanusha")</f>
        <v>M.Tanusha</v>
      </c>
      <c r="B1062" s="74" t="str">
        <f>IFERROR(__xludf.DUMMYFUNCTION("""COMPUTED_VALUE"""),"19331A0595")</f>
        <v>19331A0595</v>
      </c>
      <c r="C1062" s="90" t="str">
        <f>IFERROR(__xludf.DUMMYFUNCTION("""COMPUTED_VALUE"""),"Javascript Essentials")</f>
        <v>Javascript Essentials</v>
      </c>
      <c r="D1062" s="74" t="str">
        <f>IFERROR(__xludf.DUMMYFUNCTION("""COMPUTED_VALUE"""),"Cisco")</f>
        <v>Cisco</v>
      </c>
      <c r="E1062" s="74" t="str">
        <f>IFERROR(__xludf.DUMMYFUNCTION("""COMPUTED_VALUE"""),"2 months")</f>
        <v>2 months</v>
      </c>
      <c r="F1062" s="91">
        <f>IFERROR(__xludf.DUMMYFUNCTION("""COMPUTED_VALUE"""),44621.0)</f>
        <v>44621</v>
      </c>
      <c r="G1062" s="91">
        <f>IFERROR(__xludf.DUMMYFUNCTION("""COMPUTED_VALUE"""),44681.0)</f>
        <v>44681</v>
      </c>
      <c r="H1062" s="79">
        <f>IFERROR(__xludf.DUMMYFUNCTION("""COMPUTED_VALUE"""),44673.0)</f>
        <v>44673</v>
      </c>
      <c r="I1062" s="92">
        <f>IFERROR(__xludf.DUMMYFUNCTION("""COMPUTED_VALUE"""),90.0)</f>
        <v>90</v>
      </c>
      <c r="J1062" s="74" t="str">
        <f>IFERROR(__xludf.DUMMYFUNCTION("""COMPUTED_VALUE"""),"Maciek Wichary")</f>
        <v>Maciek Wichary</v>
      </c>
      <c r="K1062" s="80" t="str">
        <f>IFERROR(__xludf.DUMMYFUNCTION("""COMPUTED_VALUE"""),"https://drive.google.com/open?id=1qkc_EZQAzldfdgLB9BxoMaMkqoZ2kq5I")</f>
        <v>https://drive.google.com/open?id=1qkc_EZQAzldfdgLB9BxoMaMkqoZ2kq5I</v>
      </c>
      <c r="L1062" s="74" t="str">
        <f>IFERROR(__xludf.DUMMYFUNCTION("""COMPUTED_VALUE"""),"2019-2023")</f>
        <v>2019-2023</v>
      </c>
      <c r="M1062" s="74" t="str">
        <f>IFERROR(__xludf.DUMMYFUNCTION("""COMPUTED_VALUE"""),"S4: Student Certifications")</f>
        <v>S4: Student Certifications</v>
      </c>
      <c r="N1062" s="74" t="str">
        <f>IFERROR(__xludf.DUMMYFUNCTION("""COMPUTED_VALUE"""),"bhavanimula07@gmail.com")</f>
        <v>bhavanimula07@gmail.com</v>
      </c>
      <c r="O1062" s="74" t="str">
        <f>IFERROR(__xludf.DUMMYFUNCTION("""COMPUTED_VALUE"""),"SEM-6")</f>
        <v>SEM-6</v>
      </c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</row>
    <row r="1063" ht="26.25" customHeight="1">
      <c r="A1063" s="74" t="str">
        <f>IFERROR(__xludf.DUMMYFUNCTION("""COMPUTED_VALUE"""),"Maddu Bhavana")</f>
        <v>Maddu Bhavana</v>
      </c>
      <c r="B1063" s="74" t="str">
        <f>IFERROR(__xludf.DUMMYFUNCTION("""COMPUTED_VALUE"""),"19331A0599")</f>
        <v>19331A0599</v>
      </c>
      <c r="C1063" s="90" t="str">
        <f>IFERROR(__xludf.DUMMYFUNCTION("""COMPUTED_VALUE"""),"Programming Essentials in Python")</f>
        <v>Programming Essentials in Python</v>
      </c>
      <c r="D1063" s="74" t="str">
        <f>IFERROR(__xludf.DUMMYFUNCTION("""COMPUTED_VALUE"""),"Cisco Networking Academy")</f>
        <v>Cisco Networking Academy</v>
      </c>
      <c r="E1063" s="74" t="str">
        <f>IFERROR(__xludf.DUMMYFUNCTION("""COMPUTED_VALUE"""),"2 months")</f>
        <v>2 months</v>
      </c>
      <c r="F1063" s="91">
        <f>IFERROR(__xludf.DUMMYFUNCTION("""COMPUTED_VALUE"""),44197.0)</f>
        <v>44197</v>
      </c>
      <c r="G1063" s="91">
        <f>IFERROR(__xludf.DUMMYFUNCTION("""COMPUTED_VALUE"""),44263.0)</f>
        <v>44263</v>
      </c>
      <c r="H1063" s="79">
        <f>IFERROR(__xludf.DUMMYFUNCTION("""COMPUTED_VALUE"""),44263.0)</f>
        <v>44263</v>
      </c>
      <c r="I1063" s="92">
        <f>IFERROR(__xludf.DUMMYFUNCTION("""COMPUTED_VALUE"""),95.0)</f>
        <v>95</v>
      </c>
      <c r="J1063" s="74" t="str">
        <f>IFERROR(__xludf.DUMMYFUNCTION("""COMPUTED_VALUE"""),"DR.RAVI KIRAN VARMA PENMATSA")</f>
        <v>DR.RAVI KIRAN VARMA PENMATSA</v>
      </c>
      <c r="K1063" s="80" t="str">
        <f>IFERROR(__xludf.DUMMYFUNCTION("""COMPUTED_VALUE"""),"https://drive.google.com/open?id=1fjE9hUv7n7KY7cn2YySF4Oe-svzeCpBE")</f>
        <v>https://drive.google.com/open?id=1fjE9hUv7n7KY7cn2YySF4Oe-svzeCpBE</v>
      </c>
      <c r="L1063" s="74" t="str">
        <f>IFERROR(__xludf.DUMMYFUNCTION("""COMPUTED_VALUE"""),"2019-2023")</f>
        <v>2019-2023</v>
      </c>
      <c r="M1063" s="74" t="str">
        <f>IFERROR(__xludf.DUMMYFUNCTION("""COMPUTED_VALUE"""),"S4: Student Certifications")</f>
        <v>S4: Student Certifications</v>
      </c>
      <c r="N1063" s="74" t="str">
        <f>IFERROR(__xludf.DUMMYFUNCTION("""COMPUTED_VALUE"""),"bhavanamaddu2002@gmail.com")</f>
        <v>bhavanamaddu2002@gmail.com</v>
      </c>
      <c r="O1063" s="74" t="str">
        <f>IFERROR(__xludf.DUMMYFUNCTION("""COMPUTED_VALUE"""),"SEM-6")</f>
        <v>SEM-6</v>
      </c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</row>
    <row r="1064" ht="26.25" customHeight="1">
      <c r="A1064" s="78" t="str">
        <f>IFERROR(__xludf.DUMMYFUNCTION("""COMPUTED_VALUE"""),"Mahanthi Rama")</f>
        <v>Mahanthi Rama</v>
      </c>
      <c r="B1064" s="78" t="str">
        <f>IFERROR(__xludf.DUMMYFUNCTION("""COMPUTED_VALUE"""),"19331A05A1")</f>
        <v>19331A05A1</v>
      </c>
      <c r="C1064" s="93" t="str">
        <f>IFERROR(__xludf.DUMMYFUNCTION("""COMPUTED_VALUE"""),"Effective Writing")</f>
        <v>Effective Writing</v>
      </c>
      <c r="D1064" s="78" t="str">
        <f>IFERROR(__xludf.DUMMYFUNCTION("""COMPUTED_VALUE"""),"NPTEL")</f>
        <v>NPTEL</v>
      </c>
      <c r="E1064" s="78" t="str">
        <f>IFERROR(__xludf.DUMMYFUNCTION("""COMPUTED_VALUE"""),"4 Weeks")</f>
        <v>4 Weeks</v>
      </c>
      <c r="F1064" s="94">
        <f>IFERROR(__xludf.DUMMYFUNCTION("""COMPUTED_VALUE"""),43843.0)</f>
        <v>43843</v>
      </c>
      <c r="G1064" s="94">
        <f>IFERROR(__xludf.DUMMYFUNCTION("""COMPUTED_VALUE"""),43871.0)</f>
        <v>43871</v>
      </c>
      <c r="H1064" s="84">
        <f>IFERROR(__xludf.DUMMYFUNCTION("""COMPUTED_VALUE"""),43871.0)</f>
        <v>43871</v>
      </c>
      <c r="I1064" s="95">
        <f>IFERROR(__xludf.DUMMYFUNCTION("""COMPUTED_VALUE"""),95.0)</f>
        <v>95</v>
      </c>
      <c r="J1064" s="78" t="str">
        <f>IFERROR(__xludf.DUMMYFUNCTION("""COMPUTED_VALUE"""),"Prof. Inderdeep singh")</f>
        <v>Prof. Inderdeep singh</v>
      </c>
      <c r="K1064" s="85" t="str">
        <f>IFERROR(__xludf.DUMMYFUNCTION("""COMPUTED_VALUE"""),"https://drive.google.com/open?id=169px9XRUdCEehfRvUiJTyL7XauM-Puy1")</f>
        <v>https://drive.google.com/open?id=169px9XRUdCEehfRvUiJTyL7XauM-Puy1</v>
      </c>
      <c r="L1064" s="78" t="str">
        <f>IFERROR(__xludf.DUMMYFUNCTION("""COMPUTED_VALUE"""),"2019-2023")</f>
        <v>2019-2023</v>
      </c>
      <c r="M1064" s="78" t="str">
        <f>IFERROR(__xludf.DUMMYFUNCTION("""COMPUTED_VALUE"""),"S4: Student Certifications")</f>
        <v>S4: Student Certifications</v>
      </c>
      <c r="N1064" s="78" t="str">
        <f>IFERROR(__xludf.DUMMYFUNCTION("""COMPUTED_VALUE"""),"ramamahanthi123@gmail.com")</f>
        <v>ramamahanthi123@gmail.com</v>
      </c>
      <c r="O1064" s="78" t="str">
        <f>IFERROR(__xludf.DUMMYFUNCTION("""COMPUTED_VALUE"""),"SEM-6")</f>
        <v>SEM-6</v>
      </c>
      <c r="P1064" s="78"/>
      <c r="Q1064" s="78"/>
      <c r="R1064" s="78"/>
      <c r="S1064" s="78"/>
      <c r="T1064" s="78"/>
      <c r="U1064" s="78"/>
      <c r="V1064" s="78"/>
      <c r="W1064" s="78"/>
      <c r="X1064" s="78"/>
      <c r="Y1064" s="78"/>
    </row>
    <row r="1065" ht="26.25" customHeight="1">
      <c r="A1065" s="74" t="str">
        <f>IFERROR(__xludf.DUMMYFUNCTION("""COMPUTED_VALUE"""),"Maddila Meghana")</f>
        <v>Maddila Meghana</v>
      </c>
      <c r="B1065" s="74" t="str">
        <f>IFERROR(__xludf.DUMMYFUNCTION("""COMPUTED_VALUE"""),"19331A598")</f>
        <v>19331A598</v>
      </c>
      <c r="C1065" s="90" t="str">
        <f>IFERROR(__xludf.DUMMYFUNCTION("""COMPUTED_VALUE"""),"Programming Essentials In C")</f>
        <v>Programming Essentials In C</v>
      </c>
      <c r="D1065" s="74" t="str">
        <f>IFERROR(__xludf.DUMMYFUNCTION("""COMPUTED_VALUE"""),"C++ Institute")</f>
        <v>C++ Institute</v>
      </c>
      <c r="E1065" s="74" t="str">
        <f>IFERROR(__xludf.DUMMYFUNCTION("""COMPUTED_VALUE"""),"2 months")</f>
        <v>2 months</v>
      </c>
      <c r="F1065" s="91">
        <f>IFERROR(__xludf.DUMMYFUNCTION("""COMPUTED_VALUE"""),43902.0)</f>
        <v>43902</v>
      </c>
      <c r="G1065" s="91">
        <f>IFERROR(__xludf.DUMMYFUNCTION("""COMPUTED_VALUE"""),44002.0)</f>
        <v>44002</v>
      </c>
      <c r="H1065" s="79">
        <f>IFERROR(__xludf.DUMMYFUNCTION("""COMPUTED_VALUE"""),44002.0)</f>
        <v>44002</v>
      </c>
      <c r="I1065" s="92">
        <f>IFERROR(__xludf.DUMMYFUNCTION("""COMPUTED_VALUE"""),92.0)</f>
        <v>92</v>
      </c>
      <c r="J1065" s="74" t="str">
        <f>IFERROR(__xludf.DUMMYFUNCTION("""COMPUTED_VALUE"""),"DR. RAVI KIRAN VARMA PENMATSA")</f>
        <v>DR. RAVI KIRAN VARMA PENMATSA</v>
      </c>
      <c r="K1065" s="80" t="str">
        <f>IFERROR(__xludf.DUMMYFUNCTION("""COMPUTED_VALUE"""),"https://drive.google.com/open?id=1uYKSQAmXqo10ywEkKWHpI9msvwPVJ_sF")</f>
        <v>https://drive.google.com/open?id=1uYKSQAmXqo10ywEkKWHpI9msvwPVJ_sF</v>
      </c>
      <c r="L1065" s="74" t="str">
        <f>IFERROR(__xludf.DUMMYFUNCTION("""COMPUTED_VALUE"""),"2019-2023")</f>
        <v>2019-2023</v>
      </c>
      <c r="M1065" s="74" t="str">
        <f>IFERROR(__xludf.DUMMYFUNCTION("""COMPUTED_VALUE"""),"S4: Student Certifications")</f>
        <v>S4: Student Certifications</v>
      </c>
      <c r="N1065" s="74" t="str">
        <f>IFERROR(__xludf.DUMMYFUNCTION("""COMPUTED_VALUE"""),"meghana.maddila02@gmail.com")</f>
        <v>meghana.maddila02@gmail.com</v>
      </c>
      <c r="O1065" s="74" t="str">
        <f>IFERROR(__xludf.DUMMYFUNCTION("""COMPUTED_VALUE"""),"SEM-6")</f>
        <v>SEM-6</v>
      </c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</row>
    <row r="1066" ht="26.25" customHeight="1">
      <c r="A1066" s="74" t="str">
        <f>IFERROR(__xludf.DUMMYFUNCTION("""COMPUTED_VALUE"""),"KALLA BHAGYA SRI")</f>
        <v>KALLA BHAGYA SRI</v>
      </c>
      <c r="B1066" s="74" t="str">
        <f>IFERROR(__xludf.DUMMYFUNCTION("""COMPUTED_VALUE"""),"19331A0570")</f>
        <v>19331A0570</v>
      </c>
      <c r="C1066" s="90" t="str">
        <f>IFERROR(__xludf.DUMMYFUNCTION("""COMPUTED_VALUE"""),"PCAP")</f>
        <v>PCAP</v>
      </c>
      <c r="D1066" s="74" t="str">
        <f>IFERROR(__xludf.DUMMYFUNCTION("""COMPUTED_VALUE"""),"CISCO")</f>
        <v>CISCO</v>
      </c>
      <c r="E1066" s="74" t="str">
        <f>IFERROR(__xludf.DUMMYFUNCTION("""COMPUTED_VALUE"""),"3")</f>
        <v>3</v>
      </c>
      <c r="F1066" s="91">
        <f>IFERROR(__xludf.DUMMYFUNCTION("""COMPUTED_VALUE"""),44298.0)</f>
        <v>44298</v>
      </c>
      <c r="G1066" s="91">
        <f>IFERROR(__xludf.DUMMYFUNCTION("""COMPUTED_VALUE"""),44359.0)</f>
        <v>44359</v>
      </c>
      <c r="H1066" s="79">
        <f>IFERROR(__xludf.DUMMYFUNCTION("""COMPUTED_VALUE"""),44359.0)</f>
        <v>44359</v>
      </c>
      <c r="I1066" s="92">
        <f>IFERROR(__xludf.DUMMYFUNCTION("""COMPUTED_VALUE"""),75.0)</f>
        <v>75</v>
      </c>
      <c r="J1066" s="74" t="str">
        <f>IFERROR(__xludf.DUMMYFUNCTION("""COMPUTED_VALUE"""),"DR.RAVI KIRAN VARMA PENMATSA")</f>
        <v>DR.RAVI KIRAN VARMA PENMATSA</v>
      </c>
      <c r="K1066" s="80" t="str">
        <f>IFERROR(__xludf.DUMMYFUNCTION("""COMPUTED_VALUE"""),"https://drive.google.com/open?id=1vzifQ-bclZhSBUrlClgIkosqx3DxZLoh")</f>
        <v>https://drive.google.com/open?id=1vzifQ-bclZhSBUrlClgIkosqx3DxZLoh</v>
      </c>
      <c r="L1066" s="74" t="str">
        <f>IFERROR(__xludf.DUMMYFUNCTION("""COMPUTED_VALUE"""),"2019-2023")</f>
        <v>2019-2023</v>
      </c>
      <c r="M1066" s="74" t="str">
        <f>IFERROR(__xludf.DUMMYFUNCTION("""COMPUTED_VALUE"""),"S4: Student Certifications")</f>
        <v>S4: Student Certifications</v>
      </c>
      <c r="N1066" s="74" t="str">
        <f>IFERROR(__xludf.DUMMYFUNCTION("""COMPUTED_VALUE"""),"bhagyasrikalla1234@gmail.com")</f>
        <v>bhagyasrikalla1234@gmail.com</v>
      </c>
      <c r="O1066" s="74" t="str">
        <f>IFERROR(__xludf.DUMMYFUNCTION("""COMPUTED_VALUE"""),"SEM-6")</f>
        <v>SEM-6</v>
      </c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</row>
    <row r="1067" ht="26.25" customHeight="1">
      <c r="A1067" s="74" t="str">
        <f>IFERROR(__xludf.DUMMYFUNCTION("""COMPUTED_VALUE"""),"M.Tanusha")</f>
        <v>M.Tanusha</v>
      </c>
      <c r="B1067" s="74" t="str">
        <f>IFERROR(__xludf.DUMMYFUNCTION("""COMPUTED_VALUE"""),"19331A0595")</f>
        <v>19331A0595</v>
      </c>
      <c r="C1067" s="90" t="str">
        <f>IFERROR(__xludf.DUMMYFUNCTION("""COMPUTED_VALUE"""),"Machine Learning")</f>
        <v>Machine Learning</v>
      </c>
      <c r="D1067" s="74" t="str">
        <f>IFERROR(__xludf.DUMMYFUNCTION("""COMPUTED_VALUE"""),"Pantech e Learning")</f>
        <v>Pantech e Learning</v>
      </c>
      <c r="E1067" s="74" t="str">
        <f>IFERROR(__xludf.DUMMYFUNCTION("""COMPUTED_VALUE"""),"1 month")</f>
        <v>1 month</v>
      </c>
      <c r="F1067" s="91">
        <f>IFERROR(__xludf.DUMMYFUNCTION("""COMPUTED_VALUE"""),44515.0)</f>
        <v>44515</v>
      </c>
      <c r="G1067" s="91">
        <f>IFERROR(__xludf.DUMMYFUNCTION("""COMPUTED_VALUE"""),44544.0)</f>
        <v>44544</v>
      </c>
      <c r="H1067" s="79">
        <f>IFERROR(__xludf.DUMMYFUNCTION("""COMPUTED_VALUE"""),44544.0)</f>
        <v>44544</v>
      </c>
      <c r="I1067" s="92">
        <f>IFERROR(__xludf.DUMMYFUNCTION("""COMPUTED_VALUE"""),90.0)</f>
        <v>90</v>
      </c>
      <c r="J1067" s="74" t="str">
        <f>IFERROR(__xludf.DUMMYFUNCTION("""COMPUTED_VALUE"""),"M.Malaiappan")</f>
        <v>M.Malaiappan</v>
      </c>
      <c r="K1067" s="80" t="str">
        <f>IFERROR(__xludf.DUMMYFUNCTION("""COMPUTED_VALUE"""),"https://drive.google.com/open?id=1-4I2cGvtnyMk1_JeG4XTIY2HhUd7WhWd")</f>
        <v>https://drive.google.com/open?id=1-4I2cGvtnyMk1_JeG4XTIY2HhUd7WhWd</v>
      </c>
      <c r="L1067" s="74" t="str">
        <f>IFERROR(__xludf.DUMMYFUNCTION("""COMPUTED_VALUE"""),"2019-2023")</f>
        <v>2019-2023</v>
      </c>
      <c r="M1067" s="74" t="str">
        <f>IFERROR(__xludf.DUMMYFUNCTION("""COMPUTED_VALUE"""),"S4: Student Certifications")</f>
        <v>S4: Student Certifications</v>
      </c>
      <c r="N1067" s="74" t="str">
        <f>IFERROR(__xludf.DUMMYFUNCTION("""COMPUTED_VALUE"""),"bhavanimula07@gmail.com")</f>
        <v>bhavanimula07@gmail.com</v>
      </c>
      <c r="O1067" s="74" t="str">
        <f>IFERROR(__xludf.DUMMYFUNCTION("""COMPUTED_VALUE"""),"SEM-6")</f>
        <v>SEM-6</v>
      </c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</row>
    <row r="1068" ht="26.25" customHeight="1">
      <c r="A1068" s="74" t="str">
        <f>IFERROR(__xludf.DUMMYFUNCTION("""COMPUTED_VALUE"""),"Maddu Bhavana")</f>
        <v>Maddu Bhavana</v>
      </c>
      <c r="B1068" s="74" t="str">
        <f>IFERROR(__xludf.DUMMYFUNCTION("""COMPUTED_VALUE"""),"19331A0599")</f>
        <v>19331A0599</v>
      </c>
      <c r="C1068" s="90" t="str">
        <f>IFERROR(__xludf.DUMMYFUNCTION("""COMPUTED_VALUE"""),"JavaScript Essentials")</f>
        <v>JavaScript Essentials</v>
      </c>
      <c r="D1068" s="74" t="str">
        <f>IFERROR(__xludf.DUMMYFUNCTION("""COMPUTED_VALUE"""),"Cisco Networking Academy")</f>
        <v>Cisco Networking Academy</v>
      </c>
      <c r="E1068" s="74" t="str">
        <f>IFERROR(__xludf.DUMMYFUNCTION("""COMPUTED_VALUE"""),"3 months")</f>
        <v>3 months</v>
      </c>
      <c r="F1068" s="91">
        <f>IFERROR(__xludf.DUMMYFUNCTION("""COMPUTED_VALUE"""),44500.0)</f>
        <v>44500</v>
      </c>
      <c r="G1068" s="91">
        <f>IFERROR(__xludf.DUMMYFUNCTION("""COMPUTED_VALUE"""),44583.0)</f>
        <v>44583</v>
      </c>
      <c r="H1068" s="79">
        <f>IFERROR(__xludf.DUMMYFUNCTION("""COMPUTED_VALUE"""),44583.0)</f>
        <v>44583</v>
      </c>
      <c r="I1068" s="92">
        <f>IFERROR(__xludf.DUMMYFUNCTION("""COMPUTED_VALUE"""),95.0)</f>
        <v>95</v>
      </c>
      <c r="J1068" s="74" t="str">
        <f>IFERROR(__xludf.DUMMYFUNCTION("""COMPUTED_VALUE"""),"Maciek Wichary")</f>
        <v>Maciek Wichary</v>
      </c>
      <c r="K1068" s="80" t="str">
        <f>IFERROR(__xludf.DUMMYFUNCTION("""COMPUTED_VALUE"""),"https://drive.google.com/open?id=14PmjMSTaGSIaChxLY9297-K_PrqpTtSe")</f>
        <v>https://drive.google.com/open?id=14PmjMSTaGSIaChxLY9297-K_PrqpTtSe</v>
      </c>
      <c r="L1068" s="74" t="str">
        <f>IFERROR(__xludf.DUMMYFUNCTION("""COMPUTED_VALUE"""),"2019-2023")</f>
        <v>2019-2023</v>
      </c>
      <c r="M1068" s="74" t="str">
        <f>IFERROR(__xludf.DUMMYFUNCTION("""COMPUTED_VALUE"""),"S4: Student Certifications")</f>
        <v>S4: Student Certifications</v>
      </c>
      <c r="N1068" s="74" t="str">
        <f>IFERROR(__xludf.DUMMYFUNCTION("""COMPUTED_VALUE"""),"bhavanamaddu2002@gmail.com")</f>
        <v>bhavanamaddu2002@gmail.com</v>
      </c>
      <c r="O1068" s="74" t="str">
        <f>IFERROR(__xludf.DUMMYFUNCTION("""COMPUTED_VALUE"""),"SEM-6")</f>
        <v>SEM-6</v>
      </c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</row>
    <row r="1069" ht="26.25" customHeight="1">
      <c r="A1069" s="74" t="str">
        <f>IFERROR(__xludf.DUMMYFUNCTION("""COMPUTED_VALUE"""),"Maddila Meghana")</f>
        <v>Maddila Meghana</v>
      </c>
      <c r="B1069" s="74" t="str">
        <f>IFERROR(__xludf.DUMMYFUNCTION("""COMPUTED_VALUE"""),"19331A0598")</f>
        <v>19331A0598</v>
      </c>
      <c r="C1069" s="90" t="str">
        <f>IFERROR(__xludf.DUMMYFUNCTION("""COMPUTED_VALUE"""),"IT Essentials")</f>
        <v>IT Essentials</v>
      </c>
      <c r="D1069" s="74" t="str">
        <f>IFERROR(__xludf.DUMMYFUNCTION("""COMPUTED_VALUE"""),"Cisco Networking Academy")</f>
        <v>Cisco Networking Academy</v>
      </c>
      <c r="E1069" s="74" t="str">
        <f>IFERROR(__xludf.DUMMYFUNCTION("""COMPUTED_VALUE"""),"2 months")</f>
        <v>2 months</v>
      </c>
      <c r="F1069" s="91">
        <f>IFERROR(__xludf.DUMMYFUNCTION("""COMPUTED_VALUE"""),44090.0)</f>
        <v>44090</v>
      </c>
      <c r="G1069" s="91">
        <f>IFERROR(__xludf.DUMMYFUNCTION("""COMPUTED_VALUE"""),44136.0)</f>
        <v>44136</v>
      </c>
      <c r="H1069" s="79">
        <f>IFERROR(__xludf.DUMMYFUNCTION("""COMPUTED_VALUE"""),44136.0)</f>
        <v>44136</v>
      </c>
      <c r="I1069" s="92">
        <f>IFERROR(__xludf.DUMMYFUNCTION("""COMPUTED_VALUE"""),90.0)</f>
        <v>90</v>
      </c>
      <c r="J1069" s="74" t="str">
        <f>IFERROR(__xludf.DUMMYFUNCTION("""COMPUTED_VALUE"""),"DR. SUVARNA KUMAR GOGULA")</f>
        <v>DR. SUVARNA KUMAR GOGULA</v>
      </c>
      <c r="K1069" s="80" t="str">
        <f>IFERROR(__xludf.DUMMYFUNCTION("""COMPUTED_VALUE"""),"https://drive.google.com/open?id=1oq9tnibGBhqk70e1y_umMEbVca3RVpNx")</f>
        <v>https://drive.google.com/open?id=1oq9tnibGBhqk70e1y_umMEbVca3RVpNx</v>
      </c>
      <c r="L1069" s="74" t="str">
        <f>IFERROR(__xludf.DUMMYFUNCTION("""COMPUTED_VALUE"""),"2019-2023")</f>
        <v>2019-2023</v>
      </c>
      <c r="M1069" s="74" t="str">
        <f>IFERROR(__xludf.DUMMYFUNCTION("""COMPUTED_VALUE"""),"S4: Student Certifications")</f>
        <v>S4: Student Certifications</v>
      </c>
      <c r="N1069" s="74" t="str">
        <f>IFERROR(__xludf.DUMMYFUNCTION("""COMPUTED_VALUE"""),"meghana.maddila02@gmail.com")</f>
        <v>meghana.maddila02@gmail.com</v>
      </c>
      <c r="O1069" s="74" t="str">
        <f>IFERROR(__xludf.DUMMYFUNCTION("""COMPUTED_VALUE"""),"SEM-6")</f>
        <v>SEM-6</v>
      </c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</row>
    <row r="1070" ht="26.25" customHeight="1">
      <c r="A1070" s="74" t="str">
        <f>IFERROR(__xludf.DUMMYFUNCTION("""COMPUTED_VALUE"""),"Maddila Meghana")</f>
        <v>Maddila Meghana</v>
      </c>
      <c r="B1070" s="74" t="str">
        <f>IFERROR(__xludf.DUMMYFUNCTION("""COMPUTED_VALUE"""),"19331A0598")</f>
        <v>19331A0598</v>
      </c>
      <c r="C1070" s="90" t="str">
        <f>IFERROR(__xludf.DUMMYFUNCTION("""COMPUTED_VALUE"""),"JavaScript Essentials 1(JSE)")</f>
        <v>JavaScript Essentials 1(JSE)</v>
      </c>
      <c r="D1070" s="74" t="str">
        <f>IFERROR(__xludf.DUMMYFUNCTION("""COMPUTED_VALUE"""),"CISCO")</f>
        <v>CISCO</v>
      </c>
      <c r="E1070" s="74" t="str">
        <f>IFERROR(__xludf.DUMMYFUNCTION("""COMPUTED_VALUE"""),"2 months")</f>
        <v>2 months</v>
      </c>
      <c r="F1070" s="91">
        <f>IFERROR(__xludf.DUMMYFUNCTION("""COMPUTED_VALUE"""),44523.0)</f>
        <v>44523</v>
      </c>
      <c r="G1070" s="91">
        <f>IFERROR(__xludf.DUMMYFUNCTION("""COMPUTED_VALUE"""),44584.0)</f>
        <v>44584</v>
      </c>
      <c r="H1070" s="79">
        <f>IFERROR(__xludf.DUMMYFUNCTION("""COMPUTED_VALUE"""),44584.0)</f>
        <v>44584</v>
      </c>
      <c r="I1070" s="92">
        <f>IFERROR(__xludf.DUMMYFUNCTION("""COMPUTED_VALUE"""),93.0)</f>
        <v>93</v>
      </c>
      <c r="J1070" s="74" t="str">
        <f>IFERROR(__xludf.DUMMYFUNCTION("""COMPUTED_VALUE"""),"Maciek Wichary")</f>
        <v>Maciek Wichary</v>
      </c>
      <c r="K1070" s="80" t="str">
        <f>IFERROR(__xludf.DUMMYFUNCTION("""COMPUTED_VALUE"""),"https://drive.google.com/open?id=14ji4HBXf412Dv2saBheMWgVE-_CBnkU9")</f>
        <v>https://drive.google.com/open?id=14ji4HBXf412Dv2saBheMWgVE-_CBnkU9</v>
      </c>
      <c r="L1070" s="74" t="str">
        <f>IFERROR(__xludf.DUMMYFUNCTION("""COMPUTED_VALUE"""),"2019-2023")</f>
        <v>2019-2023</v>
      </c>
      <c r="M1070" s="74" t="str">
        <f>IFERROR(__xludf.DUMMYFUNCTION("""COMPUTED_VALUE"""),"S4: Student Certifications")</f>
        <v>S4: Student Certifications</v>
      </c>
      <c r="N1070" s="74" t="str">
        <f>IFERROR(__xludf.DUMMYFUNCTION("""COMPUTED_VALUE"""),"meghana.maddila02@gmail.com")</f>
        <v>meghana.maddila02@gmail.com</v>
      </c>
      <c r="O1070" s="74" t="str">
        <f>IFERROR(__xludf.DUMMYFUNCTION("""COMPUTED_VALUE"""),"SEM-6")</f>
        <v>SEM-6</v>
      </c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</row>
    <row r="1071" ht="26.25" customHeight="1">
      <c r="A1071" s="74" t="str">
        <f>IFERROR(__xludf.DUMMYFUNCTION("""COMPUTED_VALUE"""),"M.Tanusha")</f>
        <v>M.Tanusha</v>
      </c>
      <c r="B1071" s="74" t="str">
        <f>IFERROR(__xludf.DUMMYFUNCTION("""COMPUTED_VALUE"""),"19331A0595")</f>
        <v>19331A0595</v>
      </c>
      <c r="C1071" s="90" t="str">
        <f>IFERROR(__xludf.DUMMYFUNCTION("""COMPUTED_VALUE"""),"Responsive Web Design")</f>
        <v>Responsive Web Design</v>
      </c>
      <c r="D1071" s="74" t="str">
        <f>IFERROR(__xludf.DUMMYFUNCTION("""COMPUTED_VALUE"""),"Freecodecamp")</f>
        <v>Freecodecamp</v>
      </c>
      <c r="E1071" s="74" t="str">
        <f>IFERROR(__xludf.DUMMYFUNCTION("""COMPUTED_VALUE"""),"300 hours")</f>
        <v>300 hours</v>
      </c>
      <c r="F1071" s="91">
        <f>IFERROR(__xludf.DUMMYFUNCTION("""COMPUTED_VALUE"""),44342.0)</f>
        <v>44342</v>
      </c>
      <c r="G1071" s="91">
        <f>IFERROR(__xludf.DUMMYFUNCTION("""COMPUTED_VALUE"""),44377.0)</f>
        <v>44377</v>
      </c>
      <c r="H1071" s="79">
        <f>IFERROR(__xludf.DUMMYFUNCTION("""COMPUTED_VALUE"""),44373.0)</f>
        <v>44373</v>
      </c>
      <c r="I1071" s="92">
        <f>IFERROR(__xludf.DUMMYFUNCTION("""COMPUTED_VALUE"""),90.0)</f>
        <v>90</v>
      </c>
      <c r="J1071" s="74" t="str">
        <f>IFERROR(__xludf.DUMMYFUNCTION("""COMPUTED_VALUE"""),"Quinchy Larson")</f>
        <v>Quinchy Larson</v>
      </c>
      <c r="K1071" s="80" t="str">
        <f>IFERROR(__xludf.DUMMYFUNCTION("""COMPUTED_VALUE"""),"https://drive.google.com/open?id=1ZkacYVurTqaypc4w905D6CCOjZ62NiiB")</f>
        <v>https://drive.google.com/open?id=1ZkacYVurTqaypc4w905D6CCOjZ62NiiB</v>
      </c>
      <c r="L1071" s="74" t="str">
        <f>IFERROR(__xludf.DUMMYFUNCTION("""COMPUTED_VALUE"""),"2019-2023")</f>
        <v>2019-2023</v>
      </c>
      <c r="M1071" s="74" t="str">
        <f>IFERROR(__xludf.DUMMYFUNCTION("""COMPUTED_VALUE"""),"S4: Student Certifications")</f>
        <v>S4: Student Certifications</v>
      </c>
      <c r="N1071" s="74" t="str">
        <f>IFERROR(__xludf.DUMMYFUNCTION("""COMPUTED_VALUE"""),"bhavanimula07@gmail.com")</f>
        <v>bhavanimula07@gmail.com</v>
      </c>
      <c r="O1071" s="74" t="str">
        <f>IFERROR(__xludf.DUMMYFUNCTION("""COMPUTED_VALUE"""),"SEM-6")</f>
        <v>SEM-6</v>
      </c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</row>
    <row r="1072" ht="26.25" customHeight="1">
      <c r="A1072" s="74" t="str">
        <f>IFERROR(__xludf.DUMMYFUNCTION("""COMPUTED_VALUE"""),"KALLA BHAGYA SRI")</f>
        <v>KALLA BHAGYA SRI</v>
      </c>
      <c r="B1072" s="74" t="str">
        <f>IFERROR(__xludf.DUMMYFUNCTION("""COMPUTED_VALUE"""),"19331A0570")</f>
        <v>19331A0570</v>
      </c>
      <c r="C1072" s="90" t="str">
        <f>IFERROR(__xludf.DUMMYFUNCTION("""COMPUTED_VALUE"""),"CLA(PROGRAMMING ESSENTIALS IN C)")</f>
        <v>CLA(PROGRAMMING ESSENTIALS IN C)</v>
      </c>
      <c r="D1072" s="74" t="str">
        <f>IFERROR(__xludf.DUMMYFUNCTION("""COMPUTED_VALUE"""),"Cisco Networking Academy")</f>
        <v>Cisco Networking Academy</v>
      </c>
      <c r="E1072" s="74" t="str">
        <f>IFERROR(__xludf.DUMMYFUNCTION("""COMPUTED_VALUE"""),"3")</f>
        <v>3</v>
      </c>
      <c r="F1072" s="91">
        <f>IFERROR(__xludf.DUMMYFUNCTION("""COMPUTED_VALUE"""),43895.0)</f>
        <v>43895</v>
      </c>
      <c r="G1072" s="91">
        <f>IFERROR(__xludf.DUMMYFUNCTION("""COMPUTED_VALUE"""),43987.0)</f>
        <v>43987</v>
      </c>
      <c r="H1072" s="79">
        <f>IFERROR(__xludf.DUMMYFUNCTION("""COMPUTED_VALUE"""),43987.0)</f>
        <v>43987</v>
      </c>
      <c r="I1072" s="92">
        <f>IFERROR(__xludf.DUMMYFUNCTION("""COMPUTED_VALUE"""),80.0)</f>
        <v>80</v>
      </c>
      <c r="J1072" s="74" t="str">
        <f>IFERROR(__xludf.DUMMYFUNCTION("""COMPUTED_VALUE"""),"DR.RAVI KIRAN VARMA PENMATSA")</f>
        <v>DR.RAVI KIRAN VARMA PENMATSA</v>
      </c>
      <c r="K1072" s="80" t="str">
        <f>IFERROR(__xludf.DUMMYFUNCTION("""COMPUTED_VALUE"""),"https://drive.google.com/open?id=1CQs5EO7lIY3nh7LXf1rjCJCBYHYmFNLP")</f>
        <v>https://drive.google.com/open?id=1CQs5EO7lIY3nh7LXf1rjCJCBYHYmFNLP</v>
      </c>
      <c r="L1072" s="74" t="str">
        <f>IFERROR(__xludf.DUMMYFUNCTION("""COMPUTED_VALUE"""),"2019-2023")</f>
        <v>2019-2023</v>
      </c>
      <c r="M1072" s="74" t="str">
        <f>IFERROR(__xludf.DUMMYFUNCTION("""COMPUTED_VALUE"""),"S4: Student Certifications")</f>
        <v>S4: Student Certifications</v>
      </c>
      <c r="N1072" s="74" t="str">
        <f>IFERROR(__xludf.DUMMYFUNCTION("""COMPUTED_VALUE"""),"bhagyasrikalla1234@gmail.com")</f>
        <v>bhagyasrikalla1234@gmail.com</v>
      </c>
      <c r="O1072" s="74" t="str">
        <f>IFERROR(__xludf.DUMMYFUNCTION("""COMPUTED_VALUE"""),"SEM-6")</f>
        <v>SEM-6</v>
      </c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</row>
    <row r="1073" ht="26.25" customHeight="1">
      <c r="A1073" s="74" t="str">
        <f>IFERROR(__xludf.DUMMYFUNCTION("""COMPUTED_VALUE"""),"KUNDRAPU DIVYA SATYA KUMARI ")</f>
        <v>KUNDRAPU DIVYA SATYA KUMARI </v>
      </c>
      <c r="B1073" s="74" t="str">
        <f>IFERROR(__xludf.DUMMYFUNCTION("""COMPUTED_VALUE"""),"19331A0592")</f>
        <v>19331A0592</v>
      </c>
      <c r="C1073" s="90" t="str">
        <f>IFERROR(__xludf.DUMMYFUNCTION("""COMPUTED_VALUE"""),"PCAP: Programming Essentials In Python")</f>
        <v>PCAP: Programming Essentials In Python</v>
      </c>
      <c r="D1073" s="74" t="str">
        <f>IFERROR(__xludf.DUMMYFUNCTION("""COMPUTED_VALUE"""),"Cisco Networking Academy ")</f>
        <v>Cisco Networking Academy </v>
      </c>
      <c r="E1073" s="74" t="str">
        <f>IFERROR(__xludf.DUMMYFUNCTION("""COMPUTED_VALUE"""),"5 months ")</f>
        <v>5 months </v>
      </c>
      <c r="F1073" s="91">
        <f>IFERROR(__xludf.DUMMYFUNCTION("""COMPUTED_VALUE"""),44202.0)</f>
        <v>44202</v>
      </c>
      <c r="G1073" s="91">
        <f>IFERROR(__xludf.DUMMYFUNCTION("""COMPUTED_VALUE"""),44712.0)</f>
        <v>44712</v>
      </c>
      <c r="H1073" s="79">
        <f>IFERROR(__xludf.DUMMYFUNCTION("""COMPUTED_VALUE"""),44320.0)</f>
        <v>44320</v>
      </c>
      <c r="I1073" s="92">
        <f>IFERROR(__xludf.DUMMYFUNCTION("""COMPUTED_VALUE"""),90.0)</f>
        <v>90</v>
      </c>
      <c r="J1073" s="74" t="str">
        <f>IFERROR(__xludf.DUMMYFUNCTION("""COMPUTED_VALUE"""),"DR.RAVI KIRAN VARMA PENMATSA")</f>
        <v>DR.RAVI KIRAN VARMA PENMATSA</v>
      </c>
      <c r="K1073" s="80" t="str">
        <f>IFERROR(__xludf.DUMMYFUNCTION("""COMPUTED_VALUE"""),"https://drive.google.com/open?id=1gRdBTQlN2B61vp5L2gA37X8ib7oSX0W8")</f>
        <v>https://drive.google.com/open?id=1gRdBTQlN2B61vp5L2gA37X8ib7oSX0W8</v>
      </c>
      <c r="L1073" s="74" t="str">
        <f>IFERROR(__xludf.DUMMYFUNCTION("""COMPUTED_VALUE"""),"2019-2023")</f>
        <v>2019-2023</v>
      </c>
      <c r="M1073" s="74" t="str">
        <f>IFERROR(__xludf.DUMMYFUNCTION("""COMPUTED_VALUE"""),"S4: Student Certifications")</f>
        <v>S4: Student Certifications</v>
      </c>
      <c r="N1073" s="74" t="str">
        <f>IFERROR(__xludf.DUMMYFUNCTION("""COMPUTED_VALUE"""),"satyadivyaa0401@gmail.com")</f>
        <v>satyadivyaa0401@gmail.com</v>
      </c>
      <c r="O1073" s="74" t="str">
        <f>IFERROR(__xludf.DUMMYFUNCTION("""COMPUTED_VALUE"""),"SEM-6")</f>
        <v>SEM-6</v>
      </c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</row>
    <row r="1074" ht="26.25" customHeight="1">
      <c r="A1074" s="74" t="str">
        <f>IFERROR(__xludf.DUMMYFUNCTION("""COMPUTED_VALUE"""),"Maddila Meghana")</f>
        <v>Maddila Meghana</v>
      </c>
      <c r="B1074" s="74" t="str">
        <f>IFERROR(__xludf.DUMMYFUNCTION("""COMPUTED_VALUE"""),"19331A0598")</f>
        <v>19331A0598</v>
      </c>
      <c r="C1074" s="90" t="str">
        <f>IFERROR(__xludf.DUMMYFUNCTION("""COMPUTED_VALUE"""),"The Fundamentals Of Digital Marketing")</f>
        <v>The Fundamentals Of Digital Marketing</v>
      </c>
      <c r="D1074" s="74" t="str">
        <f>IFERROR(__xludf.DUMMYFUNCTION("""COMPUTED_VALUE"""),"Google")</f>
        <v>Google</v>
      </c>
      <c r="E1074" s="74" t="str">
        <f>IFERROR(__xludf.DUMMYFUNCTION("""COMPUTED_VALUE"""),"2 months")</f>
        <v>2 months</v>
      </c>
      <c r="F1074" s="91">
        <f>IFERROR(__xludf.DUMMYFUNCTION("""COMPUTED_VALUE"""),44300.0)</f>
        <v>44300</v>
      </c>
      <c r="G1074" s="91">
        <f>IFERROR(__xludf.DUMMYFUNCTION("""COMPUTED_VALUE"""),44399.0)</f>
        <v>44399</v>
      </c>
      <c r="H1074" s="79">
        <f>IFERROR(__xludf.DUMMYFUNCTION("""COMPUTED_VALUE"""),44399.0)</f>
        <v>44399</v>
      </c>
      <c r="I1074" s="92">
        <f>IFERROR(__xludf.DUMMYFUNCTION("""COMPUTED_VALUE"""),95.0)</f>
        <v>95</v>
      </c>
      <c r="J1074" s="74" t="str">
        <f>IFERROR(__xludf.DUMMYFUNCTION("""COMPUTED_VALUE"""),"President- Google EMEA")</f>
        <v>President- Google EMEA</v>
      </c>
      <c r="K1074" s="80" t="str">
        <f>IFERROR(__xludf.DUMMYFUNCTION("""COMPUTED_VALUE"""),"https://drive.google.com/open?id=1pfWqDJLjLheo29usiOYkZJorrLW4uIrq")</f>
        <v>https://drive.google.com/open?id=1pfWqDJLjLheo29usiOYkZJorrLW4uIrq</v>
      </c>
      <c r="L1074" s="74" t="str">
        <f>IFERROR(__xludf.DUMMYFUNCTION("""COMPUTED_VALUE"""),"2019-2023")</f>
        <v>2019-2023</v>
      </c>
      <c r="M1074" s="74" t="str">
        <f>IFERROR(__xludf.DUMMYFUNCTION("""COMPUTED_VALUE"""),"S4: Student Certifications")</f>
        <v>S4: Student Certifications</v>
      </c>
      <c r="N1074" s="74" t="str">
        <f>IFERROR(__xludf.DUMMYFUNCTION("""COMPUTED_VALUE"""),"meghana.maddila02@gmail.com")</f>
        <v>meghana.maddila02@gmail.com</v>
      </c>
      <c r="O1074" s="74" t="str">
        <f>IFERROR(__xludf.DUMMYFUNCTION("""COMPUTED_VALUE"""),"SEM-6")</f>
        <v>SEM-6</v>
      </c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</row>
    <row r="1075" ht="26.25" customHeight="1">
      <c r="A1075" s="74" t="str">
        <f>IFERROR(__xludf.DUMMYFUNCTION("""COMPUTED_VALUE"""),"Maddu Bhavana")</f>
        <v>Maddu Bhavana</v>
      </c>
      <c r="B1075" s="74" t="str">
        <f>IFERROR(__xludf.DUMMYFUNCTION("""COMPUTED_VALUE"""),"19331A0599")</f>
        <v>19331A0599</v>
      </c>
      <c r="C1075" s="90" t="str">
        <f>IFERROR(__xludf.DUMMYFUNCTION("""COMPUTED_VALUE"""),"Programming Essentials in C")</f>
        <v>Programming Essentials in C</v>
      </c>
      <c r="D1075" s="74" t="str">
        <f>IFERROR(__xludf.DUMMYFUNCTION("""COMPUTED_VALUE"""),"Cisco Networking Academy")</f>
        <v>Cisco Networking Academy</v>
      </c>
      <c r="E1075" s="74" t="str">
        <f>IFERROR(__xludf.DUMMYFUNCTION("""COMPUTED_VALUE"""),"3 months")</f>
        <v>3 months</v>
      </c>
      <c r="F1075" s="91">
        <f>IFERROR(__xludf.DUMMYFUNCTION("""COMPUTED_VALUE"""),43938.0)</f>
        <v>43938</v>
      </c>
      <c r="G1075" s="91">
        <f>IFERROR(__xludf.DUMMYFUNCTION("""COMPUTED_VALUE"""),43987.0)</f>
        <v>43987</v>
      </c>
      <c r="H1075" s="79">
        <f>IFERROR(__xludf.DUMMYFUNCTION("""COMPUTED_VALUE"""),43987.0)</f>
        <v>43987</v>
      </c>
      <c r="I1075" s="92">
        <f>IFERROR(__xludf.DUMMYFUNCTION("""COMPUTED_VALUE"""),85.0)</f>
        <v>85</v>
      </c>
      <c r="J1075" s="74" t="str">
        <f>IFERROR(__xludf.DUMMYFUNCTION("""COMPUTED_VALUE"""),"DR.Ravi Kiran Varma Penmatsa")</f>
        <v>DR.Ravi Kiran Varma Penmatsa</v>
      </c>
      <c r="K1075" s="80" t="str">
        <f>IFERROR(__xludf.DUMMYFUNCTION("""COMPUTED_VALUE"""),"https://drive.google.com/open?id=1WBGDIMDiUftNhfauKWKCk4zAG4jaywOt")</f>
        <v>https://drive.google.com/open?id=1WBGDIMDiUftNhfauKWKCk4zAG4jaywOt</v>
      </c>
      <c r="L1075" s="74" t="str">
        <f>IFERROR(__xludf.DUMMYFUNCTION("""COMPUTED_VALUE"""),"2019-2023")</f>
        <v>2019-2023</v>
      </c>
      <c r="M1075" s="74" t="str">
        <f>IFERROR(__xludf.DUMMYFUNCTION("""COMPUTED_VALUE"""),"S4: Student Certifications")</f>
        <v>S4: Student Certifications</v>
      </c>
      <c r="N1075" s="74" t="str">
        <f>IFERROR(__xludf.DUMMYFUNCTION("""COMPUTED_VALUE"""),"bhavanamaddu2002@gmail.com")</f>
        <v>bhavanamaddu2002@gmail.com</v>
      </c>
      <c r="O1075" s="74" t="str">
        <f>IFERROR(__xludf.DUMMYFUNCTION("""COMPUTED_VALUE"""),"SEM-6")</f>
        <v>SEM-6</v>
      </c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</row>
    <row r="1076" ht="26.25" customHeight="1">
      <c r="A1076" s="74" t="str">
        <f>IFERROR(__xludf.DUMMYFUNCTION("""COMPUTED_VALUE"""),"M.Tanusha")</f>
        <v>M.Tanusha</v>
      </c>
      <c r="B1076" s="74" t="str">
        <f>IFERROR(__xludf.DUMMYFUNCTION("""COMPUTED_VALUE"""),"19331A0595")</f>
        <v>19331A0595</v>
      </c>
      <c r="C1076" s="90" t="str">
        <f>IFERROR(__xludf.DUMMYFUNCTION("""COMPUTED_VALUE"""),"Programming Essentials in Python")</f>
        <v>Programming Essentials in Python</v>
      </c>
      <c r="D1076" s="74" t="str">
        <f>IFERROR(__xludf.DUMMYFUNCTION("""COMPUTED_VALUE"""),"Cisco")</f>
        <v>Cisco</v>
      </c>
      <c r="E1076" s="74" t="str">
        <f>IFERROR(__xludf.DUMMYFUNCTION("""COMPUTED_VALUE"""),"2 months")</f>
        <v>2 months</v>
      </c>
      <c r="F1076" s="91">
        <f>IFERROR(__xludf.DUMMYFUNCTION("""COMPUTED_VALUE"""),44235.0)</f>
        <v>44235</v>
      </c>
      <c r="G1076" s="91">
        <f>IFERROR(__xludf.DUMMYFUNCTION("""COMPUTED_VALUE"""),44263.0)</f>
        <v>44263</v>
      </c>
      <c r="H1076" s="79">
        <f>IFERROR(__xludf.DUMMYFUNCTION("""COMPUTED_VALUE"""),44263.0)</f>
        <v>44263</v>
      </c>
      <c r="I1076" s="92">
        <f>IFERROR(__xludf.DUMMYFUNCTION("""COMPUTED_VALUE"""),96.0)</f>
        <v>96</v>
      </c>
      <c r="J1076" s="74" t="str">
        <f>IFERROR(__xludf.DUMMYFUNCTION("""COMPUTED_VALUE"""),"DR. RAVI KIRAN VARMA PENMATSA")</f>
        <v>DR. RAVI KIRAN VARMA PENMATSA</v>
      </c>
      <c r="K1076" s="80" t="str">
        <f>IFERROR(__xludf.DUMMYFUNCTION("""COMPUTED_VALUE"""),"https://drive.google.com/open?id=18_z_55vUm59BNVFX0AAHdZpVLNGkVsUH")</f>
        <v>https://drive.google.com/open?id=18_z_55vUm59BNVFX0AAHdZpVLNGkVsUH</v>
      </c>
      <c r="L1076" s="74" t="str">
        <f>IFERROR(__xludf.DUMMYFUNCTION("""COMPUTED_VALUE"""),"2019-2023")</f>
        <v>2019-2023</v>
      </c>
      <c r="M1076" s="74" t="str">
        <f>IFERROR(__xludf.DUMMYFUNCTION("""COMPUTED_VALUE"""),"S4: Student Certifications")</f>
        <v>S4: Student Certifications</v>
      </c>
      <c r="N1076" s="74" t="str">
        <f>IFERROR(__xludf.DUMMYFUNCTION("""COMPUTED_VALUE"""),"bhavanimula07@gmail.com")</f>
        <v>bhavanimula07@gmail.com</v>
      </c>
      <c r="O1076" s="74" t="str">
        <f>IFERROR(__xludf.DUMMYFUNCTION("""COMPUTED_VALUE"""),"SEM-6")</f>
        <v>SEM-6</v>
      </c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</row>
    <row r="1077" ht="26.25" customHeight="1">
      <c r="A1077" s="74" t="str">
        <f>IFERROR(__xludf.DUMMYFUNCTION("""COMPUTED_VALUE"""),"KALLA BHAGYA SRI")</f>
        <v>KALLA BHAGYA SRI</v>
      </c>
      <c r="B1077" s="74" t="str">
        <f>IFERROR(__xludf.DUMMYFUNCTION("""COMPUTED_VALUE"""),"19331a0570")</f>
        <v>19331a0570</v>
      </c>
      <c r="C1077" s="90" t="str">
        <f>IFERROR(__xludf.DUMMYFUNCTION("""COMPUTED_VALUE"""),"IT Essentials")</f>
        <v>IT Essentials</v>
      </c>
      <c r="D1077" s="74" t="str">
        <f>IFERROR(__xludf.DUMMYFUNCTION("""COMPUTED_VALUE"""),"Cisco Networking Academy")</f>
        <v>Cisco Networking Academy</v>
      </c>
      <c r="E1077" s="74" t="str">
        <f>IFERROR(__xludf.DUMMYFUNCTION("""COMPUTED_VALUE"""),"3")</f>
        <v>3</v>
      </c>
      <c r="F1077" s="91">
        <f>IFERROR(__xludf.DUMMYFUNCTION("""COMPUTED_VALUE"""),44040.0)</f>
        <v>44040</v>
      </c>
      <c r="G1077" s="91">
        <f>IFERROR(__xludf.DUMMYFUNCTION("""COMPUTED_VALUE"""),44132.0)</f>
        <v>44132</v>
      </c>
      <c r="H1077" s="79">
        <f>IFERROR(__xludf.DUMMYFUNCTION("""COMPUTED_VALUE"""),44132.0)</f>
        <v>44132</v>
      </c>
      <c r="I1077" s="92">
        <f>IFERROR(__xludf.DUMMYFUNCTION("""COMPUTED_VALUE"""),85.0)</f>
        <v>85</v>
      </c>
      <c r="J1077" s="74" t="str">
        <f>IFERROR(__xludf.DUMMYFUNCTION("""COMPUTED_VALUE"""),"Dr. Suvarna Kumar Gogula")</f>
        <v>Dr. Suvarna Kumar Gogula</v>
      </c>
      <c r="K1077" s="80" t="str">
        <f>IFERROR(__xludf.DUMMYFUNCTION("""COMPUTED_VALUE"""),"https://drive.google.com/open?id=11j1wmX0IaP8KIa1h9ZWHanB_F2hPD9BL")</f>
        <v>https://drive.google.com/open?id=11j1wmX0IaP8KIa1h9ZWHanB_F2hPD9BL</v>
      </c>
      <c r="L1077" s="74" t="str">
        <f>IFERROR(__xludf.DUMMYFUNCTION("""COMPUTED_VALUE"""),"2019-2023")</f>
        <v>2019-2023</v>
      </c>
      <c r="M1077" s="74" t="str">
        <f>IFERROR(__xludf.DUMMYFUNCTION("""COMPUTED_VALUE"""),"S4: Student Certifications")</f>
        <v>S4: Student Certifications</v>
      </c>
      <c r="N1077" s="74" t="str">
        <f>IFERROR(__xludf.DUMMYFUNCTION("""COMPUTED_VALUE"""),"bhagyasrikalla1234@gmail.com")</f>
        <v>bhagyasrikalla1234@gmail.com</v>
      </c>
      <c r="O1077" s="74" t="str">
        <f>IFERROR(__xludf.DUMMYFUNCTION("""COMPUTED_VALUE"""),"SEM-6")</f>
        <v>SEM-6</v>
      </c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</row>
    <row r="1078" ht="26.25" customHeight="1">
      <c r="A1078" s="74" t="str">
        <f>IFERROR(__xludf.DUMMYFUNCTION("""COMPUTED_VALUE"""),"Maddila Meghana")</f>
        <v>Maddila Meghana</v>
      </c>
      <c r="B1078" s="74" t="str">
        <f>IFERROR(__xludf.DUMMYFUNCTION("""COMPUTED_VALUE"""),"19331A0598")</f>
        <v>19331A0598</v>
      </c>
      <c r="C1078" s="90" t="str">
        <f>IFERROR(__xludf.DUMMYFUNCTION("""COMPUTED_VALUE"""),"CodeRiders 2021")</f>
        <v>CodeRiders 2021</v>
      </c>
      <c r="D1078" s="74" t="str">
        <f>IFERROR(__xludf.DUMMYFUNCTION("""COMPUTED_VALUE"""),"cisco")</f>
        <v>cisco</v>
      </c>
      <c r="E1078" s="74" t="str">
        <f>IFERROR(__xludf.DUMMYFUNCTION("""COMPUTED_VALUE"""),"1 month")</f>
        <v>1 month</v>
      </c>
      <c r="F1078" s="91">
        <f>IFERROR(__xludf.DUMMYFUNCTION("""COMPUTED_VALUE"""),44348.0)</f>
        <v>44348</v>
      </c>
      <c r="G1078" s="91">
        <f>IFERROR(__xludf.DUMMYFUNCTION("""COMPUTED_VALUE"""),44378.0)</f>
        <v>44378</v>
      </c>
      <c r="H1078" s="79">
        <f>IFERROR(__xludf.DUMMYFUNCTION("""COMPUTED_VALUE"""),44378.0)</f>
        <v>44378</v>
      </c>
      <c r="I1078" s="92">
        <f>IFERROR(__xludf.DUMMYFUNCTION("""COMPUTED_VALUE"""),85.0)</f>
        <v>85</v>
      </c>
      <c r="J1078" s="74" t="str">
        <f>IFERROR(__xludf.DUMMYFUNCTION("""COMPUTED_VALUE"""),"Mr. Anurag Srivatstava")</f>
        <v>Mr. Anurag Srivatstava</v>
      </c>
      <c r="K1078" s="80" t="str">
        <f>IFERROR(__xludf.DUMMYFUNCTION("""COMPUTED_VALUE"""),"https://drive.google.com/open?id=1qQrBBIjTQ5_A73IKKdqZ5cwpAmWCLBBQ")</f>
        <v>https://drive.google.com/open?id=1qQrBBIjTQ5_A73IKKdqZ5cwpAmWCLBBQ</v>
      </c>
      <c r="L1078" s="74" t="str">
        <f>IFERROR(__xludf.DUMMYFUNCTION("""COMPUTED_VALUE"""),"2019-2023")</f>
        <v>2019-2023</v>
      </c>
      <c r="M1078" s="74" t="str">
        <f>IFERROR(__xludf.DUMMYFUNCTION("""COMPUTED_VALUE"""),"S4: Student Certifications")</f>
        <v>S4: Student Certifications</v>
      </c>
      <c r="N1078" s="74" t="str">
        <f>IFERROR(__xludf.DUMMYFUNCTION("""COMPUTED_VALUE"""),"meghana.maddila02@gmail.com")</f>
        <v>meghana.maddila02@gmail.com</v>
      </c>
      <c r="O1078" s="74" t="str">
        <f>IFERROR(__xludf.DUMMYFUNCTION("""COMPUTED_VALUE"""),"SEM-6")</f>
        <v>SEM-6</v>
      </c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</row>
    <row r="1079" ht="26.25" customHeight="1">
      <c r="A1079" s="74" t="str">
        <f>IFERROR(__xludf.DUMMYFUNCTION("""COMPUTED_VALUE"""),"KALLA BHAGYA SRI")</f>
        <v>KALLA BHAGYA SRI</v>
      </c>
      <c r="B1079" s="74" t="str">
        <f>IFERROR(__xludf.DUMMYFUNCTION("""COMPUTED_VALUE"""),"19331A0570")</f>
        <v>19331A0570</v>
      </c>
      <c r="C1079" s="90" t="str">
        <f>IFERROR(__xludf.DUMMYFUNCTION("""COMPUTED_VALUE"""),"JavaScript Essentials 1 (JSE)")</f>
        <v>JavaScript Essentials 1 (JSE)</v>
      </c>
      <c r="D1079" s="74" t="str">
        <f>IFERROR(__xludf.DUMMYFUNCTION("""COMPUTED_VALUE"""),"Cisco Networking Academy®")</f>
        <v>Cisco Networking Academy®</v>
      </c>
      <c r="E1079" s="74" t="str">
        <f>IFERROR(__xludf.DUMMYFUNCTION("""COMPUTED_VALUE"""),"3")</f>
        <v>3</v>
      </c>
      <c r="F1079" s="91">
        <f>IFERROR(__xludf.DUMMYFUNCTION("""COMPUTED_VALUE"""),44482.0)</f>
        <v>44482</v>
      </c>
      <c r="G1079" s="91">
        <f>IFERROR(__xludf.DUMMYFUNCTION("""COMPUTED_VALUE"""),44574.0)</f>
        <v>44574</v>
      </c>
      <c r="H1079" s="79">
        <f>IFERROR(__xludf.DUMMYFUNCTION("""COMPUTED_VALUE"""),44574.0)</f>
        <v>44574</v>
      </c>
      <c r="I1079" s="92">
        <f>IFERROR(__xludf.DUMMYFUNCTION("""COMPUTED_VALUE"""),78.0)</f>
        <v>78</v>
      </c>
      <c r="J1079" s="74" t="str">
        <f>IFERROR(__xludf.DUMMYFUNCTION("""COMPUTED_VALUE"""),"Maciek Wichary")</f>
        <v>Maciek Wichary</v>
      </c>
      <c r="K1079" s="80" t="str">
        <f>IFERROR(__xludf.DUMMYFUNCTION("""COMPUTED_VALUE"""),"https://drive.google.com/open?id=11Yr00awhekJWyJReeYvh1NlmiHqaoqKa")</f>
        <v>https://drive.google.com/open?id=11Yr00awhekJWyJReeYvh1NlmiHqaoqKa</v>
      </c>
      <c r="L1079" s="74" t="str">
        <f>IFERROR(__xludf.DUMMYFUNCTION("""COMPUTED_VALUE"""),"2019-2023")</f>
        <v>2019-2023</v>
      </c>
      <c r="M1079" s="74" t="str">
        <f>IFERROR(__xludf.DUMMYFUNCTION("""COMPUTED_VALUE"""),"S4: Student Certifications")</f>
        <v>S4: Student Certifications</v>
      </c>
      <c r="N1079" s="74" t="str">
        <f>IFERROR(__xludf.DUMMYFUNCTION("""COMPUTED_VALUE"""),"bhagyasrikalla1234@gmail.com")</f>
        <v>bhagyasrikalla1234@gmail.com</v>
      </c>
      <c r="O1079" s="74" t="str">
        <f>IFERROR(__xludf.DUMMYFUNCTION("""COMPUTED_VALUE"""),"SEM-6")</f>
        <v>SEM-6</v>
      </c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</row>
    <row r="1080" ht="26.25" customHeight="1">
      <c r="A1080" s="74" t="str">
        <f>IFERROR(__xludf.DUMMYFUNCTION("""COMPUTED_VALUE"""),"M.Tanusha")</f>
        <v>M.Tanusha</v>
      </c>
      <c r="B1080" s="74" t="str">
        <f>IFERROR(__xludf.DUMMYFUNCTION("""COMPUTED_VALUE"""),"19331A0595")</f>
        <v>19331A0595</v>
      </c>
      <c r="C1080" s="90" t="str">
        <f>IFERROR(__xludf.DUMMYFUNCTION("""COMPUTED_VALUE"""),"The Fundamentals of Digital Marketing")</f>
        <v>The Fundamentals of Digital Marketing</v>
      </c>
      <c r="D1080" s="74" t="str">
        <f>IFERROR(__xludf.DUMMYFUNCTION("""COMPUTED_VALUE"""),"Google ")</f>
        <v>Google </v>
      </c>
      <c r="E1080" s="74" t="str">
        <f>IFERROR(__xludf.DUMMYFUNCTION("""COMPUTED_VALUE"""),"1 month")</f>
        <v>1 month</v>
      </c>
      <c r="F1080" s="91">
        <f>IFERROR(__xludf.DUMMYFUNCTION("""COMPUTED_VALUE"""),44344.0)</f>
        <v>44344</v>
      </c>
      <c r="G1080" s="91">
        <f>IFERROR(__xludf.DUMMYFUNCTION("""COMPUTED_VALUE"""),44371.0)</f>
        <v>44371</v>
      </c>
      <c r="H1080" s="79">
        <f>IFERROR(__xludf.DUMMYFUNCTION("""COMPUTED_VALUE"""),44371.0)</f>
        <v>44371</v>
      </c>
      <c r="I1080" s="92">
        <f>IFERROR(__xludf.DUMMYFUNCTION("""COMPUTED_VALUE"""),90.0)</f>
        <v>90</v>
      </c>
      <c r="J1080" s="74" t="str">
        <f>IFERROR(__xludf.DUMMYFUNCTION("""COMPUTED_VALUE"""),"President-Google EMEA")</f>
        <v>President-Google EMEA</v>
      </c>
      <c r="K1080" s="80" t="str">
        <f>IFERROR(__xludf.DUMMYFUNCTION("""COMPUTED_VALUE"""),"https://drive.google.com/open?id=1BrwPZJpdj_zr1Y1gIbSGdni_2A3ZG63c")</f>
        <v>https://drive.google.com/open?id=1BrwPZJpdj_zr1Y1gIbSGdni_2A3ZG63c</v>
      </c>
      <c r="L1080" s="74" t="str">
        <f>IFERROR(__xludf.DUMMYFUNCTION("""COMPUTED_VALUE"""),"2019-2023")</f>
        <v>2019-2023</v>
      </c>
      <c r="M1080" s="74" t="str">
        <f>IFERROR(__xludf.DUMMYFUNCTION("""COMPUTED_VALUE"""),"S4: Student Certifications")</f>
        <v>S4: Student Certifications</v>
      </c>
      <c r="N1080" s="74" t="str">
        <f>IFERROR(__xludf.DUMMYFUNCTION("""COMPUTED_VALUE"""),"bhavanimula07@gmail.com")</f>
        <v>bhavanimula07@gmail.com</v>
      </c>
      <c r="O1080" s="74" t="str">
        <f>IFERROR(__xludf.DUMMYFUNCTION("""COMPUTED_VALUE"""),"SEM-6")</f>
        <v>SEM-6</v>
      </c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</row>
    <row r="1081" ht="26.25" customHeight="1">
      <c r="A1081" s="74" t="str">
        <f>IFERROR(__xludf.DUMMYFUNCTION("""COMPUTED_VALUE"""),"Maddila Meghana")</f>
        <v>Maddila Meghana</v>
      </c>
      <c r="B1081" s="74" t="str">
        <f>IFERROR(__xludf.DUMMYFUNCTION("""COMPUTED_VALUE"""),"19331A0598")</f>
        <v>19331A0598</v>
      </c>
      <c r="C1081" s="90" t="str">
        <f>IFERROR(__xludf.DUMMYFUNCTION("""COMPUTED_VALUE"""),"Machine Learning Master Class")</f>
        <v>Machine Learning Master Class</v>
      </c>
      <c r="D1081" s="74" t="str">
        <f>IFERROR(__xludf.DUMMYFUNCTION("""COMPUTED_VALUE"""),"Skill AP (APSSDC)")</f>
        <v>Skill AP (APSSDC)</v>
      </c>
      <c r="E1081" s="74" t="str">
        <f>IFERROR(__xludf.DUMMYFUNCTION("""COMPUTED_VALUE"""),"1 month")</f>
        <v>1 month</v>
      </c>
      <c r="F1081" s="91">
        <f>IFERROR(__xludf.DUMMYFUNCTION("""COMPUTED_VALUE"""),44515.0)</f>
        <v>44515</v>
      </c>
      <c r="G1081" s="91">
        <f>IFERROR(__xludf.DUMMYFUNCTION("""COMPUTED_VALUE"""),44544.0)</f>
        <v>44544</v>
      </c>
      <c r="H1081" s="79">
        <f>IFERROR(__xludf.DUMMYFUNCTION("""COMPUTED_VALUE"""),44544.0)</f>
        <v>44544</v>
      </c>
      <c r="I1081" s="92">
        <f>IFERROR(__xludf.DUMMYFUNCTION("""COMPUTED_VALUE"""),90.0)</f>
        <v>90</v>
      </c>
      <c r="J1081" s="74" t="str">
        <f>IFERROR(__xludf.DUMMYFUNCTION("""COMPUTED_VALUE"""),"Dr. Ravi Gujjala")</f>
        <v>Dr. Ravi Gujjala</v>
      </c>
      <c r="K1081" s="80" t="str">
        <f>IFERROR(__xludf.DUMMYFUNCTION("""COMPUTED_VALUE"""),"https://drive.google.com/open?id=1bH8zQ5acU9nPJ-xJ2alrzoUH6ObSrYy8")</f>
        <v>https://drive.google.com/open?id=1bH8zQ5acU9nPJ-xJ2alrzoUH6ObSrYy8</v>
      </c>
      <c r="L1081" s="74" t="str">
        <f>IFERROR(__xludf.DUMMYFUNCTION("""COMPUTED_VALUE"""),"2019-2023")</f>
        <v>2019-2023</v>
      </c>
      <c r="M1081" s="74" t="str">
        <f>IFERROR(__xludf.DUMMYFUNCTION("""COMPUTED_VALUE"""),"S4: Student Certifications")</f>
        <v>S4: Student Certifications</v>
      </c>
      <c r="N1081" s="74" t="str">
        <f>IFERROR(__xludf.DUMMYFUNCTION("""COMPUTED_VALUE"""),"meghana.maddila02@gmail.com")</f>
        <v>meghana.maddila02@gmail.com</v>
      </c>
      <c r="O1081" s="74" t="str">
        <f>IFERROR(__xludf.DUMMYFUNCTION("""COMPUTED_VALUE"""),"SEM-6")</f>
        <v>SEM-6</v>
      </c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</row>
    <row r="1082" ht="26.25" customHeight="1">
      <c r="A1082" s="74" t="str">
        <f>IFERROR(__xludf.DUMMYFUNCTION("""COMPUTED_VALUE"""),"M.Tanusha")</f>
        <v>M.Tanusha</v>
      </c>
      <c r="B1082" s="74" t="str">
        <f>IFERROR(__xludf.DUMMYFUNCTION("""COMPUTED_VALUE"""),"19331A0595")</f>
        <v>19331A0595</v>
      </c>
      <c r="C1082" s="90" t="str">
        <f>IFERROR(__xludf.DUMMYFUNCTION("""COMPUTED_VALUE"""),"Cisco")</f>
        <v>Cisco</v>
      </c>
      <c r="D1082" s="74" t="str">
        <f>IFERROR(__xludf.DUMMYFUNCTION("""COMPUTED_VALUE"""),"Programming Essentials in C")</f>
        <v>Programming Essentials in C</v>
      </c>
      <c r="E1082" s="74" t="str">
        <f>IFERROR(__xludf.DUMMYFUNCTION("""COMPUTED_VALUE"""),"2 months")</f>
        <v>2 months</v>
      </c>
      <c r="F1082" s="91">
        <f>IFERROR(__xludf.DUMMYFUNCTION("""COMPUTED_VALUE"""),43961.0)</f>
        <v>43961</v>
      </c>
      <c r="G1082" s="91">
        <f>IFERROR(__xludf.DUMMYFUNCTION("""COMPUTED_VALUE"""),43987.0)</f>
        <v>43987</v>
      </c>
      <c r="H1082" s="79">
        <f>IFERROR(__xludf.DUMMYFUNCTION("""COMPUTED_VALUE"""),43987.0)</f>
        <v>43987</v>
      </c>
      <c r="I1082" s="92">
        <f>IFERROR(__xludf.DUMMYFUNCTION("""COMPUTED_VALUE"""),97.0)</f>
        <v>97</v>
      </c>
      <c r="J1082" s="74" t="str">
        <f>IFERROR(__xludf.DUMMYFUNCTION("""COMPUTED_VALUE"""),"DR. RAVI KIRAN VARMA PENMATSA")</f>
        <v>DR. RAVI KIRAN VARMA PENMATSA</v>
      </c>
      <c r="K1082" s="80" t="str">
        <f>IFERROR(__xludf.DUMMYFUNCTION("""COMPUTED_VALUE"""),"https://drive.google.com/open?id=1JAoDwmnzPFw-zU_fntozDvZkGLVIFGbj")</f>
        <v>https://drive.google.com/open?id=1JAoDwmnzPFw-zU_fntozDvZkGLVIFGbj</v>
      </c>
      <c r="L1082" s="74" t="str">
        <f>IFERROR(__xludf.DUMMYFUNCTION("""COMPUTED_VALUE"""),"2019-2023")</f>
        <v>2019-2023</v>
      </c>
      <c r="M1082" s="74" t="str">
        <f>IFERROR(__xludf.DUMMYFUNCTION("""COMPUTED_VALUE"""),"S4: Student Certifications")</f>
        <v>S4: Student Certifications</v>
      </c>
      <c r="N1082" s="74" t="str">
        <f>IFERROR(__xludf.DUMMYFUNCTION("""COMPUTED_VALUE"""),"bhavanimula07@gmail.com")</f>
        <v>bhavanimula07@gmail.com</v>
      </c>
      <c r="O1082" s="74" t="str">
        <f>IFERROR(__xludf.DUMMYFUNCTION("""COMPUTED_VALUE"""),"SEM-6")</f>
        <v>SEM-6</v>
      </c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</row>
    <row r="1083" ht="26.25" customHeight="1">
      <c r="A1083" s="74" t="str">
        <f>IFERROR(__xludf.DUMMYFUNCTION("""COMPUTED_VALUE"""),"KUNDRAPU DIVYA SATYA KUMARI ")</f>
        <v>KUNDRAPU DIVYA SATYA KUMARI </v>
      </c>
      <c r="B1083" s="74" t="str">
        <f>IFERROR(__xludf.DUMMYFUNCTION("""COMPUTED_VALUE"""),"19331A0592")</f>
        <v>19331A0592</v>
      </c>
      <c r="C1083" s="90" t="str">
        <f>IFERROR(__xludf.DUMMYFUNCTION("""COMPUTED_VALUE"""),"CCNAv7:Switching,Routing,and Wireless Essentials")</f>
        <v>CCNAv7:Switching,Routing,and Wireless Essentials</v>
      </c>
      <c r="D1083" s="74" t="str">
        <f>IFERROR(__xludf.DUMMYFUNCTION("""COMPUTED_VALUE"""),"Cisco Networking Academy ")</f>
        <v>Cisco Networking Academy </v>
      </c>
      <c r="E1083" s="74" t="str">
        <f>IFERROR(__xludf.DUMMYFUNCTION("""COMPUTED_VALUE"""),"5 months ")</f>
        <v>5 months </v>
      </c>
      <c r="F1083" s="91">
        <f>IFERROR(__xludf.DUMMYFUNCTION("""COMPUTED_VALUE"""),44452.0)</f>
        <v>44452</v>
      </c>
      <c r="G1083" s="91">
        <f>IFERROR(__xludf.DUMMYFUNCTION("""COMPUTED_VALUE"""),44605.0)</f>
        <v>44605</v>
      </c>
      <c r="H1083" s="79">
        <f>IFERROR(__xludf.DUMMYFUNCTION("""COMPUTED_VALUE"""),44603.0)</f>
        <v>44603</v>
      </c>
      <c r="I1083" s="92">
        <f>IFERROR(__xludf.DUMMYFUNCTION("""COMPUTED_VALUE"""),90.0)</f>
        <v>90</v>
      </c>
      <c r="J1083" s="74" t="str">
        <f>IFERROR(__xludf.DUMMYFUNCTION("""COMPUTED_VALUE"""),"DR.RAVI KIRAN VARMA PENMATSA ")</f>
        <v>DR.RAVI KIRAN VARMA PENMATSA </v>
      </c>
      <c r="K1083" s="80" t="str">
        <f>IFERROR(__xludf.DUMMYFUNCTION("""COMPUTED_VALUE"""),"https://drive.google.com/open?id=1Ny0VLYR0CDgn-uprceUHcUb_NGbosR2W")</f>
        <v>https://drive.google.com/open?id=1Ny0VLYR0CDgn-uprceUHcUb_NGbosR2W</v>
      </c>
      <c r="L1083" s="74" t="str">
        <f>IFERROR(__xludf.DUMMYFUNCTION("""COMPUTED_VALUE"""),"2019-2023")</f>
        <v>2019-2023</v>
      </c>
      <c r="M1083" s="74" t="str">
        <f>IFERROR(__xludf.DUMMYFUNCTION("""COMPUTED_VALUE"""),"S4: Student Certifications")</f>
        <v>S4: Student Certifications</v>
      </c>
      <c r="N1083" s="74" t="str">
        <f>IFERROR(__xludf.DUMMYFUNCTION("""COMPUTED_VALUE"""),"satyadivyaa0401@gmail.com")</f>
        <v>satyadivyaa0401@gmail.com</v>
      </c>
      <c r="O1083" s="74" t="str">
        <f>IFERROR(__xludf.DUMMYFUNCTION("""COMPUTED_VALUE"""),"SEM-6")</f>
        <v>SEM-6</v>
      </c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</row>
    <row r="1084" ht="26.25" customHeight="1">
      <c r="A1084" s="74" t="str">
        <f>IFERROR(__xludf.DUMMYFUNCTION("""COMPUTED_VALUE"""),"Maddu Bhavana")</f>
        <v>Maddu Bhavana</v>
      </c>
      <c r="B1084" s="74" t="str">
        <f>IFERROR(__xludf.DUMMYFUNCTION("""COMPUTED_VALUE"""),"19331A0599")</f>
        <v>19331A0599</v>
      </c>
      <c r="C1084" s="90" t="str">
        <f>IFERROR(__xludf.DUMMYFUNCTION("""COMPUTED_VALUE"""),"CODE RIDERS")</f>
        <v>CODE RIDERS</v>
      </c>
      <c r="D1084" s="74" t="str">
        <f>IFERROR(__xludf.DUMMYFUNCTION("""COMPUTED_VALUE"""),"CISCO Networking Academy")</f>
        <v>CISCO Networking Academy</v>
      </c>
      <c r="E1084" s="74" t="str">
        <f>IFERROR(__xludf.DUMMYFUNCTION("""COMPUTED_VALUE"""),"1 month")</f>
        <v>1 month</v>
      </c>
      <c r="F1084" s="91">
        <f>IFERROR(__xludf.DUMMYFUNCTION("""COMPUTED_VALUE"""),44358.0)</f>
        <v>44358</v>
      </c>
      <c r="G1084" s="91">
        <f>IFERROR(__xludf.DUMMYFUNCTION("""COMPUTED_VALUE"""),44392.0)</f>
        <v>44392</v>
      </c>
      <c r="H1084" s="79">
        <f>IFERROR(__xludf.DUMMYFUNCTION("""COMPUTED_VALUE"""),44392.0)</f>
        <v>44392</v>
      </c>
      <c r="I1084" s="92">
        <f>IFERROR(__xludf.DUMMYFUNCTION("""COMPUTED_VALUE"""),89.0)</f>
        <v>89</v>
      </c>
      <c r="J1084" s="74" t="str">
        <f>IFERROR(__xludf.DUMMYFUNCTION("""COMPUTED_VALUE"""),"Mr.Anurag Srivastava")</f>
        <v>Mr.Anurag Srivastava</v>
      </c>
      <c r="K1084" s="80" t="str">
        <f>IFERROR(__xludf.DUMMYFUNCTION("""COMPUTED_VALUE"""),"https://drive.google.com/open?id=1fM3UJLO-Og0hGe1NsXb_uPokRUcuXgCI")</f>
        <v>https://drive.google.com/open?id=1fM3UJLO-Og0hGe1NsXb_uPokRUcuXgCI</v>
      </c>
      <c r="L1084" s="74" t="str">
        <f>IFERROR(__xludf.DUMMYFUNCTION("""COMPUTED_VALUE"""),"2019-2023")</f>
        <v>2019-2023</v>
      </c>
      <c r="M1084" s="74" t="str">
        <f>IFERROR(__xludf.DUMMYFUNCTION("""COMPUTED_VALUE"""),"S4: Student Certifications")</f>
        <v>S4: Student Certifications</v>
      </c>
      <c r="N1084" s="74" t="str">
        <f>IFERROR(__xludf.DUMMYFUNCTION("""COMPUTED_VALUE"""),"bhavanamaddu2002@gmail.com")</f>
        <v>bhavanamaddu2002@gmail.com</v>
      </c>
      <c r="O1084" s="74" t="str">
        <f>IFERROR(__xludf.DUMMYFUNCTION("""COMPUTED_VALUE"""),"SEM-6")</f>
        <v>SEM-6</v>
      </c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</row>
    <row r="1085" ht="26.25" customHeight="1">
      <c r="A1085" s="74" t="str">
        <f>IFERROR(__xludf.DUMMYFUNCTION("""COMPUTED_VALUE"""),"Maddila Meghana")</f>
        <v>Maddila Meghana</v>
      </c>
      <c r="B1085" s="74" t="str">
        <f>IFERROR(__xludf.DUMMYFUNCTION("""COMPUTED_VALUE"""),"19331A0598")</f>
        <v>19331A0598</v>
      </c>
      <c r="C1085" s="90" t="str">
        <f>IFERROR(__xludf.DUMMYFUNCTION("""COMPUTED_VALUE"""),"Technical Support Fundamentals(Google)")</f>
        <v>Technical Support Fundamentals(Google)</v>
      </c>
      <c r="D1085" s="74" t="str">
        <f>IFERROR(__xludf.DUMMYFUNCTION("""COMPUTED_VALUE"""),"Courera")</f>
        <v>Courera</v>
      </c>
      <c r="E1085" s="74" t="str">
        <f>IFERROR(__xludf.DUMMYFUNCTION("""COMPUTED_VALUE"""),"2months")</f>
        <v>2months</v>
      </c>
      <c r="F1085" s="91">
        <f>IFERROR(__xludf.DUMMYFUNCTION("""COMPUTED_VALUE"""),44285.0)</f>
        <v>44285</v>
      </c>
      <c r="G1085" s="91">
        <f>IFERROR(__xludf.DUMMYFUNCTION("""COMPUTED_VALUE"""),44359.0)</f>
        <v>44359</v>
      </c>
      <c r="H1085" s="79">
        <f>IFERROR(__xludf.DUMMYFUNCTION("""COMPUTED_VALUE"""),44359.0)</f>
        <v>44359</v>
      </c>
      <c r="I1085" s="92">
        <f>IFERROR(__xludf.DUMMYFUNCTION("""COMPUTED_VALUE"""),93.0)</f>
        <v>93</v>
      </c>
      <c r="J1085" s="74" t="str">
        <f>IFERROR(__xludf.DUMMYFUNCTION("""COMPUTED_VALUE"""),"Google")</f>
        <v>Google</v>
      </c>
      <c r="K1085" s="80" t="str">
        <f>IFERROR(__xludf.DUMMYFUNCTION("""COMPUTED_VALUE"""),"https://drive.google.com/open?id=1TyJALClqN86-lP8GcVt0-knYi0_Tbfkv")</f>
        <v>https://drive.google.com/open?id=1TyJALClqN86-lP8GcVt0-knYi0_Tbfkv</v>
      </c>
      <c r="L1085" s="74" t="str">
        <f>IFERROR(__xludf.DUMMYFUNCTION("""COMPUTED_VALUE"""),"2019-2023")</f>
        <v>2019-2023</v>
      </c>
      <c r="M1085" s="74" t="str">
        <f>IFERROR(__xludf.DUMMYFUNCTION("""COMPUTED_VALUE"""),"S4: Student Certifications")</f>
        <v>S4: Student Certifications</v>
      </c>
      <c r="N1085" s="74" t="str">
        <f>IFERROR(__xludf.DUMMYFUNCTION("""COMPUTED_VALUE"""),"meghana.maddila02@gmail.com")</f>
        <v>meghana.maddila02@gmail.com</v>
      </c>
      <c r="O1085" s="74" t="str">
        <f>IFERROR(__xludf.DUMMYFUNCTION("""COMPUTED_VALUE"""),"SEM-6")</f>
        <v>SEM-6</v>
      </c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</row>
    <row r="1086" ht="26.25" customHeight="1">
      <c r="A1086" s="74" t="str">
        <f>IFERROR(__xludf.DUMMYFUNCTION("""COMPUTED_VALUE"""),"KALLA BHAGYA SRI")</f>
        <v>KALLA BHAGYA SRI</v>
      </c>
      <c r="B1086" s="74" t="str">
        <f>IFERROR(__xludf.DUMMYFUNCTION("""COMPUTED_VALUE"""),"19331A0570")</f>
        <v>19331A0570</v>
      </c>
      <c r="C1086" s="90" t="str">
        <f>IFERROR(__xludf.DUMMYFUNCTION("""COMPUTED_VALUE"""),"Technical Support Fundamentals")</f>
        <v>Technical Support Fundamentals</v>
      </c>
      <c r="D1086" s="74" t="str">
        <f>IFERROR(__xludf.DUMMYFUNCTION("""COMPUTED_VALUE"""),"GOOGLE")</f>
        <v>GOOGLE</v>
      </c>
      <c r="E1086" s="74" t="str">
        <f>IFERROR(__xludf.DUMMYFUNCTION("""COMPUTED_VALUE"""),"3")</f>
        <v>3</v>
      </c>
      <c r="F1086" s="91">
        <f>IFERROR(__xludf.DUMMYFUNCTION("""COMPUTED_VALUE"""),44267.0)</f>
        <v>44267</v>
      </c>
      <c r="G1086" s="91">
        <f>IFERROR(__xludf.DUMMYFUNCTION("""COMPUTED_VALUE"""),44359.0)</f>
        <v>44359</v>
      </c>
      <c r="H1086" s="79">
        <f>IFERROR(__xludf.DUMMYFUNCTION("""COMPUTED_VALUE"""),44359.0)</f>
        <v>44359</v>
      </c>
      <c r="I1086" s="92">
        <f>IFERROR(__xludf.DUMMYFUNCTION("""COMPUTED_VALUE"""),70.0)</f>
        <v>70</v>
      </c>
      <c r="J1086" s="74" t="str">
        <f>IFERROR(__xludf.DUMMYFUNCTION("""COMPUTED_VALUE"""),"COURSERA")</f>
        <v>COURSERA</v>
      </c>
      <c r="K1086" s="80" t="str">
        <f>IFERROR(__xludf.DUMMYFUNCTION("""COMPUTED_VALUE"""),"https://drive.google.com/open?id=1lCm7CZHtE_GSuowVbv7eXyGJSIyVriPs")</f>
        <v>https://drive.google.com/open?id=1lCm7CZHtE_GSuowVbv7eXyGJSIyVriPs</v>
      </c>
      <c r="L1086" s="74" t="str">
        <f>IFERROR(__xludf.DUMMYFUNCTION("""COMPUTED_VALUE"""),"2019-2023")</f>
        <v>2019-2023</v>
      </c>
      <c r="M1086" s="74" t="str">
        <f>IFERROR(__xludf.DUMMYFUNCTION("""COMPUTED_VALUE"""),"S4: Student Certifications")</f>
        <v>S4: Student Certifications</v>
      </c>
      <c r="N1086" s="74" t="str">
        <f>IFERROR(__xludf.DUMMYFUNCTION("""COMPUTED_VALUE"""),"bhagyasrikalla1234@gmail.com")</f>
        <v>bhagyasrikalla1234@gmail.com</v>
      </c>
      <c r="O1086" s="74" t="str">
        <f>IFERROR(__xludf.DUMMYFUNCTION("""COMPUTED_VALUE"""),"SEM-6")</f>
        <v>SEM-6</v>
      </c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</row>
    <row r="1087" ht="26.25" customHeight="1">
      <c r="A1087" s="74" t="str">
        <f>IFERROR(__xludf.DUMMYFUNCTION("""COMPUTED_VALUE"""),"M.Tanusha")</f>
        <v>M.Tanusha</v>
      </c>
      <c r="B1087" s="74" t="str">
        <f>IFERROR(__xludf.DUMMYFUNCTION("""COMPUTED_VALUE"""),"19331A0595")</f>
        <v>19331A0595</v>
      </c>
      <c r="C1087" s="90" t="str">
        <f>IFERROR(__xludf.DUMMYFUNCTION("""COMPUTED_VALUE"""),"Technical Support Fundamentals")</f>
        <v>Technical Support Fundamentals</v>
      </c>
      <c r="D1087" s="74" t="str">
        <f>IFERROR(__xludf.DUMMYFUNCTION("""COMPUTED_VALUE"""),"Coursera")</f>
        <v>Coursera</v>
      </c>
      <c r="E1087" s="74" t="str">
        <f>IFERROR(__xludf.DUMMYFUNCTION("""COMPUTED_VALUE"""),"3 months")</f>
        <v>3 months</v>
      </c>
      <c r="F1087" s="91">
        <f>IFERROR(__xludf.DUMMYFUNCTION("""COMPUTED_VALUE"""),44267.0)</f>
        <v>44267</v>
      </c>
      <c r="G1087" s="91">
        <f>IFERROR(__xludf.DUMMYFUNCTION("""COMPUTED_VALUE"""),44359.0)</f>
        <v>44359</v>
      </c>
      <c r="H1087" s="79">
        <f>IFERROR(__xludf.DUMMYFUNCTION("""COMPUTED_VALUE"""),44359.0)</f>
        <v>44359</v>
      </c>
      <c r="I1087" s="92">
        <f>IFERROR(__xludf.DUMMYFUNCTION("""COMPUTED_VALUE"""),90.0)</f>
        <v>90</v>
      </c>
      <c r="J1087" s="74" t="str">
        <f>IFERROR(__xludf.DUMMYFUNCTION("""COMPUTED_VALUE"""),"Coursera")</f>
        <v>Coursera</v>
      </c>
      <c r="K1087" s="80" t="str">
        <f>IFERROR(__xludf.DUMMYFUNCTION("""COMPUTED_VALUE"""),"https://drive.google.com/open?id=1wKCK4qjKLyZTeKrZXufV9masu1mLG9CO")</f>
        <v>https://drive.google.com/open?id=1wKCK4qjKLyZTeKrZXufV9masu1mLG9CO</v>
      </c>
      <c r="L1087" s="74" t="str">
        <f>IFERROR(__xludf.DUMMYFUNCTION("""COMPUTED_VALUE"""),"2019-2023")</f>
        <v>2019-2023</v>
      </c>
      <c r="M1087" s="74" t="str">
        <f>IFERROR(__xludf.DUMMYFUNCTION("""COMPUTED_VALUE"""),"S4: Student Certifications")</f>
        <v>S4: Student Certifications</v>
      </c>
      <c r="N1087" s="74" t="str">
        <f>IFERROR(__xludf.DUMMYFUNCTION("""COMPUTED_VALUE"""),"bhavanimula07@gmail.com")</f>
        <v>bhavanimula07@gmail.com</v>
      </c>
      <c r="O1087" s="74" t="str">
        <f>IFERROR(__xludf.DUMMYFUNCTION("""COMPUTED_VALUE"""),"SEM-6")</f>
        <v>SEM-6</v>
      </c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</row>
    <row r="1088" ht="26.25" customHeight="1">
      <c r="A1088" s="74" t="str">
        <f>IFERROR(__xludf.DUMMYFUNCTION("""COMPUTED_VALUE"""),"Maddu Bhavana")</f>
        <v>Maddu Bhavana</v>
      </c>
      <c r="B1088" s="74" t="str">
        <f>IFERROR(__xludf.DUMMYFUNCTION("""COMPUTED_VALUE"""),"19331A0599")</f>
        <v>19331A0599</v>
      </c>
      <c r="C1088" s="90" t="str">
        <f>IFERROR(__xludf.DUMMYFUNCTION("""COMPUTED_VALUE"""),"Machine Learning Master Class")</f>
        <v>Machine Learning Master Class</v>
      </c>
      <c r="D1088" s="74" t="str">
        <f>IFERROR(__xludf.DUMMYFUNCTION("""COMPUTED_VALUE"""),"Skill AP(APSSDC)")</f>
        <v>Skill AP(APSSDC)</v>
      </c>
      <c r="E1088" s="74" t="str">
        <f>IFERROR(__xludf.DUMMYFUNCTION("""COMPUTED_VALUE"""),"1 MONTH")</f>
        <v>1 MONTH</v>
      </c>
      <c r="F1088" s="91">
        <f>IFERROR(__xludf.DUMMYFUNCTION("""COMPUTED_VALUE"""),44515.0)</f>
        <v>44515</v>
      </c>
      <c r="G1088" s="91">
        <f>IFERROR(__xludf.DUMMYFUNCTION("""COMPUTED_VALUE"""),44544.0)</f>
        <v>44544</v>
      </c>
      <c r="H1088" s="79">
        <f>IFERROR(__xludf.DUMMYFUNCTION("""COMPUTED_VALUE"""),44544.0)</f>
        <v>44544</v>
      </c>
      <c r="I1088" s="92">
        <f>IFERROR(__xludf.DUMMYFUNCTION("""COMPUTED_VALUE"""),90.0)</f>
        <v>90</v>
      </c>
      <c r="J1088" s="74" t="str">
        <f>IFERROR(__xludf.DUMMYFUNCTION("""COMPUTED_VALUE"""),"Dr. Ravi Gujjala")</f>
        <v>Dr. Ravi Gujjala</v>
      </c>
      <c r="K1088" s="80" t="str">
        <f>IFERROR(__xludf.DUMMYFUNCTION("""COMPUTED_VALUE"""),"https://drive.google.com/open?id=1Ljl4EzP8kATL4nyAcyfLqMiNuV0bfiK2")</f>
        <v>https://drive.google.com/open?id=1Ljl4EzP8kATL4nyAcyfLqMiNuV0bfiK2</v>
      </c>
      <c r="L1088" s="74" t="str">
        <f>IFERROR(__xludf.DUMMYFUNCTION("""COMPUTED_VALUE"""),"2019-2023")</f>
        <v>2019-2023</v>
      </c>
      <c r="M1088" s="74" t="str">
        <f>IFERROR(__xludf.DUMMYFUNCTION("""COMPUTED_VALUE"""),"S4: Student Certifications")</f>
        <v>S4: Student Certifications</v>
      </c>
      <c r="N1088" s="74" t="str">
        <f>IFERROR(__xludf.DUMMYFUNCTION("""COMPUTED_VALUE"""),"bhavanamaddu2002@gmail.com")</f>
        <v>bhavanamaddu2002@gmail.com</v>
      </c>
      <c r="O1088" s="74" t="str">
        <f>IFERROR(__xludf.DUMMYFUNCTION("""COMPUTED_VALUE"""),"SEM-6")</f>
        <v>SEM-6</v>
      </c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</row>
    <row r="1089" ht="26.25" customHeight="1">
      <c r="A1089" s="74" t="str">
        <f>IFERROR(__xludf.DUMMYFUNCTION("""COMPUTED_VALUE"""),"Maddu Bhavana")</f>
        <v>Maddu Bhavana</v>
      </c>
      <c r="B1089" s="74" t="str">
        <f>IFERROR(__xludf.DUMMYFUNCTION("""COMPUTED_VALUE"""),"19331A0599")</f>
        <v>19331A0599</v>
      </c>
      <c r="C1089" s="90" t="str">
        <f>IFERROR(__xludf.DUMMYFUNCTION("""COMPUTED_VALUE"""),"Technical Support Fundamentals(Google)")</f>
        <v>Technical Support Fundamentals(Google)</v>
      </c>
      <c r="D1089" s="74" t="str">
        <f>IFERROR(__xludf.DUMMYFUNCTION("""COMPUTED_VALUE"""),"Coursera")</f>
        <v>Coursera</v>
      </c>
      <c r="E1089" s="74" t="str">
        <f>IFERROR(__xludf.DUMMYFUNCTION("""COMPUTED_VALUE"""),"2 months")</f>
        <v>2 months</v>
      </c>
      <c r="F1089" s="91">
        <f>IFERROR(__xludf.DUMMYFUNCTION("""COMPUTED_VALUE"""),44313.0)</f>
        <v>44313</v>
      </c>
      <c r="G1089" s="91">
        <f>IFERROR(__xludf.DUMMYFUNCTION("""COMPUTED_VALUE"""),44359.0)</f>
        <v>44359</v>
      </c>
      <c r="H1089" s="79">
        <f>IFERROR(__xludf.DUMMYFUNCTION("""COMPUTED_VALUE"""),44359.0)</f>
        <v>44359</v>
      </c>
      <c r="I1089" s="92">
        <f>IFERROR(__xludf.DUMMYFUNCTION("""COMPUTED_VALUE"""),93.0)</f>
        <v>93</v>
      </c>
      <c r="J1089" s="74" t="str">
        <f>IFERROR(__xludf.DUMMYFUNCTION("""COMPUTED_VALUE"""),"Google")</f>
        <v>Google</v>
      </c>
      <c r="K1089" s="80" t="str">
        <f>IFERROR(__xludf.DUMMYFUNCTION("""COMPUTED_VALUE"""),"https://drive.google.com/open?id=1hCCbdWdlcKryjSK9qLBBBHoZ0CbCcD91")</f>
        <v>https://drive.google.com/open?id=1hCCbdWdlcKryjSK9qLBBBHoZ0CbCcD91</v>
      </c>
      <c r="L1089" s="74" t="str">
        <f>IFERROR(__xludf.DUMMYFUNCTION("""COMPUTED_VALUE"""),"2019-2023")</f>
        <v>2019-2023</v>
      </c>
      <c r="M1089" s="74" t="str">
        <f>IFERROR(__xludf.DUMMYFUNCTION("""COMPUTED_VALUE"""),"S4: Student Certifications")</f>
        <v>S4: Student Certifications</v>
      </c>
      <c r="N1089" s="74" t="str">
        <f>IFERROR(__xludf.DUMMYFUNCTION("""COMPUTED_VALUE"""),"bhavanamaddu2002@gmail.com")</f>
        <v>bhavanamaddu2002@gmail.com</v>
      </c>
      <c r="O1089" s="74" t="str">
        <f>IFERROR(__xludf.DUMMYFUNCTION("""COMPUTED_VALUE"""),"SEM-6")</f>
        <v>SEM-6</v>
      </c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</row>
    <row r="1090" ht="26.25" customHeight="1">
      <c r="A1090" s="74" t="str">
        <f>IFERROR(__xludf.DUMMYFUNCTION("""COMPUTED_VALUE"""),"Maddu Bhavana")</f>
        <v>Maddu Bhavana</v>
      </c>
      <c r="B1090" s="74" t="str">
        <f>IFERROR(__xludf.DUMMYFUNCTION("""COMPUTED_VALUE"""),"19331A0599")</f>
        <v>19331A0599</v>
      </c>
      <c r="C1090" s="90" t="str">
        <f>IFERROR(__xludf.DUMMYFUNCTION("""COMPUTED_VALUE"""),"Programming for Everybody")</f>
        <v>Programming for Everybody</v>
      </c>
      <c r="D1090" s="74" t="str">
        <f>IFERROR(__xludf.DUMMYFUNCTION("""COMPUTED_VALUE"""),"Coursera")</f>
        <v>Coursera</v>
      </c>
      <c r="E1090" s="74" t="str">
        <f>IFERROR(__xludf.DUMMYFUNCTION("""COMPUTED_VALUE"""),"3 months")</f>
        <v>3 months</v>
      </c>
      <c r="F1090" s="91">
        <f>IFERROR(__xludf.DUMMYFUNCTION("""COMPUTED_VALUE"""),43947.0)</f>
        <v>43947</v>
      </c>
      <c r="G1090" s="91">
        <f>IFERROR(__xludf.DUMMYFUNCTION("""COMPUTED_VALUE"""),44034.0)</f>
        <v>44034</v>
      </c>
      <c r="H1090" s="79">
        <f>IFERROR(__xludf.DUMMYFUNCTION("""COMPUTED_VALUE"""),44034.0)</f>
        <v>44034</v>
      </c>
      <c r="I1090" s="92">
        <f>IFERROR(__xludf.DUMMYFUNCTION("""COMPUTED_VALUE"""),90.0)</f>
        <v>90</v>
      </c>
      <c r="J1090" s="74" t="str">
        <f>IFERROR(__xludf.DUMMYFUNCTION("""COMPUTED_VALUE"""),"University of Michigan")</f>
        <v>University of Michigan</v>
      </c>
      <c r="K1090" s="80" t="str">
        <f>IFERROR(__xludf.DUMMYFUNCTION("""COMPUTED_VALUE"""),"https://drive.google.com/open?id=1RNkL3EHH1olGDHDSMzWHJ98YiSC3NmOr")</f>
        <v>https://drive.google.com/open?id=1RNkL3EHH1olGDHDSMzWHJ98YiSC3NmOr</v>
      </c>
      <c r="L1090" s="74" t="str">
        <f>IFERROR(__xludf.DUMMYFUNCTION("""COMPUTED_VALUE"""),"2019-2023")</f>
        <v>2019-2023</v>
      </c>
      <c r="M1090" s="74" t="str">
        <f>IFERROR(__xludf.DUMMYFUNCTION("""COMPUTED_VALUE"""),"S4: Student Certifications")</f>
        <v>S4: Student Certifications</v>
      </c>
      <c r="N1090" s="74" t="str">
        <f>IFERROR(__xludf.DUMMYFUNCTION("""COMPUTED_VALUE"""),"bhavanamaddu2002@gmail.com")</f>
        <v>bhavanamaddu2002@gmail.com</v>
      </c>
      <c r="O1090" s="74" t="str">
        <f>IFERROR(__xludf.DUMMYFUNCTION("""COMPUTED_VALUE"""),"SEM-6")</f>
        <v>SEM-6</v>
      </c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</row>
    <row r="1091" ht="26.25" customHeight="1">
      <c r="A1091" s="74" t="str">
        <f>IFERROR(__xludf.DUMMYFUNCTION("""COMPUTED_VALUE"""),"M.Tanusha")</f>
        <v>M.Tanusha</v>
      </c>
      <c r="B1091" s="74" t="str">
        <f>IFERROR(__xludf.DUMMYFUNCTION("""COMPUTED_VALUE"""),"19331A0595")</f>
        <v>19331A0595</v>
      </c>
      <c r="C1091" s="90" t="str">
        <f>IFERROR(__xludf.DUMMYFUNCTION("""COMPUTED_VALUE"""),"Python")</f>
        <v>Python</v>
      </c>
      <c r="D1091" s="74" t="str">
        <f>IFERROR(__xludf.DUMMYFUNCTION("""COMPUTED_VALUE"""),"Coursera")</f>
        <v>Coursera</v>
      </c>
      <c r="E1091" s="74" t="str">
        <f>IFERROR(__xludf.DUMMYFUNCTION("""COMPUTED_VALUE"""),"3 months")</f>
        <v>3 months</v>
      </c>
      <c r="F1091" s="91">
        <f>IFERROR(__xludf.DUMMYFUNCTION("""COMPUTED_VALUE"""),43913.0)</f>
        <v>43913</v>
      </c>
      <c r="G1091" s="91">
        <f>IFERROR(__xludf.DUMMYFUNCTION("""COMPUTED_VALUE"""),44035.0)</f>
        <v>44035</v>
      </c>
      <c r="H1091" s="79">
        <f>IFERROR(__xludf.DUMMYFUNCTION("""COMPUTED_VALUE"""),44035.0)</f>
        <v>44035</v>
      </c>
      <c r="I1091" s="92">
        <f>IFERROR(__xludf.DUMMYFUNCTION("""COMPUTED_VALUE"""),90.0)</f>
        <v>90</v>
      </c>
      <c r="J1091" s="74" t="str">
        <f>IFERROR(__xludf.DUMMYFUNCTION("""COMPUTED_VALUE"""),"Charles Severance")</f>
        <v>Charles Severance</v>
      </c>
      <c r="K1091" s="80" t="str">
        <f>IFERROR(__xludf.DUMMYFUNCTION("""COMPUTED_VALUE"""),"https://drive.google.com/open?id=1ce8ftXd0CIeUmNVge1Mroy9vLrlajjFT")</f>
        <v>https://drive.google.com/open?id=1ce8ftXd0CIeUmNVge1Mroy9vLrlajjFT</v>
      </c>
      <c r="L1091" s="74" t="str">
        <f>IFERROR(__xludf.DUMMYFUNCTION("""COMPUTED_VALUE"""),"2019-2023")</f>
        <v>2019-2023</v>
      </c>
      <c r="M1091" s="74" t="str">
        <f>IFERROR(__xludf.DUMMYFUNCTION("""COMPUTED_VALUE"""),"S4: Student Certifications")</f>
        <v>S4: Student Certifications</v>
      </c>
      <c r="N1091" s="74" t="str">
        <f>IFERROR(__xludf.DUMMYFUNCTION("""COMPUTED_VALUE"""),"bhavanimula07@gmail.com")</f>
        <v>bhavanimula07@gmail.com</v>
      </c>
      <c r="O1091" s="74" t="str">
        <f>IFERROR(__xludf.DUMMYFUNCTION("""COMPUTED_VALUE"""),"SEM-6")</f>
        <v>SEM-6</v>
      </c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</row>
    <row r="1092" ht="26.25" customHeight="1">
      <c r="A1092" s="74" t="str">
        <f>IFERROR(__xludf.DUMMYFUNCTION("""COMPUTED_VALUE"""),"Maddu Bhavana")</f>
        <v>Maddu Bhavana</v>
      </c>
      <c r="B1092" s="74" t="str">
        <f>IFERROR(__xludf.DUMMYFUNCTION("""COMPUTED_VALUE"""),"19331A0599")</f>
        <v>19331A0599</v>
      </c>
      <c r="C1092" s="90" t="str">
        <f>IFERROR(__xludf.DUMMYFUNCTION("""COMPUTED_VALUE"""),"The Fundamentals of Digital Marketing")</f>
        <v>The Fundamentals of Digital Marketing</v>
      </c>
      <c r="D1092" s="74" t="str">
        <f>IFERROR(__xludf.DUMMYFUNCTION("""COMPUTED_VALUE"""),"Google")</f>
        <v>Google</v>
      </c>
      <c r="E1092" s="74" t="str">
        <f>IFERROR(__xludf.DUMMYFUNCTION("""COMPUTED_VALUE"""),"2 months")</f>
        <v>2 months</v>
      </c>
      <c r="F1092" s="91">
        <f>IFERROR(__xludf.DUMMYFUNCTION("""COMPUTED_VALUE"""),44308.0)</f>
        <v>44308</v>
      </c>
      <c r="G1092" s="91">
        <f>IFERROR(__xludf.DUMMYFUNCTION("""COMPUTED_VALUE"""),44034.0)</f>
        <v>44034</v>
      </c>
      <c r="H1092" s="79">
        <f>IFERROR(__xludf.DUMMYFUNCTION("""COMPUTED_VALUE"""),44034.0)</f>
        <v>44034</v>
      </c>
      <c r="I1092" s="92">
        <f>IFERROR(__xludf.DUMMYFUNCTION("""COMPUTED_VALUE"""),90.0)</f>
        <v>90</v>
      </c>
      <c r="J1092" s="74" t="str">
        <f>IFERROR(__xludf.DUMMYFUNCTION("""COMPUTED_VALUE"""),"google EMEA")</f>
        <v>google EMEA</v>
      </c>
      <c r="K1092" s="80" t="str">
        <f>IFERROR(__xludf.DUMMYFUNCTION("""COMPUTED_VALUE"""),"https://drive.google.com/open?id=1rj9xn63HkRq-BJgzZgHhSE1ABsZUoHeM")</f>
        <v>https://drive.google.com/open?id=1rj9xn63HkRq-BJgzZgHhSE1ABsZUoHeM</v>
      </c>
      <c r="L1092" s="74" t="str">
        <f>IFERROR(__xludf.DUMMYFUNCTION("""COMPUTED_VALUE"""),"2019-2023")</f>
        <v>2019-2023</v>
      </c>
      <c r="M1092" s="74" t="str">
        <f>IFERROR(__xludf.DUMMYFUNCTION("""COMPUTED_VALUE"""),"S4: Student Certifications")</f>
        <v>S4: Student Certifications</v>
      </c>
      <c r="N1092" s="74" t="str">
        <f>IFERROR(__xludf.DUMMYFUNCTION("""COMPUTED_VALUE"""),"bhavanamaddu2002@gmail.com")</f>
        <v>bhavanamaddu2002@gmail.com</v>
      </c>
      <c r="O1092" s="74" t="str">
        <f>IFERROR(__xludf.DUMMYFUNCTION("""COMPUTED_VALUE"""),"SEM-6")</f>
        <v>SEM-6</v>
      </c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</row>
    <row r="1093" ht="26.25" customHeight="1">
      <c r="A1093" s="74" t="str">
        <f>IFERROR(__xludf.DUMMYFUNCTION("""COMPUTED_VALUE"""),"Nalli Anusha")</f>
        <v>Nalli Anusha</v>
      </c>
      <c r="B1093" s="74" t="str">
        <f>IFERROR(__xludf.DUMMYFUNCTION("""COMPUTED_VALUE"""),"18331A05A7")</f>
        <v>18331A05A7</v>
      </c>
      <c r="C1093" s="90" t="str">
        <f>IFERROR(__xludf.DUMMYFUNCTION("""COMPUTED_VALUE"""),"Python For Everybody(Specialization)")</f>
        <v>Python For Everybody(Specialization)</v>
      </c>
      <c r="D1093" s="74" t="str">
        <f>IFERROR(__xludf.DUMMYFUNCTION("""COMPUTED_VALUE"""),"University of Michigan(By Coursera)")</f>
        <v>University of Michigan(By Coursera)</v>
      </c>
      <c r="E1093" s="74" t="str">
        <f>IFERROR(__xludf.DUMMYFUNCTION("""COMPUTED_VALUE"""),"6 weeks")</f>
        <v>6 weeks</v>
      </c>
      <c r="F1093" s="91">
        <f>IFERROR(__xludf.DUMMYFUNCTION("""COMPUTED_VALUE"""),43940.0)</f>
        <v>43940</v>
      </c>
      <c r="G1093" s="91">
        <f>IFERROR(__xludf.DUMMYFUNCTION("""COMPUTED_VALUE"""),43990.0)</f>
        <v>43990</v>
      </c>
      <c r="H1093" s="79"/>
      <c r="I1093" s="92">
        <f>IFERROR(__xludf.DUMMYFUNCTION("""COMPUTED_VALUE"""),93.264)</f>
        <v>93.264</v>
      </c>
      <c r="J1093" s="74"/>
      <c r="K1093" s="80" t="str">
        <f>IFERROR(__xludf.DUMMYFUNCTION("""COMPUTED_VALUE"""),"https://drive.google.com/open?id=1TIC7rZHNZU6MD-QHqtoh3i_iyqz9Hx28")</f>
        <v>https://drive.google.com/open?id=1TIC7rZHNZU6MD-QHqtoh3i_iyqz9Hx28</v>
      </c>
      <c r="L1093" s="74"/>
      <c r="M1093" s="74" t="str">
        <f>IFERROR(__xludf.DUMMYFUNCTION("""COMPUTED_VALUE"""),"S4: Student Certifications")</f>
        <v>S4: Student Certifications</v>
      </c>
      <c r="N1093" s="74" t="str">
        <f>IFERROR(__xludf.DUMMYFUNCTION("""COMPUTED_VALUE"""),"18331a05a7@mvgrce.edu.in")</f>
        <v>18331a05a7@mvgrce.edu.in</v>
      </c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</row>
    <row r="1094" ht="26.25" customHeight="1">
      <c r="A1094" s="74" t="str">
        <f>IFERROR(__xludf.DUMMYFUNCTION("""COMPUTED_VALUE"""),"Jayanth Naidu Kundrapu")</f>
        <v>Jayanth Naidu Kundrapu</v>
      </c>
      <c r="B1094" s="74" t="str">
        <f>IFERROR(__xludf.DUMMYFUNCTION("""COMPUTED_VALUE"""),"18331A0582")</f>
        <v>18331A0582</v>
      </c>
      <c r="C1094" s="90" t="str">
        <f>IFERROR(__xludf.DUMMYFUNCTION("""COMPUTED_VALUE"""),"Google IT Automation with Python Specialization")</f>
        <v>Google IT Automation with Python Specialization</v>
      </c>
      <c r="D1094" s="74" t="str">
        <f>IFERROR(__xludf.DUMMYFUNCTION("""COMPUTED_VALUE"""),"Coursera")</f>
        <v>Coursera</v>
      </c>
      <c r="E1094" s="74" t="str">
        <f>IFERROR(__xludf.DUMMYFUNCTION("""COMPUTED_VALUE"""),"29 Weeks")</f>
        <v>29 Weeks</v>
      </c>
      <c r="F1094" s="91">
        <f>IFERROR(__xludf.DUMMYFUNCTION("""COMPUTED_VALUE"""),43971.0)</f>
        <v>43971</v>
      </c>
      <c r="G1094" s="91">
        <f>IFERROR(__xludf.DUMMYFUNCTION("""COMPUTED_VALUE"""),44102.0)</f>
        <v>44102</v>
      </c>
      <c r="H1094" s="79"/>
      <c r="I1094" s="92">
        <f>IFERROR(__xludf.DUMMYFUNCTION("""COMPUTED_VALUE"""),100.0)</f>
        <v>100</v>
      </c>
      <c r="J1094" s="74"/>
      <c r="K1094" s="80" t="str">
        <f>IFERROR(__xludf.DUMMYFUNCTION("""COMPUTED_VALUE"""),"https://drive.google.com/open?id=1-LFn7PcmXIQWpMV6LbdeEcsANKveXTo9")</f>
        <v>https://drive.google.com/open?id=1-LFn7PcmXIQWpMV6LbdeEcsANKveXTo9</v>
      </c>
      <c r="L1094" s="74"/>
      <c r="M1094" s="74" t="str">
        <f>IFERROR(__xludf.DUMMYFUNCTION("""COMPUTED_VALUE"""),"S4: Student Certifications")</f>
        <v>S4: Student Certifications</v>
      </c>
      <c r="N1094" s="74" t="str">
        <f>IFERROR(__xludf.DUMMYFUNCTION("""COMPUTED_VALUE"""),"jayanth.kundrapu013@gmail.com")</f>
        <v>jayanth.kundrapu013@gmail.com</v>
      </c>
      <c r="O1094" s="74" t="str">
        <f>IFERROR(__xludf.DUMMYFUNCTION("""COMPUTED_VALUE"""),"SEM-8")</f>
        <v>SEM-8</v>
      </c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</row>
    <row r="1095" ht="26.25" customHeight="1">
      <c r="A1095" s="74" t="str">
        <f>IFERROR(__xludf.DUMMYFUNCTION("""COMPUTED_VALUE"""),"Lalita Manoj Kumar Banisetty")</f>
        <v>Lalita Manoj Kumar Banisetty</v>
      </c>
      <c r="B1095" s="74" t="str">
        <f>IFERROR(__xludf.DUMMYFUNCTION("""COMPUTED_VALUE"""),"18331A0586")</f>
        <v>18331A0586</v>
      </c>
      <c r="C1095" s="90" t="str">
        <f>IFERROR(__xludf.DUMMYFUNCTION("""COMPUTED_VALUE"""),"IBM AI Engineering")</f>
        <v>IBM AI Engineering</v>
      </c>
      <c r="D1095" s="74" t="str">
        <f>IFERROR(__xludf.DUMMYFUNCTION("""COMPUTED_VALUE"""),"Coursera")</f>
        <v>Coursera</v>
      </c>
      <c r="E1095" s="74" t="str">
        <f>IFERROR(__xludf.DUMMYFUNCTION("""COMPUTED_VALUE"""),"1 month")</f>
        <v>1 month</v>
      </c>
      <c r="F1095" s="91">
        <f>IFERROR(__xludf.DUMMYFUNCTION("""COMPUTED_VALUE"""),43953.0)</f>
        <v>43953</v>
      </c>
      <c r="G1095" s="91">
        <f>IFERROR(__xludf.DUMMYFUNCTION("""COMPUTED_VALUE"""),43984.0)</f>
        <v>43984</v>
      </c>
      <c r="H1095" s="79"/>
      <c r="I1095" s="92">
        <f>IFERROR(__xludf.DUMMYFUNCTION("""COMPUTED_VALUE"""),100.0)</f>
        <v>100</v>
      </c>
      <c r="J1095" s="74"/>
      <c r="K1095" s="80" t="str">
        <f>IFERROR(__xludf.DUMMYFUNCTION("""COMPUTED_VALUE"""),"https://drive.google.com/open?id=16awzWsVSW6x-uXQz_gNSXT0pJp1ebLvo")</f>
        <v>https://drive.google.com/open?id=16awzWsVSW6x-uXQz_gNSXT0pJp1ebLvo</v>
      </c>
      <c r="L1095" s="74"/>
      <c r="M1095" s="74" t="str">
        <f>IFERROR(__xludf.DUMMYFUNCTION("""COMPUTED_VALUE"""),"S4: Student Certifications")</f>
        <v>S4: Student Certifications</v>
      </c>
      <c r="N1095" s="74" t="str">
        <f>IFERROR(__xludf.DUMMYFUNCTION("""COMPUTED_VALUE"""),"mano.benesetti@gmail.com")</f>
        <v>mano.benesetti@gmail.com</v>
      </c>
      <c r="O1095" s="74" t="str">
        <f>IFERROR(__xludf.DUMMYFUNCTION("""COMPUTED_VALUE"""),"SEM-8")</f>
        <v>SEM-8</v>
      </c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</row>
    <row r="1096" ht="26.25" customHeight="1">
      <c r="A1096" s="74" t="str">
        <f>IFERROR(__xludf.DUMMYFUNCTION("""COMPUTED_VALUE"""),"Jayanth Naidu Kundrapu")</f>
        <v>Jayanth Naidu Kundrapu</v>
      </c>
      <c r="B1096" s="74" t="str">
        <f>IFERROR(__xludf.DUMMYFUNCTION("""COMPUTED_VALUE"""),"18331A0582")</f>
        <v>18331A0582</v>
      </c>
      <c r="C1096" s="90" t="str">
        <f>IFERROR(__xludf.DUMMYFUNCTION("""COMPUTED_VALUE"""),"Deep Learning Specialization")</f>
        <v>Deep Learning Specialization</v>
      </c>
      <c r="D1096" s="74" t="str">
        <f>IFERROR(__xludf.DUMMYFUNCTION("""COMPUTED_VALUE"""),"Coursera")</f>
        <v>Coursera</v>
      </c>
      <c r="E1096" s="74" t="str">
        <f>IFERROR(__xludf.DUMMYFUNCTION("""COMPUTED_VALUE"""),"17 Weeks")</f>
        <v>17 Weeks</v>
      </c>
      <c r="F1096" s="91">
        <f>IFERROR(__xludf.DUMMYFUNCTION("""COMPUTED_VALUE"""),43983.0)</f>
        <v>43983</v>
      </c>
      <c r="G1096" s="91">
        <f>IFERROR(__xludf.DUMMYFUNCTION("""COMPUTED_VALUE"""),44068.0)</f>
        <v>44068</v>
      </c>
      <c r="H1096" s="79"/>
      <c r="I1096" s="92">
        <f>IFERROR(__xludf.DUMMYFUNCTION("""COMPUTED_VALUE"""),100.0)</f>
        <v>100</v>
      </c>
      <c r="J1096" s="74"/>
      <c r="K1096" s="80" t="str">
        <f>IFERROR(__xludf.DUMMYFUNCTION("""COMPUTED_VALUE"""),"https://drive.google.com/open?id=1F0bEQ0NIRcGA9hAz_lnJMgqUTieVjbys")</f>
        <v>https://drive.google.com/open?id=1F0bEQ0NIRcGA9hAz_lnJMgqUTieVjbys</v>
      </c>
      <c r="L1096" s="74"/>
      <c r="M1096" s="74" t="str">
        <f>IFERROR(__xludf.DUMMYFUNCTION("""COMPUTED_VALUE"""),"S4: Student Certifications")</f>
        <v>S4: Student Certifications</v>
      </c>
      <c r="N1096" s="74" t="str">
        <f>IFERROR(__xludf.DUMMYFUNCTION("""COMPUTED_VALUE"""),"jayanth.kundrapu013@gmail.com")</f>
        <v>jayanth.kundrapu013@gmail.com</v>
      </c>
      <c r="O1096" s="74" t="str">
        <f>IFERROR(__xludf.DUMMYFUNCTION("""COMPUTED_VALUE"""),"SEM-8")</f>
        <v>SEM-8</v>
      </c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</row>
    <row r="1097" ht="26.25" customHeight="1">
      <c r="A1097" s="74" t="str">
        <f>IFERROR(__xludf.DUMMYFUNCTION("""COMPUTED_VALUE"""),"Lalita Manoj Kumar Banisetty")</f>
        <v>Lalita Manoj Kumar Banisetty</v>
      </c>
      <c r="B1097" s="74" t="str">
        <f>IFERROR(__xludf.DUMMYFUNCTION("""COMPUTED_VALUE"""),"18331A0586")</f>
        <v>18331A0586</v>
      </c>
      <c r="C1097" s="90" t="str">
        <f>IFERROR(__xludf.DUMMYFUNCTION("""COMPUTED_VALUE"""),"Deep Learning")</f>
        <v>Deep Learning</v>
      </c>
      <c r="D1097" s="74" t="str">
        <f>IFERROR(__xludf.DUMMYFUNCTION("""COMPUTED_VALUE"""),"Coursera")</f>
        <v>Coursera</v>
      </c>
      <c r="E1097" s="74" t="str">
        <f>IFERROR(__xludf.DUMMYFUNCTION("""COMPUTED_VALUE"""),"1 month")</f>
        <v>1 month</v>
      </c>
      <c r="F1097" s="91">
        <f>IFERROR(__xludf.DUMMYFUNCTION("""COMPUTED_VALUE"""),43983.0)</f>
        <v>43983</v>
      </c>
      <c r="G1097" s="91">
        <f>IFERROR(__xludf.DUMMYFUNCTION("""COMPUTED_VALUE"""),44013.0)</f>
        <v>44013</v>
      </c>
      <c r="H1097" s="79"/>
      <c r="I1097" s="92">
        <f>IFERROR(__xludf.DUMMYFUNCTION("""COMPUTED_VALUE"""),100.0)</f>
        <v>100</v>
      </c>
      <c r="J1097" s="74"/>
      <c r="K1097" s="80" t="str">
        <f>IFERROR(__xludf.DUMMYFUNCTION("""COMPUTED_VALUE"""),"https://drive.google.com/open?id=1RmRH9d-znfWB9L3KEO-EuDEVRAiudBDE")</f>
        <v>https://drive.google.com/open?id=1RmRH9d-znfWB9L3KEO-EuDEVRAiudBDE</v>
      </c>
      <c r="L1097" s="74"/>
      <c r="M1097" s="74" t="str">
        <f>IFERROR(__xludf.DUMMYFUNCTION("""COMPUTED_VALUE"""),"S4: Student Certifications")</f>
        <v>S4: Student Certifications</v>
      </c>
      <c r="N1097" s="74" t="str">
        <f>IFERROR(__xludf.DUMMYFUNCTION("""COMPUTED_VALUE"""),"mano.benesetti@gmail.com")</f>
        <v>mano.benesetti@gmail.com</v>
      </c>
      <c r="O1097" s="74" t="str">
        <f>IFERROR(__xludf.DUMMYFUNCTION("""COMPUTED_VALUE"""),"SEM-8")</f>
        <v>SEM-8</v>
      </c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</row>
    <row r="1098" ht="26.25" customHeight="1">
      <c r="A1098" s="74" t="str">
        <f>IFERROR(__xludf.DUMMYFUNCTION("""COMPUTED_VALUE"""),"Jayanth Naidu Kundrapu")</f>
        <v>Jayanth Naidu Kundrapu</v>
      </c>
      <c r="B1098" s="74" t="str">
        <f>IFERROR(__xludf.DUMMYFUNCTION("""COMPUTED_VALUE"""),"18331A0582")</f>
        <v>18331A0582</v>
      </c>
      <c r="C1098" s="90" t="str">
        <f>IFERROR(__xludf.DUMMYFUNCTION("""COMPUTED_VALUE"""),"Machine Learning Specialization")</f>
        <v>Machine Learning Specialization</v>
      </c>
      <c r="D1098" s="74" t="str">
        <f>IFERROR(__xludf.DUMMYFUNCTION("""COMPUTED_VALUE"""),"Coursera")</f>
        <v>Coursera</v>
      </c>
      <c r="E1098" s="74" t="str">
        <f>IFERROR(__xludf.DUMMYFUNCTION("""COMPUTED_VALUE"""),"25 Weeks")</f>
        <v>25 Weeks</v>
      </c>
      <c r="F1098" s="91">
        <f>IFERROR(__xludf.DUMMYFUNCTION("""COMPUTED_VALUE"""),43983.0)</f>
        <v>43983</v>
      </c>
      <c r="G1098" s="91">
        <f>IFERROR(__xludf.DUMMYFUNCTION("""COMPUTED_VALUE"""),44028.0)</f>
        <v>44028</v>
      </c>
      <c r="H1098" s="79"/>
      <c r="I1098" s="92">
        <f>IFERROR(__xludf.DUMMYFUNCTION("""COMPUTED_VALUE"""),100.0)</f>
        <v>100</v>
      </c>
      <c r="J1098" s="74"/>
      <c r="K1098" s="80" t="str">
        <f>IFERROR(__xludf.DUMMYFUNCTION("""COMPUTED_VALUE"""),"https://drive.google.com/open?id=1NlwexNlI5-hIUf2y7wGIhsAvMt8BJJDt")</f>
        <v>https://drive.google.com/open?id=1NlwexNlI5-hIUf2y7wGIhsAvMt8BJJDt</v>
      </c>
      <c r="L1098" s="74"/>
      <c r="M1098" s="74" t="str">
        <f>IFERROR(__xludf.DUMMYFUNCTION("""COMPUTED_VALUE"""),"S4: Student Certifications")</f>
        <v>S4: Student Certifications</v>
      </c>
      <c r="N1098" s="74" t="str">
        <f>IFERROR(__xludf.DUMMYFUNCTION("""COMPUTED_VALUE"""),"jayanth.kundrapu013@gmail.com")</f>
        <v>jayanth.kundrapu013@gmail.com</v>
      </c>
      <c r="O1098" s="74" t="str">
        <f>IFERROR(__xludf.DUMMYFUNCTION("""COMPUTED_VALUE"""),"SEM-8")</f>
        <v>SEM-8</v>
      </c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</row>
    <row r="1099" ht="26.25" customHeight="1">
      <c r="A1099" s="74" t="str">
        <f>IFERROR(__xludf.DUMMYFUNCTION("""COMPUTED_VALUE"""),"Jayanth Naidu Kundrapu")</f>
        <v>Jayanth Naidu Kundrapu</v>
      </c>
      <c r="B1099" s="74" t="str">
        <f>IFERROR(__xludf.DUMMYFUNCTION("""COMPUTED_VALUE"""),"18331A0582")</f>
        <v>18331A0582</v>
      </c>
      <c r="C1099" s="90" t="str">
        <f>IFERROR(__xludf.DUMMYFUNCTION("""COMPUTED_VALUE"""),"Python for Everybody Specialization")</f>
        <v>Python for Everybody Specialization</v>
      </c>
      <c r="D1099" s="74" t="str">
        <f>IFERROR(__xludf.DUMMYFUNCTION("""COMPUTED_VALUE"""),"Coursera")</f>
        <v>Coursera</v>
      </c>
      <c r="E1099" s="74" t="str">
        <f>IFERROR(__xludf.DUMMYFUNCTION("""COMPUTED_VALUE"""),"32 Weeks")</f>
        <v>32 Weeks</v>
      </c>
      <c r="F1099" s="91">
        <f>IFERROR(__xludf.DUMMYFUNCTION("""COMPUTED_VALUE"""),43949.0)</f>
        <v>43949</v>
      </c>
      <c r="G1099" s="91">
        <f>IFERROR(__xludf.DUMMYFUNCTION("""COMPUTED_VALUE"""),44132.0)</f>
        <v>44132</v>
      </c>
      <c r="H1099" s="79"/>
      <c r="I1099" s="92">
        <f>IFERROR(__xludf.DUMMYFUNCTION("""COMPUTED_VALUE"""),100.0)</f>
        <v>100</v>
      </c>
      <c r="J1099" s="74"/>
      <c r="K1099" s="80" t="str">
        <f>IFERROR(__xludf.DUMMYFUNCTION("""COMPUTED_VALUE"""),"https://drive.google.com/open?id=1aWdn87-2tElC3hWhZB0tvAKUMOeNeY7x")</f>
        <v>https://drive.google.com/open?id=1aWdn87-2tElC3hWhZB0tvAKUMOeNeY7x</v>
      </c>
      <c r="L1099" s="74"/>
      <c r="M1099" s="74" t="str">
        <f>IFERROR(__xludf.DUMMYFUNCTION("""COMPUTED_VALUE"""),"S4: Student Certifications")</f>
        <v>S4: Student Certifications</v>
      </c>
      <c r="N1099" s="74" t="str">
        <f>IFERROR(__xludf.DUMMYFUNCTION("""COMPUTED_VALUE"""),"jayanth.kundrapu013@gmail.com")</f>
        <v>jayanth.kundrapu013@gmail.com</v>
      </c>
      <c r="O1099" s="74" t="str">
        <f>IFERROR(__xludf.DUMMYFUNCTION("""COMPUTED_VALUE"""),"SEM-8")</f>
        <v>SEM-8</v>
      </c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</row>
    <row r="1100" ht="26.25" customHeight="1">
      <c r="A1100" s="74" t="str">
        <f>IFERROR(__xludf.DUMMYFUNCTION("""COMPUTED_VALUE"""),"LATCHUBUKTHA SUTESH")</f>
        <v>LATCHUBUKTHA SUTESH</v>
      </c>
      <c r="B1100" s="74" t="str">
        <f>IFERROR(__xludf.DUMMYFUNCTION("""COMPUTED_VALUE"""),"18331A0588")</f>
        <v>18331A0588</v>
      </c>
      <c r="C1100" s="90" t="str">
        <f>IFERROR(__xludf.DUMMYFUNCTION("""COMPUTED_VALUE"""),"web development with PHP")</f>
        <v>web development with PHP</v>
      </c>
      <c r="D1100" s="74" t="str">
        <f>IFERROR(__xludf.DUMMYFUNCTION("""COMPUTED_VALUE"""),"GUVI")</f>
        <v>GUVI</v>
      </c>
      <c r="E1100" s="74" t="str">
        <f>IFERROR(__xludf.DUMMYFUNCTION("""COMPUTED_VALUE"""),"2 months")</f>
        <v>2 months</v>
      </c>
      <c r="F1100" s="91">
        <f>IFERROR(__xludf.DUMMYFUNCTION("""COMPUTED_VALUE"""),44166.0)</f>
        <v>44166</v>
      </c>
      <c r="G1100" s="91">
        <f>IFERROR(__xludf.DUMMYFUNCTION("""COMPUTED_VALUE"""),44223.0)</f>
        <v>44223</v>
      </c>
      <c r="H1100" s="79"/>
      <c r="I1100" s="92">
        <f>IFERROR(__xludf.DUMMYFUNCTION("""COMPUTED_VALUE"""),100.0)</f>
        <v>100</v>
      </c>
      <c r="J1100" s="74"/>
      <c r="K1100" s="80" t="str">
        <f>IFERROR(__xludf.DUMMYFUNCTION("""COMPUTED_VALUE"""),"https://drive.google.com/open?id=1TtXiDIB95NPCallip9Obht9tCrK4fGSF")</f>
        <v>https://drive.google.com/open?id=1TtXiDIB95NPCallip9Obht9tCrK4fGSF</v>
      </c>
      <c r="L1100" s="74"/>
      <c r="M1100" s="74" t="str">
        <f>IFERROR(__xludf.DUMMYFUNCTION("""COMPUTED_VALUE"""),"S4: Student Certifications")</f>
        <v>S4: Student Certifications</v>
      </c>
      <c r="N1100" s="74" t="str">
        <f>IFERROR(__xludf.DUMMYFUNCTION("""COMPUTED_VALUE"""),"latchubukthasutesh9@gmail.com")</f>
        <v>latchubukthasutesh9@gmail.com</v>
      </c>
      <c r="O1100" s="74" t="str">
        <f>IFERROR(__xludf.DUMMYFUNCTION("""COMPUTED_VALUE"""),"SEM-5")</f>
        <v>SEM-5</v>
      </c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</row>
    <row r="1101" ht="26.25" customHeight="1">
      <c r="A1101" s="74" t="str">
        <f>IFERROR(__xludf.DUMMYFUNCTION("""COMPUTED_VALUE"""),"LATCHUBUKTHA SUTESH")</f>
        <v>LATCHUBUKTHA SUTESH</v>
      </c>
      <c r="B1101" s="74" t="str">
        <f>IFERROR(__xludf.DUMMYFUNCTION("""COMPUTED_VALUE"""),"18331A0588")</f>
        <v>18331A0588</v>
      </c>
      <c r="C1101" s="90" t="str">
        <f>IFERROR(__xludf.DUMMYFUNCTION("""COMPUTED_VALUE"""),"web design for everybody specialization")</f>
        <v>web design for everybody specialization</v>
      </c>
      <c r="D1101" s="74" t="str">
        <f>IFERROR(__xludf.DUMMYFUNCTION("""COMPUTED_VALUE"""),"coursera")</f>
        <v>coursera</v>
      </c>
      <c r="E1101" s="74" t="str">
        <f>IFERROR(__xludf.DUMMYFUNCTION("""COMPUTED_VALUE"""),"2.5 months")</f>
        <v>2.5 months</v>
      </c>
      <c r="F1101" s="91">
        <f>IFERROR(__xludf.DUMMYFUNCTION("""COMPUTED_VALUE"""),44317.0)</f>
        <v>44317</v>
      </c>
      <c r="G1101" s="91">
        <f>IFERROR(__xludf.DUMMYFUNCTION("""COMPUTED_VALUE"""),44404.0)</f>
        <v>44404</v>
      </c>
      <c r="H1101" s="79"/>
      <c r="I1101" s="92">
        <f>IFERROR(__xludf.DUMMYFUNCTION("""COMPUTED_VALUE"""),100.0)</f>
        <v>100</v>
      </c>
      <c r="J1101" s="74"/>
      <c r="K1101" s="80" t="str">
        <f>IFERROR(__xludf.DUMMYFUNCTION("""COMPUTED_VALUE"""),"https://drive.google.com/open?id=1Dhp6qjthgFEOThTQDTfWho_H-WWT44_b")</f>
        <v>https://drive.google.com/open?id=1Dhp6qjthgFEOThTQDTfWho_H-WWT44_b</v>
      </c>
      <c r="L1101" s="74"/>
      <c r="M1101" s="74" t="str">
        <f>IFERROR(__xludf.DUMMYFUNCTION("""COMPUTED_VALUE"""),"S4: Student Certifications")</f>
        <v>S4: Student Certifications</v>
      </c>
      <c r="N1101" s="74" t="str">
        <f>IFERROR(__xludf.DUMMYFUNCTION("""COMPUTED_VALUE"""),"latchubukthasutesh9@gmail.com")</f>
        <v>latchubukthasutesh9@gmail.com</v>
      </c>
      <c r="O1101" s="74" t="str">
        <f>IFERROR(__xludf.DUMMYFUNCTION("""COMPUTED_VALUE"""),"SEM-5")</f>
        <v>SEM-5</v>
      </c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</row>
    <row r="1102" ht="26.25" customHeight="1">
      <c r="A1102" s="74" t="str">
        <f>IFERROR(__xludf.DUMMYFUNCTION("""COMPUTED_VALUE"""),"LATCHUBUKTHA SUTESH")</f>
        <v>LATCHUBUKTHA SUTESH</v>
      </c>
      <c r="B1102" s="74" t="str">
        <f>IFERROR(__xludf.DUMMYFUNCTION("""COMPUTED_VALUE"""),"18331A0588")</f>
        <v>18331A0588</v>
      </c>
      <c r="C1102" s="90" t="str">
        <f>IFERROR(__xludf.DUMMYFUNCTION("""COMPUTED_VALUE"""),"python")</f>
        <v>python</v>
      </c>
      <c r="D1102" s="74" t="str">
        <f>IFERROR(__xludf.DUMMYFUNCTION("""COMPUTED_VALUE"""),"coursera")</f>
        <v>coursera</v>
      </c>
      <c r="E1102" s="74" t="str">
        <f>IFERROR(__xludf.DUMMYFUNCTION("""COMPUTED_VALUE"""),"6 weeks")</f>
        <v>6 weeks</v>
      </c>
      <c r="F1102" s="91">
        <f>IFERROR(__xludf.DUMMYFUNCTION("""COMPUTED_VALUE"""),43983.0)</f>
        <v>43983</v>
      </c>
      <c r="G1102" s="91">
        <f>IFERROR(__xludf.DUMMYFUNCTION("""COMPUTED_VALUE"""),44025.0)</f>
        <v>44025</v>
      </c>
      <c r="H1102" s="79"/>
      <c r="I1102" s="92">
        <f>IFERROR(__xludf.DUMMYFUNCTION("""COMPUTED_VALUE"""),100.0)</f>
        <v>100</v>
      </c>
      <c r="J1102" s="74"/>
      <c r="K1102" s="80" t="str">
        <f>IFERROR(__xludf.DUMMYFUNCTION("""COMPUTED_VALUE"""),"https://drive.google.com/open?id=1fi0Z1H19IdAX4JGRgcJSA1UhyaJIif94")</f>
        <v>https://drive.google.com/open?id=1fi0Z1H19IdAX4JGRgcJSA1UhyaJIif94</v>
      </c>
      <c r="L1102" s="74"/>
      <c r="M1102" s="74" t="str">
        <f>IFERROR(__xludf.DUMMYFUNCTION("""COMPUTED_VALUE"""),"S4: Student Certifications")</f>
        <v>S4: Student Certifications</v>
      </c>
      <c r="N1102" s="74" t="str">
        <f>IFERROR(__xludf.DUMMYFUNCTION("""COMPUTED_VALUE"""),"latchubukthasutesh9@gmail.com")</f>
        <v>latchubukthasutesh9@gmail.com</v>
      </c>
      <c r="O1102" s="74" t="str">
        <f>IFERROR(__xludf.DUMMYFUNCTION("""COMPUTED_VALUE"""),"SEM-5")</f>
        <v>SEM-5</v>
      </c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</row>
    <row r="1103" ht="26.25" customHeight="1">
      <c r="A1103" s="74" t="str">
        <f>IFERROR(__xludf.DUMMYFUNCTION("""COMPUTED_VALUE"""),"Venkata Jaswanth Potnuru")</f>
        <v>Venkata Jaswanth Potnuru</v>
      </c>
      <c r="B1103" s="74" t="str">
        <f>IFERROR(__xludf.DUMMYFUNCTION("""COMPUTED_VALUE"""),"19335A0513")</f>
        <v>19335A0513</v>
      </c>
      <c r="C1103" s="90" t="str">
        <f>IFERROR(__xludf.DUMMYFUNCTION("""COMPUTED_VALUE"""),"Applied Data Science with Python(Specialization)")</f>
        <v>Applied Data Science with Python(Specialization)</v>
      </c>
      <c r="D1103" s="74" t="str">
        <f>IFERROR(__xludf.DUMMYFUNCTION("""COMPUTED_VALUE"""),"University of Michigan(Coursera)")</f>
        <v>University of Michigan(Coursera)</v>
      </c>
      <c r="E1103" s="74" t="str">
        <f>IFERROR(__xludf.DUMMYFUNCTION("""COMPUTED_VALUE"""),"1 Month")</f>
        <v>1 Month</v>
      </c>
      <c r="F1103" s="91">
        <f>IFERROR(__xludf.DUMMYFUNCTION("""COMPUTED_VALUE"""),43956.0)</f>
        <v>43956</v>
      </c>
      <c r="G1103" s="91">
        <f>IFERROR(__xludf.DUMMYFUNCTION("""COMPUTED_VALUE"""),43987.0)</f>
        <v>43987</v>
      </c>
      <c r="H1103" s="79"/>
      <c r="I1103" s="92">
        <f>IFERROR(__xludf.DUMMYFUNCTION("""COMPUTED_VALUE"""),95.0)</f>
        <v>95</v>
      </c>
      <c r="J1103" s="74"/>
      <c r="K1103" s="80" t="str">
        <f>IFERROR(__xludf.DUMMYFUNCTION("""COMPUTED_VALUE"""),"https://drive.google.com/open?id=1cAMFTLKCHjWkBV2I-GunXg0YeOIJ-00c")</f>
        <v>https://drive.google.com/open?id=1cAMFTLKCHjWkBV2I-GunXg0YeOIJ-00c</v>
      </c>
      <c r="L1103" s="74"/>
      <c r="M1103" s="74" t="str">
        <f>IFERROR(__xludf.DUMMYFUNCTION("""COMPUTED_VALUE"""),"S4: Student Certifications")</f>
        <v>S4: Student Certifications</v>
      </c>
      <c r="N1103" s="74" t="str">
        <f>IFERROR(__xludf.DUMMYFUNCTION("""COMPUTED_VALUE"""),"venkatajaswanth10@gmail.com")</f>
        <v>venkatajaswanth10@gmail.com</v>
      </c>
      <c r="O1103" s="74" t="str">
        <f>IFERROR(__xludf.DUMMYFUNCTION("""COMPUTED_VALUE"""),"SEM-4")</f>
        <v>SEM-4</v>
      </c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</row>
    <row r="1104" ht="26.25" customHeight="1">
      <c r="A1104" s="74" t="str">
        <f>IFERROR(__xludf.DUMMYFUNCTION("""COMPUTED_VALUE"""),"LATCHUBUKTHA SUTESH")</f>
        <v>LATCHUBUKTHA SUTESH</v>
      </c>
      <c r="B1104" s="74" t="str">
        <f>IFERROR(__xludf.DUMMYFUNCTION("""COMPUTED_VALUE"""),"18331A0588")</f>
        <v>18331A0588</v>
      </c>
      <c r="C1104" s="90" t="str">
        <f>IFERROR(__xludf.DUMMYFUNCTION("""COMPUTED_VALUE"""),"Introduction to Data Engineering")</f>
        <v>Introduction to Data Engineering</v>
      </c>
      <c r="D1104" s="74" t="str">
        <f>IFERROR(__xludf.DUMMYFUNCTION("""COMPUTED_VALUE"""),"IBM (Coursera)")</f>
        <v>IBM (Coursera)</v>
      </c>
      <c r="E1104" s="74" t="str">
        <f>IFERROR(__xludf.DUMMYFUNCTION("""COMPUTED_VALUE"""),"1 month")</f>
        <v>1 month</v>
      </c>
      <c r="F1104" s="91">
        <f>IFERROR(__xludf.DUMMYFUNCTION("""COMPUTED_VALUE"""),44624.0)</f>
        <v>44624</v>
      </c>
      <c r="G1104" s="91">
        <f>IFERROR(__xludf.DUMMYFUNCTION("""COMPUTED_VALUE"""),44651.0)</f>
        <v>44651</v>
      </c>
      <c r="H1104" s="79"/>
      <c r="I1104" s="92">
        <f>IFERROR(__xludf.DUMMYFUNCTION("""COMPUTED_VALUE"""),100.0)</f>
        <v>100</v>
      </c>
      <c r="J1104" s="74"/>
      <c r="K1104" s="80" t="str">
        <f>IFERROR(__xludf.DUMMYFUNCTION("""COMPUTED_VALUE"""),"https://drive.google.com/open?id=1i71iub01sPYIBOcM1Koogh6BbkGyxtuM")</f>
        <v>https://drive.google.com/open?id=1i71iub01sPYIBOcM1Koogh6BbkGyxtuM</v>
      </c>
      <c r="L1104" s="74"/>
      <c r="M1104" s="74" t="str">
        <f>IFERROR(__xludf.DUMMYFUNCTION("""COMPUTED_VALUE"""),"S4: Student Certifications")</f>
        <v>S4: Student Certifications</v>
      </c>
      <c r="N1104" s="74" t="str">
        <f>IFERROR(__xludf.DUMMYFUNCTION("""COMPUTED_VALUE"""),"latchubukthasutesh9@gmail.com")</f>
        <v>latchubukthasutesh9@gmail.com</v>
      </c>
      <c r="O1104" s="74" t="str">
        <f>IFERROR(__xludf.DUMMYFUNCTION("""COMPUTED_VALUE"""),"SEM-8")</f>
        <v>SEM-8</v>
      </c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</row>
    <row r="1105" ht="26.25" customHeight="1">
      <c r="A1105" s="74" t="str">
        <f>IFERROR(__xludf.DUMMYFUNCTION("""COMPUTED_VALUE"""),"Venkata Jaswanth Potnuru")</f>
        <v>Venkata Jaswanth Potnuru</v>
      </c>
      <c r="B1105" s="74" t="str">
        <f>IFERROR(__xludf.DUMMYFUNCTION("""COMPUTED_VALUE"""),"19335A0513")</f>
        <v>19335A0513</v>
      </c>
      <c r="C1105" s="90" t="str">
        <f>IFERROR(__xludf.DUMMYFUNCTION("""COMPUTED_VALUE"""),"Improve Your English Communication Skills(Specialization)")</f>
        <v>Improve Your English Communication Skills(Specialization)</v>
      </c>
      <c r="D1105" s="74" t="str">
        <f>IFERROR(__xludf.DUMMYFUNCTION("""COMPUTED_VALUE"""),"Georgia Tech(Coursera)")</f>
        <v>Georgia Tech(Coursera)</v>
      </c>
      <c r="E1105" s="74" t="str">
        <f>IFERROR(__xludf.DUMMYFUNCTION("""COMPUTED_VALUE"""),"1 Month")</f>
        <v>1 Month</v>
      </c>
      <c r="F1105" s="91">
        <f>IFERROR(__xludf.DUMMYFUNCTION("""COMPUTED_VALUE"""),43947.0)</f>
        <v>43947</v>
      </c>
      <c r="G1105" s="91">
        <f>IFERROR(__xludf.DUMMYFUNCTION("""COMPUTED_VALUE"""),43977.0)</f>
        <v>43977</v>
      </c>
      <c r="H1105" s="79"/>
      <c r="I1105" s="92">
        <f>IFERROR(__xludf.DUMMYFUNCTION("""COMPUTED_VALUE"""),90.0)</f>
        <v>90</v>
      </c>
      <c r="J1105" s="74"/>
      <c r="K1105" s="80" t="str">
        <f>IFERROR(__xludf.DUMMYFUNCTION("""COMPUTED_VALUE"""),"https://drive.google.com/open?id=1OeXhP9BX7EjRXA4AybYm8u_PnjA2vZD_")</f>
        <v>https://drive.google.com/open?id=1OeXhP9BX7EjRXA4AybYm8u_PnjA2vZD_</v>
      </c>
      <c r="L1105" s="74"/>
      <c r="M1105" s="74" t="str">
        <f>IFERROR(__xludf.DUMMYFUNCTION("""COMPUTED_VALUE"""),"S4: Student Certifications")</f>
        <v>S4: Student Certifications</v>
      </c>
      <c r="N1105" s="74" t="str">
        <f>IFERROR(__xludf.DUMMYFUNCTION("""COMPUTED_VALUE"""),"venkatajaswanth10@gmail.com")</f>
        <v>venkatajaswanth10@gmail.com</v>
      </c>
      <c r="O1105" s="74" t="str">
        <f>IFERROR(__xludf.DUMMYFUNCTION("""COMPUTED_VALUE"""),"SEM-4")</f>
        <v>SEM-4</v>
      </c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</row>
    <row r="1106" ht="26.25" customHeight="1">
      <c r="A1106" s="74" t="str">
        <f>IFERROR(__xludf.DUMMYFUNCTION("""COMPUTED_VALUE"""),"LATCHUBUKTHA SUTESH")</f>
        <v>LATCHUBUKTHA SUTESH</v>
      </c>
      <c r="B1106" s="74" t="str">
        <f>IFERROR(__xludf.DUMMYFUNCTION("""COMPUTED_VALUE"""),"18331A0588")</f>
        <v>18331A0588</v>
      </c>
      <c r="C1106" s="90" t="str">
        <f>IFERROR(__xludf.DUMMYFUNCTION("""COMPUTED_VALUE"""),"Communication Strategies for a Virtual Age")</f>
        <v>Communication Strategies for a Virtual Age</v>
      </c>
      <c r="D1106" s="74" t="str">
        <f>IFERROR(__xludf.DUMMYFUNCTION("""COMPUTED_VALUE"""),"university of toronto")</f>
        <v>university of toronto</v>
      </c>
      <c r="E1106" s="74" t="str">
        <f>IFERROR(__xludf.DUMMYFUNCTION("""COMPUTED_VALUE"""),"1 month")</f>
        <v>1 month</v>
      </c>
      <c r="F1106" s="91">
        <f>IFERROR(__xludf.DUMMYFUNCTION("""COMPUTED_VALUE"""),44625.0)</f>
        <v>44625</v>
      </c>
      <c r="G1106" s="91">
        <f>IFERROR(__xludf.DUMMYFUNCTION("""COMPUTED_VALUE"""),44651.0)</f>
        <v>44651</v>
      </c>
      <c r="H1106" s="79"/>
      <c r="I1106" s="92">
        <f>IFERROR(__xludf.DUMMYFUNCTION("""COMPUTED_VALUE"""),98.0)</f>
        <v>98</v>
      </c>
      <c r="J1106" s="74"/>
      <c r="K1106" s="80" t="str">
        <f>IFERROR(__xludf.DUMMYFUNCTION("""COMPUTED_VALUE"""),"https://drive.google.com/open?id=1xrvdPblNZdieK7Tl45AKSy8hEruk14kh")</f>
        <v>https://drive.google.com/open?id=1xrvdPblNZdieK7Tl45AKSy8hEruk14kh</v>
      </c>
      <c r="L1106" s="74"/>
      <c r="M1106" s="74" t="str">
        <f>IFERROR(__xludf.DUMMYFUNCTION("""COMPUTED_VALUE"""),"S4: Student Certifications")</f>
        <v>S4: Student Certifications</v>
      </c>
      <c r="N1106" s="74" t="str">
        <f>IFERROR(__xludf.DUMMYFUNCTION("""COMPUTED_VALUE"""),"latchubukthasutesh9@gmail.com")</f>
        <v>latchubukthasutesh9@gmail.com</v>
      </c>
      <c r="O1106" s="74" t="str">
        <f>IFERROR(__xludf.DUMMYFUNCTION("""COMPUTED_VALUE"""),"SEM-8")</f>
        <v>SEM-8</v>
      </c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</row>
    <row r="1107" ht="26.25" customHeight="1">
      <c r="A1107" s="74" t="str">
        <f>IFERROR(__xludf.DUMMYFUNCTION("""COMPUTED_VALUE"""),"Venkata Jaswanth Potnuru")</f>
        <v>Venkata Jaswanth Potnuru</v>
      </c>
      <c r="B1107" s="74" t="str">
        <f>IFERROR(__xludf.DUMMYFUNCTION("""COMPUTED_VALUE"""),"19335A0513")</f>
        <v>19335A0513</v>
      </c>
      <c r="C1107" s="90" t="str">
        <f>IFERROR(__xludf.DUMMYFUNCTION("""COMPUTED_VALUE"""),"IBM Data Science(Specialization)")</f>
        <v>IBM Data Science(Specialization)</v>
      </c>
      <c r="D1107" s="74" t="str">
        <f>IFERROR(__xludf.DUMMYFUNCTION("""COMPUTED_VALUE"""),"IBM(Coursera)")</f>
        <v>IBM(Coursera)</v>
      </c>
      <c r="E1107" s="74" t="str">
        <f>IFERROR(__xludf.DUMMYFUNCTION("""COMPUTED_VALUE"""),"3 Months")</f>
        <v>3 Months</v>
      </c>
      <c r="F1107" s="91">
        <f>IFERROR(__xludf.DUMMYFUNCTION("""COMPUTED_VALUE"""),43872.0)</f>
        <v>43872</v>
      </c>
      <c r="G1107" s="91">
        <f>IFERROR(__xludf.DUMMYFUNCTION("""COMPUTED_VALUE"""),43962.0)</f>
        <v>43962</v>
      </c>
      <c r="H1107" s="79"/>
      <c r="I1107" s="92">
        <f>IFERROR(__xludf.DUMMYFUNCTION("""COMPUTED_VALUE"""),89.0)</f>
        <v>89</v>
      </c>
      <c r="J1107" s="74"/>
      <c r="K1107" s="80" t="str">
        <f>IFERROR(__xludf.DUMMYFUNCTION("""COMPUTED_VALUE"""),"https://drive.google.com/open?id=1fKww0SyugKLD3tmwY4Wlsn4glHuSBXmG")</f>
        <v>https://drive.google.com/open?id=1fKww0SyugKLD3tmwY4Wlsn4glHuSBXmG</v>
      </c>
      <c r="L1107" s="74"/>
      <c r="M1107" s="74" t="str">
        <f>IFERROR(__xludf.DUMMYFUNCTION("""COMPUTED_VALUE"""),"S4: Student Certifications")</f>
        <v>S4: Student Certifications</v>
      </c>
      <c r="N1107" s="74" t="str">
        <f>IFERROR(__xludf.DUMMYFUNCTION("""COMPUTED_VALUE"""),"venkatajaswanth10@gmail.com")</f>
        <v>venkatajaswanth10@gmail.com</v>
      </c>
      <c r="O1107" s="74" t="str">
        <f>IFERROR(__xludf.DUMMYFUNCTION("""COMPUTED_VALUE"""),"SEM-4")</f>
        <v>SEM-4</v>
      </c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</row>
    <row r="1108" ht="26.25" customHeight="1">
      <c r="A1108" s="74" t="str">
        <f>IFERROR(__xludf.DUMMYFUNCTION("""COMPUTED_VALUE"""),"Venkata Jaswanth Potnuru")</f>
        <v>Venkata Jaswanth Potnuru</v>
      </c>
      <c r="B1108" s="74" t="str">
        <f>IFERROR(__xludf.DUMMYFUNCTION("""COMPUTED_VALUE"""),"19335A0513")</f>
        <v>19335A0513</v>
      </c>
      <c r="C1108" s="90" t="str">
        <f>IFERROR(__xludf.DUMMYFUNCTION("""COMPUTED_VALUE"""),"Introduction to Data Science(Specialization)")</f>
        <v>Introduction to Data Science(Specialization)</v>
      </c>
      <c r="D1108" s="74" t="str">
        <f>IFERROR(__xludf.DUMMYFUNCTION("""COMPUTED_VALUE"""),"IBM(Coursera)")</f>
        <v>IBM(Coursera)</v>
      </c>
      <c r="E1108" s="74" t="str">
        <f>IFERROR(__xludf.DUMMYFUNCTION("""COMPUTED_VALUE"""),"2 Months")</f>
        <v>2 Months</v>
      </c>
      <c r="F1108" s="91">
        <f>IFERROR(__xludf.DUMMYFUNCTION("""COMPUTED_VALUE"""),43889.0)</f>
        <v>43889</v>
      </c>
      <c r="G1108" s="91">
        <f>IFERROR(__xludf.DUMMYFUNCTION("""COMPUTED_VALUE"""),43952.0)</f>
        <v>43952</v>
      </c>
      <c r="H1108" s="79"/>
      <c r="I1108" s="92">
        <f>IFERROR(__xludf.DUMMYFUNCTION("""COMPUTED_VALUE"""),90.0)</f>
        <v>90</v>
      </c>
      <c r="J1108" s="74"/>
      <c r="K1108" s="80" t="str">
        <f>IFERROR(__xludf.DUMMYFUNCTION("""COMPUTED_VALUE"""),"https://drive.google.com/open?id=1WhM43UDaOxHQY-7GS8YGWIJ5hm16RGGe")</f>
        <v>https://drive.google.com/open?id=1WhM43UDaOxHQY-7GS8YGWIJ5hm16RGGe</v>
      </c>
      <c r="L1108" s="74"/>
      <c r="M1108" s="74" t="str">
        <f>IFERROR(__xludf.DUMMYFUNCTION("""COMPUTED_VALUE"""),"S4: Student Certifications")</f>
        <v>S4: Student Certifications</v>
      </c>
      <c r="N1108" s="74" t="str">
        <f>IFERROR(__xludf.DUMMYFUNCTION("""COMPUTED_VALUE"""),"venkatajaswanth10@gmail.com")</f>
        <v>venkatajaswanth10@gmail.com</v>
      </c>
      <c r="O1108" s="74" t="str">
        <f>IFERROR(__xludf.DUMMYFUNCTION("""COMPUTED_VALUE"""),"SEM-4")</f>
        <v>SEM-4</v>
      </c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</row>
    <row r="1109" ht="26.25" customHeight="1">
      <c r="A1109" s="74" t="str">
        <f>IFERROR(__xludf.DUMMYFUNCTION("""COMPUTED_VALUE"""),"Venkata Jaswanth Potnuru")</f>
        <v>Venkata Jaswanth Potnuru</v>
      </c>
      <c r="B1109" s="74" t="str">
        <f>IFERROR(__xludf.DUMMYFUNCTION("""COMPUTED_VALUE"""),"19335A0513")</f>
        <v>19335A0513</v>
      </c>
      <c r="C1109" s="90" t="str">
        <f>IFERROR(__xludf.DUMMYFUNCTION("""COMPUTED_VALUE"""),"Deep Learning(Specialization)")</f>
        <v>Deep Learning(Specialization)</v>
      </c>
      <c r="D1109" s="74" t="str">
        <f>IFERROR(__xludf.DUMMYFUNCTION("""COMPUTED_VALUE"""),"DeepLearning.AI(Coursera)")</f>
        <v>DeepLearning.AI(Coursera)</v>
      </c>
      <c r="E1109" s="74" t="str">
        <f>IFERROR(__xludf.DUMMYFUNCTION("""COMPUTED_VALUE"""),"3 Months")</f>
        <v>3 Months</v>
      </c>
      <c r="F1109" s="91">
        <f>IFERROR(__xludf.DUMMYFUNCTION("""COMPUTED_VALUE"""),43845.0)</f>
        <v>43845</v>
      </c>
      <c r="G1109" s="91">
        <f>IFERROR(__xludf.DUMMYFUNCTION("""COMPUTED_VALUE"""),43951.0)</f>
        <v>43951</v>
      </c>
      <c r="H1109" s="79"/>
      <c r="I1109" s="92">
        <f>IFERROR(__xludf.DUMMYFUNCTION("""COMPUTED_VALUE"""),85.0)</f>
        <v>85</v>
      </c>
      <c r="J1109" s="74"/>
      <c r="K1109" s="80" t="str">
        <f>IFERROR(__xludf.DUMMYFUNCTION("""COMPUTED_VALUE"""),"https://drive.google.com/open?id=1a0W0kLYN6X4c54EQ7RRsH55ywL6cAV93")</f>
        <v>https://drive.google.com/open?id=1a0W0kLYN6X4c54EQ7RRsH55ywL6cAV93</v>
      </c>
      <c r="L1109" s="74"/>
      <c r="M1109" s="74" t="str">
        <f>IFERROR(__xludf.DUMMYFUNCTION("""COMPUTED_VALUE"""),"S4: Student Certifications")</f>
        <v>S4: Student Certifications</v>
      </c>
      <c r="N1109" s="74" t="str">
        <f>IFERROR(__xludf.DUMMYFUNCTION("""COMPUTED_VALUE"""),"venkatajaswanth10@gmail.com")</f>
        <v>venkatajaswanth10@gmail.com</v>
      </c>
      <c r="O1109" s="74" t="str">
        <f>IFERROR(__xludf.DUMMYFUNCTION("""COMPUTED_VALUE"""),"SEM-4")</f>
        <v>SEM-4</v>
      </c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</row>
    <row r="1110" ht="26.25" customHeight="1">
      <c r="A1110" s="74" t="str">
        <f>IFERROR(__xludf.DUMMYFUNCTION("""COMPUTED_VALUE"""),"Venkata Jaswanth Potnuru")</f>
        <v>Venkata Jaswanth Potnuru</v>
      </c>
      <c r="B1110" s="74" t="str">
        <f>IFERROR(__xludf.DUMMYFUNCTION("""COMPUTED_VALUE"""),"19335A0513")</f>
        <v>19335A0513</v>
      </c>
      <c r="C1110" s="90" t="str">
        <f>IFERROR(__xludf.DUMMYFUNCTION("""COMPUTED_VALUE"""),"DeepLearning.AI TensorFlow Developer(Specialization)")</f>
        <v>DeepLearning.AI TensorFlow Developer(Specialization)</v>
      </c>
      <c r="D1110" s="74" t="str">
        <f>IFERROR(__xludf.DUMMYFUNCTION("""COMPUTED_VALUE"""),"DeepLearning.AI(Coursera)")</f>
        <v>DeepLearning.AI(Coursera)</v>
      </c>
      <c r="E1110" s="74" t="str">
        <f>IFERROR(__xludf.DUMMYFUNCTION("""COMPUTED_VALUE"""),"3 Months")</f>
        <v>3 Months</v>
      </c>
      <c r="F1110" s="91">
        <f>IFERROR(__xludf.DUMMYFUNCTION("""COMPUTED_VALUE"""),43836.0)</f>
        <v>43836</v>
      </c>
      <c r="G1110" s="91">
        <f>IFERROR(__xludf.DUMMYFUNCTION("""COMPUTED_VALUE"""),43959.0)</f>
        <v>43959</v>
      </c>
      <c r="H1110" s="79"/>
      <c r="I1110" s="92">
        <f>IFERROR(__xludf.DUMMYFUNCTION("""COMPUTED_VALUE"""),85.0)</f>
        <v>85</v>
      </c>
      <c r="J1110" s="74"/>
      <c r="K1110" s="80" t="str">
        <f>IFERROR(__xludf.DUMMYFUNCTION("""COMPUTED_VALUE"""),"https://drive.google.com/open?id=1h2MA5r0Ck1hOcDIAJNWn-uQu9n7mREza")</f>
        <v>https://drive.google.com/open?id=1h2MA5r0Ck1hOcDIAJNWn-uQu9n7mREza</v>
      </c>
      <c r="L1110" s="74"/>
      <c r="M1110" s="74" t="str">
        <f>IFERROR(__xludf.DUMMYFUNCTION("""COMPUTED_VALUE"""),"S4: Student Certifications")</f>
        <v>S4: Student Certifications</v>
      </c>
      <c r="N1110" s="74" t="str">
        <f>IFERROR(__xludf.DUMMYFUNCTION("""COMPUTED_VALUE"""),"venkatajaswanth10@gmail.com")</f>
        <v>venkatajaswanth10@gmail.com</v>
      </c>
      <c r="O1110" s="74" t="str">
        <f>IFERROR(__xludf.DUMMYFUNCTION("""COMPUTED_VALUE"""),"SEM-4")</f>
        <v>SEM-4</v>
      </c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</row>
    <row r="1111" ht="26.25" customHeight="1">
      <c r="A1111" s="74" t="str">
        <f>IFERROR(__xludf.DUMMYFUNCTION("""COMPUTED_VALUE"""),"Jayanth Naidu Kundrapu")</f>
        <v>Jayanth Naidu Kundrapu</v>
      </c>
      <c r="B1111" s="74" t="str">
        <f>IFERROR(__xludf.DUMMYFUNCTION("""COMPUTED_VALUE"""),"18331A0582")</f>
        <v>18331A0582</v>
      </c>
      <c r="C1111" s="90" t="str">
        <f>IFERROR(__xludf.DUMMYFUNCTION("""COMPUTED_VALUE"""),"PCAP: Programming Essentials in Python")</f>
        <v>PCAP: Programming Essentials in Python</v>
      </c>
      <c r="D1111" s="74" t="str">
        <f>IFERROR(__xludf.DUMMYFUNCTION("""COMPUTED_VALUE"""),"Cisco")</f>
        <v>Cisco</v>
      </c>
      <c r="E1111" s="74" t="str">
        <f>IFERROR(__xludf.DUMMYFUNCTION("""COMPUTED_VALUE"""),"75 hours")</f>
        <v>75 hours</v>
      </c>
      <c r="F1111" s="91">
        <f>IFERROR(__xludf.DUMMYFUNCTION("""COMPUTED_VALUE"""),44348.0)</f>
        <v>44348</v>
      </c>
      <c r="G1111" s="91">
        <f>IFERROR(__xludf.DUMMYFUNCTION("""COMPUTED_VALUE"""),44379.0)</f>
        <v>44379</v>
      </c>
      <c r="H1111" s="79"/>
      <c r="I1111" s="92">
        <f>IFERROR(__xludf.DUMMYFUNCTION("""COMPUTED_VALUE"""),100.0)</f>
        <v>100</v>
      </c>
      <c r="J1111" s="74"/>
      <c r="K1111" s="80" t="str">
        <f>IFERROR(__xludf.DUMMYFUNCTION("""COMPUTED_VALUE"""),"https://drive.google.com/open?id=1ODyqIWUkd6i6dH0w4AFh0zSaFqiFfCxW")</f>
        <v>https://drive.google.com/open?id=1ODyqIWUkd6i6dH0w4AFh0zSaFqiFfCxW</v>
      </c>
      <c r="L1111" s="74"/>
      <c r="M1111" s="74" t="str">
        <f>IFERROR(__xludf.DUMMYFUNCTION("""COMPUTED_VALUE"""),"S4: Student Certifications")</f>
        <v>S4: Student Certifications</v>
      </c>
      <c r="N1111" s="74" t="str">
        <f>IFERROR(__xludf.DUMMYFUNCTION("""COMPUTED_VALUE"""),"jayanth.kundrapu013@gmail.com")</f>
        <v>jayanth.kundrapu013@gmail.com</v>
      </c>
      <c r="O1111" s="74" t="str">
        <f>IFERROR(__xludf.DUMMYFUNCTION("""COMPUTED_VALUE"""),"SEM-8")</f>
        <v>SEM-8</v>
      </c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</row>
    <row r="1112" ht="26.25" customHeight="1">
      <c r="A1112" s="74" t="str">
        <f>IFERROR(__xludf.DUMMYFUNCTION("""COMPUTED_VALUE"""),"Jayanth Naidu Kundrapu")</f>
        <v>Jayanth Naidu Kundrapu</v>
      </c>
      <c r="B1112" s="74" t="str">
        <f>IFERROR(__xludf.DUMMYFUNCTION("""COMPUTED_VALUE"""),"18331A0582")</f>
        <v>18331A0582</v>
      </c>
      <c r="C1112" s="90" t="str">
        <f>IFERROR(__xludf.DUMMYFUNCTION("""COMPUTED_VALUE"""),"Introduction to Packet Tracer")</f>
        <v>Introduction to Packet Tracer</v>
      </c>
      <c r="D1112" s="74" t="str">
        <f>IFERROR(__xludf.DUMMYFUNCTION("""COMPUTED_VALUE"""),"Cisco")</f>
        <v>Cisco</v>
      </c>
      <c r="E1112" s="74" t="str">
        <f>IFERROR(__xludf.DUMMYFUNCTION("""COMPUTED_VALUE"""),"NA")</f>
        <v>NA</v>
      </c>
      <c r="F1112" s="91">
        <f>IFERROR(__xludf.DUMMYFUNCTION("""COMPUTED_VALUE"""),44287.0)</f>
        <v>44287</v>
      </c>
      <c r="G1112" s="91">
        <f>IFERROR(__xludf.DUMMYFUNCTION("""COMPUTED_VALUE"""),44347.0)</f>
        <v>44347</v>
      </c>
      <c r="H1112" s="79"/>
      <c r="I1112" s="92">
        <f>IFERROR(__xludf.DUMMYFUNCTION("""COMPUTED_VALUE"""),100.0)</f>
        <v>100</v>
      </c>
      <c r="J1112" s="74"/>
      <c r="K1112" s="80" t="str">
        <f>IFERROR(__xludf.DUMMYFUNCTION("""COMPUTED_VALUE"""),"https://drive.google.com/open?id=1nL8AdyHgv4YausgtW3ZE5zV2xptm94I7")</f>
        <v>https://drive.google.com/open?id=1nL8AdyHgv4YausgtW3ZE5zV2xptm94I7</v>
      </c>
      <c r="L1112" s="74"/>
      <c r="M1112" s="74" t="str">
        <f>IFERROR(__xludf.DUMMYFUNCTION("""COMPUTED_VALUE"""),"S4: Student Certifications")</f>
        <v>S4: Student Certifications</v>
      </c>
      <c r="N1112" s="74" t="str">
        <f>IFERROR(__xludf.DUMMYFUNCTION("""COMPUTED_VALUE"""),"jayanth.kundrapu013@gmail.com")</f>
        <v>jayanth.kundrapu013@gmail.com</v>
      </c>
      <c r="O1112" s="74" t="str">
        <f>IFERROR(__xludf.DUMMYFUNCTION("""COMPUTED_VALUE"""),"SEM-8")</f>
        <v>SEM-8</v>
      </c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</row>
    <row r="1113" ht="26.25" customHeight="1">
      <c r="A1113" s="74" t="str">
        <f>IFERROR(__xludf.DUMMYFUNCTION("""COMPUTED_VALUE"""),"Jayanth Naidu Kundrapu")</f>
        <v>Jayanth Naidu Kundrapu</v>
      </c>
      <c r="B1113" s="74" t="str">
        <f>IFERROR(__xludf.DUMMYFUNCTION("""COMPUTED_VALUE"""),"18331A0582")</f>
        <v>18331A0582</v>
      </c>
      <c r="C1113" s="90" t="str">
        <f>IFERROR(__xludf.DUMMYFUNCTION("""COMPUTED_VALUE"""),"CCNAv7: Introduction to Networks")</f>
        <v>CCNAv7: Introduction to Networks</v>
      </c>
      <c r="D1113" s="74" t="str">
        <f>IFERROR(__xludf.DUMMYFUNCTION("""COMPUTED_VALUE"""),"Cisco")</f>
        <v>Cisco</v>
      </c>
      <c r="E1113" s="74" t="str">
        <f>IFERROR(__xludf.DUMMYFUNCTION("""COMPUTED_VALUE"""),"70 hours")</f>
        <v>70 hours</v>
      </c>
      <c r="F1113" s="91">
        <f>IFERROR(__xludf.DUMMYFUNCTION("""COMPUTED_VALUE"""),44348.0)</f>
        <v>44348</v>
      </c>
      <c r="G1113" s="91">
        <f>IFERROR(__xludf.DUMMYFUNCTION("""COMPUTED_VALUE"""),44378.0)</f>
        <v>44378</v>
      </c>
      <c r="H1113" s="79"/>
      <c r="I1113" s="92">
        <f>IFERROR(__xludf.DUMMYFUNCTION("""COMPUTED_VALUE"""),100.0)</f>
        <v>100</v>
      </c>
      <c r="J1113" s="74"/>
      <c r="K1113" s="80" t="str">
        <f>IFERROR(__xludf.DUMMYFUNCTION("""COMPUTED_VALUE"""),"https://drive.google.com/open?id=1lLxtMRP2ELaLy5b41reH8OKSLYl15arf")</f>
        <v>https://drive.google.com/open?id=1lLxtMRP2ELaLy5b41reH8OKSLYl15arf</v>
      </c>
      <c r="L1113" s="74"/>
      <c r="M1113" s="74" t="str">
        <f>IFERROR(__xludf.DUMMYFUNCTION("""COMPUTED_VALUE"""),"S4: Student Certifications")</f>
        <v>S4: Student Certifications</v>
      </c>
      <c r="N1113" s="74" t="str">
        <f>IFERROR(__xludf.DUMMYFUNCTION("""COMPUTED_VALUE"""),"jayanth.kundrapu013@gmail.com")</f>
        <v>jayanth.kundrapu013@gmail.com</v>
      </c>
      <c r="O1113" s="74" t="str">
        <f>IFERROR(__xludf.DUMMYFUNCTION("""COMPUTED_VALUE"""),"SEM-8")</f>
        <v>SEM-8</v>
      </c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</row>
    <row r="1114" ht="26.25" customHeight="1">
      <c r="A1114" s="74" t="str">
        <f>IFERROR(__xludf.DUMMYFUNCTION("""COMPUTED_VALUE"""),"Jayanth Naidu Kundrapu")</f>
        <v>Jayanth Naidu Kundrapu</v>
      </c>
      <c r="B1114" s="74" t="str">
        <f>IFERROR(__xludf.DUMMYFUNCTION("""COMPUTED_VALUE"""),"18331A0582")</f>
        <v>18331A0582</v>
      </c>
      <c r="C1114" s="90" t="str">
        <f>IFERROR(__xludf.DUMMYFUNCTION("""COMPUTED_VALUE"""),"Cybersecurity Essentials")</f>
        <v>Cybersecurity Essentials</v>
      </c>
      <c r="D1114" s="74" t="str">
        <f>IFERROR(__xludf.DUMMYFUNCTION("""COMPUTED_VALUE"""),"Cisco")</f>
        <v>Cisco</v>
      </c>
      <c r="E1114" s="74" t="str">
        <f>IFERROR(__xludf.DUMMYFUNCTION("""COMPUTED_VALUE"""),"30 hours")</f>
        <v>30 hours</v>
      </c>
      <c r="F1114" s="91">
        <f>IFERROR(__xludf.DUMMYFUNCTION("""COMPUTED_VALUE"""),43646.0)</f>
        <v>43646</v>
      </c>
      <c r="G1114" s="91">
        <f>IFERROR(__xludf.DUMMYFUNCTION("""COMPUTED_VALUE"""),43672.0)</f>
        <v>43672</v>
      </c>
      <c r="H1114" s="79"/>
      <c r="I1114" s="92">
        <f>IFERROR(__xludf.DUMMYFUNCTION("""COMPUTED_VALUE"""),100.0)</f>
        <v>100</v>
      </c>
      <c r="J1114" s="74"/>
      <c r="K1114" s="80" t="str">
        <f>IFERROR(__xludf.DUMMYFUNCTION("""COMPUTED_VALUE"""),"https://drive.google.com/open?id=1Nkz5PR1YPhs_TLj1JDtDK297yuCOyOj9")</f>
        <v>https://drive.google.com/open?id=1Nkz5PR1YPhs_TLj1JDtDK297yuCOyOj9</v>
      </c>
      <c r="L1114" s="74"/>
      <c r="M1114" s="74" t="str">
        <f>IFERROR(__xludf.DUMMYFUNCTION("""COMPUTED_VALUE"""),"S4: Student Certifications")</f>
        <v>S4: Student Certifications</v>
      </c>
      <c r="N1114" s="74" t="str">
        <f>IFERROR(__xludf.DUMMYFUNCTION("""COMPUTED_VALUE"""),"jayanth.kundrapu013@gmail.com")</f>
        <v>jayanth.kundrapu013@gmail.com</v>
      </c>
      <c r="O1114" s="74" t="str">
        <f>IFERROR(__xludf.DUMMYFUNCTION("""COMPUTED_VALUE"""),"SEM-8")</f>
        <v>SEM-8</v>
      </c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</row>
    <row r="1115" ht="26.25" customHeight="1">
      <c r="A1115" s="74" t="str">
        <f>IFERROR(__xludf.DUMMYFUNCTION("""COMPUTED_VALUE"""),"Jayanth Naidu Kundrapu")</f>
        <v>Jayanth Naidu Kundrapu</v>
      </c>
      <c r="B1115" s="74" t="str">
        <f>IFERROR(__xludf.DUMMYFUNCTION("""COMPUTED_VALUE"""),"18331A0582")</f>
        <v>18331A0582</v>
      </c>
      <c r="C1115" s="90" t="str">
        <f>IFERROR(__xludf.DUMMYFUNCTION("""COMPUTED_VALUE"""),"Introduction to Cybersecurity")</f>
        <v>Introduction to Cybersecurity</v>
      </c>
      <c r="D1115" s="74" t="str">
        <f>IFERROR(__xludf.DUMMYFUNCTION("""COMPUTED_VALUE"""),"Cisco")</f>
        <v>Cisco</v>
      </c>
      <c r="E1115" s="74" t="str">
        <f>IFERROR(__xludf.DUMMYFUNCTION("""COMPUTED_VALUE"""),"15 Hours")</f>
        <v>15 Hours</v>
      </c>
      <c r="F1115" s="91">
        <f>IFERROR(__xludf.DUMMYFUNCTION("""COMPUTED_VALUE"""),44341.0)</f>
        <v>44341</v>
      </c>
      <c r="G1115" s="91">
        <f>IFERROR(__xludf.DUMMYFUNCTION("""COMPUTED_VALUE"""),44348.0)</f>
        <v>44348</v>
      </c>
      <c r="H1115" s="79"/>
      <c r="I1115" s="92">
        <f>IFERROR(__xludf.DUMMYFUNCTION("""COMPUTED_VALUE"""),100.0)</f>
        <v>100</v>
      </c>
      <c r="J1115" s="74"/>
      <c r="K1115" s="80" t="str">
        <f>IFERROR(__xludf.DUMMYFUNCTION("""COMPUTED_VALUE"""),"https://drive.google.com/open?id=1IChILDybsyCgmiy0xTgwZRQRNyD1L1iM")</f>
        <v>https://drive.google.com/open?id=1IChILDybsyCgmiy0xTgwZRQRNyD1L1iM</v>
      </c>
      <c r="L1115" s="74"/>
      <c r="M1115" s="74" t="str">
        <f>IFERROR(__xludf.DUMMYFUNCTION("""COMPUTED_VALUE"""),"S4: Student Certifications")</f>
        <v>S4: Student Certifications</v>
      </c>
      <c r="N1115" s="74" t="str">
        <f>IFERROR(__xludf.DUMMYFUNCTION("""COMPUTED_VALUE"""),"jayanth.kundrapu013@gmail.com")</f>
        <v>jayanth.kundrapu013@gmail.com</v>
      </c>
      <c r="O1115" s="74" t="str">
        <f>IFERROR(__xludf.DUMMYFUNCTION("""COMPUTED_VALUE"""),"SEM-8")</f>
        <v>SEM-8</v>
      </c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</row>
    <row r="1116" ht="26.25" customHeight="1">
      <c r="A1116" s="74" t="str">
        <f>IFERROR(__xludf.DUMMYFUNCTION("""COMPUTED_VALUE"""),"Kusuma Patnaik Murahari")</f>
        <v>Kusuma Patnaik Murahari</v>
      </c>
      <c r="B1116" s="74" t="str">
        <f>IFERROR(__xludf.DUMMYFUNCTION("""COMPUTED_VALUE"""),"18331A0584")</f>
        <v>18331A0584</v>
      </c>
      <c r="C1116" s="90" t="str">
        <f>IFERROR(__xludf.DUMMYFUNCTION("""COMPUTED_VALUE"""),"Python for Everybody Specialization")</f>
        <v>Python for Everybody Specialization</v>
      </c>
      <c r="D1116" s="74" t="str">
        <f>IFERROR(__xludf.DUMMYFUNCTION("""COMPUTED_VALUE"""),"Coursera")</f>
        <v>Coursera</v>
      </c>
      <c r="E1116" s="74" t="str">
        <f>IFERROR(__xludf.DUMMYFUNCTION("""COMPUTED_VALUE"""),"4 months")</f>
        <v>4 months</v>
      </c>
      <c r="F1116" s="91">
        <f>IFERROR(__xludf.DUMMYFUNCTION("""COMPUTED_VALUE"""),43922.0)</f>
        <v>43922</v>
      </c>
      <c r="G1116" s="91">
        <f>IFERROR(__xludf.DUMMYFUNCTION("""COMPUTED_VALUE"""),44044.0)</f>
        <v>44044</v>
      </c>
      <c r="H1116" s="79"/>
      <c r="I1116" s="92">
        <f>IFERROR(__xludf.DUMMYFUNCTION("""COMPUTED_VALUE"""),94.0)</f>
        <v>94</v>
      </c>
      <c r="J1116" s="74"/>
      <c r="K1116" s="80" t="str">
        <f>IFERROR(__xludf.DUMMYFUNCTION("""COMPUTED_VALUE"""),"https://drive.google.com/open?id=1q2e-Y4xZqdTIYqEXbAuYj3OY0mnStQt2")</f>
        <v>https://drive.google.com/open?id=1q2e-Y4xZqdTIYqEXbAuYj3OY0mnStQt2</v>
      </c>
      <c r="L1116" s="74"/>
      <c r="M1116" s="74" t="str">
        <f>IFERROR(__xludf.DUMMYFUNCTION("""COMPUTED_VALUE"""),"S4: Student Certifications")</f>
        <v>S4: Student Certifications</v>
      </c>
      <c r="N1116" s="74" t="str">
        <f>IFERROR(__xludf.DUMMYFUNCTION("""COMPUTED_VALUE"""),"muraharikusum2000@gmail.com")</f>
        <v>muraharikusum2000@gmail.com</v>
      </c>
      <c r="O1116" s="74" t="str">
        <f>IFERROR(__xludf.DUMMYFUNCTION("""COMPUTED_VALUE"""),"SEM-8")</f>
        <v>SEM-8</v>
      </c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</row>
    <row r="1117" ht="26.25" customHeight="1">
      <c r="A1117" s="74" t="str">
        <f>IFERROR(__xludf.DUMMYFUNCTION("""COMPUTED_VALUE"""),"Kusuma Patnaik Murahari")</f>
        <v>Kusuma Patnaik Murahari</v>
      </c>
      <c r="B1117" s="74" t="str">
        <f>IFERROR(__xludf.DUMMYFUNCTION("""COMPUTED_VALUE"""),"18331A0584")</f>
        <v>18331A0584</v>
      </c>
      <c r="C1117" s="90" t="str">
        <f>IFERROR(__xludf.DUMMYFUNCTION("""COMPUTED_VALUE"""),"Data structures and Algorithms Specialization")</f>
        <v>Data structures and Algorithms Specialization</v>
      </c>
      <c r="D1117" s="74" t="str">
        <f>IFERROR(__xludf.DUMMYFUNCTION("""COMPUTED_VALUE"""),"Coursera")</f>
        <v>Coursera</v>
      </c>
      <c r="E1117" s="74" t="str">
        <f>IFERROR(__xludf.DUMMYFUNCTION("""COMPUTED_VALUE"""),"3 months")</f>
        <v>3 months</v>
      </c>
      <c r="F1117" s="91">
        <f>IFERROR(__xludf.DUMMYFUNCTION("""COMPUTED_VALUE"""),43922.0)</f>
        <v>43922</v>
      </c>
      <c r="G1117" s="91">
        <f>IFERROR(__xludf.DUMMYFUNCTION("""COMPUTED_VALUE"""),44012.0)</f>
        <v>44012</v>
      </c>
      <c r="H1117" s="79"/>
      <c r="I1117" s="92">
        <f>IFERROR(__xludf.DUMMYFUNCTION("""COMPUTED_VALUE"""),95.0)</f>
        <v>95</v>
      </c>
      <c r="J1117" s="74"/>
      <c r="K1117" s="80" t="str">
        <f>IFERROR(__xludf.DUMMYFUNCTION("""COMPUTED_VALUE"""),"https://drive.google.com/open?id=1TLVMJLG3Vte-wTocvZp7D-Nq3kFNHmd-")</f>
        <v>https://drive.google.com/open?id=1TLVMJLG3Vte-wTocvZp7D-Nq3kFNHmd-</v>
      </c>
      <c r="L1117" s="74"/>
      <c r="M1117" s="74" t="str">
        <f>IFERROR(__xludf.DUMMYFUNCTION("""COMPUTED_VALUE"""),"S4: Student Certifications")</f>
        <v>S4: Student Certifications</v>
      </c>
      <c r="N1117" s="74" t="str">
        <f>IFERROR(__xludf.DUMMYFUNCTION("""COMPUTED_VALUE"""),"muraharikusum2000@gmail.com")</f>
        <v>muraharikusum2000@gmail.com</v>
      </c>
      <c r="O1117" s="74" t="str">
        <f>IFERROR(__xludf.DUMMYFUNCTION("""COMPUTED_VALUE"""),"SEM-8")</f>
        <v>SEM-8</v>
      </c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</row>
    <row r="1118" ht="26.25" customHeight="1">
      <c r="A1118" s="74" t="str">
        <f>IFERROR(__xludf.DUMMYFUNCTION("""COMPUTED_VALUE"""),"Kusuma Patnaik Murahari")</f>
        <v>Kusuma Patnaik Murahari</v>
      </c>
      <c r="B1118" s="74" t="str">
        <f>IFERROR(__xludf.DUMMYFUNCTION("""COMPUTED_VALUE"""),"18331A0584")</f>
        <v>18331A0584</v>
      </c>
      <c r="C1118" s="90" t="str">
        <f>IFERROR(__xludf.DUMMYFUNCTION("""COMPUTED_VALUE"""),"Machine Learning Specialization")</f>
        <v>Machine Learning Specialization</v>
      </c>
      <c r="D1118" s="74" t="str">
        <f>IFERROR(__xludf.DUMMYFUNCTION("""COMPUTED_VALUE"""),"Coursera")</f>
        <v>Coursera</v>
      </c>
      <c r="E1118" s="74" t="str">
        <f>IFERROR(__xludf.DUMMYFUNCTION("""COMPUTED_VALUE"""),"3 months")</f>
        <v>3 months</v>
      </c>
      <c r="F1118" s="91">
        <f>IFERROR(__xludf.DUMMYFUNCTION("""COMPUTED_VALUE"""),43922.0)</f>
        <v>43922</v>
      </c>
      <c r="G1118" s="91">
        <f>IFERROR(__xludf.DUMMYFUNCTION("""COMPUTED_VALUE"""),44012.0)</f>
        <v>44012</v>
      </c>
      <c r="H1118" s="79"/>
      <c r="I1118" s="92">
        <f>IFERROR(__xludf.DUMMYFUNCTION("""COMPUTED_VALUE"""),95.0)</f>
        <v>95</v>
      </c>
      <c r="J1118" s="74"/>
      <c r="K1118" s="80" t="str">
        <f>IFERROR(__xludf.DUMMYFUNCTION("""COMPUTED_VALUE"""),"https://drive.google.com/open?id=1iT3aQy7f8kCQcjnxTkXNfUB3IGNLj-sQ")</f>
        <v>https://drive.google.com/open?id=1iT3aQy7f8kCQcjnxTkXNfUB3IGNLj-sQ</v>
      </c>
      <c r="L1118" s="74"/>
      <c r="M1118" s="74" t="str">
        <f>IFERROR(__xludf.DUMMYFUNCTION("""COMPUTED_VALUE"""),"S4: Student Certifications")</f>
        <v>S4: Student Certifications</v>
      </c>
      <c r="N1118" s="74" t="str">
        <f>IFERROR(__xludf.DUMMYFUNCTION("""COMPUTED_VALUE"""),"muraharikusum2000@gmail.com")</f>
        <v>muraharikusum2000@gmail.com</v>
      </c>
      <c r="O1118" s="74" t="str">
        <f>IFERROR(__xludf.DUMMYFUNCTION("""COMPUTED_VALUE"""),"SEM-8")</f>
        <v>SEM-8</v>
      </c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</row>
    <row r="1119" ht="26.25" customHeight="1">
      <c r="A1119" s="74" t="str">
        <f>IFERROR(__xludf.DUMMYFUNCTION("""COMPUTED_VALUE"""),"Kusuma Patnaik Murahari")</f>
        <v>Kusuma Patnaik Murahari</v>
      </c>
      <c r="B1119" s="74" t="str">
        <f>IFERROR(__xludf.DUMMYFUNCTION("""COMPUTED_VALUE"""),"18331A0584")</f>
        <v>18331A0584</v>
      </c>
      <c r="C1119" s="90" t="str">
        <f>IFERROR(__xludf.DUMMYFUNCTION("""COMPUTED_VALUE"""),"Mathematics for Machine Learning Specialization")</f>
        <v>Mathematics for Machine Learning Specialization</v>
      </c>
      <c r="D1119" s="74" t="str">
        <f>IFERROR(__xludf.DUMMYFUNCTION("""COMPUTED_VALUE"""),"Coursera")</f>
        <v>Coursera</v>
      </c>
      <c r="E1119" s="74" t="str">
        <f>IFERROR(__xludf.DUMMYFUNCTION("""COMPUTED_VALUE"""),"2 months")</f>
        <v>2 months</v>
      </c>
      <c r="F1119" s="91">
        <f>IFERROR(__xludf.DUMMYFUNCTION("""COMPUTED_VALUE"""),43922.0)</f>
        <v>43922</v>
      </c>
      <c r="G1119" s="91">
        <f>IFERROR(__xludf.DUMMYFUNCTION("""COMPUTED_VALUE"""),44007.0)</f>
        <v>44007</v>
      </c>
      <c r="H1119" s="79"/>
      <c r="I1119" s="92">
        <f>IFERROR(__xludf.DUMMYFUNCTION("""COMPUTED_VALUE"""),94.0)</f>
        <v>94</v>
      </c>
      <c r="J1119" s="74"/>
      <c r="K1119" s="80" t="str">
        <f>IFERROR(__xludf.DUMMYFUNCTION("""COMPUTED_VALUE"""),"https://drive.google.com/open?id=1MEbN5MWCX2wNv3XIVa6p968qPB2__6Wl")</f>
        <v>https://drive.google.com/open?id=1MEbN5MWCX2wNv3XIVa6p968qPB2__6Wl</v>
      </c>
      <c r="L1119" s="74"/>
      <c r="M1119" s="74" t="str">
        <f>IFERROR(__xludf.DUMMYFUNCTION("""COMPUTED_VALUE"""),"S4: Student Certifications")</f>
        <v>S4: Student Certifications</v>
      </c>
      <c r="N1119" s="74" t="str">
        <f>IFERROR(__xludf.DUMMYFUNCTION("""COMPUTED_VALUE"""),"muraharikusum2000@gmail.com")</f>
        <v>muraharikusum2000@gmail.com</v>
      </c>
      <c r="O1119" s="74" t="str">
        <f>IFERROR(__xludf.DUMMYFUNCTION("""COMPUTED_VALUE"""),"SEM-8")</f>
        <v>SEM-8</v>
      </c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</row>
    <row r="1120" ht="26.25" customHeight="1">
      <c r="A1120" s="74" t="str">
        <f>IFERROR(__xludf.DUMMYFUNCTION("""COMPUTED_VALUE"""),"Kusuma Patnaik Murahari")</f>
        <v>Kusuma Patnaik Murahari</v>
      </c>
      <c r="B1120" s="74" t="str">
        <f>IFERROR(__xludf.DUMMYFUNCTION("""COMPUTED_VALUE"""),"18331A0584")</f>
        <v>18331A0584</v>
      </c>
      <c r="C1120" s="90" t="str">
        <f>IFERROR(__xludf.DUMMYFUNCTION("""COMPUTED_VALUE"""),"AWS Fundamentals Specialization")</f>
        <v>AWS Fundamentals Specialization</v>
      </c>
      <c r="D1120" s="74" t="str">
        <f>IFERROR(__xludf.DUMMYFUNCTION("""COMPUTED_VALUE"""),"Coursera")</f>
        <v>Coursera</v>
      </c>
      <c r="E1120" s="74" t="str">
        <f>IFERROR(__xludf.DUMMYFUNCTION("""COMPUTED_VALUE"""),"3 months")</f>
        <v>3 months</v>
      </c>
      <c r="F1120" s="91">
        <f>IFERROR(__xludf.DUMMYFUNCTION("""COMPUTED_VALUE"""),43952.0)</f>
        <v>43952</v>
      </c>
      <c r="G1120" s="91">
        <f>IFERROR(__xludf.DUMMYFUNCTION("""COMPUTED_VALUE"""),44804.0)</f>
        <v>44804</v>
      </c>
      <c r="H1120" s="79"/>
      <c r="I1120" s="92">
        <f>IFERROR(__xludf.DUMMYFUNCTION("""COMPUTED_VALUE"""),96.0)</f>
        <v>96</v>
      </c>
      <c r="J1120" s="74"/>
      <c r="K1120" s="80" t="str">
        <f>IFERROR(__xludf.DUMMYFUNCTION("""COMPUTED_VALUE"""),"https://drive.google.com/open?id=1wockfBLR9-p_ifH9J_TQPOIruR5HqX3x")</f>
        <v>https://drive.google.com/open?id=1wockfBLR9-p_ifH9J_TQPOIruR5HqX3x</v>
      </c>
      <c r="L1120" s="74"/>
      <c r="M1120" s="74" t="str">
        <f>IFERROR(__xludf.DUMMYFUNCTION("""COMPUTED_VALUE"""),"S4: Student Certifications")</f>
        <v>S4: Student Certifications</v>
      </c>
      <c r="N1120" s="74" t="str">
        <f>IFERROR(__xludf.DUMMYFUNCTION("""COMPUTED_VALUE"""),"muraharikusum2000@gmail.com")</f>
        <v>muraharikusum2000@gmail.com</v>
      </c>
      <c r="O1120" s="74" t="str">
        <f>IFERROR(__xludf.DUMMYFUNCTION("""COMPUTED_VALUE"""),"SEM-8")</f>
        <v>SEM-8</v>
      </c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</row>
    <row r="1121" ht="26.25" customHeight="1">
      <c r="A1121" s="74" t="str">
        <f>IFERROR(__xludf.DUMMYFUNCTION("""COMPUTED_VALUE"""),"Nalli Anusha")</f>
        <v>Nalli Anusha</v>
      </c>
      <c r="B1121" s="74" t="str">
        <f>IFERROR(__xludf.DUMMYFUNCTION("""COMPUTED_VALUE"""),"18331A05A7")</f>
        <v>18331A05A7</v>
      </c>
      <c r="C1121" s="90" t="str">
        <f>IFERROR(__xludf.DUMMYFUNCTION("""COMPUTED_VALUE"""),"Java for Android")</f>
        <v>Java for Android</v>
      </c>
      <c r="D1121" s="74" t="str">
        <f>IFERROR(__xludf.DUMMYFUNCTION("""COMPUTED_VALUE"""),"Vanderbilt University")</f>
        <v>Vanderbilt University</v>
      </c>
      <c r="E1121" s="74" t="str">
        <f>IFERROR(__xludf.DUMMYFUNCTION("""COMPUTED_VALUE"""),"3 months")</f>
        <v>3 months</v>
      </c>
      <c r="F1121" s="91">
        <f>IFERROR(__xludf.DUMMYFUNCTION("""COMPUTED_VALUE"""),43942.0)</f>
        <v>43942</v>
      </c>
      <c r="G1121" s="91">
        <f>IFERROR(__xludf.DUMMYFUNCTION("""COMPUTED_VALUE"""),44014.0)</f>
        <v>44014</v>
      </c>
      <c r="H1121" s="79"/>
      <c r="I1121" s="92">
        <f>IFERROR(__xludf.DUMMYFUNCTION("""COMPUTED_VALUE"""),96.89)</f>
        <v>96.89</v>
      </c>
      <c r="J1121" s="74"/>
      <c r="K1121" s="80" t="str">
        <f>IFERROR(__xludf.DUMMYFUNCTION("""COMPUTED_VALUE"""),"https://drive.google.com/open?id=16lL8xJ7ia6XBEqe-syiOCaeqpyReCcQ_")</f>
        <v>https://drive.google.com/open?id=16lL8xJ7ia6XBEqe-syiOCaeqpyReCcQ_</v>
      </c>
      <c r="L1121" s="74"/>
      <c r="M1121" s="74" t="str">
        <f>IFERROR(__xludf.DUMMYFUNCTION("""COMPUTED_VALUE"""),"S4: Student Certifications")</f>
        <v>S4: Student Certifications</v>
      </c>
      <c r="N1121" s="74" t="str">
        <f>IFERROR(__xludf.DUMMYFUNCTION("""COMPUTED_VALUE"""),"anushanalli18@gmail.com")</f>
        <v>anushanalli18@gmail.com</v>
      </c>
      <c r="O1121" s="74" t="str">
        <f>IFERROR(__xludf.DUMMYFUNCTION("""COMPUTED_VALUE"""),"SEM-8")</f>
        <v>SEM-8</v>
      </c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</row>
    <row r="1122" ht="26.25" customHeight="1">
      <c r="A1122" s="74" t="str">
        <f>IFERROR(__xludf.DUMMYFUNCTION("""COMPUTED_VALUE"""),"Chitikana Spandana")</f>
        <v>Chitikana Spandana</v>
      </c>
      <c r="B1122" s="74" t="str">
        <f>IFERROR(__xludf.DUMMYFUNCTION("""COMPUTED_VALUE"""),"18331A0527")</f>
        <v>18331A0527</v>
      </c>
      <c r="C1122" s="90" t="str">
        <f>IFERROR(__xludf.DUMMYFUNCTION("""COMPUTED_VALUE"""),"Programming for everybody(Getting started with Python)")</f>
        <v>Programming for everybody(Getting started with Python)</v>
      </c>
      <c r="D1122" s="74" t="str">
        <f>IFERROR(__xludf.DUMMYFUNCTION("""COMPUTED_VALUE"""),"Coursera")</f>
        <v>Coursera</v>
      </c>
      <c r="E1122" s="74" t="str">
        <f>IFERROR(__xludf.DUMMYFUNCTION("""COMPUTED_VALUE"""),"1month")</f>
        <v>1month</v>
      </c>
      <c r="F1122" s="91">
        <f>IFERROR(__xludf.DUMMYFUNCTION("""COMPUTED_VALUE"""),43924.0)</f>
        <v>43924</v>
      </c>
      <c r="G1122" s="91">
        <f>IFERROR(__xludf.DUMMYFUNCTION("""COMPUTED_VALUE"""),43954.0)</f>
        <v>43954</v>
      </c>
      <c r="H1122" s="79"/>
      <c r="I1122" s="92">
        <f>IFERROR(__xludf.DUMMYFUNCTION("""COMPUTED_VALUE"""),97.0)</f>
        <v>97</v>
      </c>
      <c r="J1122" s="74"/>
      <c r="K1122" s="80" t="str">
        <f>IFERROR(__xludf.DUMMYFUNCTION("""COMPUTED_VALUE"""),"https://drive.google.com/open?id=1ydiGn9-TTGx7T-Txl569YI_sFP3n9J_C")</f>
        <v>https://drive.google.com/open?id=1ydiGn9-TTGx7T-Txl569YI_sFP3n9J_C</v>
      </c>
      <c r="L1122" s="74"/>
      <c r="M1122" s="74" t="str">
        <f>IFERROR(__xludf.DUMMYFUNCTION("""COMPUTED_VALUE"""),"S4: Student Certifications")</f>
        <v>S4: Student Certifications</v>
      </c>
      <c r="N1122" s="74" t="str">
        <f>IFERROR(__xludf.DUMMYFUNCTION("""COMPUTED_VALUE"""),"spandana1009@gmail.com")</f>
        <v>spandana1009@gmail.com</v>
      </c>
      <c r="O1122" s="74" t="str">
        <f>IFERROR(__xludf.DUMMYFUNCTION("""COMPUTED_VALUE"""),"SEM-8")</f>
        <v>SEM-8</v>
      </c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</row>
    <row r="1123" ht="26.25" customHeight="1">
      <c r="A1123" s="74" t="str">
        <f>IFERROR(__xludf.DUMMYFUNCTION("""COMPUTED_VALUE"""),"Chitikana Spandana")</f>
        <v>Chitikana Spandana</v>
      </c>
      <c r="B1123" s="74" t="str">
        <f>IFERROR(__xludf.DUMMYFUNCTION("""COMPUTED_VALUE"""),"18331A0527")</f>
        <v>18331A0527</v>
      </c>
      <c r="C1123" s="90" t="str">
        <f>IFERROR(__xludf.DUMMYFUNCTION("""COMPUTED_VALUE"""),"Introduction to HTML5")</f>
        <v>Introduction to HTML5</v>
      </c>
      <c r="D1123" s="74" t="str">
        <f>IFERROR(__xludf.DUMMYFUNCTION("""COMPUTED_VALUE"""),"Coursera")</f>
        <v>Coursera</v>
      </c>
      <c r="E1123" s="74" t="str">
        <f>IFERROR(__xludf.DUMMYFUNCTION("""COMPUTED_VALUE"""),"1month")</f>
        <v>1month</v>
      </c>
      <c r="F1123" s="91">
        <f>IFERROR(__xludf.DUMMYFUNCTION("""COMPUTED_VALUE"""),44334.0)</f>
        <v>44334</v>
      </c>
      <c r="G1123" s="91">
        <f>IFERROR(__xludf.DUMMYFUNCTION("""COMPUTED_VALUE"""),44365.0)</f>
        <v>44365</v>
      </c>
      <c r="H1123" s="79"/>
      <c r="I1123" s="92">
        <f>IFERROR(__xludf.DUMMYFUNCTION("""COMPUTED_VALUE"""),97.0)</f>
        <v>97</v>
      </c>
      <c r="J1123" s="74"/>
      <c r="K1123" s="80" t="str">
        <f>IFERROR(__xludf.DUMMYFUNCTION("""COMPUTED_VALUE"""),"https://drive.google.com/open?id=1Rhhs-qPEZEVOUicbNK5xhYO7WNkLgKRA")</f>
        <v>https://drive.google.com/open?id=1Rhhs-qPEZEVOUicbNK5xhYO7WNkLgKRA</v>
      </c>
      <c r="L1123" s="74"/>
      <c r="M1123" s="74" t="str">
        <f>IFERROR(__xludf.DUMMYFUNCTION("""COMPUTED_VALUE"""),"S4: Student Certifications")</f>
        <v>S4: Student Certifications</v>
      </c>
      <c r="N1123" s="74" t="str">
        <f>IFERROR(__xludf.DUMMYFUNCTION("""COMPUTED_VALUE"""),"spandana1009@gmail.com")</f>
        <v>spandana1009@gmail.com</v>
      </c>
      <c r="O1123" s="74" t="str">
        <f>IFERROR(__xludf.DUMMYFUNCTION("""COMPUTED_VALUE"""),"SEM-8")</f>
        <v>SEM-8</v>
      </c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</row>
    <row r="1124" ht="26.25" customHeight="1">
      <c r="A1124" s="74" t="str">
        <f>IFERROR(__xludf.DUMMYFUNCTION("""COMPUTED_VALUE"""),"Chitikana Spandana")</f>
        <v>Chitikana Spandana</v>
      </c>
      <c r="B1124" s="74" t="str">
        <f>IFERROR(__xludf.DUMMYFUNCTION("""COMPUTED_VALUE"""),"18331A0527")</f>
        <v>18331A0527</v>
      </c>
      <c r="C1124" s="90" t="str">
        <f>IFERROR(__xludf.DUMMYFUNCTION("""COMPUTED_VALUE"""),"Python data structures")</f>
        <v>Python data structures</v>
      </c>
      <c r="D1124" s="74" t="str">
        <f>IFERROR(__xludf.DUMMYFUNCTION("""COMPUTED_VALUE"""),"Coursera")</f>
        <v>Coursera</v>
      </c>
      <c r="E1124" s="74" t="str">
        <f>IFERROR(__xludf.DUMMYFUNCTION("""COMPUTED_VALUE"""),"1month")</f>
        <v>1month</v>
      </c>
      <c r="F1124" s="91">
        <f>IFERROR(__xludf.DUMMYFUNCTION("""COMPUTED_VALUE"""),43937.0)</f>
        <v>43937</v>
      </c>
      <c r="G1124" s="91">
        <f>IFERROR(__xludf.DUMMYFUNCTION("""COMPUTED_VALUE"""),43967.0)</f>
        <v>43967</v>
      </c>
      <c r="H1124" s="79"/>
      <c r="I1124" s="92">
        <f>IFERROR(__xludf.DUMMYFUNCTION("""COMPUTED_VALUE"""),98.0)</f>
        <v>98</v>
      </c>
      <c r="J1124" s="74"/>
      <c r="K1124" s="80" t="str">
        <f>IFERROR(__xludf.DUMMYFUNCTION("""COMPUTED_VALUE"""),"https://drive.google.com/open?id=1rq61bT7Bx7y7Xz401NzPLnHS4802-wa8")</f>
        <v>https://drive.google.com/open?id=1rq61bT7Bx7y7Xz401NzPLnHS4802-wa8</v>
      </c>
      <c r="L1124" s="74"/>
      <c r="M1124" s="74" t="str">
        <f>IFERROR(__xludf.DUMMYFUNCTION("""COMPUTED_VALUE"""),"S4: Student Certifications")</f>
        <v>S4: Student Certifications</v>
      </c>
      <c r="N1124" s="74" t="str">
        <f>IFERROR(__xludf.DUMMYFUNCTION("""COMPUTED_VALUE"""),"spandana1009@gmail.com")</f>
        <v>spandana1009@gmail.com</v>
      </c>
      <c r="O1124" s="74" t="str">
        <f>IFERROR(__xludf.DUMMYFUNCTION("""COMPUTED_VALUE"""),"SEM-8")</f>
        <v>SEM-8</v>
      </c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</row>
    <row r="1125" ht="26.25" customHeight="1">
      <c r="A1125" s="74" t="str">
        <f>IFERROR(__xludf.DUMMYFUNCTION("""COMPUTED_VALUE"""),"Chitikana Spandana")</f>
        <v>Chitikana Spandana</v>
      </c>
      <c r="B1125" s="74" t="str">
        <f>IFERROR(__xludf.DUMMYFUNCTION("""COMPUTED_VALUE"""),"18331A0527")</f>
        <v>18331A0527</v>
      </c>
      <c r="C1125" s="90" t="str">
        <f>IFERROR(__xludf.DUMMYFUNCTION("""COMPUTED_VALUE"""),"Successful presentation")</f>
        <v>Successful presentation</v>
      </c>
      <c r="D1125" s="74" t="str">
        <f>IFERROR(__xludf.DUMMYFUNCTION("""COMPUTED_VALUE"""),"Coursera")</f>
        <v>Coursera</v>
      </c>
      <c r="E1125" s="74" t="str">
        <f>IFERROR(__xludf.DUMMYFUNCTION("""COMPUTED_VALUE"""),"1week")</f>
        <v>1week</v>
      </c>
      <c r="F1125" s="91">
        <f>IFERROR(__xludf.DUMMYFUNCTION("""COMPUTED_VALUE"""),44623.0)</f>
        <v>44623</v>
      </c>
      <c r="G1125" s="91">
        <f>IFERROR(__xludf.DUMMYFUNCTION("""COMPUTED_VALUE"""),44630.0)</f>
        <v>44630</v>
      </c>
      <c r="H1125" s="79"/>
      <c r="I1125" s="92">
        <f>IFERROR(__xludf.DUMMYFUNCTION("""COMPUTED_VALUE"""),98.0)</f>
        <v>98</v>
      </c>
      <c r="J1125" s="74"/>
      <c r="K1125" s="80" t="str">
        <f>IFERROR(__xludf.DUMMYFUNCTION("""COMPUTED_VALUE"""),"https://drive.google.com/open?id=1gH1vW6Sntwpf3ODV0cAlRreSK7Udgp9c")</f>
        <v>https://drive.google.com/open?id=1gH1vW6Sntwpf3ODV0cAlRreSK7Udgp9c</v>
      </c>
      <c r="L1125" s="74"/>
      <c r="M1125" s="74" t="str">
        <f>IFERROR(__xludf.DUMMYFUNCTION("""COMPUTED_VALUE"""),"S4: Student Certifications")</f>
        <v>S4: Student Certifications</v>
      </c>
      <c r="N1125" s="74" t="str">
        <f>IFERROR(__xludf.DUMMYFUNCTION("""COMPUTED_VALUE"""),"spandana1009@gmail.com")</f>
        <v>spandana1009@gmail.com</v>
      </c>
      <c r="O1125" s="74" t="str">
        <f>IFERROR(__xludf.DUMMYFUNCTION("""COMPUTED_VALUE"""),"SEM-8")</f>
        <v>SEM-8</v>
      </c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</row>
    <row r="1126" ht="26.25" customHeight="1">
      <c r="A1126" s="74" t="str">
        <f>IFERROR(__xludf.DUMMYFUNCTION("""COMPUTED_VALUE"""),"Chitikana Spandana")</f>
        <v>Chitikana Spandana</v>
      </c>
      <c r="B1126" s="74" t="str">
        <f>IFERROR(__xludf.DUMMYFUNCTION("""COMPUTED_VALUE"""),"18331A0527")</f>
        <v>18331A0527</v>
      </c>
      <c r="C1126" s="90" t="str">
        <f>IFERROR(__xludf.DUMMYFUNCTION("""COMPUTED_VALUE"""),"Code Riders 2021")</f>
        <v>Code Riders 2021</v>
      </c>
      <c r="D1126" s="74" t="str">
        <f>IFERROR(__xludf.DUMMYFUNCTION("""COMPUTED_VALUE"""),"Eduskills")</f>
        <v>Eduskills</v>
      </c>
      <c r="E1126" s="74" t="str">
        <f>IFERROR(__xludf.DUMMYFUNCTION("""COMPUTED_VALUE"""),"1month")</f>
        <v>1month</v>
      </c>
      <c r="F1126" s="91">
        <f>IFERROR(__xludf.DUMMYFUNCTION("""COMPUTED_VALUE"""),44348.0)</f>
        <v>44348</v>
      </c>
      <c r="G1126" s="91">
        <f>IFERROR(__xludf.DUMMYFUNCTION("""COMPUTED_VALUE"""),44378.0)</f>
        <v>44378</v>
      </c>
      <c r="H1126" s="79"/>
      <c r="I1126" s="92">
        <f>IFERROR(__xludf.DUMMYFUNCTION("""COMPUTED_VALUE"""),92.0)</f>
        <v>92</v>
      </c>
      <c r="J1126" s="74"/>
      <c r="K1126" s="80" t="str">
        <f>IFERROR(__xludf.DUMMYFUNCTION("""COMPUTED_VALUE"""),"https://drive.google.com/open?id=1DUtRjF0FYTBKwAhrHP_jsOTf3dXMYtNp")</f>
        <v>https://drive.google.com/open?id=1DUtRjF0FYTBKwAhrHP_jsOTf3dXMYtNp</v>
      </c>
      <c r="L1126" s="74"/>
      <c r="M1126" s="74" t="str">
        <f>IFERROR(__xludf.DUMMYFUNCTION("""COMPUTED_VALUE"""),"S4: Student Certifications")</f>
        <v>S4: Student Certifications</v>
      </c>
      <c r="N1126" s="74" t="str">
        <f>IFERROR(__xludf.DUMMYFUNCTION("""COMPUTED_VALUE"""),"spandana1009@gmail.com")</f>
        <v>spandana1009@gmail.com</v>
      </c>
      <c r="O1126" s="74" t="str">
        <f>IFERROR(__xludf.DUMMYFUNCTION("""COMPUTED_VALUE"""),"SEM-8")</f>
        <v>SEM-8</v>
      </c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</row>
    <row r="1127" ht="26.25" customHeight="1">
      <c r="A1127" s="74" t="str">
        <f>IFERROR(__xludf.DUMMYFUNCTION("""COMPUTED_VALUE"""),"Lalita Manoj Kumar Banisetty")</f>
        <v>Lalita Manoj Kumar Banisetty</v>
      </c>
      <c r="B1127" s="74" t="str">
        <f>IFERROR(__xludf.DUMMYFUNCTION("""COMPUTED_VALUE"""),"18331A0586")</f>
        <v>18331A0586</v>
      </c>
      <c r="C1127" s="90" t="str">
        <f>IFERROR(__xludf.DUMMYFUNCTION("""COMPUTED_VALUE"""),"Introduction to Networks")</f>
        <v>Introduction to Networks</v>
      </c>
      <c r="D1127" s="74" t="str">
        <f>IFERROR(__xludf.DUMMYFUNCTION("""COMPUTED_VALUE"""),"CCNA")</f>
        <v>CCNA</v>
      </c>
      <c r="E1127" s="74" t="str">
        <f>IFERROR(__xludf.DUMMYFUNCTION("""COMPUTED_VALUE"""),"1 week")</f>
        <v>1 week</v>
      </c>
      <c r="F1127" s="91">
        <f>IFERROR(__xludf.DUMMYFUNCTION("""COMPUTED_VALUE"""),44371.0)</f>
        <v>44371</v>
      </c>
      <c r="G1127" s="91">
        <f>IFERROR(__xludf.DUMMYFUNCTION("""COMPUTED_VALUE"""),44378.0)</f>
        <v>44378</v>
      </c>
      <c r="H1127" s="79"/>
      <c r="I1127" s="92">
        <f>IFERROR(__xludf.DUMMYFUNCTION("""COMPUTED_VALUE"""),100.0)</f>
        <v>100</v>
      </c>
      <c r="J1127" s="74"/>
      <c r="K1127" s="80" t="str">
        <f>IFERROR(__xludf.DUMMYFUNCTION("""COMPUTED_VALUE"""),"https://drive.google.com/open?id=19I4jWirCiejN_NsQQxeD0QGuWIl4a_6d")</f>
        <v>https://drive.google.com/open?id=19I4jWirCiejN_NsQQxeD0QGuWIl4a_6d</v>
      </c>
      <c r="L1127" s="74"/>
      <c r="M1127" s="74" t="str">
        <f>IFERROR(__xludf.DUMMYFUNCTION("""COMPUTED_VALUE"""),"S4: Student Certifications")</f>
        <v>S4: Student Certifications</v>
      </c>
      <c r="N1127" s="74" t="str">
        <f>IFERROR(__xludf.DUMMYFUNCTION("""COMPUTED_VALUE"""),"mano.benesetti@gmail.comn")</f>
        <v>mano.benesetti@gmail.comn</v>
      </c>
      <c r="O1127" s="74" t="str">
        <f>IFERROR(__xludf.DUMMYFUNCTION("""COMPUTED_VALUE"""),"SEM-8")</f>
        <v>SEM-8</v>
      </c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</row>
    <row r="1128" ht="26.25" customHeight="1">
      <c r="A1128" s="74" t="str">
        <f>IFERROR(__xludf.DUMMYFUNCTION("""COMPUTED_VALUE"""),"Lalita Manoj Kumar Banisetty")</f>
        <v>Lalita Manoj Kumar Banisetty</v>
      </c>
      <c r="B1128" s="74" t="str">
        <f>IFERROR(__xludf.DUMMYFUNCTION("""COMPUTED_VALUE"""),"18331A0586")</f>
        <v>18331A0586</v>
      </c>
      <c r="C1128" s="90" t="str">
        <f>IFERROR(__xludf.DUMMYFUNCTION("""COMPUTED_VALUE"""),"Applied Data Science")</f>
        <v>Applied Data Science</v>
      </c>
      <c r="D1128" s="74" t="str">
        <f>IFERROR(__xludf.DUMMYFUNCTION("""COMPUTED_VALUE"""),"Coursera")</f>
        <v>Coursera</v>
      </c>
      <c r="E1128" s="74" t="str">
        <f>IFERROR(__xludf.DUMMYFUNCTION("""COMPUTED_VALUE"""),"1 week")</f>
        <v>1 week</v>
      </c>
      <c r="F1128" s="91">
        <f>IFERROR(__xludf.DUMMYFUNCTION("""COMPUTED_VALUE"""),43941.0)</f>
        <v>43941</v>
      </c>
      <c r="G1128" s="91">
        <f>IFERROR(__xludf.DUMMYFUNCTION("""COMPUTED_VALUE"""),43971.0)</f>
        <v>43971</v>
      </c>
      <c r="H1128" s="79"/>
      <c r="I1128" s="92">
        <f>IFERROR(__xludf.DUMMYFUNCTION("""COMPUTED_VALUE"""),100.0)</f>
        <v>100</v>
      </c>
      <c r="J1128" s="74"/>
      <c r="K1128" s="80" t="str">
        <f>IFERROR(__xludf.DUMMYFUNCTION("""COMPUTED_VALUE"""),"https://drive.google.com/open?id=1bsMiDlZDRBWq4-h5hseMgfcMaG09BRWx")</f>
        <v>https://drive.google.com/open?id=1bsMiDlZDRBWq4-h5hseMgfcMaG09BRWx</v>
      </c>
      <c r="L1128" s="74"/>
      <c r="M1128" s="74" t="str">
        <f>IFERROR(__xludf.DUMMYFUNCTION("""COMPUTED_VALUE"""),"S4: Student Certifications")</f>
        <v>S4: Student Certifications</v>
      </c>
      <c r="N1128" s="74" t="str">
        <f>IFERROR(__xludf.DUMMYFUNCTION("""COMPUTED_VALUE"""),"mano.benesetti@gmail.com")</f>
        <v>mano.benesetti@gmail.com</v>
      </c>
      <c r="O1128" s="74" t="str">
        <f>IFERROR(__xludf.DUMMYFUNCTION("""COMPUTED_VALUE"""),"SEM-8")</f>
        <v>SEM-8</v>
      </c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</row>
    <row r="1129" ht="26.25" customHeight="1">
      <c r="A1129" s="74" t="str">
        <f>IFERROR(__xludf.DUMMYFUNCTION("""COMPUTED_VALUE"""),"Lalita Manoj Kumar Banisetty")</f>
        <v>Lalita Manoj Kumar Banisetty</v>
      </c>
      <c r="B1129" s="74" t="str">
        <f>IFERROR(__xludf.DUMMYFUNCTION("""COMPUTED_VALUE"""),"18331A0586")</f>
        <v>18331A0586</v>
      </c>
      <c r="C1129" s="90" t="str">
        <f>IFERROR(__xludf.DUMMYFUNCTION("""COMPUTED_VALUE"""),"Python for Everybody")</f>
        <v>Python for Everybody</v>
      </c>
      <c r="D1129" s="74" t="str">
        <f>IFERROR(__xludf.DUMMYFUNCTION("""COMPUTED_VALUE"""),"Coursera")</f>
        <v>Coursera</v>
      </c>
      <c r="E1129" s="74" t="str">
        <f>IFERROR(__xludf.DUMMYFUNCTION("""COMPUTED_VALUE"""),"1 week")</f>
        <v>1 week</v>
      </c>
      <c r="F1129" s="91">
        <f>IFERROR(__xludf.DUMMYFUNCTION("""COMPUTED_VALUE"""),43951.0)</f>
        <v>43951</v>
      </c>
      <c r="G1129" s="91">
        <f>IFERROR(__xludf.DUMMYFUNCTION("""COMPUTED_VALUE"""),43957.0)</f>
        <v>43957</v>
      </c>
      <c r="H1129" s="79"/>
      <c r="I1129" s="92">
        <f>IFERROR(__xludf.DUMMYFUNCTION("""COMPUTED_VALUE"""),100.0)</f>
        <v>100</v>
      </c>
      <c r="J1129" s="74"/>
      <c r="K1129" s="80" t="str">
        <f>IFERROR(__xludf.DUMMYFUNCTION("""COMPUTED_VALUE"""),"https://drive.google.com/open?id=1vRieVmaby2W5XuKahptQb6fJno4nR5jr")</f>
        <v>https://drive.google.com/open?id=1vRieVmaby2W5XuKahptQb6fJno4nR5jr</v>
      </c>
      <c r="L1129" s="74"/>
      <c r="M1129" s="74" t="str">
        <f>IFERROR(__xludf.DUMMYFUNCTION("""COMPUTED_VALUE"""),"S4: Student Certifications")</f>
        <v>S4: Student Certifications</v>
      </c>
      <c r="N1129" s="74" t="str">
        <f>IFERROR(__xludf.DUMMYFUNCTION("""COMPUTED_VALUE"""),"mano.benesetti@gmail.com")</f>
        <v>mano.benesetti@gmail.com</v>
      </c>
      <c r="O1129" s="74" t="str">
        <f>IFERROR(__xludf.DUMMYFUNCTION("""COMPUTED_VALUE"""),"SEM-8")</f>
        <v>SEM-8</v>
      </c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</row>
    <row r="1130" ht="26.25" customHeight="1">
      <c r="A1130" s="74" t="str">
        <f>IFERROR(__xludf.DUMMYFUNCTION("""COMPUTED_VALUE"""),"MOUNIKA GANTA")</f>
        <v>MOUNIKA GANTA</v>
      </c>
      <c r="B1130" s="74" t="str">
        <f>IFERROR(__xludf.DUMMYFUNCTION("""COMPUTED_VALUE"""),"18331A0543")</f>
        <v>18331A0543</v>
      </c>
      <c r="C1130" s="90" t="str">
        <f>IFERROR(__xludf.DUMMYFUNCTION("""COMPUTED_VALUE"""),"Introduction To HTML")</f>
        <v>Introduction To HTML</v>
      </c>
      <c r="D1130" s="74" t="str">
        <f>IFERROR(__xludf.DUMMYFUNCTION("""COMPUTED_VALUE"""),"Coursera")</f>
        <v>Coursera</v>
      </c>
      <c r="E1130" s="74" t="str">
        <f>IFERROR(__xludf.DUMMYFUNCTION("""COMPUTED_VALUE"""),"2 weeks")</f>
        <v>2 weeks</v>
      </c>
      <c r="F1130" s="91">
        <f>IFERROR(__xludf.DUMMYFUNCTION("""COMPUTED_VALUE"""),43997.0)</f>
        <v>43997</v>
      </c>
      <c r="G1130" s="91">
        <f>IFERROR(__xludf.DUMMYFUNCTION("""COMPUTED_VALUE"""),44013.0)</f>
        <v>44013</v>
      </c>
      <c r="H1130" s="79"/>
      <c r="I1130" s="92">
        <f>IFERROR(__xludf.DUMMYFUNCTION("""COMPUTED_VALUE"""),100.0)</f>
        <v>100</v>
      </c>
      <c r="J1130" s="74"/>
      <c r="K1130" s="80" t="str">
        <f>IFERROR(__xludf.DUMMYFUNCTION("""COMPUTED_VALUE"""),"https://drive.google.com/open?id=1phbmltLQEK2mR3kTPLZlKXtmJkqUjbKv")</f>
        <v>https://drive.google.com/open?id=1phbmltLQEK2mR3kTPLZlKXtmJkqUjbKv</v>
      </c>
      <c r="L1130" s="74"/>
      <c r="M1130" s="74" t="str">
        <f>IFERROR(__xludf.DUMMYFUNCTION("""COMPUTED_VALUE"""),"S4: Student Certifications")</f>
        <v>S4: Student Certifications</v>
      </c>
      <c r="N1130" s="74" t="str">
        <f>IFERROR(__xludf.DUMMYFUNCTION("""COMPUTED_VALUE"""),"mounikaganta2001@gmail.com")</f>
        <v>mounikaganta2001@gmail.com</v>
      </c>
      <c r="O1130" s="74" t="str">
        <f>IFERROR(__xludf.DUMMYFUNCTION("""COMPUTED_VALUE"""),"SEM-8")</f>
        <v>SEM-8</v>
      </c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</row>
    <row r="1131" ht="26.25" customHeight="1">
      <c r="A1131" s="74" t="str">
        <f>IFERROR(__xludf.DUMMYFUNCTION("""COMPUTED_VALUE"""),"MOUNIKA GANTA")</f>
        <v>MOUNIKA GANTA</v>
      </c>
      <c r="B1131" s="74" t="str">
        <f>IFERROR(__xludf.DUMMYFUNCTION("""COMPUTED_VALUE"""),"18331A0543")</f>
        <v>18331A0543</v>
      </c>
      <c r="C1131" s="90" t="str">
        <f>IFERROR(__xludf.DUMMYFUNCTION("""COMPUTED_VALUE"""),"Testing and Debugging Python")</f>
        <v>Testing and Debugging Python</v>
      </c>
      <c r="D1131" s="74" t="str">
        <f>IFERROR(__xludf.DUMMYFUNCTION("""COMPUTED_VALUE"""),"Coursera")</f>
        <v>Coursera</v>
      </c>
      <c r="E1131" s="74" t="str">
        <f>IFERROR(__xludf.DUMMYFUNCTION("""COMPUTED_VALUE"""),"2 weeks")</f>
        <v>2 weeks</v>
      </c>
      <c r="F1131" s="91">
        <f>IFERROR(__xludf.DUMMYFUNCTION("""COMPUTED_VALUE"""),44013.0)</f>
        <v>44013</v>
      </c>
      <c r="G1131" s="91">
        <f>IFERROR(__xludf.DUMMYFUNCTION("""COMPUTED_VALUE"""),44023.0)</f>
        <v>44023</v>
      </c>
      <c r="H1131" s="79"/>
      <c r="I1131" s="92">
        <f>IFERROR(__xludf.DUMMYFUNCTION("""COMPUTED_VALUE"""),100.0)</f>
        <v>100</v>
      </c>
      <c r="J1131" s="74"/>
      <c r="K1131" s="80" t="str">
        <f>IFERROR(__xludf.DUMMYFUNCTION("""COMPUTED_VALUE"""),"https://drive.google.com/open?id=100PDgqWEA8HbqwvaYupWvx8R42Of-o-H")</f>
        <v>https://drive.google.com/open?id=100PDgqWEA8HbqwvaYupWvx8R42Of-o-H</v>
      </c>
      <c r="L1131" s="74"/>
      <c r="M1131" s="74" t="str">
        <f>IFERROR(__xludf.DUMMYFUNCTION("""COMPUTED_VALUE"""),"S4: Student Certifications")</f>
        <v>S4: Student Certifications</v>
      </c>
      <c r="N1131" s="74" t="str">
        <f>IFERROR(__xludf.DUMMYFUNCTION("""COMPUTED_VALUE"""),"mounikaganta2001@gmail.com")</f>
        <v>mounikaganta2001@gmail.com</v>
      </c>
      <c r="O1131" s="74" t="str">
        <f>IFERROR(__xludf.DUMMYFUNCTION("""COMPUTED_VALUE"""),"SEM-8")</f>
        <v>SEM-8</v>
      </c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</row>
    <row r="1132" ht="26.25" customHeight="1">
      <c r="A1132" s="74" t="str">
        <f>IFERROR(__xludf.DUMMYFUNCTION("""COMPUTED_VALUE"""),"MOUNIKA GANTA")</f>
        <v>MOUNIKA GANTA</v>
      </c>
      <c r="B1132" s="74" t="str">
        <f>IFERROR(__xludf.DUMMYFUNCTION("""COMPUTED_VALUE"""),"18331A0543")</f>
        <v>18331A0543</v>
      </c>
      <c r="C1132" s="90" t="str">
        <f>IFERROR(__xludf.DUMMYFUNCTION("""COMPUTED_VALUE"""),"Introduction to Cloud Computing")</f>
        <v>Introduction to Cloud Computing</v>
      </c>
      <c r="D1132" s="74" t="str">
        <f>IFERROR(__xludf.DUMMYFUNCTION("""COMPUTED_VALUE"""),"Coursera")</f>
        <v>Coursera</v>
      </c>
      <c r="E1132" s="74" t="str">
        <f>IFERROR(__xludf.DUMMYFUNCTION("""COMPUTED_VALUE"""),"2 weeks")</f>
        <v>2 weeks</v>
      </c>
      <c r="F1132" s="91">
        <f>IFERROR(__xludf.DUMMYFUNCTION("""COMPUTED_VALUE"""),43990.0)</f>
        <v>43990</v>
      </c>
      <c r="G1132" s="91">
        <f>IFERROR(__xludf.DUMMYFUNCTION("""COMPUTED_VALUE"""),44009.0)</f>
        <v>44009</v>
      </c>
      <c r="H1132" s="79"/>
      <c r="I1132" s="92">
        <f>IFERROR(__xludf.DUMMYFUNCTION("""COMPUTED_VALUE"""),100.0)</f>
        <v>100</v>
      </c>
      <c r="J1132" s="74"/>
      <c r="K1132" s="80" t="str">
        <f>IFERROR(__xludf.DUMMYFUNCTION("""COMPUTED_VALUE"""),"https://drive.google.com/open?id=1wEJyme1v4uefj-4pjZ-EKIdLtaioyXwa")</f>
        <v>https://drive.google.com/open?id=1wEJyme1v4uefj-4pjZ-EKIdLtaioyXwa</v>
      </c>
      <c r="L1132" s="74"/>
      <c r="M1132" s="74" t="str">
        <f>IFERROR(__xludf.DUMMYFUNCTION("""COMPUTED_VALUE"""),"S4: Student Certifications")</f>
        <v>S4: Student Certifications</v>
      </c>
      <c r="N1132" s="74" t="str">
        <f>IFERROR(__xludf.DUMMYFUNCTION("""COMPUTED_VALUE"""),"mounikaganta2001@gmail.com")</f>
        <v>mounikaganta2001@gmail.com</v>
      </c>
      <c r="O1132" s="74" t="str">
        <f>IFERROR(__xludf.DUMMYFUNCTION("""COMPUTED_VALUE"""),"SEM-8")</f>
        <v>SEM-8</v>
      </c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</row>
    <row r="1133" ht="26.25" customHeight="1">
      <c r="A1133" s="74" t="str">
        <f>IFERROR(__xludf.DUMMYFUNCTION("""COMPUTED_VALUE"""),"MOUNIKA GANTA")</f>
        <v>MOUNIKA GANTA</v>
      </c>
      <c r="B1133" s="74" t="str">
        <f>IFERROR(__xludf.DUMMYFUNCTION("""COMPUTED_VALUE"""),"18331A0543")</f>
        <v>18331A0543</v>
      </c>
      <c r="C1133" s="90" t="str">
        <f>IFERROR(__xludf.DUMMYFUNCTION("""COMPUTED_VALUE"""),"Design Thinking for the Greater Good: Innovation in the Social Sector")</f>
        <v>Design Thinking for the Greater Good: Innovation in the Social Sector</v>
      </c>
      <c r="D1133" s="74" t="str">
        <f>IFERROR(__xludf.DUMMYFUNCTION("""COMPUTED_VALUE"""),"Coursera")</f>
        <v>Coursera</v>
      </c>
      <c r="E1133" s="74" t="str">
        <f>IFERROR(__xludf.DUMMYFUNCTION("""COMPUTED_VALUE"""),"2 weeks")</f>
        <v>2 weeks</v>
      </c>
      <c r="F1133" s="91">
        <f>IFERROR(__xludf.DUMMYFUNCTION("""COMPUTED_VALUE"""),43990.0)</f>
        <v>43990</v>
      </c>
      <c r="G1133" s="91">
        <f>IFERROR(__xludf.DUMMYFUNCTION("""COMPUTED_VALUE"""),44009.0)</f>
        <v>44009</v>
      </c>
      <c r="H1133" s="79"/>
      <c r="I1133" s="92">
        <f>IFERROR(__xludf.DUMMYFUNCTION("""COMPUTED_VALUE"""),100.0)</f>
        <v>100</v>
      </c>
      <c r="J1133" s="74"/>
      <c r="K1133" s="80" t="str">
        <f>IFERROR(__xludf.DUMMYFUNCTION("""COMPUTED_VALUE"""),"https://drive.google.com/open?id=1huanhUtI8JvM0vhCehWdEas9XixByueS")</f>
        <v>https://drive.google.com/open?id=1huanhUtI8JvM0vhCehWdEas9XixByueS</v>
      </c>
      <c r="L1133" s="74"/>
      <c r="M1133" s="74" t="str">
        <f>IFERROR(__xludf.DUMMYFUNCTION("""COMPUTED_VALUE"""),"S4: Student Certifications")</f>
        <v>S4: Student Certifications</v>
      </c>
      <c r="N1133" s="74" t="str">
        <f>IFERROR(__xludf.DUMMYFUNCTION("""COMPUTED_VALUE"""),"mounikaganta2001@gmail.com")</f>
        <v>mounikaganta2001@gmail.com</v>
      </c>
      <c r="O1133" s="74" t="str">
        <f>IFERROR(__xludf.DUMMYFUNCTION("""COMPUTED_VALUE"""),"SEM-8")</f>
        <v>SEM-8</v>
      </c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</row>
    <row r="1134" ht="26.25" customHeight="1">
      <c r="A1134" s="74" t="str">
        <f>IFERROR(__xludf.DUMMYFUNCTION("""COMPUTED_VALUE"""),"MOUNIKA GANTA")</f>
        <v>MOUNIKA GANTA</v>
      </c>
      <c r="B1134" s="74" t="str">
        <f>IFERROR(__xludf.DUMMYFUNCTION("""COMPUTED_VALUE"""),"18331A0543")</f>
        <v>18331A0543</v>
      </c>
      <c r="C1134" s="90" t="str">
        <f>IFERROR(__xludf.DUMMYFUNCTION("""COMPUTED_VALUE"""),"Machine Learning Foundations: A Case Study Approach")</f>
        <v>Machine Learning Foundations: A Case Study Approach</v>
      </c>
      <c r="D1134" s="74" t="str">
        <f>IFERROR(__xludf.DUMMYFUNCTION("""COMPUTED_VALUE"""),"Coursera")</f>
        <v>Coursera</v>
      </c>
      <c r="E1134" s="74" t="str">
        <f>IFERROR(__xludf.DUMMYFUNCTION("""COMPUTED_VALUE"""),"2 weeks")</f>
        <v>2 weeks</v>
      </c>
      <c r="F1134" s="91">
        <f>IFERROR(__xludf.DUMMYFUNCTION("""COMPUTED_VALUE"""),43976.0)</f>
        <v>43976</v>
      </c>
      <c r="G1134" s="91">
        <f>IFERROR(__xludf.DUMMYFUNCTION("""COMPUTED_VALUE"""),43990.0)</f>
        <v>43990</v>
      </c>
      <c r="H1134" s="79"/>
      <c r="I1134" s="92">
        <f>IFERROR(__xludf.DUMMYFUNCTION("""COMPUTED_VALUE"""),100.0)</f>
        <v>100</v>
      </c>
      <c r="J1134" s="74"/>
      <c r="K1134" s="80" t="str">
        <f>IFERROR(__xludf.DUMMYFUNCTION("""COMPUTED_VALUE"""),"https://drive.google.com/open?id=1DyiaPLijpbCG-XVC9VwD49bqqZ2URv9k")</f>
        <v>https://drive.google.com/open?id=1DyiaPLijpbCG-XVC9VwD49bqqZ2URv9k</v>
      </c>
      <c r="L1134" s="74"/>
      <c r="M1134" s="74" t="str">
        <f>IFERROR(__xludf.DUMMYFUNCTION("""COMPUTED_VALUE"""),"S4: Student Certifications")</f>
        <v>S4: Student Certifications</v>
      </c>
      <c r="N1134" s="74" t="str">
        <f>IFERROR(__xludf.DUMMYFUNCTION("""COMPUTED_VALUE"""),"mounikaganta2001@gmail.com")</f>
        <v>mounikaganta2001@gmail.com</v>
      </c>
      <c r="O1134" s="74" t="str">
        <f>IFERROR(__xludf.DUMMYFUNCTION("""COMPUTED_VALUE"""),"SEM-8")</f>
        <v>SEM-8</v>
      </c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</row>
    <row r="1135" ht="26.25" customHeight="1">
      <c r="A1135" s="74" t="str">
        <f>IFERROR(__xludf.DUMMYFUNCTION("""COMPUTED_VALUE"""),"MOUNIKA GANTA")</f>
        <v>MOUNIKA GANTA</v>
      </c>
      <c r="B1135" s="74" t="str">
        <f>IFERROR(__xludf.DUMMYFUNCTION("""COMPUTED_VALUE"""),"18331A0543")</f>
        <v>18331A0543</v>
      </c>
      <c r="C1135" s="90" t="str">
        <f>IFERROR(__xludf.DUMMYFUNCTION("""COMPUTED_VALUE"""),"What is Data Science?")</f>
        <v>What is Data Science?</v>
      </c>
      <c r="D1135" s="74" t="str">
        <f>IFERROR(__xludf.DUMMYFUNCTION("""COMPUTED_VALUE"""),"Coursera")</f>
        <v>Coursera</v>
      </c>
      <c r="E1135" s="74" t="str">
        <f>IFERROR(__xludf.DUMMYFUNCTION("""COMPUTED_VALUE"""),"2 weeks")</f>
        <v>2 weeks</v>
      </c>
      <c r="F1135" s="91">
        <f>IFERROR(__xludf.DUMMYFUNCTION("""COMPUTED_VALUE"""),43951.0)</f>
        <v>43951</v>
      </c>
      <c r="G1135" s="91">
        <f>IFERROR(__xludf.DUMMYFUNCTION("""COMPUTED_VALUE"""),43962.0)</f>
        <v>43962</v>
      </c>
      <c r="H1135" s="79"/>
      <c r="I1135" s="92">
        <f>IFERROR(__xludf.DUMMYFUNCTION("""COMPUTED_VALUE"""),100.0)</f>
        <v>100</v>
      </c>
      <c r="J1135" s="74"/>
      <c r="K1135" s="80" t="str">
        <f>IFERROR(__xludf.DUMMYFUNCTION("""COMPUTED_VALUE"""),"https://drive.google.com/open?id=1TUyODFuA8SDUk4pmlJD0pYlai6s0PrGx")</f>
        <v>https://drive.google.com/open?id=1TUyODFuA8SDUk4pmlJD0pYlai6s0PrGx</v>
      </c>
      <c r="L1135" s="74"/>
      <c r="M1135" s="74" t="str">
        <f>IFERROR(__xludf.DUMMYFUNCTION("""COMPUTED_VALUE"""),"S4: Student Certifications")</f>
        <v>S4: Student Certifications</v>
      </c>
      <c r="N1135" s="74" t="str">
        <f>IFERROR(__xludf.DUMMYFUNCTION("""COMPUTED_VALUE"""),"mounikaganta2001@gmail.com")</f>
        <v>mounikaganta2001@gmail.com</v>
      </c>
      <c r="O1135" s="74" t="str">
        <f>IFERROR(__xludf.DUMMYFUNCTION("""COMPUTED_VALUE"""),"SEM-8")</f>
        <v>SEM-8</v>
      </c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</row>
    <row r="1136" ht="26.25" customHeight="1">
      <c r="A1136" s="74" t="str">
        <f>IFERROR(__xludf.DUMMYFUNCTION("""COMPUTED_VALUE"""),"MOUNIKA GANTA")</f>
        <v>MOUNIKA GANTA</v>
      </c>
      <c r="B1136" s="74" t="str">
        <f>IFERROR(__xludf.DUMMYFUNCTION("""COMPUTED_VALUE"""),"18331A0543")</f>
        <v>18331A0543</v>
      </c>
      <c r="C1136" s="90" t="str">
        <f>IFERROR(__xludf.DUMMYFUNCTION("""COMPUTED_VALUE"""),"AI For Everyone")</f>
        <v>AI For Everyone</v>
      </c>
      <c r="D1136" s="74" t="str">
        <f>IFERROR(__xludf.DUMMYFUNCTION("""COMPUTED_VALUE"""),"Coursera")</f>
        <v>Coursera</v>
      </c>
      <c r="E1136" s="74" t="str">
        <f>IFERROR(__xludf.DUMMYFUNCTION("""COMPUTED_VALUE"""),"2 weeks")</f>
        <v>2 weeks</v>
      </c>
      <c r="F1136" s="91">
        <f>IFERROR(__xludf.DUMMYFUNCTION("""COMPUTED_VALUE"""),43930.0)</f>
        <v>43930</v>
      </c>
      <c r="G1136" s="91">
        <f>IFERROR(__xludf.DUMMYFUNCTION("""COMPUTED_VALUE"""),43944.0)</f>
        <v>43944</v>
      </c>
      <c r="H1136" s="79"/>
      <c r="I1136" s="92">
        <f>IFERROR(__xludf.DUMMYFUNCTION("""COMPUTED_VALUE"""),100.0)</f>
        <v>100</v>
      </c>
      <c r="J1136" s="74"/>
      <c r="K1136" s="80" t="str">
        <f>IFERROR(__xludf.DUMMYFUNCTION("""COMPUTED_VALUE"""),"https://drive.google.com/open?id=1OzI_clNZODyIGXGq0gPExTdi8hKCS5BN")</f>
        <v>https://drive.google.com/open?id=1OzI_clNZODyIGXGq0gPExTdi8hKCS5BN</v>
      </c>
      <c r="L1136" s="74"/>
      <c r="M1136" s="74" t="str">
        <f>IFERROR(__xludf.DUMMYFUNCTION("""COMPUTED_VALUE"""),"S4: Student Certifications")</f>
        <v>S4: Student Certifications</v>
      </c>
      <c r="N1136" s="74" t="str">
        <f>IFERROR(__xludf.DUMMYFUNCTION("""COMPUTED_VALUE"""),"mounikaganta2001@gmail.com")</f>
        <v>mounikaganta2001@gmail.com</v>
      </c>
      <c r="O1136" s="74" t="str">
        <f>IFERROR(__xludf.DUMMYFUNCTION("""COMPUTED_VALUE"""),"SEM-8")</f>
        <v>SEM-8</v>
      </c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</row>
    <row r="1137" ht="26.25" customHeight="1">
      <c r="A1137" s="74" t="str">
        <f>IFERROR(__xludf.DUMMYFUNCTION("""COMPUTED_VALUE"""),"MOUNIKA GANTA")</f>
        <v>MOUNIKA GANTA</v>
      </c>
      <c r="B1137" s="74" t="str">
        <f>IFERROR(__xludf.DUMMYFUNCTION("""COMPUTED_VALUE"""),"18331A0543")</f>
        <v>18331A0543</v>
      </c>
      <c r="C1137" s="90" t="str">
        <f>IFERROR(__xludf.DUMMYFUNCTION("""COMPUTED_VALUE"""),"Programming For Everybody (Getting Started With Python)")</f>
        <v>Programming For Everybody (Getting Started With Python)</v>
      </c>
      <c r="D1137" s="74" t="str">
        <f>IFERROR(__xludf.DUMMYFUNCTION("""COMPUTED_VALUE"""),"Coursera")</f>
        <v>Coursera</v>
      </c>
      <c r="E1137" s="74" t="str">
        <f>IFERROR(__xludf.DUMMYFUNCTION("""COMPUTED_VALUE"""),"2 weeks")</f>
        <v>2 weeks</v>
      </c>
      <c r="F1137" s="91">
        <f>IFERROR(__xludf.DUMMYFUNCTION("""COMPUTED_VALUE"""),43965.0)</f>
        <v>43965</v>
      </c>
      <c r="G1137" s="91">
        <f>IFERROR(__xludf.DUMMYFUNCTION("""COMPUTED_VALUE"""),43979.0)</f>
        <v>43979</v>
      </c>
      <c r="H1137" s="79"/>
      <c r="I1137" s="92">
        <f>IFERROR(__xludf.DUMMYFUNCTION("""COMPUTED_VALUE"""),100.0)</f>
        <v>100</v>
      </c>
      <c r="J1137" s="74"/>
      <c r="K1137" s="80" t="str">
        <f>IFERROR(__xludf.DUMMYFUNCTION("""COMPUTED_VALUE"""),"https://drive.google.com/open?id=1kSiwWkQ34BKq0Ei_9oEe4MLdRbI53C-B")</f>
        <v>https://drive.google.com/open?id=1kSiwWkQ34BKq0Ei_9oEe4MLdRbI53C-B</v>
      </c>
      <c r="L1137" s="74"/>
      <c r="M1137" s="74" t="str">
        <f>IFERROR(__xludf.DUMMYFUNCTION("""COMPUTED_VALUE"""),"S4: Student Certifications")</f>
        <v>S4: Student Certifications</v>
      </c>
      <c r="N1137" s="74" t="str">
        <f>IFERROR(__xludf.DUMMYFUNCTION("""COMPUTED_VALUE"""),"mounikaganta2001@gmail.com")</f>
        <v>mounikaganta2001@gmail.com</v>
      </c>
      <c r="O1137" s="74" t="str">
        <f>IFERROR(__xludf.DUMMYFUNCTION("""COMPUTED_VALUE"""),"SEM-8")</f>
        <v>SEM-8</v>
      </c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</row>
    <row r="1138" ht="26.25" customHeight="1">
      <c r="A1138" s="74" t="str">
        <f>IFERROR(__xludf.DUMMYFUNCTION("""COMPUTED_VALUE"""),"Vattikulla Sharmila")</f>
        <v>Vattikulla Sharmila</v>
      </c>
      <c r="B1138" s="74" t="str">
        <f>IFERROR(__xludf.DUMMYFUNCTION("""COMPUTED_VALUE"""),"18331A05H8")</f>
        <v>18331A05H8</v>
      </c>
      <c r="C1138" s="90" t="str">
        <f>IFERROR(__xludf.DUMMYFUNCTION("""COMPUTED_VALUE"""),"Html5- From Basics to Advanced level(2021)")</f>
        <v>Html5- From Basics to Advanced level(2021)</v>
      </c>
      <c r="D1138" s="74" t="str">
        <f>IFERROR(__xludf.DUMMYFUNCTION("""COMPUTED_VALUE"""),"Udemy")</f>
        <v>Udemy</v>
      </c>
      <c r="E1138" s="74" t="str">
        <f>IFERROR(__xludf.DUMMYFUNCTION("""COMPUTED_VALUE"""),"3.5 hrs")</f>
        <v>3.5 hrs</v>
      </c>
      <c r="F1138" s="91">
        <f>IFERROR(__xludf.DUMMYFUNCTION("""COMPUTED_VALUE"""),44378.0)</f>
        <v>44378</v>
      </c>
      <c r="G1138" s="91">
        <f>IFERROR(__xludf.DUMMYFUNCTION("""COMPUTED_VALUE"""),44415.0)</f>
        <v>44415</v>
      </c>
      <c r="H1138" s="79"/>
      <c r="I1138" s="92">
        <f>IFERROR(__xludf.DUMMYFUNCTION("""COMPUTED_VALUE"""),100.0)</f>
        <v>100</v>
      </c>
      <c r="J1138" s="74"/>
      <c r="K1138" s="80" t="str">
        <f>IFERROR(__xludf.DUMMYFUNCTION("""COMPUTED_VALUE"""),"https://drive.google.com/open?id=1Ogss-ENczLrCs4d5vr2tJpBAjtiOg7jg")</f>
        <v>https://drive.google.com/open?id=1Ogss-ENczLrCs4d5vr2tJpBAjtiOg7jg</v>
      </c>
      <c r="L1138" s="74"/>
      <c r="M1138" s="74" t="str">
        <f>IFERROR(__xludf.DUMMYFUNCTION("""COMPUTED_VALUE"""),"S4: Student Certifications")</f>
        <v>S4: Student Certifications</v>
      </c>
      <c r="N1138" s="74" t="str">
        <f>IFERROR(__xludf.DUMMYFUNCTION("""COMPUTED_VALUE"""),"sharmilavattikulla@gmail.com")</f>
        <v>sharmilavattikulla@gmail.com</v>
      </c>
      <c r="O1138" s="74" t="str">
        <f>IFERROR(__xludf.DUMMYFUNCTION("""COMPUTED_VALUE"""),"SEM-8")</f>
        <v>SEM-8</v>
      </c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</row>
    <row r="1139" ht="26.25" customHeight="1">
      <c r="A1139" s="74" t="str">
        <f>IFERROR(__xludf.DUMMYFUNCTION("""COMPUTED_VALUE"""),"Vattikulla Sharmila")</f>
        <v>Vattikulla Sharmila</v>
      </c>
      <c r="B1139" s="74" t="str">
        <f>IFERROR(__xludf.DUMMYFUNCTION("""COMPUTED_VALUE"""),"18331A05H8")</f>
        <v>18331A05H8</v>
      </c>
      <c r="C1139" s="90" t="str">
        <f>IFERROR(__xludf.DUMMYFUNCTION("""COMPUTED_VALUE"""),"Html and css certification course for beginners")</f>
        <v>Html and css certification course for beginners</v>
      </c>
      <c r="D1139" s="74" t="str">
        <f>IFERROR(__xludf.DUMMYFUNCTION("""COMPUTED_VALUE"""),"Udemy")</f>
        <v>Udemy</v>
      </c>
      <c r="E1139" s="74" t="str">
        <f>IFERROR(__xludf.DUMMYFUNCTION("""COMPUTED_VALUE"""),"4 hours")</f>
        <v>4 hours</v>
      </c>
      <c r="F1139" s="91">
        <f>IFERROR(__xludf.DUMMYFUNCTION("""COMPUTED_VALUE"""),44409.0)</f>
        <v>44409</v>
      </c>
      <c r="G1139" s="91">
        <f>IFERROR(__xludf.DUMMYFUNCTION("""COMPUTED_VALUE"""),44415.0)</f>
        <v>44415</v>
      </c>
      <c r="H1139" s="79"/>
      <c r="I1139" s="92">
        <f>IFERROR(__xludf.DUMMYFUNCTION("""COMPUTED_VALUE"""),100.0)</f>
        <v>100</v>
      </c>
      <c r="J1139" s="74"/>
      <c r="K1139" s="80" t="str">
        <f>IFERROR(__xludf.DUMMYFUNCTION("""COMPUTED_VALUE"""),"https://drive.google.com/open?id=1EDcPrN2JzsFd4R7QWV2jFMn4R53gDygq")</f>
        <v>https://drive.google.com/open?id=1EDcPrN2JzsFd4R7QWV2jFMn4R53gDygq</v>
      </c>
      <c r="L1139" s="74"/>
      <c r="M1139" s="74" t="str">
        <f>IFERROR(__xludf.DUMMYFUNCTION("""COMPUTED_VALUE"""),"S4: Student Certifications")</f>
        <v>S4: Student Certifications</v>
      </c>
      <c r="N1139" s="74" t="str">
        <f>IFERROR(__xludf.DUMMYFUNCTION("""COMPUTED_VALUE"""),"sharmilavattikulla@gmail.com")</f>
        <v>sharmilavattikulla@gmail.com</v>
      </c>
      <c r="O1139" s="74" t="str">
        <f>IFERROR(__xludf.DUMMYFUNCTION("""COMPUTED_VALUE"""),"SEM-8")</f>
        <v>SEM-8</v>
      </c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</row>
    <row r="1140" ht="26.25" customHeight="1">
      <c r="A1140" s="74" t="str">
        <f>IFERROR(__xludf.DUMMYFUNCTION("""COMPUTED_VALUE"""),"Kusuma Patnaik Murahari")</f>
        <v>Kusuma Patnaik Murahari</v>
      </c>
      <c r="B1140" s="74" t="str">
        <f>IFERROR(__xludf.DUMMYFUNCTION("""COMPUTED_VALUE"""),"18331A0584")</f>
        <v>18331A0584</v>
      </c>
      <c r="C1140" s="90" t="str">
        <f>IFERROR(__xludf.DUMMYFUNCTION("""COMPUTED_VALUE"""),"A Crash Course in Data Science")</f>
        <v>A Crash Course in Data Science</v>
      </c>
      <c r="D1140" s="74" t="str">
        <f>IFERROR(__xludf.DUMMYFUNCTION("""COMPUTED_VALUE"""),"Coursera")</f>
        <v>Coursera</v>
      </c>
      <c r="E1140" s="74" t="str">
        <f>IFERROR(__xludf.DUMMYFUNCTION("""COMPUTED_VALUE"""),"2 months")</f>
        <v>2 months</v>
      </c>
      <c r="F1140" s="91">
        <f>IFERROR(__xludf.DUMMYFUNCTION("""COMPUTED_VALUE"""),44013.0)</f>
        <v>44013</v>
      </c>
      <c r="G1140" s="91">
        <f>IFERROR(__xludf.DUMMYFUNCTION("""COMPUTED_VALUE"""),44074.0)</f>
        <v>44074</v>
      </c>
      <c r="H1140" s="79"/>
      <c r="I1140" s="92">
        <f>IFERROR(__xludf.DUMMYFUNCTION("""COMPUTED_VALUE"""),100.0)</f>
        <v>100</v>
      </c>
      <c r="J1140" s="74"/>
      <c r="K1140" s="80" t="str">
        <f>IFERROR(__xludf.DUMMYFUNCTION("""COMPUTED_VALUE"""),"https://drive.google.com/open?id=1P0l-zn9L90WIfJqqqW8e8-0Dp_7Vc2pg")</f>
        <v>https://drive.google.com/open?id=1P0l-zn9L90WIfJqqqW8e8-0Dp_7Vc2pg</v>
      </c>
      <c r="L1140" s="74"/>
      <c r="M1140" s="74" t="str">
        <f>IFERROR(__xludf.DUMMYFUNCTION("""COMPUTED_VALUE"""),"S4: Student Certifications")</f>
        <v>S4: Student Certifications</v>
      </c>
      <c r="N1140" s="74" t="str">
        <f>IFERROR(__xludf.DUMMYFUNCTION("""COMPUTED_VALUE"""),"muraharikusum2000@gmail.com")</f>
        <v>muraharikusum2000@gmail.com</v>
      </c>
      <c r="O1140" s="74" t="str">
        <f>IFERROR(__xludf.DUMMYFUNCTION("""COMPUTED_VALUE"""),"SEM-8")</f>
        <v>SEM-8</v>
      </c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</row>
    <row r="1141" ht="26.25" customHeight="1">
      <c r="A1141" s="74" t="str">
        <f>IFERROR(__xludf.DUMMYFUNCTION("""COMPUTED_VALUE"""),"Kusuma Patnaik Murahari")</f>
        <v>Kusuma Patnaik Murahari</v>
      </c>
      <c r="B1141" s="74" t="str">
        <f>IFERROR(__xludf.DUMMYFUNCTION("""COMPUTED_VALUE"""),"18331A0584")</f>
        <v>18331A0584</v>
      </c>
      <c r="C1141" s="90" t="str">
        <f>IFERROR(__xludf.DUMMYFUNCTION("""COMPUTED_VALUE"""),"AI For Everyone")</f>
        <v>AI For Everyone</v>
      </c>
      <c r="D1141" s="74" t="str">
        <f>IFERROR(__xludf.DUMMYFUNCTION("""COMPUTED_VALUE"""),"Coursera")</f>
        <v>Coursera</v>
      </c>
      <c r="E1141" s="74" t="str">
        <f>IFERROR(__xludf.DUMMYFUNCTION("""COMPUTED_VALUE"""),"1 month")</f>
        <v>1 month</v>
      </c>
      <c r="F1141" s="91">
        <f>IFERROR(__xludf.DUMMYFUNCTION("""COMPUTED_VALUE"""),43922.0)</f>
        <v>43922</v>
      </c>
      <c r="G1141" s="91">
        <f>IFERROR(__xludf.DUMMYFUNCTION("""COMPUTED_VALUE"""),43951.0)</f>
        <v>43951</v>
      </c>
      <c r="H1141" s="79"/>
      <c r="I1141" s="92">
        <f>IFERROR(__xludf.DUMMYFUNCTION("""COMPUTED_VALUE"""),100.0)</f>
        <v>100</v>
      </c>
      <c r="J1141" s="74"/>
      <c r="K1141" s="80" t="str">
        <f>IFERROR(__xludf.DUMMYFUNCTION("""COMPUTED_VALUE"""),"https://drive.google.com/open?id=1ZPfIrmV7dCUeaFjoT2l1nJVDvHUuN3Dx")</f>
        <v>https://drive.google.com/open?id=1ZPfIrmV7dCUeaFjoT2l1nJVDvHUuN3Dx</v>
      </c>
      <c r="L1141" s="74"/>
      <c r="M1141" s="74" t="str">
        <f>IFERROR(__xludf.DUMMYFUNCTION("""COMPUTED_VALUE"""),"S4: Student Certifications")</f>
        <v>S4: Student Certifications</v>
      </c>
      <c r="N1141" s="74" t="str">
        <f>IFERROR(__xludf.DUMMYFUNCTION("""COMPUTED_VALUE"""),"muraharikusum2000@gmail.com")</f>
        <v>muraharikusum2000@gmail.com</v>
      </c>
      <c r="O1141" s="74" t="str">
        <f>IFERROR(__xludf.DUMMYFUNCTION("""COMPUTED_VALUE"""),"SEM-8")</f>
        <v>SEM-8</v>
      </c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</row>
    <row r="1142" ht="26.25" customHeight="1">
      <c r="A1142" s="74" t="str">
        <f>IFERROR(__xludf.DUMMYFUNCTION("""COMPUTED_VALUE"""),"Kusuma Patnaik Murahari")</f>
        <v>Kusuma Patnaik Murahari</v>
      </c>
      <c r="B1142" s="74" t="str">
        <f>IFERROR(__xludf.DUMMYFUNCTION("""COMPUTED_VALUE"""),"18331A0584")</f>
        <v>18331A0584</v>
      </c>
      <c r="C1142" s="90" t="str">
        <f>IFERROR(__xludf.DUMMYFUNCTION("""COMPUTED_VALUE"""),"Building Web Applications in PHP")</f>
        <v>Building Web Applications in PHP</v>
      </c>
      <c r="D1142" s="74" t="str">
        <f>IFERROR(__xludf.DUMMYFUNCTION("""COMPUTED_VALUE"""),"Coursera")</f>
        <v>Coursera</v>
      </c>
      <c r="E1142" s="74" t="str">
        <f>IFERROR(__xludf.DUMMYFUNCTION("""COMPUTED_VALUE"""),"2 months")</f>
        <v>2 months</v>
      </c>
      <c r="F1142" s="91">
        <f>IFERROR(__xludf.DUMMYFUNCTION("""COMPUTED_VALUE"""),43983.0)</f>
        <v>43983</v>
      </c>
      <c r="G1142" s="91">
        <f>IFERROR(__xludf.DUMMYFUNCTION("""COMPUTED_VALUE"""),44043.0)</f>
        <v>44043</v>
      </c>
      <c r="H1142" s="79"/>
      <c r="I1142" s="92">
        <f>IFERROR(__xludf.DUMMYFUNCTION("""COMPUTED_VALUE"""),100.0)</f>
        <v>100</v>
      </c>
      <c r="J1142" s="74"/>
      <c r="K1142" s="80" t="str">
        <f>IFERROR(__xludf.DUMMYFUNCTION("""COMPUTED_VALUE"""),"https://drive.google.com/open?id=1UQv-1XseNPEtsjbnCm_DGGa2REEN7v9Q")</f>
        <v>https://drive.google.com/open?id=1UQv-1XseNPEtsjbnCm_DGGa2REEN7v9Q</v>
      </c>
      <c r="L1142" s="74"/>
      <c r="M1142" s="74" t="str">
        <f>IFERROR(__xludf.DUMMYFUNCTION("""COMPUTED_VALUE"""),"S4: Student Certifications")</f>
        <v>S4: Student Certifications</v>
      </c>
      <c r="N1142" s="74" t="str">
        <f>IFERROR(__xludf.DUMMYFUNCTION("""COMPUTED_VALUE"""),"muraharikusum2000@gmail.com")</f>
        <v>muraharikusum2000@gmail.com</v>
      </c>
      <c r="O1142" s="74" t="str">
        <f>IFERROR(__xludf.DUMMYFUNCTION("""COMPUTED_VALUE"""),"SEM-8")</f>
        <v>SEM-8</v>
      </c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</row>
    <row r="1143" ht="26.25" customHeight="1">
      <c r="A1143" s="96" t="str">
        <f>IFERROR(__xludf.DUMMYFUNCTION("""COMPUTED_VALUE"""),"Kusuma Patnaik Murahar")</f>
        <v>Kusuma Patnaik Murahar</v>
      </c>
      <c r="B1143" s="96" t="str">
        <f>IFERROR(__xludf.DUMMYFUNCTION("""COMPUTED_VALUE"""),"18331A0584")</f>
        <v>18331A0584</v>
      </c>
      <c r="C1143" s="97" t="str">
        <f>IFERROR(__xludf.DUMMYFUNCTION("""COMPUTED_VALUE"""),"Business English: Management and Leadership")</f>
        <v>Business English: Management and Leadership</v>
      </c>
      <c r="D1143" s="96" t="str">
        <f>IFERROR(__xludf.DUMMYFUNCTION("""COMPUTED_VALUE"""),"Coursera")</f>
        <v>Coursera</v>
      </c>
      <c r="E1143" s="96" t="str">
        <f>IFERROR(__xludf.DUMMYFUNCTION("""COMPUTED_VALUE"""),"2 months")</f>
        <v>2 months</v>
      </c>
      <c r="F1143" s="98">
        <f>IFERROR(__xludf.DUMMYFUNCTION("""COMPUTED_VALUE"""),43983.0)</f>
        <v>43983</v>
      </c>
      <c r="G1143" s="98">
        <f>IFERROR(__xludf.DUMMYFUNCTION("""COMPUTED_VALUE"""),44043.0)</f>
        <v>44043</v>
      </c>
      <c r="H1143" s="99"/>
      <c r="I1143" s="100">
        <f>IFERROR(__xludf.DUMMYFUNCTION("""COMPUTED_VALUE"""),100.0)</f>
        <v>100</v>
      </c>
      <c r="J1143" s="96"/>
      <c r="K1143" s="101" t="str">
        <f>IFERROR(__xludf.DUMMYFUNCTION("""COMPUTED_VALUE"""),"https://drive.google.com/open?id=1dlD-oI48yw-XP-Dlyc2dEHZuFm7ytl5h")</f>
        <v>https://drive.google.com/open?id=1dlD-oI48yw-XP-Dlyc2dEHZuFm7ytl5h</v>
      </c>
      <c r="L1143" s="96"/>
      <c r="M1143" s="96" t="str">
        <f>IFERROR(__xludf.DUMMYFUNCTION("""COMPUTED_VALUE"""),"S4: Student Certifications")</f>
        <v>S4: Student Certifications</v>
      </c>
      <c r="N1143" s="96" t="str">
        <f>IFERROR(__xludf.DUMMYFUNCTION("""COMPUTED_VALUE"""),"muraharikusum2000@gmail.com")</f>
        <v>muraharikusum2000@gmail.com</v>
      </c>
      <c r="O1143" s="96" t="str">
        <f>IFERROR(__xludf.DUMMYFUNCTION("""COMPUTED_VALUE"""),"SEM-8")</f>
        <v>SEM-8</v>
      </c>
      <c r="P1143" s="96"/>
      <c r="Q1143" s="96"/>
      <c r="R1143" s="96"/>
      <c r="S1143" s="96"/>
      <c r="T1143" s="96"/>
      <c r="U1143" s="96"/>
      <c r="V1143" s="96"/>
      <c r="W1143" s="96"/>
      <c r="X1143" s="96"/>
      <c r="Y1143" s="96"/>
    </row>
    <row r="1144" ht="26.25" customHeight="1">
      <c r="A1144" s="96" t="str">
        <f>IFERROR(__xludf.DUMMYFUNCTION("""COMPUTED_VALUE"""),"Kusuma Patnaik Murahari")</f>
        <v>Kusuma Patnaik Murahari</v>
      </c>
      <c r="B1144" s="96" t="str">
        <f>IFERROR(__xludf.DUMMYFUNCTION("""COMPUTED_VALUE"""),"18331A0584")</f>
        <v>18331A0584</v>
      </c>
      <c r="C1144" s="97" t="str">
        <f>IFERROR(__xludf.DUMMYFUNCTION("""COMPUTED_VALUE"""),"Fundamentals of Reinforcement Learning")</f>
        <v>Fundamentals of Reinforcement Learning</v>
      </c>
      <c r="D1144" s="96" t="str">
        <f>IFERROR(__xludf.DUMMYFUNCTION("""COMPUTED_VALUE"""),"Coursera")</f>
        <v>Coursera</v>
      </c>
      <c r="E1144" s="96" t="str">
        <f>IFERROR(__xludf.DUMMYFUNCTION("""COMPUTED_VALUE"""),"2 months")</f>
        <v>2 months</v>
      </c>
      <c r="F1144" s="98">
        <f>IFERROR(__xludf.DUMMYFUNCTION("""COMPUTED_VALUE"""),43952.0)</f>
        <v>43952</v>
      </c>
      <c r="G1144" s="98">
        <f>IFERROR(__xludf.DUMMYFUNCTION("""COMPUTED_VALUE"""),44012.0)</f>
        <v>44012</v>
      </c>
      <c r="H1144" s="99"/>
      <c r="I1144" s="100">
        <f>IFERROR(__xludf.DUMMYFUNCTION("""COMPUTED_VALUE"""),100.0)</f>
        <v>100</v>
      </c>
      <c r="J1144" s="96"/>
      <c r="K1144" s="101" t="str">
        <f>IFERROR(__xludf.DUMMYFUNCTION("""COMPUTED_VALUE"""),"https://drive.google.com/open?id=1sYnksARkbBRH36DH4LM5fqEX289sdZyx")</f>
        <v>https://drive.google.com/open?id=1sYnksARkbBRH36DH4LM5fqEX289sdZyx</v>
      </c>
      <c r="L1144" s="96"/>
      <c r="M1144" s="96" t="str">
        <f>IFERROR(__xludf.DUMMYFUNCTION("""COMPUTED_VALUE"""),"S4: Student Certifications")</f>
        <v>S4: Student Certifications</v>
      </c>
      <c r="N1144" s="96" t="str">
        <f>IFERROR(__xludf.DUMMYFUNCTION("""COMPUTED_VALUE"""),"muraharikusum2000@gmail.com")</f>
        <v>muraharikusum2000@gmail.com</v>
      </c>
      <c r="O1144" s="96" t="str">
        <f>IFERROR(__xludf.DUMMYFUNCTION("""COMPUTED_VALUE"""),"SEM-8")</f>
        <v>SEM-8</v>
      </c>
      <c r="P1144" s="96"/>
      <c r="Q1144" s="96"/>
      <c r="R1144" s="96"/>
      <c r="S1144" s="96"/>
      <c r="T1144" s="96"/>
      <c r="U1144" s="96"/>
      <c r="V1144" s="96"/>
      <c r="W1144" s="96"/>
      <c r="X1144" s="96"/>
      <c r="Y1144" s="96"/>
    </row>
    <row r="1145" ht="26.25" customHeight="1">
      <c r="A1145" s="96" t="str">
        <f>IFERROR(__xludf.DUMMYFUNCTION("""COMPUTED_VALUE"""),"Kusuma Patnaik Murahari")</f>
        <v>Kusuma Patnaik Murahari</v>
      </c>
      <c r="B1145" s="96" t="str">
        <f>IFERROR(__xludf.DUMMYFUNCTION("""COMPUTED_VALUE"""),"18331A0584")</f>
        <v>18331A0584</v>
      </c>
      <c r="C1145" s="97" t="str">
        <f>IFERROR(__xludf.DUMMYFUNCTION("""COMPUTED_VALUE"""),"Introduction to Cloud Computing")</f>
        <v>Introduction to Cloud Computing</v>
      </c>
      <c r="D1145" s="96" t="str">
        <f>IFERROR(__xludf.DUMMYFUNCTION("""COMPUTED_VALUE"""),"Coursera")</f>
        <v>Coursera</v>
      </c>
      <c r="E1145" s="96" t="str">
        <f>IFERROR(__xludf.DUMMYFUNCTION("""COMPUTED_VALUE"""),"2 months")</f>
        <v>2 months</v>
      </c>
      <c r="F1145" s="98">
        <f>IFERROR(__xludf.DUMMYFUNCTION("""COMPUTED_VALUE"""),43952.0)</f>
        <v>43952</v>
      </c>
      <c r="G1145" s="98">
        <f>IFERROR(__xludf.DUMMYFUNCTION("""COMPUTED_VALUE"""),44012.0)</f>
        <v>44012</v>
      </c>
      <c r="H1145" s="99"/>
      <c r="I1145" s="100">
        <f>IFERROR(__xludf.DUMMYFUNCTION("""COMPUTED_VALUE"""),100.0)</f>
        <v>100</v>
      </c>
      <c r="J1145" s="96"/>
      <c r="K1145" s="101" t="str">
        <f>IFERROR(__xludf.DUMMYFUNCTION("""COMPUTED_VALUE"""),"https://drive.google.com/open?id=1FjXr1Ng9TffXmB4XF1qXNJ2ZIcpbIWnl")</f>
        <v>https://drive.google.com/open?id=1FjXr1Ng9TffXmB4XF1qXNJ2ZIcpbIWnl</v>
      </c>
      <c r="L1145" s="96"/>
      <c r="M1145" s="96" t="str">
        <f>IFERROR(__xludf.DUMMYFUNCTION("""COMPUTED_VALUE"""),"S4: Student Certifications")</f>
        <v>S4: Student Certifications</v>
      </c>
      <c r="N1145" s="96" t="str">
        <f>IFERROR(__xludf.DUMMYFUNCTION("""COMPUTED_VALUE"""),"muraharikusum2000@gmail.com")</f>
        <v>muraharikusum2000@gmail.com</v>
      </c>
      <c r="O1145" s="96" t="str">
        <f>IFERROR(__xludf.DUMMYFUNCTION("""COMPUTED_VALUE"""),"SEM-8")</f>
        <v>SEM-8</v>
      </c>
      <c r="P1145" s="96"/>
      <c r="Q1145" s="96"/>
      <c r="R1145" s="96"/>
      <c r="S1145" s="96"/>
      <c r="T1145" s="96"/>
      <c r="U1145" s="96"/>
      <c r="V1145" s="96"/>
      <c r="W1145" s="96"/>
      <c r="X1145" s="96"/>
      <c r="Y1145" s="96"/>
    </row>
    <row r="1146" ht="26.25" customHeight="1">
      <c r="A1146" s="96" t="str">
        <f>IFERROR(__xludf.DUMMYFUNCTION("""COMPUTED_VALUE"""),"Kusuma Patnaik Murahari")</f>
        <v>Kusuma Patnaik Murahari</v>
      </c>
      <c r="B1146" s="96" t="str">
        <f>IFERROR(__xludf.DUMMYFUNCTION("""COMPUTED_VALUE"""),"18331A0584")</f>
        <v>18331A0584</v>
      </c>
      <c r="C1146" s="97" t="str">
        <f>IFERROR(__xludf.DUMMYFUNCTION("""COMPUTED_VALUE"""),"Introduction to Supply Chain Finance &amp; Blockchain Technology")</f>
        <v>Introduction to Supply Chain Finance &amp; Blockchain Technology</v>
      </c>
      <c r="D1146" s="96" t="str">
        <f>IFERROR(__xludf.DUMMYFUNCTION("""COMPUTED_VALUE"""),"Coursera")</f>
        <v>Coursera</v>
      </c>
      <c r="E1146" s="96" t="str">
        <f>IFERROR(__xludf.DUMMYFUNCTION("""COMPUTED_VALUE"""),"1 months")</f>
        <v>1 months</v>
      </c>
      <c r="F1146" s="98">
        <f>IFERROR(__xludf.DUMMYFUNCTION("""COMPUTED_VALUE"""),43983.0)</f>
        <v>43983</v>
      </c>
      <c r="G1146" s="98">
        <f>IFERROR(__xludf.DUMMYFUNCTION("""COMPUTED_VALUE"""),44012.0)</f>
        <v>44012</v>
      </c>
      <c r="H1146" s="99"/>
      <c r="I1146" s="100">
        <f>IFERROR(__xludf.DUMMYFUNCTION("""COMPUTED_VALUE"""),100.0)</f>
        <v>100</v>
      </c>
      <c r="J1146" s="96"/>
      <c r="K1146" s="101" t="str">
        <f>IFERROR(__xludf.DUMMYFUNCTION("""COMPUTED_VALUE"""),"https://drive.google.com/open?id=1D_MqyYU6mykNhb6EVNBTre0c9nh9ypiJ")</f>
        <v>https://drive.google.com/open?id=1D_MqyYU6mykNhb6EVNBTre0c9nh9ypiJ</v>
      </c>
      <c r="L1146" s="96"/>
      <c r="M1146" s="96" t="str">
        <f>IFERROR(__xludf.DUMMYFUNCTION("""COMPUTED_VALUE"""),"S4: Student Certifications")</f>
        <v>S4: Student Certifications</v>
      </c>
      <c r="N1146" s="96" t="str">
        <f>IFERROR(__xludf.DUMMYFUNCTION("""COMPUTED_VALUE"""),"muraharikusum2000@gmail.com")</f>
        <v>muraharikusum2000@gmail.com</v>
      </c>
      <c r="O1146" s="96" t="str">
        <f>IFERROR(__xludf.DUMMYFUNCTION("""COMPUTED_VALUE"""),"SEM-8")</f>
        <v>SEM-8</v>
      </c>
      <c r="P1146" s="96"/>
      <c r="Q1146" s="96"/>
      <c r="R1146" s="96"/>
      <c r="S1146" s="96"/>
      <c r="T1146" s="96"/>
      <c r="U1146" s="96"/>
      <c r="V1146" s="96"/>
      <c r="W1146" s="96"/>
      <c r="X1146" s="96"/>
      <c r="Y1146" s="96"/>
    </row>
    <row r="1147" ht="26.25" customHeight="1">
      <c r="A1147" s="96" t="str">
        <f>IFERROR(__xludf.DUMMYFUNCTION("""COMPUTED_VALUE"""),"Kusuma Patnaik Murahari")</f>
        <v>Kusuma Patnaik Murahari</v>
      </c>
      <c r="B1147" s="96" t="str">
        <f>IFERROR(__xludf.DUMMYFUNCTION("""COMPUTED_VALUE"""),"18331A0584")</f>
        <v>18331A0584</v>
      </c>
      <c r="C1147" s="97" t="str">
        <f>IFERROR(__xludf.DUMMYFUNCTION("""COMPUTED_VALUE"""),"Introduction To Swift Programming")</f>
        <v>Introduction To Swift Programming</v>
      </c>
      <c r="D1147" s="96" t="str">
        <f>IFERROR(__xludf.DUMMYFUNCTION("""COMPUTED_VALUE"""),"Coursera")</f>
        <v>Coursera</v>
      </c>
      <c r="E1147" s="96" t="str">
        <f>IFERROR(__xludf.DUMMYFUNCTION("""COMPUTED_VALUE"""),"2 months")</f>
        <v>2 months</v>
      </c>
      <c r="F1147" s="98">
        <f>IFERROR(__xludf.DUMMYFUNCTION("""COMPUTED_VALUE"""),44075.0)</f>
        <v>44075</v>
      </c>
      <c r="G1147" s="98">
        <f>IFERROR(__xludf.DUMMYFUNCTION("""COMPUTED_VALUE"""),44135.0)</f>
        <v>44135</v>
      </c>
      <c r="H1147" s="99"/>
      <c r="I1147" s="100">
        <f>IFERROR(__xludf.DUMMYFUNCTION("""COMPUTED_VALUE"""),100.0)</f>
        <v>100</v>
      </c>
      <c r="J1147" s="96"/>
      <c r="K1147" s="101" t="str">
        <f>IFERROR(__xludf.DUMMYFUNCTION("""COMPUTED_VALUE"""),"https://drive.google.com/open?id=1i8sDJwLtpKbK6AFs-xf4UsDOFGjdbMWl")</f>
        <v>https://drive.google.com/open?id=1i8sDJwLtpKbK6AFs-xf4UsDOFGjdbMWl</v>
      </c>
      <c r="L1147" s="96"/>
      <c r="M1147" s="96" t="str">
        <f>IFERROR(__xludf.DUMMYFUNCTION("""COMPUTED_VALUE"""),"S4: Student Certifications")</f>
        <v>S4: Student Certifications</v>
      </c>
      <c r="N1147" s="96" t="str">
        <f>IFERROR(__xludf.DUMMYFUNCTION("""COMPUTED_VALUE"""),"muraharikusum2000@gmail.com")</f>
        <v>muraharikusum2000@gmail.com</v>
      </c>
      <c r="O1147" s="96" t="str">
        <f>IFERROR(__xludf.DUMMYFUNCTION("""COMPUTED_VALUE"""),"SEM-8")</f>
        <v>SEM-8</v>
      </c>
      <c r="P1147" s="96"/>
      <c r="Q1147" s="96"/>
      <c r="R1147" s="96"/>
      <c r="S1147" s="96"/>
      <c r="T1147" s="96"/>
      <c r="U1147" s="96"/>
      <c r="V1147" s="96"/>
      <c r="W1147" s="96"/>
      <c r="X1147" s="96"/>
      <c r="Y1147" s="96"/>
    </row>
    <row r="1148" ht="26.25" customHeight="1">
      <c r="A1148" s="96" t="str">
        <f>IFERROR(__xludf.DUMMYFUNCTION("""COMPUTED_VALUE"""),"Kusuma Patnaik Murahari")</f>
        <v>Kusuma Patnaik Murahari</v>
      </c>
      <c r="B1148" s="96" t="str">
        <f>IFERROR(__xludf.DUMMYFUNCTION("""COMPUTED_VALUE"""),"18331A0584")</f>
        <v>18331A0584</v>
      </c>
      <c r="C1148" s="97" t="str">
        <f>IFERROR(__xludf.DUMMYFUNCTION("""COMPUTED_VALUE"""),"Introduction to the Internet of Things and Embedded Systems")</f>
        <v>Introduction to the Internet of Things and Embedded Systems</v>
      </c>
      <c r="D1148" s="96" t="str">
        <f>IFERROR(__xludf.DUMMYFUNCTION("""COMPUTED_VALUE"""),"Coursera")</f>
        <v>Coursera</v>
      </c>
      <c r="E1148" s="96" t="str">
        <f>IFERROR(__xludf.DUMMYFUNCTION("""COMPUTED_VALUE"""),"2 months")</f>
        <v>2 months</v>
      </c>
      <c r="F1148" s="98">
        <f>IFERROR(__xludf.DUMMYFUNCTION("""COMPUTED_VALUE"""),43922.0)</f>
        <v>43922</v>
      </c>
      <c r="G1148" s="98">
        <f>IFERROR(__xludf.DUMMYFUNCTION("""COMPUTED_VALUE"""),43982.0)</f>
        <v>43982</v>
      </c>
      <c r="H1148" s="99"/>
      <c r="I1148" s="100">
        <f>IFERROR(__xludf.DUMMYFUNCTION("""COMPUTED_VALUE"""),100.0)</f>
        <v>100</v>
      </c>
      <c r="J1148" s="96"/>
      <c r="K1148" s="101" t="str">
        <f>IFERROR(__xludf.DUMMYFUNCTION("""COMPUTED_VALUE"""),"https://drive.google.com/open?id=1y1fCL2YVjhAfki385uViUN7wTPMWnbzv")</f>
        <v>https://drive.google.com/open?id=1y1fCL2YVjhAfki385uViUN7wTPMWnbzv</v>
      </c>
      <c r="L1148" s="96"/>
      <c r="M1148" s="96" t="str">
        <f>IFERROR(__xludf.DUMMYFUNCTION("""COMPUTED_VALUE"""),"S4: Student Certifications")</f>
        <v>S4: Student Certifications</v>
      </c>
      <c r="N1148" s="96" t="str">
        <f>IFERROR(__xludf.DUMMYFUNCTION("""COMPUTED_VALUE"""),"muraharikusum2000@gmail.com")</f>
        <v>muraharikusum2000@gmail.com</v>
      </c>
      <c r="O1148" s="96" t="str">
        <f>IFERROR(__xludf.DUMMYFUNCTION("""COMPUTED_VALUE"""),"SEM-8")</f>
        <v>SEM-8</v>
      </c>
      <c r="P1148" s="96"/>
      <c r="Q1148" s="96"/>
      <c r="R1148" s="96"/>
      <c r="S1148" s="96"/>
      <c r="T1148" s="96"/>
      <c r="U1148" s="96"/>
      <c r="V1148" s="96"/>
      <c r="W1148" s="96"/>
      <c r="X1148" s="96"/>
      <c r="Y1148" s="96"/>
    </row>
    <row r="1149" ht="26.25" customHeight="1">
      <c r="A1149" s="96" t="str">
        <f>IFERROR(__xludf.DUMMYFUNCTION("""COMPUTED_VALUE"""),"Sravani Sreepada")</f>
        <v>Sravani Sreepada</v>
      </c>
      <c r="B1149" s="96" t="str">
        <f>IFERROR(__xludf.DUMMYFUNCTION("""COMPUTED_VALUE"""),"19331A05G1")</f>
        <v>19331A05G1</v>
      </c>
      <c r="C1149" s="97" t="str">
        <f>IFERROR(__xludf.DUMMYFUNCTION("""COMPUTED_VALUE"""),"Python Data Structures")</f>
        <v>Python Data Structures</v>
      </c>
      <c r="D1149" s="96" t="str">
        <f>IFERROR(__xludf.DUMMYFUNCTION("""COMPUTED_VALUE"""),"University of Michigan")</f>
        <v>University of Michigan</v>
      </c>
      <c r="E1149" s="96" t="str">
        <f>IFERROR(__xludf.DUMMYFUNCTION("""COMPUTED_VALUE"""),"7 weeks")</f>
        <v>7 weeks</v>
      </c>
      <c r="F1149" s="98">
        <f>IFERROR(__xludf.DUMMYFUNCTION("""COMPUTED_VALUE"""),43946.0)</f>
        <v>43946</v>
      </c>
      <c r="G1149" s="98">
        <f>IFERROR(__xludf.DUMMYFUNCTION("""COMPUTED_VALUE"""),43952.0)</f>
        <v>43952</v>
      </c>
      <c r="H1149" s="99"/>
      <c r="I1149" s="100">
        <f>IFERROR(__xludf.DUMMYFUNCTION("""COMPUTED_VALUE"""),100.0)</f>
        <v>100</v>
      </c>
      <c r="J1149" s="96"/>
      <c r="K1149" s="101" t="str">
        <f>IFERROR(__xludf.DUMMYFUNCTION("""COMPUTED_VALUE"""),"https://drive.google.com/open?id=1X1i0BWIEiZUQ6fk01-qqsazvTIQhfUSp")</f>
        <v>https://drive.google.com/open?id=1X1i0BWIEiZUQ6fk01-qqsazvTIQhfUSp</v>
      </c>
      <c r="L1149" s="96"/>
      <c r="M1149" s="96" t="str">
        <f>IFERROR(__xludf.DUMMYFUNCTION("""COMPUTED_VALUE"""),"S4: Student Certifications")</f>
        <v>S4: Student Certifications</v>
      </c>
      <c r="N1149" s="96" t="str">
        <f>IFERROR(__xludf.DUMMYFUNCTION("""COMPUTED_VALUE"""),"sreepadasravani@gmail.com")</f>
        <v>sreepadasravani@gmail.com</v>
      </c>
      <c r="O1149" s="96" t="str">
        <f>IFERROR(__xludf.DUMMYFUNCTION("""COMPUTED_VALUE"""),"SEM-6")</f>
        <v>SEM-6</v>
      </c>
      <c r="P1149" s="96"/>
      <c r="Q1149" s="96"/>
      <c r="R1149" s="96"/>
      <c r="S1149" s="96"/>
      <c r="T1149" s="96"/>
      <c r="U1149" s="96"/>
      <c r="V1149" s="96"/>
      <c r="W1149" s="96"/>
      <c r="X1149" s="96"/>
      <c r="Y1149" s="96"/>
    </row>
    <row r="1150" ht="26.25" customHeight="1">
      <c r="A1150" s="96" t="str">
        <f>IFERROR(__xludf.DUMMYFUNCTION("""COMPUTED_VALUE"""),"Sravani Sreepada")</f>
        <v>Sravani Sreepada</v>
      </c>
      <c r="B1150" s="96" t="str">
        <f>IFERROR(__xludf.DUMMYFUNCTION("""COMPUTED_VALUE"""),"19331A05G1")</f>
        <v>19331A05G1</v>
      </c>
      <c r="C1150" s="97" t="str">
        <f>IFERROR(__xludf.DUMMYFUNCTION("""COMPUTED_VALUE"""),"Programming for Everybody (Getting Started with Python)")</f>
        <v>Programming for Everybody (Getting Started with Python)</v>
      </c>
      <c r="D1150" s="96" t="str">
        <f>IFERROR(__xludf.DUMMYFUNCTION("""COMPUTED_VALUE"""),"University of Michigan")</f>
        <v>University of Michigan</v>
      </c>
      <c r="E1150" s="96" t="str">
        <f>IFERROR(__xludf.DUMMYFUNCTION("""COMPUTED_VALUE"""),"7 weeks")</f>
        <v>7 weeks</v>
      </c>
      <c r="F1150" s="98">
        <f>IFERROR(__xludf.DUMMYFUNCTION("""COMPUTED_VALUE"""),43895.0)</f>
        <v>43895</v>
      </c>
      <c r="G1150" s="98">
        <f>IFERROR(__xludf.DUMMYFUNCTION("""COMPUTED_VALUE"""),43946.0)</f>
        <v>43946</v>
      </c>
      <c r="H1150" s="99"/>
      <c r="I1150" s="100">
        <f>IFERROR(__xludf.DUMMYFUNCTION("""COMPUTED_VALUE"""),99.08)</f>
        <v>99.08</v>
      </c>
      <c r="J1150" s="96"/>
      <c r="K1150" s="101" t="str">
        <f>IFERROR(__xludf.DUMMYFUNCTION("""COMPUTED_VALUE"""),"https://drive.google.com/open?id=1cocAhpT7zGXy2a1UrnMnHWoY1uvn3s-E")</f>
        <v>https://drive.google.com/open?id=1cocAhpT7zGXy2a1UrnMnHWoY1uvn3s-E</v>
      </c>
      <c r="L1150" s="96"/>
      <c r="M1150" s="96" t="str">
        <f>IFERROR(__xludf.DUMMYFUNCTION("""COMPUTED_VALUE"""),"S4: Student Certifications")</f>
        <v>S4: Student Certifications</v>
      </c>
      <c r="N1150" s="96" t="str">
        <f>IFERROR(__xludf.DUMMYFUNCTION("""COMPUTED_VALUE"""),"sreepadasravani@gmail.com")</f>
        <v>sreepadasravani@gmail.com</v>
      </c>
      <c r="O1150" s="96" t="str">
        <f>IFERROR(__xludf.DUMMYFUNCTION("""COMPUTED_VALUE"""),"SEM-6")</f>
        <v>SEM-6</v>
      </c>
      <c r="P1150" s="96"/>
      <c r="Q1150" s="96"/>
      <c r="R1150" s="96"/>
      <c r="S1150" s="96"/>
      <c r="T1150" s="96"/>
      <c r="U1150" s="96"/>
      <c r="V1150" s="96"/>
      <c r="W1150" s="96"/>
      <c r="X1150" s="96"/>
      <c r="Y1150" s="96"/>
    </row>
    <row r="1151" ht="26.25" customHeight="1">
      <c r="A1151" s="96" t="str">
        <f>IFERROR(__xludf.DUMMYFUNCTION("""COMPUTED_VALUE"""),"Sravani Sreepada")</f>
        <v>Sravani Sreepada</v>
      </c>
      <c r="B1151" s="96" t="str">
        <f>IFERROR(__xludf.DUMMYFUNCTION("""COMPUTED_VALUE"""),"19331A05G1")</f>
        <v>19331A05G1</v>
      </c>
      <c r="C1151" s="97" t="str">
        <f>IFERROR(__xludf.DUMMYFUNCTION("""COMPUTED_VALUE"""),"Using Databases with Python")</f>
        <v>Using Databases with Python</v>
      </c>
      <c r="D1151" s="96" t="str">
        <f>IFERROR(__xludf.DUMMYFUNCTION("""COMPUTED_VALUE"""),"University of Michigan")</f>
        <v>University of Michigan</v>
      </c>
      <c r="E1151" s="96" t="str">
        <f>IFERROR(__xludf.DUMMYFUNCTION("""COMPUTED_VALUE"""),"5 weeks")</f>
        <v>5 weeks</v>
      </c>
      <c r="F1151" s="98">
        <f>IFERROR(__xludf.DUMMYFUNCTION("""COMPUTED_VALUE"""),43983.0)</f>
        <v>43983</v>
      </c>
      <c r="G1151" s="98">
        <f>IFERROR(__xludf.DUMMYFUNCTION("""COMPUTED_VALUE"""),44036.0)</f>
        <v>44036</v>
      </c>
      <c r="H1151" s="99"/>
      <c r="I1151" s="100">
        <f>IFERROR(__xludf.DUMMYFUNCTION("""COMPUTED_VALUE"""),97.88)</f>
        <v>97.88</v>
      </c>
      <c r="J1151" s="96"/>
      <c r="K1151" s="101" t="str">
        <f>IFERROR(__xludf.DUMMYFUNCTION("""COMPUTED_VALUE"""),"https://drive.google.com/open?id=1kn2t1IVtdYwTvsCKKJrPPP0afcMDfMAt")</f>
        <v>https://drive.google.com/open?id=1kn2t1IVtdYwTvsCKKJrPPP0afcMDfMAt</v>
      </c>
      <c r="L1151" s="96"/>
      <c r="M1151" s="96" t="str">
        <f>IFERROR(__xludf.DUMMYFUNCTION("""COMPUTED_VALUE"""),"S4: Student Certifications")</f>
        <v>S4: Student Certifications</v>
      </c>
      <c r="N1151" s="96" t="str">
        <f>IFERROR(__xludf.DUMMYFUNCTION("""COMPUTED_VALUE"""),"sreepadasravani@gmail.com")</f>
        <v>sreepadasravani@gmail.com</v>
      </c>
      <c r="O1151" s="96" t="str">
        <f>IFERROR(__xludf.DUMMYFUNCTION("""COMPUTED_VALUE"""),"SEM-6")</f>
        <v>SEM-6</v>
      </c>
      <c r="P1151" s="96"/>
      <c r="Q1151" s="96"/>
      <c r="R1151" s="96"/>
      <c r="S1151" s="96"/>
      <c r="T1151" s="96"/>
      <c r="U1151" s="96"/>
      <c r="V1151" s="96"/>
      <c r="W1151" s="96"/>
      <c r="X1151" s="96"/>
      <c r="Y1151" s="96"/>
    </row>
    <row r="1152" ht="26.25" customHeight="1">
      <c r="A1152" s="96" t="str">
        <f>IFERROR(__xludf.DUMMYFUNCTION("""COMPUTED_VALUE"""),"Saravani Sreepada")</f>
        <v>Saravani Sreepada</v>
      </c>
      <c r="B1152" s="96" t="str">
        <f>IFERROR(__xludf.DUMMYFUNCTION("""COMPUTED_VALUE"""),"19331A05G1")</f>
        <v>19331A05G1</v>
      </c>
      <c r="C1152" s="97" t="str">
        <f>IFERROR(__xludf.DUMMYFUNCTION("""COMPUTED_VALUE"""),"Capstone: Retrieving, Processing, and Visualizing Data with Python")</f>
        <v>Capstone: Retrieving, Processing, and Visualizing Data with Python</v>
      </c>
      <c r="D1152" s="96" t="str">
        <f>IFERROR(__xludf.DUMMYFUNCTION("""COMPUTED_VALUE"""),"University of Michagan")</f>
        <v>University of Michagan</v>
      </c>
      <c r="E1152" s="96" t="str">
        <f>IFERROR(__xludf.DUMMYFUNCTION("""COMPUTED_VALUE"""),"6 weeks")</f>
        <v>6 weeks</v>
      </c>
      <c r="F1152" s="98">
        <f>IFERROR(__xludf.DUMMYFUNCTION("""COMPUTED_VALUE"""),43992.0)</f>
        <v>43992</v>
      </c>
      <c r="G1152" s="98">
        <f>IFERROR(__xludf.DUMMYFUNCTION("""COMPUTED_VALUE"""),44032.0)</f>
        <v>44032</v>
      </c>
      <c r="H1152" s="99"/>
      <c r="I1152" s="100">
        <f>IFERROR(__xludf.DUMMYFUNCTION("""COMPUTED_VALUE"""),96.15)</f>
        <v>96.15</v>
      </c>
      <c r="J1152" s="96"/>
      <c r="K1152" s="101" t="str">
        <f>IFERROR(__xludf.DUMMYFUNCTION("""COMPUTED_VALUE"""),"https://drive.google.com/open?id=1BMaENX90Y4WR0qcOD1aitqdZuLUI3Y_e")</f>
        <v>https://drive.google.com/open?id=1BMaENX90Y4WR0qcOD1aitqdZuLUI3Y_e</v>
      </c>
      <c r="L1152" s="96"/>
      <c r="M1152" s="96" t="str">
        <f>IFERROR(__xludf.DUMMYFUNCTION("""COMPUTED_VALUE"""),"S4: Student Certifications")</f>
        <v>S4: Student Certifications</v>
      </c>
      <c r="N1152" s="96" t="str">
        <f>IFERROR(__xludf.DUMMYFUNCTION("""COMPUTED_VALUE"""),"sreepadasravani@gmail.com")</f>
        <v>sreepadasravani@gmail.com</v>
      </c>
      <c r="O1152" s="96" t="str">
        <f>IFERROR(__xludf.DUMMYFUNCTION("""COMPUTED_VALUE"""),"SEM-6")</f>
        <v>SEM-6</v>
      </c>
      <c r="P1152" s="96"/>
      <c r="Q1152" s="96"/>
      <c r="R1152" s="96"/>
      <c r="S1152" s="96"/>
      <c r="T1152" s="96"/>
      <c r="U1152" s="96"/>
      <c r="V1152" s="96"/>
      <c r="W1152" s="96"/>
      <c r="X1152" s="96"/>
      <c r="Y1152" s="96"/>
    </row>
    <row r="1153" ht="26.25" customHeight="1">
      <c r="A1153" s="96" t="str">
        <f>IFERROR(__xludf.DUMMYFUNCTION("""COMPUTED_VALUE"""),"Sravani Sreepada")</f>
        <v>Sravani Sreepada</v>
      </c>
      <c r="B1153" s="96" t="str">
        <f>IFERROR(__xludf.DUMMYFUNCTION("""COMPUTED_VALUE"""),"19331A05G1")</f>
        <v>19331A05G1</v>
      </c>
      <c r="C1153" s="97" t="str">
        <f>IFERROR(__xludf.DUMMYFUNCTION("""COMPUTED_VALUE"""),"Using Python to Access Web Data")</f>
        <v>Using Python to Access Web Data</v>
      </c>
      <c r="D1153" s="96" t="str">
        <f>IFERROR(__xludf.DUMMYFUNCTION("""COMPUTED_VALUE"""),"University of Michigan")</f>
        <v>University of Michigan</v>
      </c>
      <c r="E1153" s="96" t="str">
        <f>IFERROR(__xludf.DUMMYFUNCTION("""COMPUTED_VALUE"""),"6 weeks of study")</f>
        <v>6 weeks of study</v>
      </c>
      <c r="F1153" s="98">
        <f>IFERROR(__xludf.DUMMYFUNCTION("""COMPUTED_VALUE"""),43961.0)</f>
        <v>43961</v>
      </c>
      <c r="G1153" s="98">
        <f>IFERROR(__xludf.DUMMYFUNCTION("""COMPUTED_VALUE"""),44004.0)</f>
        <v>44004</v>
      </c>
      <c r="H1153" s="99"/>
      <c r="I1153" s="100">
        <f>IFERROR(__xludf.DUMMYFUNCTION("""COMPUTED_VALUE"""),96.12)</f>
        <v>96.12</v>
      </c>
      <c r="J1153" s="96"/>
      <c r="K1153" s="101" t="str">
        <f>IFERROR(__xludf.DUMMYFUNCTION("""COMPUTED_VALUE"""),"https://drive.google.com/open?id=1gDbmkgWMEq04Q5zhILe0mPyQGDKe69Rx")</f>
        <v>https://drive.google.com/open?id=1gDbmkgWMEq04Q5zhILe0mPyQGDKe69Rx</v>
      </c>
      <c r="L1153" s="96"/>
      <c r="M1153" s="96" t="str">
        <f>IFERROR(__xludf.DUMMYFUNCTION("""COMPUTED_VALUE"""),"S4: Student Certifications")</f>
        <v>S4: Student Certifications</v>
      </c>
      <c r="N1153" s="96" t="str">
        <f>IFERROR(__xludf.DUMMYFUNCTION("""COMPUTED_VALUE"""),"sreepadasravani@gmail.com")</f>
        <v>sreepadasravani@gmail.com</v>
      </c>
      <c r="O1153" s="96" t="str">
        <f>IFERROR(__xludf.DUMMYFUNCTION("""COMPUTED_VALUE"""),"SEM-6")</f>
        <v>SEM-6</v>
      </c>
      <c r="P1153" s="96"/>
      <c r="Q1153" s="96"/>
      <c r="R1153" s="96"/>
      <c r="S1153" s="96"/>
      <c r="T1153" s="96"/>
      <c r="U1153" s="96"/>
      <c r="V1153" s="96"/>
      <c r="W1153" s="96"/>
      <c r="X1153" s="96"/>
      <c r="Y1153" s="96"/>
    </row>
    <row r="1154" ht="26.25" customHeight="1">
      <c r="A1154" s="96" t="str">
        <f>IFERROR(__xludf.DUMMYFUNCTION("""COMPUTED_VALUE"""),"Sravani Sreepada")</f>
        <v>Sravani Sreepada</v>
      </c>
      <c r="B1154" s="96" t="str">
        <f>IFERROR(__xludf.DUMMYFUNCTION("""COMPUTED_VALUE"""),"19331A05G1")</f>
        <v>19331A05G1</v>
      </c>
      <c r="C1154" s="97" t="str">
        <f>IFERROR(__xludf.DUMMYFUNCTION("""COMPUTED_VALUE"""),"AI for Everyone")</f>
        <v>AI for Everyone</v>
      </c>
      <c r="D1154" s="101" t="str">
        <f>IFERROR(__xludf.DUMMYFUNCTION("""COMPUTED_VALUE"""),"DeepLearning.AI")</f>
        <v>DeepLearning.AI</v>
      </c>
      <c r="E1154" s="96" t="str">
        <f>IFERROR(__xludf.DUMMYFUNCTION("""COMPUTED_VALUE"""),"4 weeks")</f>
        <v>4 weeks</v>
      </c>
      <c r="F1154" s="98">
        <f>IFERROR(__xludf.DUMMYFUNCTION("""COMPUTED_VALUE"""),43952.0)</f>
        <v>43952</v>
      </c>
      <c r="G1154" s="98">
        <f>IFERROR(__xludf.DUMMYFUNCTION("""COMPUTED_VALUE"""),43982.0)</f>
        <v>43982</v>
      </c>
      <c r="H1154" s="99"/>
      <c r="I1154" s="100">
        <f>IFERROR(__xludf.DUMMYFUNCTION("""COMPUTED_VALUE"""),98.25)</f>
        <v>98.25</v>
      </c>
      <c r="J1154" s="96"/>
      <c r="K1154" s="101" t="str">
        <f>IFERROR(__xludf.DUMMYFUNCTION("""COMPUTED_VALUE"""),"https://drive.google.com/open?id=1MqwlNBjN4GdPpbDSL5mQ0tolJ7I2sXUI")</f>
        <v>https://drive.google.com/open?id=1MqwlNBjN4GdPpbDSL5mQ0tolJ7I2sXUI</v>
      </c>
      <c r="L1154" s="96"/>
      <c r="M1154" s="96" t="str">
        <f>IFERROR(__xludf.DUMMYFUNCTION("""COMPUTED_VALUE"""),"S4: Student Certifications")</f>
        <v>S4: Student Certifications</v>
      </c>
      <c r="N1154" s="96" t="str">
        <f>IFERROR(__xludf.DUMMYFUNCTION("""COMPUTED_VALUE"""),"sreepadasravani@gmail.com")</f>
        <v>sreepadasravani@gmail.com</v>
      </c>
      <c r="O1154" s="96" t="str">
        <f>IFERROR(__xludf.DUMMYFUNCTION("""COMPUTED_VALUE"""),"SEM-6")</f>
        <v>SEM-6</v>
      </c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</row>
    <row r="1155" ht="26.25" customHeight="1">
      <c r="A1155" s="96" t="str">
        <f>IFERROR(__xludf.DUMMYFUNCTION("""COMPUTED_VALUE"""),"INDU KAMBAPU")</f>
        <v>INDU KAMBAPU</v>
      </c>
      <c r="B1155" s="96" t="str">
        <f>IFERROR(__xludf.DUMMYFUNCTION("""COMPUTED_VALUE"""),"18331A0565")</f>
        <v>18331A0565</v>
      </c>
      <c r="C1155" s="97" t="str">
        <f>IFERROR(__xludf.DUMMYFUNCTION("""COMPUTED_VALUE"""),"PYTHON BASICS")</f>
        <v>PYTHON BASICS</v>
      </c>
      <c r="D1155" s="96" t="str">
        <f>IFERROR(__xludf.DUMMYFUNCTION("""COMPUTED_VALUE"""),"COURSERA")</f>
        <v>COURSERA</v>
      </c>
      <c r="E1155" s="96" t="str">
        <f>IFERROR(__xludf.DUMMYFUNCTION("""COMPUTED_VALUE"""),"4 WEEKS")</f>
        <v>4 WEEKS</v>
      </c>
      <c r="F1155" s="98">
        <f>IFERROR(__xludf.DUMMYFUNCTION("""COMPUTED_VALUE"""),44479.0)</f>
        <v>44479</v>
      </c>
      <c r="G1155" s="98">
        <f>IFERROR(__xludf.DUMMYFUNCTION("""COMPUTED_VALUE"""),44513.0)</f>
        <v>44513</v>
      </c>
      <c r="H1155" s="99"/>
      <c r="I1155" s="100">
        <f>IFERROR(__xludf.DUMMYFUNCTION("""COMPUTED_VALUE"""),100.0)</f>
        <v>100</v>
      </c>
      <c r="J1155" s="96"/>
      <c r="K1155" s="101" t="str">
        <f>IFERROR(__xludf.DUMMYFUNCTION("""COMPUTED_VALUE"""),"https://drive.google.com/open?id=175hZfT5mALbCnDjklXXHfa7xUoGcLVfa")</f>
        <v>https://drive.google.com/open?id=175hZfT5mALbCnDjklXXHfa7xUoGcLVfa</v>
      </c>
      <c r="L1155" s="96"/>
      <c r="M1155" s="96" t="str">
        <f>IFERROR(__xludf.DUMMYFUNCTION("""COMPUTED_VALUE"""),"S4: Student Certifications")</f>
        <v>S4: Student Certifications</v>
      </c>
      <c r="N1155" s="96" t="str">
        <f>IFERROR(__xludf.DUMMYFUNCTION("""COMPUTED_VALUE"""),"kambapuindu@gmail.com")</f>
        <v>kambapuindu@gmail.com</v>
      </c>
      <c r="O1155" s="96" t="str">
        <f>IFERROR(__xludf.DUMMYFUNCTION("""COMPUTED_VALUE"""),"SEM-8")</f>
        <v>SEM-8</v>
      </c>
      <c r="P1155" s="96"/>
      <c r="Q1155" s="96"/>
      <c r="R1155" s="96"/>
      <c r="S1155" s="96"/>
      <c r="T1155" s="96"/>
      <c r="U1155" s="96"/>
      <c r="V1155" s="96"/>
      <c r="W1155" s="96"/>
      <c r="X1155" s="96"/>
      <c r="Y1155" s="96"/>
    </row>
    <row r="1156" ht="26.25" customHeight="1">
      <c r="A1156" s="96" t="str">
        <f>IFERROR(__xludf.DUMMYFUNCTION("""COMPUTED_VALUE"""),"Chitikana Spandana")</f>
        <v>Chitikana Spandana</v>
      </c>
      <c r="B1156" s="96" t="str">
        <f>IFERROR(__xludf.DUMMYFUNCTION("""COMPUTED_VALUE"""),"18331A0527")</f>
        <v>18331A0527</v>
      </c>
      <c r="C1156" s="97" t="str">
        <f>IFERROR(__xludf.DUMMYFUNCTION("""COMPUTED_VALUE"""),"Matlab OnRamp")</f>
        <v>Matlab OnRamp</v>
      </c>
      <c r="D1156" s="96" t="str">
        <f>IFERROR(__xludf.DUMMYFUNCTION("""COMPUTED_VALUE"""),"MathWorks")</f>
        <v>MathWorks</v>
      </c>
      <c r="E1156" s="96" t="str">
        <f>IFERROR(__xludf.DUMMYFUNCTION("""COMPUTED_VALUE"""),"1 month")</f>
        <v>1 month</v>
      </c>
      <c r="F1156" s="98">
        <f>IFERROR(__xludf.DUMMYFUNCTION("""COMPUTED_VALUE"""),44217.0)</f>
        <v>44217</v>
      </c>
      <c r="G1156" s="98">
        <f>IFERROR(__xludf.DUMMYFUNCTION("""COMPUTED_VALUE"""),44248.0)</f>
        <v>44248</v>
      </c>
      <c r="H1156" s="99"/>
      <c r="I1156" s="100">
        <f>IFERROR(__xludf.DUMMYFUNCTION("""COMPUTED_VALUE"""),100.0)</f>
        <v>100</v>
      </c>
      <c r="J1156" s="96"/>
      <c r="K1156" s="101" t="str">
        <f>IFERROR(__xludf.DUMMYFUNCTION("""COMPUTED_VALUE"""),"https://drive.google.com/open?id=195bDlEcFeF8Dkc1EwuP4HOHcdR4wl_h6")</f>
        <v>https://drive.google.com/open?id=195bDlEcFeF8Dkc1EwuP4HOHcdR4wl_h6</v>
      </c>
      <c r="L1156" s="96"/>
      <c r="M1156" s="96" t="str">
        <f>IFERROR(__xludf.DUMMYFUNCTION("""COMPUTED_VALUE"""),"S4: Student Certifications")</f>
        <v>S4: Student Certifications</v>
      </c>
      <c r="N1156" s="96" t="str">
        <f>IFERROR(__xludf.DUMMYFUNCTION("""COMPUTED_VALUE"""),"spandana1009@gmail.com")</f>
        <v>spandana1009@gmail.com</v>
      </c>
      <c r="O1156" s="96" t="str">
        <f>IFERROR(__xludf.DUMMYFUNCTION("""COMPUTED_VALUE"""),"SEM-8")</f>
        <v>SEM-8</v>
      </c>
      <c r="P1156" s="96"/>
      <c r="Q1156" s="96"/>
      <c r="R1156" s="96"/>
      <c r="S1156" s="96"/>
      <c r="T1156" s="96"/>
      <c r="U1156" s="96"/>
      <c r="V1156" s="96"/>
      <c r="W1156" s="96"/>
      <c r="X1156" s="96"/>
      <c r="Y1156" s="96"/>
    </row>
    <row r="1157" ht="26.25" customHeight="1">
      <c r="A1157" s="96" t="str">
        <f>IFERROR(__xludf.DUMMYFUNCTION("""COMPUTED_VALUE"""),"Chitikana Spandana")</f>
        <v>Chitikana Spandana</v>
      </c>
      <c r="B1157" s="96" t="str">
        <f>IFERROR(__xludf.DUMMYFUNCTION("""COMPUTED_VALUE"""),"18331A0527")</f>
        <v>18331A0527</v>
      </c>
      <c r="C1157" s="97" t="str">
        <f>IFERROR(__xludf.DUMMYFUNCTION("""COMPUTED_VALUE"""),"AWS Cloud Computing")</f>
        <v>AWS Cloud Computing</v>
      </c>
      <c r="D1157" s="96" t="str">
        <f>IFERROR(__xludf.DUMMYFUNCTION("""COMPUTED_VALUE"""),"AWS Academy")</f>
        <v>AWS Academy</v>
      </c>
      <c r="E1157" s="96" t="str">
        <f>IFERROR(__xludf.DUMMYFUNCTION("""COMPUTED_VALUE"""),"1 month")</f>
        <v>1 month</v>
      </c>
      <c r="F1157" s="98">
        <f>IFERROR(__xludf.DUMMYFUNCTION("""COMPUTED_VALUE"""),44512.0)</f>
        <v>44512</v>
      </c>
      <c r="G1157" s="98">
        <f>IFERROR(__xludf.DUMMYFUNCTION("""COMPUTED_VALUE"""),44542.0)</f>
        <v>44542</v>
      </c>
      <c r="H1157" s="99"/>
      <c r="I1157" s="100">
        <f>IFERROR(__xludf.DUMMYFUNCTION("""COMPUTED_VALUE"""),94.0)</f>
        <v>94</v>
      </c>
      <c r="J1157" s="96"/>
      <c r="K1157" s="101" t="str">
        <f>IFERROR(__xludf.DUMMYFUNCTION("""COMPUTED_VALUE"""),"https://drive.google.com/open?id=1AlUvaHkYa-_TmleSQ5sZqJdmTYWxcgK2")</f>
        <v>https://drive.google.com/open?id=1AlUvaHkYa-_TmleSQ5sZqJdmTYWxcgK2</v>
      </c>
      <c r="L1157" s="96"/>
      <c r="M1157" s="96" t="str">
        <f>IFERROR(__xludf.DUMMYFUNCTION("""COMPUTED_VALUE"""),"S4: Student Certifications")</f>
        <v>S4: Student Certifications</v>
      </c>
      <c r="N1157" s="96" t="str">
        <f>IFERROR(__xludf.DUMMYFUNCTION("""COMPUTED_VALUE"""),"spandana1009@gmail.com")</f>
        <v>spandana1009@gmail.com</v>
      </c>
      <c r="O1157" s="96" t="str">
        <f>IFERROR(__xludf.DUMMYFUNCTION("""COMPUTED_VALUE"""),"SEM-8")</f>
        <v>SEM-8</v>
      </c>
      <c r="P1157" s="96"/>
      <c r="Q1157" s="96"/>
      <c r="R1157" s="96"/>
      <c r="S1157" s="96"/>
      <c r="T1157" s="96"/>
      <c r="U1157" s="96"/>
      <c r="V1157" s="96"/>
      <c r="W1157" s="96"/>
      <c r="X1157" s="96"/>
      <c r="Y1157" s="96"/>
    </row>
    <row r="1158" ht="26.25" customHeight="1">
      <c r="A1158" s="96" t="str">
        <f>IFERROR(__xludf.DUMMYFUNCTION("""COMPUTED_VALUE"""),"Botcha Sai Siddhardha")</f>
        <v>Botcha Sai Siddhardha</v>
      </c>
      <c r="B1158" s="96" t="str">
        <f>IFERROR(__xludf.DUMMYFUNCTION("""COMPUTED_VALUE"""),"18331A0520")</f>
        <v>18331A0520</v>
      </c>
      <c r="C1158" s="97" t="str">
        <f>IFERROR(__xludf.DUMMYFUNCTION("""COMPUTED_VALUE"""),"AWS Cloud Computing")</f>
        <v>AWS Cloud Computing</v>
      </c>
      <c r="D1158" s="96" t="str">
        <f>IFERROR(__xludf.DUMMYFUNCTION("""COMPUTED_VALUE"""),"AWS Academy")</f>
        <v>AWS Academy</v>
      </c>
      <c r="E1158" s="96" t="str">
        <f>IFERROR(__xludf.DUMMYFUNCTION("""COMPUTED_VALUE"""),"1month")</f>
        <v>1month</v>
      </c>
      <c r="F1158" s="98">
        <f>IFERROR(__xludf.DUMMYFUNCTION("""COMPUTED_VALUE"""),44518.0)</f>
        <v>44518</v>
      </c>
      <c r="G1158" s="98">
        <f>IFERROR(__xludf.DUMMYFUNCTION("""COMPUTED_VALUE"""),44548.0)</f>
        <v>44548</v>
      </c>
      <c r="H1158" s="99"/>
      <c r="I1158" s="100">
        <f>IFERROR(__xludf.DUMMYFUNCTION("""COMPUTED_VALUE"""),93.0)</f>
        <v>93</v>
      </c>
      <c r="J1158" s="96"/>
      <c r="K1158" s="101" t="str">
        <f>IFERROR(__xludf.DUMMYFUNCTION("""COMPUTED_VALUE"""),"https://drive.google.com/open?id=1tl3mhFHOZyf6mgjcf4xPv-7-oHQyLmz5")</f>
        <v>https://drive.google.com/open?id=1tl3mhFHOZyf6mgjcf4xPv-7-oHQyLmz5</v>
      </c>
      <c r="L1158" s="96"/>
      <c r="M1158" s="96" t="str">
        <f>IFERROR(__xludf.DUMMYFUNCTION("""COMPUTED_VALUE"""),"S4: Student Certifications")</f>
        <v>S4: Student Certifications</v>
      </c>
      <c r="N1158" s="96" t="str">
        <f>IFERROR(__xludf.DUMMYFUNCTION("""COMPUTED_VALUE"""),"iamsiddhu007@gmail.com")</f>
        <v>iamsiddhu007@gmail.com</v>
      </c>
      <c r="O1158" s="96" t="str">
        <f>IFERROR(__xludf.DUMMYFUNCTION("""COMPUTED_VALUE"""),"SEM-8")</f>
        <v>SEM-8</v>
      </c>
      <c r="P1158" s="96"/>
      <c r="Q1158" s="96"/>
      <c r="R1158" s="96"/>
      <c r="S1158" s="96"/>
      <c r="T1158" s="96"/>
      <c r="U1158" s="96"/>
      <c r="V1158" s="96"/>
      <c r="W1158" s="96"/>
      <c r="X1158" s="96"/>
      <c r="Y1158" s="96"/>
    </row>
    <row r="1159" ht="26.25" customHeight="1">
      <c r="A1159" s="96" t="str">
        <f>IFERROR(__xludf.DUMMYFUNCTION("""COMPUTED_VALUE"""),"Botcha Sai Siddhardha")</f>
        <v>Botcha Sai Siddhardha</v>
      </c>
      <c r="B1159" s="96" t="str">
        <f>IFERROR(__xludf.DUMMYFUNCTION("""COMPUTED_VALUE"""),"18331A0520")</f>
        <v>18331A0520</v>
      </c>
      <c r="C1159" s="97" t="str">
        <f>IFERROR(__xludf.DUMMYFUNCTION("""COMPUTED_VALUE"""),"MATLAB ONRAMP")</f>
        <v>MATLAB ONRAMP</v>
      </c>
      <c r="D1159" s="96" t="str">
        <f>IFERROR(__xludf.DUMMYFUNCTION("""COMPUTED_VALUE"""),"MATHWORKS")</f>
        <v>MATHWORKS</v>
      </c>
      <c r="E1159" s="96" t="str">
        <f>IFERROR(__xludf.DUMMYFUNCTION("""COMPUTED_VALUE"""),"1month")</f>
        <v>1month</v>
      </c>
      <c r="F1159" s="98">
        <f>IFERROR(__xludf.DUMMYFUNCTION("""COMPUTED_VALUE"""),44208.0)</f>
        <v>44208</v>
      </c>
      <c r="G1159" s="98">
        <f>IFERROR(__xludf.DUMMYFUNCTION("""COMPUTED_VALUE"""),44239.0)</f>
        <v>44239</v>
      </c>
      <c r="H1159" s="99"/>
      <c r="I1159" s="100">
        <f>IFERROR(__xludf.DUMMYFUNCTION("""COMPUTED_VALUE"""),100.0)</f>
        <v>100</v>
      </c>
      <c r="J1159" s="96"/>
      <c r="K1159" s="101" t="str">
        <f>IFERROR(__xludf.DUMMYFUNCTION("""COMPUTED_VALUE"""),"https://drive.google.com/open?id=1cebBPJw2Cag9Y_PrtgN1o5PEGewL-_M-")</f>
        <v>https://drive.google.com/open?id=1cebBPJw2Cag9Y_PrtgN1o5PEGewL-_M-</v>
      </c>
      <c r="L1159" s="96"/>
      <c r="M1159" s="96" t="str">
        <f>IFERROR(__xludf.DUMMYFUNCTION("""COMPUTED_VALUE"""),"S4: Student Certifications")</f>
        <v>S4: Student Certifications</v>
      </c>
      <c r="N1159" s="96" t="str">
        <f>IFERROR(__xludf.DUMMYFUNCTION("""COMPUTED_VALUE"""),"iamsiddhu007@gmail.com")</f>
        <v>iamsiddhu007@gmail.com</v>
      </c>
      <c r="O1159" s="96" t="str">
        <f>IFERROR(__xludf.DUMMYFUNCTION("""COMPUTED_VALUE"""),"SEM-8")</f>
        <v>SEM-8</v>
      </c>
      <c r="P1159" s="96"/>
      <c r="Q1159" s="96"/>
      <c r="R1159" s="96"/>
      <c r="S1159" s="96"/>
      <c r="T1159" s="96"/>
      <c r="U1159" s="96"/>
      <c r="V1159" s="96"/>
      <c r="W1159" s="96"/>
      <c r="X1159" s="96"/>
      <c r="Y1159" s="96"/>
    </row>
    <row r="1160" ht="26.25" customHeight="1">
      <c r="A1160" s="96" t="str">
        <f>IFERROR(__xludf.DUMMYFUNCTION("""COMPUTED_VALUE"""),"Kolluru Sai Venkata Ravi Sastry")</f>
        <v>Kolluru Sai Venkata Ravi Sastry</v>
      </c>
      <c r="B1160" s="96" t="str">
        <f>IFERROR(__xludf.DUMMYFUNCTION("""COMPUTED_VALUE"""),"20331A0588")</f>
        <v>20331A0588</v>
      </c>
      <c r="C1160" s="97" t="str">
        <f>IFERROR(__xludf.DUMMYFUNCTION("""COMPUTED_VALUE"""),"Learn C++ Course")</f>
        <v>Learn C++ Course</v>
      </c>
      <c r="D1160" s="96" t="str">
        <f>IFERROR(__xludf.DUMMYFUNCTION("""COMPUTED_VALUE"""),"CODECADEMY")</f>
        <v>CODECADEMY</v>
      </c>
      <c r="E1160" s="96" t="str">
        <f>IFERROR(__xludf.DUMMYFUNCTION("""COMPUTED_VALUE"""),"3 months")</f>
        <v>3 months</v>
      </c>
      <c r="F1160" s="98">
        <f>IFERROR(__xludf.DUMMYFUNCTION("""COMPUTED_VALUE"""),44440.0)</f>
        <v>44440</v>
      </c>
      <c r="G1160" s="98">
        <f>IFERROR(__xludf.DUMMYFUNCTION("""COMPUTED_VALUE"""),44537.0)</f>
        <v>44537</v>
      </c>
      <c r="H1160" s="99"/>
      <c r="I1160" s="100">
        <f>IFERROR(__xludf.DUMMYFUNCTION("""COMPUTED_VALUE"""),90.0)</f>
        <v>90</v>
      </c>
      <c r="J1160" s="96"/>
      <c r="K1160" s="101" t="str">
        <f>IFERROR(__xludf.DUMMYFUNCTION("""COMPUTED_VALUE"""),"https://drive.google.com/open?id=1-PetfB6Tp194MjK0e-W1uHlAXhoGA3di")</f>
        <v>https://drive.google.com/open?id=1-PetfB6Tp194MjK0e-W1uHlAXhoGA3di</v>
      </c>
      <c r="L1160" s="96"/>
      <c r="M1160" s="96" t="str">
        <f>IFERROR(__xludf.DUMMYFUNCTION("""COMPUTED_VALUE"""),"S4: Student Certifications")</f>
        <v>S4: Student Certifications</v>
      </c>
      <c r="N1160" s="96" t="str">
        <f>IFERROR(__xludf.DUMMYFUNCTION("""COMPUTED_VALUE"""),"ravisastrykolluru2021@gmail.com")</f>
        <v>ravisastrykolluru2021@gmail.com</v>
      </c>
      <c r="O1160" s="96" t="str">
        <f>IFERROR(__xludf.DUMMYFUNCTION("""COMPUTED_VALUE"""),"SEM-4")</f>
        <v>SEM-4</v>
      </c>
      <c r="P1160" s="96"/>
      <c r="Q1160" s="96"/>
      <c r="R1160" s="96"/>
      <c r="S1160" s="96"/>
      <c r="T1160" s="96"/>
      <c r="U1160" s="96"/>
      <c r="V1160" s="96"/>
      <c r="W1160" s="96"/>
      <c r="X1160" s="96"/>
      <c r="Y1160" s="96"/>
    </row>
    <row r="1161" ht="26.25" customHeight="1">
      <c r="A1161" s="96" t="str">
        <f>IFERROR(__xludf.DUMMYFUNCTION("""COMPUTED_VALUE"""),"Killana Gayatri Venkata Manikanta")</f>
        <v>Killana Gayatri Venkata Manikanta</v>
      </c>
      <c r="B1161" s="96" t="str">
        <f>IFERROR(__xludf.DUMMYFUNCTION("""COMPUTED_VALUE"""),"18331A0576")</f>
        <v>18331A0576</v>
      </c>
      <c r="C1161" s="97" t="str">
        <f>IFERROR(__xludf.DUMMYFUNCTION("""COMPUTED_VALUE"""),"Python Programming")</f>
        <v>Python Programming</v>
      </c>
      <c r="D1161" s="96" t="str">
        <f>IFERROR(__xludf.DUMMYFUNCTION("""COMPUTED_VALUE"""),"Coursera")</f>
        <v>Coursera</v>
      </c>
      <c r="E1161" s="96" t="str">
        <f>IFERROR(__xludf.DUMMYFUNCTION("""COMPUTED_VALUE"""),"one month")</f>
        <v>one month</v>
      </c>
      <c r="F1161" s="98">
        <f>IFERROR(__xludf.DUMMYFUNCTION("""COMPUTED_VALUE"""),43923.0)</f>
        <v>43923</v>
      </c>
      <c r="G1161" s="98">
        <f>IFERROR(__xludf.DUMMYFUNCTION("""COMPUTED_VALUE"""),43953.0)</f>
        <v>43953</v>
      </c>
      <c r="H1161" s="99"/>
      <c r="I1161" s="100">
        <f>IFERROR(__xludf.DUMMYFUNCTION("""COMPUTED_VALUE"""),90.0)</f>
        <v>90</v>
      </c>
      <c r="J1161" s="96"/>
      <c r="K1161" s="101" t="str">
        <f>IFERROR(__xludf.DUMMYFUNCTION("""COMPUTED_VALUE"""),"https://drive.google.com/open?id=1yW-xpepQVwiCMkNuqsgGvt74qKTyQXq_")</f>
        <v>https://drive.google.com/open?id=1yW-xpepQVwiCMkNuqsgGvt74qKTyQXq_</v>
      </c>
      <c r="L1161" s="96"/>
      <c r="M1161" s="96" t="str">
        <f>IFERROR(__xludf.DUMMYFUNCTION("""COMPUTED_VALUE"""),"S4: Student Certifications")</f>
        <v>S4: Student Certifications</v>
      </c>
      <c r="N1161" s="96" t="str">
        <f>IFERROR(__xludf.DUMMYFUNCTION("""COMPUTED_VALUE"""),"manikantakillana22@gmail.com")</f>
        <v>manikantakillana22@gmail.com</v>
      </c>
      <c r="O1161" s="96" t="str">
        <f>IFERROR(__xludf.DUMMYFUNCTION("""COMPUTED_VALUE"""),"SEM-4")</f>
        <v>SEM-4</v>
      </c>
      <c r="P1161" s="96"/>
      <c r="Q1161" s="96"/>
      <c r="R1161" s="96"/>
      <c r="S1161" s="96"/>
      <c r="T1161" s="96"/>
      <c r="U1161" s="96"/>
      <c r="V1161" s="96"/>
      <c r="W1161" s="96"/>
      <c r="X1161" s="96"/>
      <c r="Y1161" s="96"/>
    </row>
    <row r="1162" ht="26.25" customHeight="1">
      <c r="A1162" s="96" t="str">
        <f>IFERROR(__xludf.DUMMYFUNCTION("""COMPUTED_VALUE"""),"Killana Gayatri Venkata Manikanta")</f>
        <v>Killana Gayatri Venkata Manikanta</v>
      </c>
      <c r="B1162" s="96" t="str">
        <f>IFERROR(__xludf.DUMMYFUNCTION("""COMPUTED_VALUE"""),"18331A0576")</f>
        <v>18331A0576</v>
      </c>
      <c r="C1162" s="97" t="str">
        <f>IFERROR(__xludf.DUMMYFUNCTION("""COMPUTED_VALUE"""),"AI for Everyone")</f>
        <v>AI for Everyone</v>
      </c>
      <c r="D1162" s="96" t="str">
        <f>IFERROR(__xludf.DUMMYFUNCTION("""COMPUTED_VALUE"""),"Coursera")</f>
        <v>Coursera</v>
      </c>
      <c r="E1162" s="96" t="str">
        <f>IFERROR(__xludf.DUMMYFUNCTION("""COMPUTED_VALUE"""),"one month")</f>
        <v>one month</v>
      </c>
      <c r="F1162" s="98">
        <f>IFERROR(__xludf.DUMMYFUNCTION("""COMPUTED_VALUE"""),43950.0)</f>
        <v>43950</v>
      </c>
      <c r="G1162" s="98">
        <f>IFERROR(__xludf.DUMMYFUNCTION("""COMPUTED_VALUE"""),43980.0)</f>
        <v>43980</v>
      </c>
      <c r="H1162" s="99"/>
      <c r="I1162" s="100">
        <f>IFERROR(__xludf.DUMMYFUNCTION("""COMPUTED_VALUE"""),90.0)</f>
        <v>90</v>
      </c>
      <c r="J1162" s="96"/>
      <c r="K1162" s="101" t="str">
        <f>IFERROR(__xludf.DUMMYFUNCTION("""COMPUTED_VALUE"""),"https://drive.google.com/open?id=18mtx8Qh8QHls3niSfI1jM6LKdhvuuQeL")</f>
        <v>https://drive.google.com/open?id=18mtx8Qh8QHls3niSfI1jM6LKdhvuuQeL</v>
      </c>
      <c r="L1162" s="96"/>
      <c r="M1162" s="96" t="str">
        <f>IFERROR(__xludf.DUMMYFUNCTION("""COMPUTED_VALUE"""),"S4: Student Certifications")</f>
        <v>S4: Student Certifications</v>
      </c>
      <c r="N1162" s="96" t="str">
        <f>IFERROR(__xludf.DUMMYFUNCTION("""COMPUTED_VALUE"""),"manikantakillana22@gmail.com")</f>
        <v>manikantakillana22@gmail.com</v>
      </c>
      <c r="O1162" s="96" t="str">
        <f>IFERROR(__xludf.DUMMYFUNCTION("""COMPUTED_VALUE"""),"SEM-4")</f>
        <v>SEM-4</v>
      </c>
      <c r="P1162" s="96"/>
      <c r="Q1162" s="96"/>
      <c r="R1162" s="96"/>
      <c r="S1162" s="96"/>
      <c r="T1162" s="96"/>
      <c r="U1162" s="96"/>
      <c r="V1162" s="96"/>
      <c r="W1162" s="96"/>
      <c r="X1162" s="96"/>
      <c r="Y1162" s="96"/>
    </row>
    <row r="1163" ht="26.25" customHeight="1">
      <c r="A1163" s="96" t="str">
        <f>IFERROR(__xludf.DUMMYFUNCTION("""COMPUTED_VALUE"""),"Jaswanth Vajrapu")</f>
        <v>Jaswanth Vajrapu</v>
      </c>
      <c r="B1163" s="96" t="str">
        <f>IFERROR(__xludf.DUMMYFUNCTION("""COMPUTED_VALUE"""),"18331A05G5")</f>
        <v>18331A05G5</v>
      </c>
      <c r="C1163" s="97" t="str">
        <f>IFERROR(__xludf.DUMMYFUNCTION("""COMPUTED_VALUE"""),"NDG Linux Essentials")</f>
        <v>NDG Linux Essentials</v>
      </c>
      <c r="D1163" s="96" t="str">
        <f>IFERROR(__xludf.DUMMYFUNCTION("""COMPUTED_VALUE"""),"CISCO")</f>
        <v>CISCO</v>
      </c>
      <c r="E1163" s="96" t="str">
        <f>IFERROR(__xludf.DUMMYFUNCTION("""COMPUTED_VALUE"""),"3 weeks")</f>
        <v>3 weeks</v>
      </c>
      <c r="F1163" s="98">
        <f>IFERROR(__xludf.DUMMYFUNCTION("""COMPUTED_VALUE"""),44056.0)</f>
        <v>44056</v>
      </c>
      <c r="G1163" s="98">
        <f>IFERROR(__xludf.DUMMYFUNCTION("""COMPUTED_VALUE"""),44070.0)</f>
        <v>44070</v>
      </c>
      <c r="H1163" s="99"/>
      <c r="I1163" s="100">
        <f>IFERROR(__xludf.DUMMYFUNCTION("""COMPUTED_VALUE"""),100.0)</f>
        <v>100</v>
      </c>
      <c r="J1163" s="96"/>
      <c r="K1163" s="101" t="str">
        <f>IFERROR(__xludf.DUMMYFUNCTION("""COMPUTED_VALUE"""),"https://drive.google.com/open?id=1msBWVmdG51966EXk0B4Mv4FHLbIxwHRY")</f>
        <v>https://drive.google.com/open?id=1msBWVmdG51966EXk0B4Mv4FHLbIxwHRY</v>
      </c>
      <c r="L1163" s="96"/>
      <c r="M1163" s="96" t="str">
        <f>IFERROR(__xludf.DUMMYFUNCTION("""COMPUTED_VALUE"""),"S4: Student Certifications")</f>
        <v>S4: Student Certifications</v>
      </c>
      <c r="N1163" s="96" t="str">
        <f>IFERROR(__xludf.DUMMYFUNCTION("""COMPUTED_VALUE"""),"jaswanth.vjp13@gmail.com")</f>
        <v>jaswanth.vjp13@gmail.com</v>
      </c>
      <c r="O1163" s="96" t="str">
        <f>IFERROR(__xludf.DUMMYFUNCTION("""COMPUTED_VALUE"""),"SEM-4")</f>
        <v>SEM-4</v>
      </c>
      <c r="P1163" s="96"/>
      <c r="Q1163" s="96"/>
      <c r="R1163" s="96"/>
      <c r="S1163" s="96"/>
      <c r="T1163" s="96"/>
      <c r="U1163" s="96"/>
      <c r="V1163" s="96"/>
      <c r="W1163" s="96"/>
      <c r="X1163" s="96"/>
      <c r="Y1163" s="96"/>
    </row>
    <row r="1164" ht="26.25" customHeight="1">
      <c r="A1164" s="96" t="str">
        <f>IFERROR(__xludf.DUMMYFUNCTION("""COMPUTED_VALUE"""),"CAROLINE CHRISTY THANDU")</f>
        <v>CAROLINE CHRISTY THANDU</v>
      </c>
      <c r="B1164" s="96" t="str">
        <f>IFERROR(__xludf.DUMMYFUNCTION("""COMPUTED_VALUE"""),"18331A05F4")</f>
        <v>18331A05F4</v>
      </c>
      <c r="C1164" s="97" t="str">
        <f>IFERROR(__xludf.DUMMYFUNCTION("""COMPUTED_VALUE"""),"DEEP LEARNING")</f>
        <v>DEEP LEARNING</v>
      </c>
      <c r="D1164" s="96" t="str">
        <f>IFERROR(__xludf.DUMMYFUNCTION("""COMPUTED_VALUE"""),"COURSERA")</f>
        <v>COURSERA</v>
      </c>
      <c r="E1164" s="96" t="str">
        <f>IFERROR(__xludf.DUMMYFUNCTION("""COMPUTED_VALUE"""),"1 MONTH")</f>
        <v>1 MONTH</v>
      </c>
      <c r="F1164" s="98">
        <f>IFERROR(__xludf.DUMMYFUNCTION("""COMPUTED_VALUE"""),43983.0)</f>
        <v>43983</v>
      </c>
      <c r="G1164" s="98">
        <f>IFERROR(__xludf.DUMMYFUNCTION("""COMPUTED_VALUE"""),44013.0)</f>
        <v>44013</v>
      </c>
      <c r="H1164" s="99"/>
      <c r="I1164" s="100">
        <f>IFERROR(__xludf.DUMMYFUNCTION("""COMPUTED_VALUE"""),100.0)</f>
        <v>100</v>
      </c>
      <c r="J1164" s="96"/>
      <c r="K1164" s="101" t="str">
        <f>IFERROR(__xludf.DUMMYFUNCTION("""COMPUTED_VALUE"""),"https://drive.google.com/open?id=112veMJq0xzh0LinE6l_JRL7s4NSz_v9u")</f>
        <v>https://drive.google.com/open?id=112veMJq0xzh0LinE6l_JRL7s4NSz_v9u</v>
      </c>
      <c r="L1164" s="96"/>
      <c r="M1164" s="96" t="str">
        <f>IFERROR(__xludf.DUMMYFUNCTION("""COMPUTED_VALUE"""),"S4: Student Certifications")</f>
        <v>S4: Student Certifications</v>
      </c>
      <c r="N1164" s="96" t="str">
        <f>IFERROR(__xludf.DUMMYFUNCTION("""COMPUTED_VALUE"""),"thanducarolinechristy@gmail.com")</f>
        <v>thanducarolinechristy@gmail.com</v>
      </c>
      <c r="O1164" s="96" t="str">
        <f>IFERROR(__xludf.DUMMYFUNCTION("""COMPUTED_VALUE"""),"SEM-5")</f>
        <v>SEM-5</v>
      </c>
      <c r="P1164" s="96"/>
      <c r="Q1164" s="96"/>
      <c r="R1164" s="96"/>
      <c r="S1164" s="96"/>
      <c r="T1164" s="96"/>
      <c r="U1164" s="96"/>
      <c r="V1164" s="96"/>
      <c r="W1164" s="96"/>
      <c r="X1164" s="96"/>
      <c r="Y1164" s="96"/>
    </row>
    <row r="1165" ht="26.25" customHeight="1">
      <c r="A1165" s="96" t="str">
        <f>IFERROR(__xludf.DUMMYFUNCTION("""COMPUTED_VALUE"""),"CAROLINE CHRISTY THANDU")</f>
        <v>CAROLINE CHRISTY THANDU</v>
      </c>
      <c r="B1165" s="96" t="str">
        <f>IFERROR(__xludf.DUMMYFUNCTION("""COMPUTED_VALUE"""),"18331A05F4")</f>
        <v>18331A05F4</v>
      </c>
      <c r="C1165" s="97" t="str">
        <f>IFERROR(__xludf.DUMMYFUNCTION("""COMPUTED_VALUE"""),"IBM-DATA SCIENCE")</f>
        <v>IBM-DATA SCIENCE</v>
      </c>
      <c r="D1165" s="96" t="str">
        <f>IFERROR(__xludf.DUMMYFUNCTION("""COMPUTED_VALUE"""),"COURSERA")</f>
        <v>COURSERA</v>
      </c>
      <c r="E1165" s="96" t="str">
        <f>IFERROR(__xludf.DUMMYFUNCTION("""COMPUTED_VALUE"""),"3 MONTHS")</f>
        <v>3 MONTHS</v>
      </c>
      <c r="F1165" s="98">
        <f>IFERROR(__xludf.DUMMYFUNCTION("""COMPUTED_VALUE"""),43872.0)</f>
        <v>43872</v>
      </c>
      <c r="G1165" s="98">
        <f>IFERROR(__xludf.DUMMYFUNCTION("""COMPUTED_VALUE"""),43962.0)</f>
        <v>43962</v>
      </c>
      <c r="H1165" s="99"/>
      <c r="I1165" s="100">
        <f>IFERROR(__xludf.DUMMYFUNCTION("""COMPUTED_VALUE"""),100.0)</f>
        <v>100</v>
      </c>
      <c r="J1165" s="96"/>
      <c r="K1165" s="101" t="str">
        <f>IFERROR(__xludf.DUMMYFUNCTION("""COMPUTED_VALUE"""),"https://drive.google.com/open?id=1GkJLAiWs5OCkGJFarEqQDBiY9ZkOQXz3")</f>
        <v>https://drive.google.com/open?id=1GkJLAiWs5OCkGJFarEqQDBiY9ZkOQXz3</v>
      </c>
      <c r="L1165" s="96"/>
      <c r="M1165" s="96" t="str">
        <f>IFERROR(__xludf.DUMMYFUNCTION("""COMPUTED_VALUE"""),"S4: Student Certifications")</f>
        <v>S4: Student Certifications</v>
      </c>
      <c r="N1165" s="96" t="str">
        <f>IFERROR(__xludf.DUMMYFUNCTION("""COMPUTED_VALUE"""),"thanducarolinechristy@gmail.com")</f>
        <v>thanducarolinechristy@gmail.com</v>
      </c>
      <c r="O1165" s="96" t="str">
        <f>IFERROR(__xludf.DUMMYFUNCTION("""COMPUTED_VALUE"""),"SEM-4")</f>
        <v>SEM-4</v>
      </c>
      <c r="P1165" s="96"/>
      <c r="Q1165" s="96"/>
      <c r="R1165" s="96"/>
      <c r="S1165" s="96"/>
      <c r="T1165" s="96"/>
      <c r="U1165" s="96"/>
      <c r="V1165" s="96"/>
      <c r="W1165" s="96"/>
      <c r="X1165" s="96"/>
      <c r="Y1165" s="96"/>
    </row>
    <row r="1166" ht="26.25" customHeight="1">
      <c r="A1166" s="96" t="str">
        <f>IFERROR(__xludf.DUMMYFUNCTION("""COMPUTED_VALUE"""),"CAROLINE CHRISTY THANDU")</f>
        <v>CAROLINE CHRISTY THANDU</v>
      </c>
      <c r="B1166" s="96" t="str">
        <f>IFERROR(__xludf.DUMMYFUNCTION("""COMPUTED_VALUE"""),"18331A05F4")</f>
        <v>18331A05F4</v>
      </c>
      <c r="C1166" s="97" t="str">
        <f>IFERROR(__xludf.DUMMYFUNCTION("""COMPUTED_VALUE"""),"INTRODUCTION OF HTML5")</f>
        <v>INTRODUCTION OF HTML5</v>
      </c>
      <c r="D1166" s="96" t="str">
        <f>IFERROR(__xludf.DUMMYFUNCTION("""COMPUTED_VALUE"""),"COURSERA")</f>
        <v>COURSERA</v>
      </c>
      <c r="E1166" s="96" t="str">
        <f>IFERROR(__xludf.DUMMYFUNCTION("""COMPUTED_VALUE"""),"1 MONTH")</f>
        <v>1 MONTH</v>
      </c>
      <c r="F1166" s="98">
        <f>IFERROR(__xludf.DUMMYFUNCTION("""COMPUTED_VALUE"""),44334.0)</f>
        <v>44334</v>
      </c>
      <c r="G1166" s="98">
        <f>IFERROR(__xludf.DUMMYFUNCTION("""COMPUTED_VALUE"""),44365.0)</f>
        <v>44365</v>
      </c>
      <c r="H1166" s="99"/>
      <c r="I1166" s="100">
        <f>IFERROR(__xludf.DUMMYFUNCTION("""COMPUTED_VALUE"""),100.0)</f>
        <v>100</v>
      </c>
      <c r="J1166" s="96"/>
      <c r="K1166" s="101" t="str">
        <f>IFERROR(__xludf.DUMMYFUNCTION("""COMPUTED_VALUE"""),"https://drive.google.com/open?id=1HbBOBFjpWwJUWbWeFISPsLGnbI5b-Rk6")</f>
        <v>https://drive.google.com/open?id=1HbBOBFjpWwJUWbWeFISPsLGnbI5b-Rk6</v>
      </c>
      <c r="L1166" s="96"/>
      <c r="M1166" s="96" t="str">
        <f>IFERROR(__xludf.DUMMYFUNCTION("""COMPUTED_VALUE"""),"S4: Student Certifications")</f>
        <v>S4: Student Certifications</v>
      </c>
      <c r="N1166" s="96" t="str">
        <f>IFERROR(__xludf.DUMMYFUNCTION("""COMPUTED_VALUE"""),"thanducarolinechristy@gmail.com")</f>
        <v>thanducarolinechristy@gmail.com</v>
      </c>
      <c r="O1166" s="96" t="str">
        <f>IFERROR(__xludf.DUMMYFUNCTION("""COMPUTED_VALUE"""),"SEM-4")</f>
        <v>SEM-4</v>
      </c>
      <c r="P1166" s="96"/>
      <c r="Q1166" s="96"/>
      <c r="R1166" s="96"/>
      <c r="S1166" s="96"/>
      <c r="T1166" s="96"/>
      <c r="U1166" s="96"/>
      <c r="V1166" s="96"/>
      <c r="W1166" s="96"/>
      <c r="X1166" s="96"/>
      <c r="Y1166" s="96"/>
    </row>
    <row r="1167" ht="26.25" customHeight="1">
      <c r="A1167" s="96" t="str">
        <f>IFERROR(__xludf.DUMMYFUNCTION("""COMPUTED_VALUE"""),"Chaitra Mudili")</f>
        <v>Chaitra Mudili</v>
      </c>
      <c r="B1167" s="96" t="str">
        <f>IFERROR(__xludf.DUMMYFUNCTION("""COMPUTED_VALUE"""),"18331A05A0")</f>
        <v>18331A05A0</v>
      </c>
      <c r="C1167" s="97" t="str">
        <f>IFERROR(__xludf.DUMMYFUNCTION("""COMPUTED_VALUE"""),"Introduction to Programming with MATLAB")</f>
        <v>Introduction to Programming with MATLAB</v>
      </c>
      <c r="D1167" s="96" t="str">
        <f>IFERROR(__xludf.DUMMYFUNCTION("""COMPUTED_VALUE"""),"Coursera")</f>
        <v>Coursera</v>
      </c>
      <c r="E1167" s="96" t="str">
        <f>IFERROR(__xludf.DUMMYFUNCTION("""COMPUTED_VALUE"""),"9 weeks")</f>
        <v>9 weeks</v>
      </c>
      <c r="F1167" s="98">
        <f>IFERROR(__xludf.DUMMYFUNCTION("""COMPUTED_VALUE"""),44060.0)</f>
        <v>44060</v>
      </c>
      <c r="G1167" s="98">
        <f>IFERROR(__xludf.DUMMYFUNCTION("""COMPUTED_VALUE"""),44127.0)</f>
        <v>44127</v>
      </c>
      <c r="H1167" s="99"/>
      <c r="I1167" s="100">
        <f>IFERROR(__xludf.DUMMYFUNCTION("""COMPUTED_VALUE"""),100.0)</f>
        <v>100</v>
      </c>
      <c r="J1167" s="96"/>
      <c r="K1167" s="101" t="str">
        <f>IFERROR(__xludf.DUMMYFUNCTION("""COMPUTED_VALUE"""),"https://drive.google.com/open?id=192CUUib81oebiH3Uwg1EQpKZbzFPu8ch")</f>
        <v>https://drive.google.com/open?id=192CUUib81oebiH3Uwg1EQpKZbzFPu8ch</v>
      </c>
      <c r="L1167" s="96"/>
      <c r="M1167" s="96" t="str">
        <f>IFERROR(__xludf.DUMMYFUNCTION("""COMPUTED_VALUE"""),"S4: Student Certifications")</f>
        <v>S4: Student Certifications</v>
      </c>
      <c r="N1167" s="96" t="str">
        <f>IFERROR(__xludf.DUMMYFUNCTION("""COMPUTED_VALUE"""),"chaitra2026@gmail.com")</f>
        <v>chaitra2026@gmail.com</v>
      </c>
      <c r="O1167" s="96" t="str">
        <f>IFERROR(__xludf.DUMMYFUNCTION("""COMPUTED_VALUE"""),"SEM-4")</f>
        <v>SEM-4</v>
      </c>
      <c r="P1167" s="96"/>
      <c r="Q1167" s="96"/>
      <c r="R1167" s="96"/>
      <c r="S1167" s="96"/>
      <c r="T1167" s="96"/>
      <c r="U1167" s="96"/>
      <c r="V1167" s="96"/>
      <c r="W1167" s="96"/>
      <c r="X1167" s="96"/>
      <c r="Y1167" s="96"/>
    </row>
    <row r="1168" ht="26.25" customHeight="1">
      <c r="A1168" s="96" t="str">
        <f>IFERROR(__xludf.DUMMYFUNCTION("""COMPUTED_VALUE"""),"Chaitra Mudili")</f>
        <v>Chaitra Mudili</v>
      </c>
      <c r="B1168" s="96" t="str">
        <f>IFERROR(__xludf.DUMMYFUNCTION("""COMPUTED_VALUE"""),"18331A05A0")</f>
        <v>18331A05A0</v>
      </c>
      <c r="C1168" s="97" t="str">
        <f>IFERROR(__xludf.DUMMYFUNCTION("""COMPUTED_VALUE"""),"AI For Everyone")</f>
        <v>AI For Everyone</v>
      </c>
      <c r="D1168" s="96" t="str">
        <f>IFERROR(__xludf.DUMMYFUNCTION("""COMPUTED_VALUE"""),"Coursera | DeepLearning.AI")</f>
        <v>Coursera | DeepLearning.AI</v>
      </c>
      <c r="E1168" s="96" t="str">
        <f>IFERROR(__xludf.DUMMYFUNCTION("""COMPUTED_VALUE"""),"4 weeks")</f>
        <v>4 weeks</v>
      </c>
      <c r="F1168" s="98">
        <f>IFERROR(__xludf.DUMMYFUNCTION("""COMPUTED_VALUE"""),43866.0)</f>
        <v>43866</v>
      </c>
      <c r="G1168" s="98">
        <f>IFERROR(__xludf.DUMMYFUNCTION("""COMPUTED_VALUE"""),43895.0)</f>
        <v>43895</v>
      </c>
      <c r="H1168" s="99"/>
      <c r="I1168" s="100">
        <f>IFERROR(__xludf.DUMMYFUNCTION("""COMPUTED_VALUE"""),100.0)</f>
        <v>100</v>
      </c>
      <c r="J1168" s="96"/>
      <c r="K1168" s="101" t="str">
        <f>IFERROR(__xludf.DUMMYFUNCTION("""COMPUTED_VALUE"""),"https://drive.google.com/open?id=1K2pP69l4IZpEayf9v7vG7Bc3FFkps-Bh")</f>
        <v>https://drive.google.com/open?id=1K2pP69l4IZpEayf9v7vG7Bc3FFkps-Bh</v>
      </c>
      <c r="L1168" s="96"/>
      <c r="M1168" s="96" t="str">
        <f>IFERROR(__xludf.DUMMYFUNCTION("""COMPUTED_VALUE"""),"S4: Student Certifications")</f>
        <v>S4: Student Certifications</v>
      </c>
      <c r="N1168" s="96" t="str">
        <f>IFERROR(__xludf.DUMMYFUNCTION("""COMPUTED_VALUE"""),"chaitra2026@gmail.com")</f>
        <v>chaitra2026@gmail.com</v>
      </c>
      <c r="O1168" s="96" t="str">
        <f>IFERROR(__xludf.DUMMYFUNCTION("""COMPUTED_VALUE"""),"SEM-4")</f>
        <v>SEM-4</v>
      </c>
      <c r="P1168" s="96"/>
      <c r="Q1168" s="96"/>
      <c r="R1168" s="96"/>
      <c r="S1168" s="96"/>
      <c r="T1168" s="96"/>
      <c r="U1168" s="96"/>
      <c r="V1168" s="96"/>
      <c r="W1168" s="96"/>
      <c r="X1168" s="96"/>
      <c r="Y1168" s="96"/>
    </row>
    <row r="1169" ht="26.25" customHeight="1">
      <c r="A1169" s="96" t="str">
        <f>IFERROR(__xludf.DUMMYFUNCTION("""COMPUTED_VALUE"""),"Chaitra Mudili")</f>
        <v>Chaitra Mudili</v>
      </c>
      <c r="B1169" s="96" t="str">
        <f>IFERROR(__xludf.DUMMYFUNCTION("""COMPUTED_VALUE"""),"18331A05A0")</f>
        <v>18331A05A0</v>
      </c>
      <c r="C1169" s="97" t="str">
        <f>IFERROR(__xludf.DUMMYFUNCTION("""COMPUTED_VALUE"""),"Sharpened Visions: A Poetry Workshop")</f>
        <v>Sharpened Visions: A Poetry Workshop</v>
      </c>
      <c r="D1169" s="96" t="str">
        <f>IFERROR(__xludf.DUMMYFUNCTION("""COMPUTED_VALUE"""),"Coursera | California Institute of the Arts")</f>
        <v>Coursera | California Institute of the Arts</v>
      </c>
      <c r="E1169" s="96" t="str">
        <f>IFERROR(__xludf.DUMMYFUNCTION("""COMPUTED_VALUE"""),"6 weeks")</f>
        <v>6 weeks</v>
      </c>
      <c r="F1169" s="98">
        <f>IFERROR(__xludf.DUMMYFUNCTION("""COMPUTED_VALUE"""),43913.0)</f>
        <v>43913</v>
      </c>
      <c r="G1169" s="98">
        <f>IFERROR(__xludf.DUMMYFUNCTION("""COMPUTED_VALUE"""),43957.0)</f>
        <v>43957</v>
      </c>
      <c r="H1169" s="99"/>
      <c r="I1169" s="100">
        <f>IFERROR(__xludf.DUMMYFUNCTION("""COMPUTED_VALUE"""),100.0)</f>
        <v>100</v>
      </c>
      <c r="J1169" s="96"/>
      <c r="K1169" s="101" t="str">
        <f>IFERROR(__xludf.DUMMYFUNCTION("""COMPUTED_VALUE"""),"https://drive.google.com/open?id=1wePIJtkTPBZxuduivAe0mSpK9IJ6_eEh")</f>
        <v>https://drive.google.com/open?id=1wePIJtkTPBZxuduivAe0mSpK9IJ6_eEh</v>
      </c>
      <c r="L1169" s="96"/>
      <c r="M1169" s="96" t="str">
        <f>IFERROR(__xludf.DUMMYFUNCTION("""COMPUTED_VALUE"""),"S4: Student Certifications")</f>
        <v>S4: Student Certifications</v>
      </c>
      <c r="N1169" s="96" t="str">
        <f>IFERROR(__xludf.DUMMYFUNCTION("""COMPUTED_VALUE"""),"chaitra2026@gmail.com")</f>
        <v>chaitra2026@gmail.com</v>
      </c>
      <c r="O1169" s="96" t="str">
        <f>IFERROR(__xludf.DUMMYFUNCTION("""COMPUTED_VALUE"""),"SEM-4")</f>
        <v>SEM-4</v>
      </c>
      <c r="P1169" s="96"/>
      <c r="Q1169" s="96"/>
      <c r="R1169" s="96"/>
      <c r="S1169" s="96"/>
      <c r="T1169" s="96"/>
      <c r="U1169" s="96"/>
      <c r="V1169" s="96"/>
      <c r="W1169" s="96"/>
      <c r="X1169" s="96"/>
      <c r="Y1169" s="96"/>
    </row>
    <row r="1170" ht="26.25" customHeight="1">
      <c r="A1170" s="96" t="str">
        <f>IFERROR(__xludf.DUMMYFUNCTION("""COMPUTED_VALUE"""),"Chaitra Mudili")</f>
        <v>Chaitra Mudili</v>
      </c>
      <c r="B1170" s="96" t="str">
        <f>IFERROR(__xludf.DUMMYFUNCTION("""COMPUTED_VALUE"""),"18331A05A0")</f>
        <v>18331A05A0</v>
      </c>
      <c r="C1170" s="97" t="str">
        <f>IFERROR(__xludf.DUMMYFUNCTION("""COMPUTED_VALUE"""),"Programming for Everybody (Getting Started with Python)")</f>
        <v>Programming for Everybody (Getting Started with Python)</v>
      </c>
      <c r="D1170" s="96" t="str">
        <f>IFERROR(__xludf.DUMMYFUNCTION("""COMPUTED_VALUE"""),"Coursera | University of Michigan")</f>
        <v>Coursera | University of Michigan</v>
      </c>
      <c r="E1170" s="96" t="str">
        <f>IFERROR(__xludf.DUMMYFUNCTION("""COMPUTED_VALUE"""),"7 weeks")</f>
        <v>7 weeks</v>
      </c>
      <c r="F1170" s="98">
        <f>IFERROR(__xludf.DUMMYFUNCTION("""COMPUTED_VALUE"""),43891.0)</f>
        <v>43891</v>
      </c>
      <c r="G1170" s="98">
        <f>IFERROR(__xludf.DUMMYFUNCTION("""COMPUTED_VALUE"""),43952.0)</f>
        <v>43952</v>
      </c>
      <c r="H1170" s="99"/>
      <c r="I1170" s="100">
        <f>IFERROR(__xludf.DUMMYFUNCTION("""COMPUTED_VALUE"""),100.0)</f>
        <v>100</v>
      </c>
      <c r="J1170" s="96"/>
      <c r="K1170" s="101" t="str">
        <f>IFERROR(__xludf.DUMMYFUNCTION("""COMPUTED_VALUE"""),"https://drive.google.com/open?id=1OMYU9aO2e5oGVHpE80UbbKtuVvO-SPuR")</f>
        <v>https://drive.google.com/open?id=1OMYU9aO2e5oGVHpE80UbbKtuVvO-SPuR</v>
      </c>
      <c r="L1170" s="96"/>
      <c r="M1170" s="96" t="str">
        <f>IFERROR(__xludf.DUMMYFUNCTION("""COMPUTED_VALUE"""),"S4: Student Certifications")</f>
        <v>S4: Student Certifications</v>
      </c>
      <c r="N1170" s="96" t="str">
        <f>IFERROR(__xludf.DUMMYFUNCTION("""COMPUTED_VALUE"""),"chaitra2026@gmail.com")</f>
        <v>chaitra2026@gmail.com</v>
      </c>
      <c r="O1170" s="96" t="str">
        <f>IFERROR(__xludf.DUMMYFUNCTION("""COMPUTED_VALUE"""),"SEM-4")</f>
        <v>SEM-4</v>
      </c>
      <c r="P1170" s="96"/>
      <c r="Q1170" s="96"/>
      <c r="R1170" s="96"/>
      <c r="S1170" s="96"/>
      <c r="T1170" s="96"/>
      <c r="U1170" s="96"/>
      <c r="V1170" s="96"/>
      <c r="W1170" s="96"/>
      <c r="X1170" s="96"/>
      <c r="Y1170" s="96"/>
    </row>
    <row r="1171" ht="26.25" customHeight="1">
      <c r="A1171" s="96" t="str">
        <f>IFERROR(__xludf.DUMMYFUNCTION("""COMPUTED_VALUE"""),"Chaitra Mudili")</f>
        <v>Chaitra Mudili</v>
      </c>
      <c r="B1171" s="96" t="str">
        <f>IFERROR(__xludf.DUMMYFUNCTION("""COMPUTED_VALUE"""),"18331A05A0")</f>
        <v>18331A05A0</v>
      </c>
      <c r="C1171" s="97" t="str">
        <f>IFERROR(__xludf.DUMMYFUNCTION("""COMPUTED_VALUE"""),"Python Data Structures")</f>
        <v>Python Data Structures</v>
      </c>
      <c r="D1171" s="96" t="str">
        <f>IFERROR(__xludf.DUMMYFUNCTION("""COMPUTED_VALUE"""),"Coursera | University of Michigan")</f>
        <v>Coursera | University of Michigan</v>
      </c>
      <c r="E1171" s="96" t="str">
        <f>IFERROR(__xludf.DUMMYFUNCTION("""COMPUTED_VALUE"""),"8 weeks")</f>
        <v>8 weeks</v>
      </c>
      <c r="F1171" s="98">
        <f>IFERROR(__xludf.DUMMYFUNCTION("""COMPUTED_VALUE"""),43891.0)</f>
        <v>43891</v>
      </c>
      <c r="G1171" s="98">
        <f>IFERROR(__xludf.DUMMYFUNCTION("""COMPUTED_VALUE"""),43952.0)</f>
        <v>43952</v>
      </c>
      <c r="H1171" s="99"/>
      <c r="I1171" s="100">
        <f>IFERROR(__xludf.DUMMYFUNCTION("""COMPUTED_VALUE"""),100.0)</f>
        <v>100</v>
      </c>
      <c r="J1171" s="96"/>
      <c r="K1171" s="101" t="str">
        <f>IFERROR(__xludf.DUMMYFUNCTION("""COMPUTED_VALUE"""),"https://drive.google.com/open?id=1Siem2AsY6JCok9s2uwpBm_bmhUkH5mib")</f>
        <v>https://drive.google.com/open?id=1Siem2AsY6JCok9s2uwpBm_bmhUkH5mib</v>
      </c>
      <c r="L1171" s="96"/>
      <c r="M1171" s="96" t="str">
        <f>IFERROR(__xludf.DUMMYFUNCTION("""COMPUTED_VALUE"""),"S4: Student Certifications")</f>
        <v>S4: Student Certifications</v>
      </c>
      <c r="N1171" s="96" t="str">
        <f>IFERROR(__xludf.DUMMYFUNCTION("""COMPUTED_VALUE"""),"chaitra2026@gmail.com")</f>
        <v>chaitra2026@gmail.com</v>
      </c>
      <c r="O1171" s="96" t="str">
        <f>IFERROR(__xludf.DUMMYFUNCTION("""COMPUTED_VALUE"""),"SEM-4")</f>
        <v>SEM-4</v>
      </c>
      <c r="P1171" s="96"/>
      <c r="Q1171" s="96"/>
      <c r="R1171" s="96"/>
      <c r="S1171" s="96"/>
      <c r="T1171" s="96"/>
      <c r="U1171" s="96"/>
      <c r="V1171" s="96"/>
      <c r="W1171" s="96"/>
      <c r="X1171" s="96"/>
      <c r="Y1171" s="96"/>
    </row>
    <row r="1172" ht="26.25" customHeight="1">
      <c r="A1172" s="96" t="str">
        <f>IFERROR(__xludf.DUMMYFUNCTION("""COMPUTED_VALUE"""),"Chaitra Mudili")</f>
        <v>Chaitra Mudili</v>
      </c>
      <c r="B1172" s="96" t="str">
        <f>IFERROR(__xludf.DUMMYFUNCTION("""COMPUTED_VALUE"""),"18331A05A0")</f>
        <v>18331A05A0</v>
      </c>
      <c r="C1172" s="97" t="str">
        <f>IFERROR(__xludf.DUMMYFUNCTION("""COMPUTED_VALUE"""),"Using Python to Access Web Data")</f>
        <v>Using Python to Access Web Data</v>
      </c>
      <c r="D1172" s="96" t="str">
        <f>IFERROR(__xludf.DUMMYFUNCTION("""COMPUTED_VALUE"""),"Coursera | University of Michigan")</f>
        <v>Coursera | University of Michigan</v>
      </c>
      <c r="E1172" s="96" t="str">
        <f>IFERROR(__xludf.DUMMYFUNCTION("""COMPUTED_VALUE"""),"8 weeks")</f>
        <v>8 weeks</v>
      </c>
      <c r="F1172" s="98">
        <f>IFERROR(__xludf.DUMMYFUNCTION("""COMPUTED_VALUE"""),43891.0)</f>
        <v>43891</v>
      </c>
      <c r="G1172" s="98">
        <f>IFERROR(__xludf.DUMMYFUNCTION("""COMPUTED_VALUE"""),43952.0)</f>
        <v>43952</v>
      </c>
      <c r="H1172" s="99"/>
      <c r="I1172" s="100">
        <f>IFERROR(__xludf.DUMMYFUNCTION("""COMPUTED_VALUE"""),100.0)</f>
        <v>100</v>
      </c>
      <c r="J1172" s="96"/>
      <c r="K1172" s="101" t="str">
        <f>IFERROR(__xludf.DUMMYFUNCTION("""COMPUTED_VALUE"""),"https://drive.google.com/open?id=14dCAhb9W-sYw6z5Dnv2tUAUHwKPQNhfT")</f>
        <v>https://drive.google.com/open?id=14dCAhb9W-sYw6z5Dnv2tUAUHwKPQNhfT</v>
      </c>
      <c r="L1172" s="96"/>
      <c r="M1172" s="96" t="str">
        <f>IFERROR(__xludf.DUMMYFUNCTION("""COMPUTED_VALUE"""),"S4: Student Certifications")</f>
        <v>S4: Student Certifications</v>
      </c>
      <c r="N1172" s="96" t="str">
        <f>IFERROR(__xludf.DUMMYFUNCTION("""COMPUTED_VALUE"""),"chaitra2026@gmail.com")</f>
        <v>chaitra2026@gmail.com</v>
      </c>
      <c r="O1172" s="96" t="str">
        <f>IFERROR(__xludf.DUMMYFUNCTION("""COMPUTED_VALUE"""),"SEM-4")</f>
        <v>SEM-4</v>
      </c>
      <c r="P1172" s="96"/>
      <c r="Q1172" s="96"/>
      <c r="R1172" s="96"/>
      <c r="S1172" s="96"/>
      <c r="T1172" s="96"/>
      <c r="U1172" s="96"/>
      <c r="V1172" s="96"/>
      <c r="W1172" s="96"/>
      <c r="X1172" s="96"/>
      <c r="Y1172" s="96"/>
    </row>
    <row r="1173" ht="26.25" customHeight="1">
      <c r="A1173" s="96" t="str">
        <f>IFERROR(__xludf.DUMMYFUNCTION("""COMPUTED_VALUE"""),"Chaitra Mudili")</f>
        <v>Chaitra Mudili</v>
      </c>
      <c r="B1173" s="96" t="str">
        <f>IFERROR(__xludf.DUMMYFUNCTION("""COMPUTED_VALUE"""),"18331A05A0")</f>
        <v>18331A05A0</v>
      </c>
      <c r="C1173" s="97" t="str">
        <f>IFERROR(__xludf.DUMMYFUNCTION("""COMPUTED_VALUE"""),"Using Databases with Python")</f>
        <v>Using Databases with Python</v>
      </c>
      <c r="D1173" s="96" t="str">
        <f>IFERROR(__xludf.DUMMYFUNCTION("""COMPUTED_VALUE"""),"Coursera | University of Michigan")</f>
        <v>Coursera | University of Michigan</v>
      </c>
      <c r="E1173" s="96" t="str">
        <f>IFERROR(__xludf.DUMMYFUNCTION("""COMPUTED_VALUE"""),"8 weeks")</f>
        <v>8 weeks</v>
      </c>
      <c r="F1173" s="98">
        <f>IFERROR(__xludf.DUMMYFUNCTION("""COMPUTED_VALUE"""),43891.0)</f>
        <v>43891</v>
      </c>
      <c r="G1173" s="98">
        <f>IFERROR(__xludf.DUMMYFUNCTION("""COMPUTED_VALUE"""),43952.0)</f>
        <v>43952</v>
      </c>
      <c r="H1173" s="99"/>
      <c r="I1173" s="100">
        <f>IFERROR(__xludf.DUMMYFUNCTION("""COMPUTED_VALUE"""),100.0)</f>
        <v>100</v>
      </c>
      <c r="J1173" s="96"/>
      <c r="K1173" s="101" t="str">
        <f>IFERROR(__xludf.DUMMYFUNCTION("""COMPUTED_VALUE"""),"https://drive.google.com/open?id=1gvIeJBmIWboglyfy7muQNi943qgd3l6N")</f>
        <v>https://drive.google.com/open?id=1gvIeJBmIWboglyfy7muQNi943qgd3l6N</v>
      </c>
      <c r="L1173" s="96"/>
      <c r="M1173" s="96" t="str">
        <f>IFERROR(__xludf.DUMMYFUNCTION("""COMPUTED_VALUE"""),"S4: Student Certifications")</f>
        <v>S4: Student Certifications</v>
      </c>
      <c r="N1173" s="96" t="str">
        <f>IFERROR(__xludf.DUMMYFUNCTION("""COMPUTED_VALUE"""),"chaitra2026@gmail.com")</f>
        <v>chaitra2026@gmail.com</v>
      </c>
      <c r="O1173" s="96" t="str">
        <f>IFERROR(__xludf.DUMMYFUNCTION("""COMPUTED_VALUE"""),"SEM-4")</f>
        <v>SEM-4</v>
      </c>
      <c r="P1173" s="96"/>
      <c r="Q1173" s="96"/>
      <c r="R1173" s="96"/>
      <c r="S1173" s="96"/>
      <c r="T1173" s="96"/>
      <c r="U1173" s="96"/>
      <c r="V1173" s="96"/>
      <c r="W1173" s="96"/>
      <c r="X1173" s="96"/>
      <c r="Y1173" s="96"/>
    </row>
    <row r="1174" ht="26.25" customHeight="1">
      <c r="A1174" s="96" t="str">
        <f>IFERROR(__xludf.DUMMYFUNCTION("""COMPUTED_VALUE"""),"Chaitra Mudili")</f>
        <v>Chaitra Mudili</v>
      </c>
      <c r="B1174" s="96" t="str">
        <f>IFERROR(__xludf.DUMMYFUNCTION("""COMPUTED_VALUE"""),"18331A05A0")</f>
        <v>18331A05A0</v>
      </c>
      <c r="C1174" s="97" t="str">
        <f>IFERROR(__xludf.DUMMYFUNCTION("""COMPUTED_VALUE"""),"Capstone: Retrieving, Processing, and Visualizing Data with Python")</f>
        <v>Capstone: Retrieving, Processing, and Visualizing Data with Python</v>
      </c>
      <c r="D1174" s="96" t="str">
        <f>IFERROR(__xludf.DUMMYFUNCTION("""COMPUTED_VALUE"""),"Coursera | University of Michigan")</f>
        <v>Coursera | University of Michigan</v>
      </c>
      <c r="E1174" s="96" t="str">
        <f>IFERROR(__xludf.DUMMYFUNCTION("""COMPUTED_VALUE"""),"8 weeks")</f>
        <v>8 weeks</v>
      </c>
      <c r="F1174" s="98">
        <f>IFERROR(__xludf.DUMMYFUNCTION("""COMPUTED_VALUE"""),43891.0)</f>
        <v>43891</v>
      </c>
      <c r="G1174" s="98">
        <f>IFERROR(__xludf.DUMMYFUNCTION("""COMPUTED_VALUE"""),43952.0)</f>
        <v>43952</v>
      </c>
      <c r="H1174" s="99"/>
      <c r="I1174" s="100">
        <f>IFERROR(__xludf.DUMMYFUNCTION("""COMPUTED_VALUE"""),100.0)</f>
        <v>100</v>
      </c>
      <c r="J1174" s="96"/>
      <c r="K1174" s="101" t="str">
        <f>IFERROR(__xludf.DUMMYFUNCTION("""COMPUTED_VALUE"""),"https://drive.google.com/open?id=1l7KFUu-g2M5J8Qrkjw4GQKVPhWKr5RYW")</f>
        <v>https://drive.google.com/open?id=1l7KFUu-g2M5J8Qrkjw4GQKVPhWKr5RYW</v>
      </c>
      <c r="L1174" s="96"/>
      <c r="M1174" s="96" t="str">
        <f>IFERROR(__xludf.DUMMYFUNCTION("""COMPUTED_VALUE"""),"S4: Student Certifications")</f>
        <v>S4: Student Certifications</v>
      </c>
      <c r="N1174" s="96" t="str">
        <f>IFERROR(__xludf.DUMMYFUNCTION("""COMPUTED_VALUE"""),"chaitra2026@gmail.com")</f>
        <v>chaitra2026@gmail.com</v>
      </c>
      <c r="O1174" s="96" t="str">
        <f>IFERROR(__xludf.DUMMYFUNCTION("""COMPUTED_VALUE"""),"SEM-4")</f>
        <v>SEM-4</v>
      </c>
      <c r="P1174" s="96"/>
      <c r="Q1174" s="96"/>
      <c r="R1174" s="96"/>
      <c r="S1174" s="96"/>
      <c r="T1174" s="96"/>
      <c r="U1174" s="96"/>
      <c r="V1174" s="96"/>
      <c r="W1174" s="96"/>
      <c r="X1174" s="96"/>
      <c r="Y1174" s="96"/>
    </row>
    <row r="1175" ht="26.25" customHeight="1">
      <c r="A1175" s="96" t="str">
        <f>IFERROR(__xludf.DUMMYFUNCTION("""COMPUTED_VALUE"""),"Chaitra Mudili")</f>
        <v>Chaitra Mudili</v>
      </c>
      <c r="B1175" s="96" t="str">
        <f>IFERROR(__xludf.DUMMYFUNCTION("""COMPUTED_VALUE"""),"18331A05A0")</f>
        <v>18331A05A0</v>
      </c>
      <c r="C1175" s="97" t="str">
        <f>IFERROR(__xludf.DUMMYFUNCTION("""COMPUTED_VALUE"""),"Responsive Web Design")</f>
        <v>Responsive Web Design</v>
      </c>
      <c r="D1175" s="96" t="str">
        <f>IFERROR(__xludf.DUMMYFUNCTION("""COMPUTED_VALUE"""),"Coursera | University of London")</f>
        <v>Coursera | University of London</v>
      </c>
      <c r="E1175" s="96" t="str">
        <f>IFERROR(__xludf.DUMMYFUNCTION("""COMPUTED_VALUE"""),"8 weeks")</f>
        <v>8 weeks</v>
      </c>
      <c r="F1175" s="98">
        <f>IFERROR(__xludf.DUMMYFUNCTION("""COMPUTED_VALUE"""),43922.0)</f>
        <v>43922</v>
      </c>
      <c r="G1175" s="98">
        <f>IFERROR(__xludf.DUMMYFUNCTION("""COMPUTED_VALUE"""),43971.0)</f>
        <v>43971</v>
      </c>
      <c r="H1175" s="99"/>
      <c r="I1175" s="100">
        <f>IFERROR(__xludf.DUMMYFUNCTION("""COMPUTED_VALUE"""),100.0)</f>
        <v>100</v>
      </c>
      <c r="J1175" s="96"/>
      <c r="K1175" s="101" t="str">
        <f>IFERROR(__xludf.DUMMYFUNCTION("""COMPUTED_VALUE"""),"https://drive.google.com/open?id=1z8tJnoJolWBpv8YcnfnaZzeDb5Xdm8zZ")</f>
        <v>https://drive.google.com/open?id=1z8tJnoJolWBpv8YcnfnaZzeDb5Xdm8zZ</v>
      </c>
      <c r="L1175" s="96"/>
      <c r="M1175" s="96" t="str">
        <f>IFERROR(__xludf.DUMMYFUNCTION("""COMPUTED_VALUE"""),"S4: Student Certifications")</f>
        <v>S4: Student Certifications</v>
      </c>
      <c r="N1175" s="96" t="str">
        <f>IFERROR(__xludf.DUMMYFUNCTION("""COMPUTED_VALUE"""),"chaitra2026@gmail.com")</f>
        <v>chaitra2026@gmail.com</v>
      </c>
      <c r="O1175" s="96" t="str">
        <f>IFERROR(__xludf.DUMMYFUNCTION("""COMPUTED_VALUE"""),"SEM-4")</f>
        <v>SEM-4</v>
      </c>
      <c r="P1175" s="96"/>
      <c r="Q1175" s="96"/>
      <c r="R1175" s="96"/>
      <c r="S1175" s="96"/>
      <c r="T1175" s="96"/>
      <c r="U1175" s="96"/>
      <c r="V1175" s="96"/>
      <c r="W1175" s="96"/>
      <c r="X1175" s="96"/>
      <c r="Y1175" s="96"/>
    </row>
    <row r="1176" ht="26.25" customHeight="1">
      <c r="A1176" s="96" t="str">
        <f>IFERROR(__xludf.DUMMYFUNCTION("""COMPUTED_VALUE"""),"Chaitra Mudili")</f>
        <v>Chaitra Mudili</v>
      </c>
      <c r="B1176" s="96" t="str">
        <f>IFERROR(__xludf.DUMMYFUNCTION("""COMPUTED_VALUE"""),"18331A05A0")</f>
        <v>18331A05A0</v>
      </c>
      <c r="C1176" s="97" t="str">
        <f>IFERROR(__xludf.DUMMYFUNCTION("""COMPUTED_VALUE"""),"Responsive Website Basics: Code with HTML, CSS, and JavaScript")</f>
        <v>Responsive Website Basics: Code with HTML, CSS, and JavaScript</v>
      </c>
      <c r="D1176" s="96" t="str">
        <f>IFERROR(__xludf.DUMMYFUNCTION("""COMPUTED_VALUE"""),"Coursera | University of London")</f>
        <v>Coursera | University of London</v>
      </c>
      <c r="E1176" s="96" t="str">
        <f>IFERROR(__xludf.DUMMYFUNCTION("""COMPUTED_VALUE"""),"8 weeks")</f>
        <v>8 weeks</v>
      </c>
      <c r="F1176" s="98">
        <f>IFERROR(__xludf.DUMMYFUNCTION("""COMPUTED_VALUE"""),43891.0)</f>
        <v>43891</v>
      </c>
      <c r="G1176" s="98">
        <f>IFERROR(__xludf.DUMMYFUNCTION("""COMPUTED_VALUE"""),43952.0)</f>
        <v>43952</v>
      </c>
      <c r="H1176" s="99"/>
      <c r="I1176" s="100">
        <f>IFERROR(__xludf.DUMMYFUNCTION("""COMPUTED_VALUE"""),100.0)</f>
        <v>100</v>
      </c>
      <c r="J1176" s="96"/>
      <c r="K1176" s="101" t="str">
        <f>IFERROR(__xludf.DUMMYFUNCTION("""COMPUTED_VALUE"""),"https://drive.google.com/open?id=1uMYoubfB8v7-pspQFMkVvPtH4JmIEAP6")</f>
        <v>https://drive.google.com/open?id=1uMYoubfB8v7-pspQFMkVvPtH4JmIEAP6</v>
      </c>
      <c r="L1176" s="96"/>
      <c r="M1176" s="96" t="str">
        <f>IFERROR(__xludf.DUMMYFUNCTION("""COMPUTED_VALUE"""),"S4: Student Certifications")</f>
        <v>S4: Student Certifications</v>
      </c>
      <c r="N1176" s="96" t="str">
        <f>IFERROR(__xludf.DUMMYFUNCTION("""COMPUTED_VALUE"""),"chaitra2026@gmail.com")</f>
        <v>chaitra2026@gmail.com</v>
      </c>
      <c r="O1176" s="96" t="str">
        <f>IFERROR(__xludf.DUMMYFUNCTION("""COMPUTED_VALUE"""),"SEM-4")</f>
        <v>SEM-4</v>
      </c>
      <c r="P1176" s="96"/>
      <c r="Q1176" s="96"/>
      <c r="R1176" s="96"/>
      <c r="S1176" s="96"/>
      <c r="T1176" s="96"/>
      <c r="U1176" s="96"/>
      <c r="V1176" s="96"/>
      <c r="W1176" s="96"/>
      <c r="X1176" s="96"/>
      <c r="Y1176" s="96"/>
    </row>
    <row r="1177" ht="26.25" customHeight="1">
      <c r="A1177" s="96" t="str">
        <f>IFERROR(__xludf.DUMMYFUNCTION("""COMPUTED_VALUE"""),"Chaitra Mudili")</f>
        <v>Chaitra Mudili</v>
      </c>
      <c r="B1177" s="96" t="str">
        <f>IFERROR(__xludf.DUMMYFUNCTION("""COMPUTED_VALUE"""),"18331A05A0")</f>
        <v>18331A05A0</v>
      </c>
      <c r="C1177" s="97" t="str">
        <f>IFERROR(__xludf.DUMMYFUNCTION("""COMPUTED_VALUE"""),"What is Data Science?")</f>
        <v>What is Data Science?</v>
      </c>
      <c r="D1177" s="96" t="str">
        <f>IFERROR(__xludf.DUMMYFUNCTION("""COMPUTED_VALUE"""),"Coursera | IBM")</f>
        <v>Coursera | IBM</v>
      </c>
      <c r="E1177" s="96" t="str">
        <f>IFERROR(__xludf.DUMMYFUNCTION("""COMPUTED_VALUE"""),"4 weeks")</f>
        <v>4 weeks</v>
      </c>
      <c r="F1177" s="98">
        <f>IFERROR(__xludf.DUMMYFUNCTION("""COMPUTED_VALUE"""),43952.0)</f>
        <v>43952</v>
      </c>
      <c r="G1177" s="98">
        <f>IFERROR(__xludf.DUMMYFUNCTION("""COMPUTED_VALUE"""),44013.0)</f>
        <v>44013</v>
      </c>
      <c r="H1177" s="99"/>
      <c r="I1177" s="100">
        <f>IFERROR(__xludf.DUMMYFUNCTION("""COMPUTED_VALUE"""),100.0)</f>
        <v>100</v>
      </c>
      <c r="J1177" s="96"/>
      <c r="K1177" s="101" t="str">
        <f>IFERROR(__xludf.DUMMYFUNCTION("""COMPUTED_VALUE"""),"https://drive.google.com/open?id=1-F0i1lHRs4e9kzsaOJlVkCKSC8lyLuhr")</f>
        <v>https://drive.google.com/open?id=1-F0i1lHRs4e9kzsaOJlVkCKSC8lyLuhr</v>
      </c>
      <c r="L1177" s="96"/>
      <c r="M1177" s="96" t="str">
        <f>IFERROR(__xludf.DUMMYFUNCTION("""COMPUTED_VALUE"""),"S4: Student Certifications")</f>
        <v>S4: Student Certifications</v>
      </c>
      <c r="N1177" s="96" t="str">
        <f>IFERROR(__xludf.DUMMYFUNCTION("""COMPUTED_VALUE"""),"chaitra2026@gmail.com")</f>
        <v>chaitra2026@gmail.com</v>
      </c>
      <c r="O1177" s="96" t="str">
        <f>IFERROR(__xludf.DUMMYFUNCTION("""COMPUTED_VALUE"""),"SEM-4")</f>
        <v>SEM-4</v>
      </c>
      <c r="P1177" s="96"/>
      <c r="Q1177" s="96"/>
      <c r="R1177" s="96"/>
      <c r="S1177" s="96"/>
      <c r="T1177" s="96"/>
      <c r="U1177" s="96"/>
      <c r="V1177" s="96"/>
      <c r="W1177" s="96"/>
      <c r="X1177" s="96"/>
      <c r="Y1177" s="96"/>
    </row>
    <row r="1178" ht="26.25" customHeight="1">
      <c r="A1178" s="96" t="str">
        <f>IFERROR(__xludf.DUMMYFUNCTION("""COMPUTED_VALUE"""),"Chaitra Mudili")</f>
        <v>Chaitra Mudili</v>
      </c>
      <c r="B1178" s="96" t="str">
        <f>IFERROR(__xludf.DUMMYFUNCTION("""COMPUTED_VALUE"""),"18331A05A0")</f>
        <v>18331A05A0</v>
      </c>
      <c r="C1178" s="97" t="str">
        <f>IFERROR(__xludf.DUMMYFUNCTION("""COMPUTED_VALUE"""),"Tools for Data Science")</f>
        <v>Tools for Data Science</v>
      </c>
      <c r="D1178" s="96" t="str">
        <f>IFERROR(__xludf.DUMMYFUNCTION("""COMPUTED_VALUE"""),"Coursera | IBM")</f>
        <v>Coursera | IBM</v>
      </c>
      <c r="E1178" s="96" t="str">
        <f>IFERROR(__xludf.DUMMYFUNCTION("""COMPUTED_VALUE"""),"4 weeks")</f>
        <v>4 weeks</v>
      </c>
      <c r="F1178" s="98">
        <f>IFERROR(__xludf.DUMMYFUNCTION("""COMPUTED_VALUE"""),43983.0)</f>
        <v>43983</v>
      </c>
      <c r="G1178" s="98">
        <f>IFERROR(__xludf.DUMMYFUNCTION("""COMPUTED_VALUE"""),44013.0)</f>
        <v>44013</v>
      </c>
      <c r="H1178" s="99"/>
      <c r="I1178" s="100">
        <f>IFERROR(__xludf.DUMMYFUNCTION("""COMPUTED_VALUE"""),100.0)</f>
        <v>100</v>
      </c>
      <c r="J1178" s="96"/>
      <c r="K1178" s="101" t="str">
        <f>IFERROR(__xludf.DUMMYFUNCTION("""COMPUTED_VALUE"""),"https://drive.google.com/open?id=1qZo9Dc2rM5HaH96_wJI3ejAwSphAT30F")</f>
        <v>https://drive.google.com/open?id=1qZo9Dc2rM5HaH96_wJI3ejAwSphAT30F</v>
      </c>
      <c r="L1178" s="96"/>
      <c r="M1178" s="96" t="str">
        <f>IFERROR(__xludf.DUMMYFUNCTION("""COMPUTED_VALUE"""),"S4: Student Certifications")</f>
        <v>S4: Student Certifications</v>
      </c>
      <c r="N1178" s="96" t="str">
        <f>IFERROR(__xludf.DUMMYFUNCTION("""COMPUTED_VALUE"""),"chaitra2026@gmail.com")</f>
        <v>chaitra2026@gmail.com</v>
      </c>
      <c r="O1178" s="96" t="str">
        <f>IFERROR(__xludf.DUMMYFUNCTION("""COMPUTED_VALUE"""),"SEM-4")</f>
        <v>SEM-4</v>
      </c>
      <c r="P1178" s="96"/>
      <c r="Q1178" s="96"/>
      <c r="R1178" s="96"/>
      <c r="S1178" s="96"/>
      <c r="T1178" s="96"/>
      <c r="U1178" s="96"/>
      <c r="V1178" s="96"/>
      <c r="W1178" s="96"/>
      <c r="X1178" s="96"/>
      <c r="Y1178" s="96"/>
    </row>
    <row r="1179" ht="26.25" customHeight="1">
      <c r="A1179" s="96" t="str">
        <f>IFERROR(__xludf.DUMMYFUNCTION("""COMPUTED_VALUE"""),"Gorsa Uma Mahesh")</f>
        <v>Gorsa Uma Mahesh</v>
      </c>
      <c r="B1179" s="96" t="str">
        <f>IFERROR(__xludf.DUMMYFUNCTION("""COMPUTED_VALUE"""),"18331A0550")</f>
        <v>18331A0550</v>
      </c>
      <c r="C1179" s="97" t="str">
        <f>IFERROR(__xludf.DUMMYFUNCTION("""COMPUTED_VALUE"""),"Basics of C Programming for Beginners")</f>
        <v>Basics of C Programming for Beginners</v>
      </c>
      <c r="D1179" s="96" t="str">
        <f>IFERROR(__xludf.DUMMYFUNCTION("""COMPUTED_VALUE"""),"Udemy")</f>
        <v>Udemy</v>
      </c>
      <c r="E1179" s="96" t="str">
        <f>IFERROR(__xludf.DUMMYFUNCTION("""COMPUTED_VALUE"""),"1 hour")</f>
        <v>1 hour</v>
      </c>
      <c r="F1179" s="98">
        <f>IFERROR(__xludf.DUMMYFUNCTION("""COMPUTED_VALUE"""),43551.0)</f>
        <v>43551</v>
      </c>
      <c r="G1179" s="98">
        <f>IFERROR(__xludf.DUMMYFUNCTION("""COMPUTED_VALUE"""),43551.0)</f>
        <v>43551</v>
      </c>
      <c r="H1179" s="99"/>
      <c r="I1179" s="100">
        <f>IFERROR(__xludf.DUMMYFUNCTION("""COMPUTED_VALUE"""),100.0)</f>
        <v>100</v>
      </c>
      <c r="J1179" s="96"/>
      <c r="K1179" s="101" t="str">
        <f>IFERROR(__xludf.DUMMYFUNCTION("""COMPUTED_VALUE"""),"https://drive.google.com/open?id=1MTeM3Sd0EsoYG10fpWvr0ewCGWgFZwd9")</f>
        <v>https://drive.google.com/open?id=1MTeM3Sd0EsoYG10fpWvr0ewCGWgFZwd9</v>
      </c>
      <c r="L1179" s="96"/>
      <c r="M1179" s="96" t="str">
        <f>IFERROR(__xludf.DUMMYFUNCTION("""COMPUTED_VALUE"""),"S4: Student Certifications")</f>
        <v>S4: Student Certifications</v>
      </c>
      <c r="N1179" s="96" t="str">
        <f>IFERROR(__xludf.DUMMYFUNCTION("""COMPUTED_VALUE"""),"gorsaumamahesh@gmail.com")</f>
        <v>gorsaumamahesh@gmail.com</v>
      </c>
      <c r="O1179" s="96" t="str">
        <f>IFERROR(__xludf.DUMMYFUNCTION("""COMPUTED_VALUE"""),"SEM-8")</f>
        <v>SEM-8</v>
      </c>
      <c r="P1179" s="96"/>
      <c r="Q1179" s="96"/>
      <c r="R1179" s="96"/>
      <c r="S1179" s="96"/>
      <c r="T1179" s="96"/>
      <c r="U1179" s="96"/>
      <c r="V1179" s="96"/>
      <c r="W1179" s="96"/>
      <c r="X1179" s="96"/>
      <c r="Y1179" s="96"/>
    </row>
    <row r="1180" ht="26.25" customHeight="1">
      <c r="A1180" s="96" t="str">
        <f>IFERROR(__xludf.DUMMYFUNCTION("""COMPUTED_VALUE"""),"Gorsa Uma Mahesh")</f>
        <v>Gorsa Uma Mahesh</v>
      </c>
      <c r="B1180" s="96" t="str">
        <f>IFERROR(__xludf.DUMMYFUNCTION("""COMPUTED_VALUE"""),"18331A0550")</f>
        <v>18331A0550</v>
      </c>
      <c r="C1180" s="97" t="str">
        <f>IFERROR(__xludf.DUMMYFUNCTION("""COMPUTED_VALUE"""),"Programming for Everybody (Getting Started with Python)")</f>
        <v>Programming for Everybody (Getting Started with Python)</v>
      </c>
      <c r="D1180" s="96" t="str">
        <f>IFERROR(__xludf.DUMMYFUNCTION("""COMPUTED_VALUE"""),"Coursera")</f>
        <v>Coursera</v>
      </c>
      <c r="E1180" s="96" t="str">
        <f>IFERROR(__xludf.DUMMYFUNCTION("""COMPUTED_VALUE"""),"30 Days")</f>
        <v>30 Days</v>
      </c>
      <c r="F1180" s="98">
        <f>IFERROR(__xludf.DUMMYFUNCTION("""COMPUTED_VALUE"""),43995.0)</f>
        <v>43995</v>
      </c>
      <c r="G1180" s="98">
        <f>IFERROR(__xludf.DUMMYFUNCTION("""COMPUTED_VALUE"""),44025.0)</f>
        <v>44025</v>
      </c>
      <c r="H1180" s="99"/>
      <c r="I1180" s="100">
        <f>IFERROR(__xludf.DUMMYFUNCTION("""COMPUTED_VALUE"""),100.0)</f>
        <v>100</v>
      </c>
      <c r="J1180" s="96"/>
      <c r="K1180" s="101" t="str">
        <f>IFERROR(__xludf.DUMMYFUNCTION("""COMPUTED_VALUE"""),"https://drive.google.com/open?id=1NziKGpNoGVQBJ--vVPZgARNfKMK01KI1")</f>
        <v>https://drive.google.com/open?id=1NziKGpNoGVQBJ--vVPZgARNfKMK01KI1</v>
      </c>
      <c r="L1180" s="96"/>
      <c r="M1180" s="96" t="str">
        <f>IFERROR(__xludf.DUMMYFUNCTION("""COMPUTED_VALUE"""),"S4: Student Certifications")</f>
        <v>S4: Student Certifications</v>
      </c>
      <c r="N1180" s="96" t="str">
        <f>IFERROR(__xludf.DUMMYFUNCTION("""COMPUTED_VALUE"""),"gorsaumamahesh@gmail.com")</f>
        <v>gorsaumamahesh@gmail.com</v>
      </c>
      <c r="O1180" s="96" t="str">
        <f>IFERROR(__xludf.DUMMYFUNCTION("""COMPUTED_VALUE"""),"SEM-8")</f>
        <v>SEM-8</v>
      </c>
      <c r="P1180" s="96"/>
      <c r="Q1180" s="96"/>
      <c r="R1180" s="96"/>
      <c r="S1180" s="96"/>
      <c r="T1180" s="96"/>
      <c r="U1180" s="96"/>
      <c r="V1180" s="96"/>
      <c r="W1180" s="96"/>
      <c r="X1180" s="96"/>
      <c r="Y1180" s="96"/>
    </row>
    <row r="1181" ht="26.25" customHeight="1">
      <c r="A1181" s="96" t="str">
        <f>IFERROR(__xludf.DUMMYFUNCTION("""COMPUTED_VALUE"""),"Gorsa Uma Mahesh")</f>
        <v>Gorsa Uma Mahesh</v>
      </c>
      <c r="B1181" s="96" t="str">
        <f>IFERROR(__xludf.DUMMYFUNCTION("""COMPUTED_VALUE"""),"18331A0550")</f>
        <v>18331A0550</v>
      </c>
      <c r="C1181" s="97" t="str">
        <f>IFERROR(__xludf.DUMMYFUNCTION("""COMPUTED_VALUE"""),"AI For Everyone")</f>
        <v>AI For Everyone</v>
      </c>
      <c r="D1181" s="96" t="str">
        <f>IFERROR(__xludf.DUMMYFUNCTION("""COMPUTED_VALUE"""),"Coursera")</f>
        <v>Coursera</v>
      </c>
      <c r="E1181" s="96" t="str">
        <f>IFERROR(__xludf.DUMMYFUNCTION("""COMPUTED_VALUE"""),"30 Days")</f>
        <v>30 Days</v>
      </c>
      <c r="F1181" s="98">
        <f>IFERROR(__xludf.DUMMYFUNCTION("""COMPUTED_VALUE"""),44022.0)</f>
        <v>44022</v>
      </c>
      <c r="G1181" s="98">
        <f>IFERROR(__xludf.DUMMYFUNCTION("""COMPUTED_VALUE"""),44053.0)</f>
        <v>44053</v>
      </c>
      <c r="H1181" s="99"/>
      <c r="I1181" s="100">
        <f>IFERROR(__xludf.DUMMYFUNCTION("""COMPUTED_VALUE"""),100.0)</f>
        <v>100</v>
      </c>
      <c r="J1181" s="96"/>
      <c r="K1181" s="101" t="str">
        <f>IFERROR(__xludf.DUMMYFUNCTION("""COMPUTED_VALUE"""),"https://drive.google.com/open?id=17Xyl8xQNFxBtNZKVP87TJtmMU77hgaS-")</f>
        <v>https://drive.google.com/open?id=17Xyl8xQNFxBtNZKVP87TJtmMU77hgaS-</v>
      </c>
      <c r="L1181" s="96"/>
      <c r="M1181" s="96" t="str">
        <f>IFERROR(__xludf.DUMMYFUNCTION("""COMPUTED_VALUE"""),"S4: Student Certifications")</f>
        <v>S4: Student Certifications</v>
      </c>
      <c r="N1181" s="96" t="str">
        <f>IFERROR(__xludf.DUMMYFUNCTION("""COMPUTED_VALUE"""),"gorsaumamahesh@gmail.com")</f>
        <v>gorsaumamahesh@gmail.com</v>
      </c>
      <c r="O1181" s="96" t="str">
        <f>IFERROR(__xludf.DUMMYFUNCTION("""COMPUTED_VALUE"""),"SEM-8")</f>
        <v>SEM-8</v>
      </c>
      <c r="P1181" s="96"/>
      <c r="Q1181" s="96"/>
      <c r="R1181" s="96"/>
      <c r="S1181" s="96"/>
      <c r="T1181" s="96"/>
      <c r="U1181" s="96"/>
      <c r="V1181" s="96"/>
      <c r="W1181" s="96"/>
      <c r="X1181" s="96"/>
      <c r="Y1181" s="96"/>
    </row>
    <row r="1182" ht="26.25" customHeight="1">
      <c r="A1182" s="96"/>
      <c r="B1182" s="96"/>
      <c r="C1182" s="97"/>
      <c r="D1182" s="96"/>
      <c r="E1182" s="96"/>
      <c r="F1182" s="96"/>
      <c r="G1182" s="96"/>
      <c r="H1182" s="96"/>
      <c r="I1182" s="96"/>
      <c r="J1182" s="96"/>
      <c r="K1182" s="96"/>
      <c r="L1182" s="96"/>
      <c r="M1182" s="96"/>
      <c r="N1182" s="96"/>
      <c r="O1182" s="96"/>
      <c r="P1182" s="96"/>
      <c r="Q1182" s="96"/>
      <c r="R1182" s="96"/>
      <c r="S1182" s="96"/>
      <c r="T1182" s="96"/>
      <c r="U1182" s="96"/>
      <c r="V1182" s="96"/>
      <c r="W1182" s="96"/>
      <c r="X1182" s="96"/>
      <c r="Y1182" s="96"/>
    </row>
    <row r="1183" ht="26.25" customHeight="1">
      <c r="A1183" s="96"/>
      <c r="B1183" s="96"/>
      <c r="C1183" s="97"/>
      <c r="D1183" s="96"/>
      <c r="E1183" s="96"/>
      <c r="F1183" s="96"/>
      <c r="G1183" s="96"/>
      <c r="H1183" s="96"/>
      <c r="I1183" s="96"/>
      <c r="J1183" s="96"/>
      <c r="K1183" s="96"/>
      <c r="L1183" s="96"/>
      <c r="M1183" s="96"/>
      <c r="N1183" s="96"/>
      <c r="O1183" s="96"/>
      <c r="P1183" s="96"/>
      <c r="Q1183" s="96"/>
      <c r="R1183" s="96"/>
      <c r="S1183" s="96"/>
      <c r="T1183" s="96"/>
      <c r="U1183" s="96"/>
      <c r="V1183" s="96"/>
      <c r="W1183" s="96"/>
      <c r="X1183" s="96"/>
      <c r="Y1183" s="96"/>
    </row>
    <row r="1184" ht="26.25" customHeight="1">
      <c r="A1184" s="96"/>
      <c r="B1184" s="96"/>
      <c r="C1184" s="97"/>
      <c r="D1184" s="96"/>
      <c r="E1184" s="96"/>
      <c r="F1184" s="96"/>
      <c r="G1184" s="96"/>
      <c r="H1184" s="96"/>
      <c r="I1184" s="96"/>
      <c r="J1184" s="96"/>
      <c r="K1184" s="96"/>
      <c r="L1184" s="96"/>
      <c r="M1184" s="96"/>
      <c r="N1184" s="96"/>
      <c r="O1184" s="96"/>
      <c r="P1184" s="96"/>
      <c r="Q1184" s="96"/>
      <c r="R1184" s="96"/>
      <c r="S1184" s="96"/>
      <c r="T1184" s="96"/>
      <c r="U1184" s="96"/>
      <c r="V1184" s="96"/>
      <c r="W1184" s="96"/>
      <c r="X1184" s="96"/>
      <c r="Y1184" s="96"/>
    </row>
    <row r="1185" ht="26.25" customHeight="1">
      <c r="A1185" s="96"/>
      <c r="B1185" s="96"/>
      <c r="C1185" s="97"/>
      <c r="D1185" s="96"/>
      <c r="E1185" s="96"/>
      <c r="F1185" s="96"/>
      <c r="G1185" s="96"/>
      <c r="H1185" s="96"/>
      <c r="I1185" s="96"/>
      <c r="J1185" s="96"/>
      <c r="K1185" s="96"/>
      <c r="L1185" s="96"/>
      <c r="M1185" s="96"/>
      <c r="N1185" s="96"/>
      <c r="O1185" s="96"/>
      <c r="P1185" s="96"/>
      <c r="Q1185" s="96"/>
      <c r="R1185" s="96"/>
      <c r="S1185" s="96"/>
      <c r="T1185" s="96"/>
      <c r="U1185" s="96"/>
      <c r="V1185" s="96"/>
      <c r="W1185" s="96"/>
      <c r="X1185" s="96"/>
      <c r="Y1185" s="96"/>
    </row>
    <row r="1186" ht="26.25" customHeight="1">
      <c r="A1186" s="96"/>
      <c r="B1186" s="96"/>
      <c r="C1186" s="97"/>
      <c r="D1186" s="96"/>
      <c r="E1186" s="96"/>
      <c r="F1186" s="96"/>
      <c r="G1186" s="96"/>
      <c r="H1186" s="96"/>
      <c r="I1186" s="96"/>
      <c r="J1186" s="96"/>
      <c r="K1186" s="96"/>
      <c r="L1186" s="96"/>
      <c r="M1186" s="96"/>
      <c r="N1186" s="96"/>
      <c r="O1186" s="96"/>
      <c r="P1186" s="96"/>
      <c r="Q1186" s="96"/>
      <c r="R1186" s="96"/>
      <c r="S1186" s="96"/>
      <c r="T1186" s="96"/>
      <c r="U1186" s="96"/>
      <c r="V1186" s="96"/>
      <c r="W1186" s="96"/>
      <c r="X1186" s="96"/>
      <c r="Y1186" s="96"/>
    </row>
    <row r="1187" ht="26.25" customHeight="1">
      <c r="A1187" s="96"/>
      <c r="B1187" s="96"/>
      <c r="C1187" s="97"/>
      <c r="D1187" s="96"/>
      <c r="E1187" s="96"/>
      <c r="F1187" s="96"/>
      <c r="G1187" s="96"/>
      <c r="H1187" s="96"/>
      <c r="I1187" s="96"/>
      <c r="J1187" s="96"/>
      <c r="K1187" s="96"/>
      <c r="L1187" s="96"/>
      <c r="M1187" s="96"/>
      <c r="N1187" s="96"/>
      <c r="O1187" s="96"/>
      <c r="P1187" s="96"/>
      <c r="Q1187" s="96"/>
      <c r="R1187" s="96"/>
      <c r="S1187" s="96"/>
      <c r="T1187" s="96"/>
      <c r="U1187" s="96"/>
      <c r="V1187" s="96"/>
      <c r="W1187" s="96"/>
      <c r="X1187" s="96"/>
      <c r="Y1187" s="96"/>
    </row>
    <row r="1188" ht="26.25" customHeight="1">
      <c r="A1188" s="96"/>
      <c r="B1188" s="96"/>
      <c r="C1188" s="97"/>
      <c r="D1188" s="96"/>
      <c r="E1188" s="96"/>
      <c r="F1188" s="96"/>
      <c r="G1188" s="96"/>
      <c r="H1188" s="96"/>
      <c r="I1188" s="96"/>
      <c r="J1188" s="96"/>
      <c r="K1188" s="96"/>
      <c r="L1188" s="96"/>
      <c r="M1188" s="96"/>
      <c r="N1188" s="96"/>
      <c r="O1188" s="96"/>
      <c r="P1188" s="96"/>
      <c r="Q1188" s="96"/>
      <c r="R1188" s="96"/>
      <c r="S1188" s="96"/>
      <c r="T1188" s="96"/>
      <c r="U1188" s="96"/>
      <c r="V1188" s="96"/>
      <c r="W1188" s="96"/>
      <c r="X1188" s="96"/>
      <c r="Y1188" s="96"/>
    </row>
    <row r="1189" ht="26.25" customHeight="1">
      <c r="A1189" s="96"/>
      <c r="B1189" s="96"/>
      <c r="C1189" s="97"/>
      <c r="D1189" s="96"/>
      <c r="E1189" s="96"/>
      <c r="F1189" s="96"/>
      <c r="G1189" s="96"/>
      <c r="H1189" s="96"/>
      <c r="I1189" s="96"/>
      <c r="J1189" s="96"/>
      <c r="K1189" s="96"/>
      <c r="L1189" s="96"/>
      <c r="M1189" s="96"/>
      <c r="N1189" s="96"/>
      <c r="O1189" s="96"/>
      <c r="P1189" s="96"/>
      <c r="Q1189" s="96"/>
      <c r="R1189" s="96"/>
      <c r="S1189" s="96"/>
      <c r="T1189" s="96"/>
      <c r="U1189" s="96"/>
      <c r="V1189" s="96"/>
      <c r="W1189" s="96"/>
      <c r="X1189" s="96"/>
      <c r="Y1189" s="96"/>
    </row>
    <row r="1190" ht="26.25" customHeight="1">
      <c r="A1190" s="96"/>
      <c r="B1190" s="96"/>
      <c r="C1190" s="97"/>
      <c r="D1190" s="96"/>
      <c r="E1190" s="96"/>
      <c r="F1190" s="96"/>
      <c r="G1190" s="96"/>
      <c r="H1190" s="96"/>
      <c r="I1190" s="96"/>
      <c r="J1190" s="96"/>
      <c r="K1190" s="96"/>
      <c r="L1190" s="96"/>
      <c r="M1190" s="96"/>
      <c r="N1190" s="96"/>
      <c r="O1190" s="96"/>
      <c r="P1190" s="96"/>
      <c r="Q1190" s="96"/>
      <c r="R1190" s="96"/>
      <c r="S1190" s="96"/>
      <c r="T1190" s="96"/>
      <c r="U1190" s="96"/>
      <c r="V1190" s="96"/>
      <c r="W1190" s="96"/>
      <c r="X1190" s="96"/>
      <c r="Y1190" s="96"/>
    </row>
    <row r="1191" ht="26.25" customHeight="1">
      <c r="A1191" s="96"/>
      <c r="B1191" s="96"/>
      <c r="C1191" s="97"/>
      <c r="D1191" s="96"/>
      <c r="E1191" s="96"/>
      <c r="F1191" s="96"/>
      <c r="G1191" s="96"/>
      <c r="H1191" s="96"/>
      <c r="I1191" s="96"/>
      <c r="J1191" s="96"/>
      <c r="K1191" s="96"/>
      <c r="L1191" s="96"/>
      <c r="M1191" s="96"/>
      <c r="N1191" s="96"/>
      <c r="O1191" s="96"/>
      <c r="P1191" s="96"/>
      <c r="Q1191" s="96"/>
      <c r="R1191" s="96"/>
      <c r="S1191" s="96"/>
      <c r="T1191" s="96"/>
      <c r="U1191" s="96"/>
      <c r="V1191" s="96"/>
      <c r="W1191" s="96"/>
      <c r="X1191" s="96"/>
      <c r="Y1191" s="96"/>
    </row>
    <row r="1192" ht="26.25" customHeight="1">
      <c r="A1192" s="96"/>
      <c r="B1192" s="96"/>
      <c r="C1192" s="97"/>
      <c r="D1192" s="96"/>
      <c r="E1192" s="96"/>
      <c r="F1192" s="96"/>
      <c r="G1192" s="96"/>
      <c r="H1192" s="96"/>
      <c r="I1192" s="96"/>
      <c r="J1192" s="96"/>
      <c r="K1192" s="96"/>
      <c r="L1192" s="96"/>
      <c r="M1192" s="96"/>
      <c r="N1192" s="96"/>
      <c r="O1192" s="96"/>
      <c r="P1192" s="96"/>
      <c r="Q1192" s="96"/>
      <c r="R1192" s="96"/>
      <c r="S1192" s="96"/>
      <c r="T1192" s="96"/>
      <c r="U1192" s="96"/>
      <c r="V1192" s="96"/>
      <c r="W1192" s="96"/>
      <c r="X1192" s="96"/>
      <c r="Y1192" s="96"/>
    </row>
    <row r="1193" ht="26.25" customHeight="1">
      <c r="A1193" s="96"/>
      <c r="B1193" s="96"/>
      <c r="C1193" s="97"/>
      <c r="D1193" s="96"/>
      <c r="E1193" s="96"/>
      <c r="F1193" s="96"/>
      <c r="G1193" s="96"/>
      <c r="H1193" s="96"/>
      <c r="I1193" s="96"/>
      <c r="J1193" s="96"/>
      <c r="K1193" s="96"/>
      <c r="L1193" s="96"/>
      <c r="M1193" s="96"/>
      <c r="N1193" s="96"/>
      <c r="O1193" s="96"/>
      <c r="P1193" s="96"/>
      <c r="Q1193" s="96"/>
      <c r="R1193" s="96"/>
      <c r="S1193" s="96"/>
      <c r="T1193" s="96"/>
      <c r="U1193" s="96"/>
      <c r="V1193" s="96"/>
      <c r="W1193" s="96"/>
      <c r="X1193" s="96"/>
      <c r="Y1193" s="96"/>
    </row>
    <row r="1194" ht="26.25" customHeight="1">
      <c r="A1194" s="96"/>
      <c r="B1194" s="96"/>
      <c r="C1194" s="97"/>
      <c r="D1194" s="96"/>
      <c r="E1194" s="96"/>
      <c r="F1194" s="96"/>
      <c r="G1194" s="96"/>
      <c r="H1194" s="96"/>
      <c r="I1194" s="96"/>
      <c r="J1194" s="96"/>
      <c r="K1194" s="96"/>
      <c r="L1194" s="96"/>
      <c r="M1194" s="96"/>
      <c r="N1194" s="96"/>
      <c r="O1194" s="96"/>
      <c r="P1194" s="96"/>
      <c r="Q1194" s="96"/>
      <c r="R1194" s="96"/>
      <c r="S1194" s="96"/>
      <c r="T1194" s="96"/>
      <c r="U1194" s="96"/>
      <c r="V1194" s="96"/>
      <c r="W1194" s="96"/>
      <c r="X1194" s="96"/>
      <c r="Y1194" s="96"/>
    </row>
    <row r="1195" ht="26.25" customHeight="1">
      <c r="A1195" s="96"/>
      <c r="B1195" s="96"/>
      <c r="C1195" s="97"/>
      <c r="D1195" s="96"/>
      <c r="E1195" s="96"/>
      <c r="F1195" s="96"/>
      <c r="G1195" s="96"/>
      <c r="H1195" s="96"/>
      <c r="I1195" s="96"/>
      <c r="J1195" s="96"/>
      <c r="K1195" s="96"/>
      <c r="L1195" s="96"/>
      <c r="M1195" s="96"/>
      <c r="N1195" s="96"/>
      <c r="O1195" s="96"/>
      <c r="P1195" s="96"/>
      <c r="Q1195" s="96"/>
      <c r="R1195" s="96"/>
      <c r="S1195" s="96"/>
      <c r="T1195" s="96"/>
      <c r="U1195" s="96"/>
      <c r="V1195" s="96"/>
      <c r="W1195" s="96"/>
      <c r="X1195" s="96"/>
      <c r="Y1195" s="96"/>
    </row>
    <row r="1196" ht="26.25" customHeight="1">
      <c r="A1196" s="96"/>
      <c r="B1196" s="96"/>
      <c r="C1196" s="97"/>
      <c r="D1196" s="96"/>
      <c r="E1196" s="96"/>
      <c r="F1196" s="96"/>
      <c r="G1196" s="96"/>
      <c r="H1196" s="96"/>
      <c r="I1196" s="96"/>
      <c r="J1196" s="96"/>
      <c r="K1196" s="96"/>
      <c r="L1196" s="96"/>
      <c r="M1196" s="96"/>
      <c r="N1196" s="96"/>
      <c r="O1196" s="96"/>
      <c r="P1196" s="96"/>
      <c r="Q1196" s="96"/>
      <c r="R1196" s="96"/>
      <c r="S1196" s="96"/>
      <c r="T1196" s="96"/>
      <c r="U1196" s="96"/>
      <c r="V1196" s="96"/>
      <c r="W1196" s="96"/>
      <c r="X1196" s="96"/>
      <c r="Y1196" s="96"/>
    </row>
    <row r="1197" ht="26.25" customHeight="1">
      <c r="A1197" s="96"/>
      <c r="B1197" s="96"/>
      <c r="C1197" s="97"/>
      <c r="D1197" s="96"/>
      <c r="E1197" s="96"/>
      <c r="F1197" s="96"/>
      <c r="G1197" s="96"/>
      <c r="H1197" s="96"/>
      <c r="I1197" s="96"/>
      <c r="J1197" s="96"/>
      <c r="K1197" s="96"/>
      <c r="L1197" s="96"/>
      <c r="M1197" s="96"/>
      <c r="N1197" s="96"/>
      <c r="O1197" s="96"/>
      <c r="P1197" s="96"/>
      <c r="Q1197" s="96"/>
      <c r="R1197" s="96"/>
      <c r="S1197" s="96"/>
      <c r="T1197" s="96"/>
      <c r="U1197" s="96"/>
      <c r="V1197" s="96"/>
      <c r="W1197" s="96"/>
      <c r="X1197" s="96"/>
      <c r="Y1197" s="96"/>
    </row>
    <row r="1198" ht="26.25" customHeight="1">
      <c r="A1198" s="96"/>
      <c r="B1198" s="96"/>
      <c r="C1198" s="97"/>
      <c r="D1198" s="96"/>
      <c r="E1198" s="96"/>
      <c r="F1198" s="96"/>
      <c r="G1198" s="96"/>
      <c r="H1198" s="96"/>
      <c r="I1198" s="96"/>
      <c r="J1198" s="96"/>
      <c r="K1198" s="96"/>
      <c r="L1198" s="96"/>
      <c r="M1198" s="96"/>
      <c r="N1198" s="96"/>
      <c r="O1198" s="96"/>
      <c r="P1198" s="96"/>
      <c r="Q1198" s="96"/>
      <c r="R1198" s="96"/>
      <c r="S1198" s="96"/>
      <c r="T1198" s="96"/>
      <c r="U1198" s="96"/>
      <c r="V1198" s="96"/>
      <c r="W1198" s="96"/>
      <c r="X1198" s="96"/>
      <c r="Y1198" s="96"/>
    </row>
    <row r="1199" ht="26.25" customHeight="1">
      <c r="A1199" s="96"/>
      <c r="B1199" s="96"/>
      <c r="C1199" s="97"/>
      <c r="D1199" s="96"/>
      <c r="E1199" s="96"/>
      <c r="F1199" s="96"/>
      <c r="G1199" s="96"/>
      <c r="H1199" s="96"/>
      <c r="I1199" s="96"/>
      <c r="J1199" s="96"/>
      <c r="K1199" s="96"/>
      <c r="L1199" s="96"/>
      <c r="M1199" s="96"/>
      <c r="N1199" s="96"/>
      <c r="O1199" s="96"/>
      <c r="P1199" s="96"/>
      <c r="Q1199" s="96"/>
      <c r="R1199" s="96"/>
      <c r="S1199" s="96"/>
      <c r="T1199" s="96"/>
      <c r="U1199" s="96"/>
      <c r="V1199" s="96"/>
      <c r="W1199" s="96"/>
      <c r="X1199" s="96"/>
      <c r="Y1199" s="96"/>
    </row>
    <row r="1200" ht="26.25" customHeight="1">
      <c r="A1200" s="96"/>
      <c r="B1200" s="96"/>
      <c r="C1200" s="97"/>
      <c r="D1200" s="96"/>
      <c r="E1200" s="96"/>
      <c r="F1200" s="96"/>
      <c r="G1200" s="96"/>
      <c r="H1200" s="96"/>
      <c r="I1200" s="96"/>
      <c r="J1200" s="96"/>
      <c r="K1200" s="96"/>
      <c r="L1200" s="96"/>
      <c r="M1200" s="96"/>
      <c r="N1200" s="96"/>
      <c r="O1200" s="96"/>
      <c r="P1200" s="96"/>
      <c r="Q1200" s="96"/>
      <c r="R1200" s="96"/>
      <c r="S1200" s="96"/>
      <c r="T1200" s="96"/>
      <c r="U1200" s="96"/>
      <c r="V1200" s="96"/>
      <c r="W1200" s="96"/>
      <c r="X1200" s="96"/>
      <c r="Y1200" s="96"/>
    </row>
    <row r="1201" ht="26.25" customHeight="1">
      <c r="A1201" s="96"/>
      <c r="B1201" s="96"/>
      <c r="C1201" s="97"/>
      <c r="D1201" s="96"/>
      <c r="E1201" s="96"/>
      <c r="F1201" s="96"/>
      <c r="G1201" s="96"/>
      <c r="H1201" s="96"/>
      <c r="I1201" s="96"/>
      <c r="J1201" s="96"/>
      <c r="K1201" s="96"/>
      <c r="L1201" s="96"/>
      <c r="M1201" s="96"/>
      <c r="N1201" s="96"/>
      <c r="O1201" s="96"/>
      <c r="P1201" s="96"/>
      <c r="Q1201" s="96"/>
      <c r="R1201" s="96"/>
      <c r="S1201" s="96"/>
      <c r="T1201" s="96"/>
      <c r="U1201" s="96"/>
      <c r="V1201" s="96"/>
      <c r="W1201" s="96"/>
      <c r="X1201" s="96"/>
      <c r="Y1201" s="96"/>
    </row>
    <row r="1202" ht="26.25" customHeight="1">
      <c r="A1202" s="96"/>
      <c r="B1202" s="96"/>
      <c r="C1202" s="97"/>
      <c r="D1202" s="96"/>
      <c r="E1202" s="96"/>
      <c r="F1202" s="96"/>
      <c r="G1202" s="96"/>
      <c r="H1202" s="96"/>
      <c r="I1202" s="96"/>
      <c r="J1202" s="96"/>
      <c r="K1202" s="96"/>
      <c r="L1202" s="96"/>
      <c r="M1202" s="96"/>
      <c r="N1202" s="96"/>
      <c r="O1202" s="96"/>
      <c r="P1202" s="96"/>
      <c r="Q1202" s="96"/>
      <c r="R1202" s="96"/>
      <c r="S1202" s="96"/>
      <c r="T1202" s="96"/>
      <c r="U1202" s="96"/>
      <c r="V1202" s="96"/>
      <c r="W1202" s="96"/>
      <c r="X1202" s="96"/>
      <c r="Y1202" s="96"/>
    </row>
    <row r="1203" ht="26.25" customHeight="1">
      <c r="A1203" s="96"/>
      <c r="B1203" s="96"/>
      <c r="C1203" s="97"/>
      <c r="D1203" s="96"/>
      <c r="E1203" s="96"/>
      <c r="F1203" s="96"/>
      <c r="G1203" s="96"/>
      <c r="H1203" s="96"/>
      <c r="I1203" s="96"/>
      <c r="J1203" s="96"/>
      <c r="K1203" s="96"/>
      <c r="L1203" s="96"/>
      <c r="M1203" s="96"/>
      <c r="N1203" s="96"/>
      <c r="O1203" s="96"/>
      <c r="P1203" s="96"/>
      <c r="Q1203" s="96"/>
      <c r="R1203" s="96"/>
      <c r="S1203" s="96"/>
      <c r="T1203" s="96"/>
      <c r="U1203" s="96"/>
      <c r="V1203" s="96"/>
      <c r="W1203" s="96"/>
      <c r="X1203" s="96"/>
      <c r="Y1203" s="96"/>
    </row>
    <row r="1204" ht="26.25" customHeight="1">
      <c r="A1204" s="96"/>
      <c r="B1204" s="96"/>
      <c r="C1204" s="97"/>
      <c r="D1204" s="96"/>
      <c r="E1204" s="96"/>
      <c r="F1204" s="96"/>
      <c r="G1204" s="96"/>
      <c r="H1204" s="96"/>
      <c r="I1204" s="96"/>
      <c r="J1204" s="96"/>
      <c r="K1204" s="96"/>
      <c r="L1204" s="96"/>
      <c r="M1204" s="96"/>
      <c r="N1204" s="96"/>
      <c r="O1204" s="96"/>
      <c r="P1204" s="96"/>
      <c r="Q1204" s="96"/>
      <c r="R1204" s="96"/>
      <c r="S1204" s="96"/>
      <c r="T1204" s="96"/>
      <c r="U1204" s="96"/>
      <c r="V1204" s="96"/>
      <c r="W1204" s="96"/>
      <c r="X1204" s="96"/>
      <c r="Y1204" s="96"/>
    </row>
    <row r="1205" ht="26.25" customHeight="1">
      <c r="A1205" s="96"/>
      <c r="B1205" s="96"/>
      <c r="C1205" s="97"/>
      <c r="D1205" s="96"/>
      <c r="E1205" s="96"/>
      <c r="F1205" s="96"/>
      <c r="G1205" s="96"/>
      <c r="H1205" s="96"/>
      <c r="I1205" s="96"/>
      <c r="J1205" s="96"/>
      <c r="K1205" s="96"/>
      <c r="L1205" s="96"/>
      <c r="M1205" s="96"/>
      <c r="N1205" s="96"/>
      <c r="O1205" s="96"/>
      <c r="P1205" s="96"/>
      <c r="Q1205" s="96"/>
      <c r="R1205" s="96"/>
      <c r="S1205" s="96"/>
      <c r="T1205" s="96"/>
      <c r="U1205" s="96"/>
      <c r="V1205" s="96"/>
      <c r="W1205" s="96"/>
      <c r="X1205" s="96"/>
      <c r="Y1205" s="96"/>
    </row>
    <row r="1206" ht="26.25" customHeight="1">
      <c r="A1206" s="96"/>
      <c r="B1206" s="96"/>
      <c r="C1206" s="97"/>
      <c r="D1206" s="96"/>
      <c r="E1206" s="96"/>
      <c r="F1206" s="96"/>
      <c r="G1206" s="96"/>
      <c r="H1206" s="96"/>
      <c r="I1206" s="96"/>
      <c r="J1206" s="96"/>
      <c r="K1206" s="96"/>
      <c r="L1206" s="96"/>
      <c r="M1206" s="96"/>
      <c r="N1206" s="96"/>
      <c r="O1206" s="96"/>
      <c r="P1206" s="96"/>
      <c r="Q1206" s="96"/>
      <c r="R1206" s="96"/>
      <c r="S1206" s="96"/>
      <c r="T1206" s="96"/>
      <c r="U1206" s="96"/>
      <c r="V1206" s="96"/>
      <c r="W1206" s="96"/>
      <c r="X1206" s="96"/>
      <c r="Y1206" s="96"/>
    </row>
    <row r="1207" ht="26.25" customHeight="1">
      <c r="A1207" s="96"/>
      <c r="B1207" s="96"/>
      <c r="C1207" s="97"/>
      <c r="D1207" s="96"/>
      <c r="E1207" s="96"/>
      <c r="F1207" s="96"/>
      <c r="G1207" s="96"/>
      <c r="H1207" s="96"/>
      <c r="I1207" s="96"/>
      <c r="J1207" s="96"/>
      <c r="K1207" s="96"/>
      <c r="L1207" s="96"/>
      <c r="M1207" s="96"/>
      <c r="N1207" s="96"/>
      <c r="O1207" s="96"/>
      <c r="P1207" s="96"/>
      <c r="Q1207" s="96"/>
      <c r="R1207" s="96"/>
      <c r="S1207" s="96"/>
      <c r="T1207" s="96"/>
      <c r="U1207" s="96"/>
      <c r="V1207" s="96"/>
      <c r="W1207" s="96"/>
      <c r="X1207" s="96"/>
      <c r="Y1207" s="96"/>
    </row>
    <row r="1208" ht="26.25" customHeight="1">
      <c r="A1208" s="96"/>
      <c r="B1208" s="96"/>
      <c r="C1208" s="97"/>
      <c r="D1208" s="96"/>
      <c r="E1208" s="96"/>
      <c r="F1208" s="96"/>
      <c r="G1208" s="96"/>
      <c r="H1208" s="96"/>
      <c r="I1208" s="96"/>
      <c r="J1208" s="96"/>
      <c r="K1208" s="96"/>
      <c r="L1208" s="96"/>
      <c r="M1208" s="96"/>
      <c r="N1208" s="96"/>
      <c r="O1208" s="96"/>
      <c r="P1208" s="96"/>
      <c r="Q1208" s="96"/>
      <c r="R1208" s="96"/>
      <c r="S1208" s="96"/>
      <c r="T1208" s="96"/>
      <c r="U1208" s="96"/>
      <c r="V1208" s="96"/>
      <c r="W1208" s="96"/>
      <c r="X1208" s="96"/>
      <c r="Y1208" s="96"/>
    </row>
    <row r="1209" ht="26.25" customHeight="1">
      <c r="A1209" s="96"/>
      <c r="B1209" s="96"/>
      <c r="C1209" s="97"/>
      <c r="D1209" s="96"/>
      <c r="E1209" s="96"/>
      <c r="F1209" s="96"/>
      <c r="G1209" s="96"/>
      <c r="H1209" s="96"/>
      <c r="I1209" s="96"/>
      <c r="J1209" s="96"/>
      <c r="K1209" s="96"/>
      <c r="L1209" s="96"/>
      <c r="M1209" s="96"/>
      <c r="N1209" s="96"/>
      <c r="O1209" s="96"/>
      <c r="P1209" s="96"/>
      <c r="Q1209" s="96"/>
      <c r="R1209" s="96"/>
      <c r="S1209" s="96"/>
      <c r="T1209" s="96"/>
      <c r="U1209" s="96"/>
      <c r="V1209" s="96"/>
      <c r="W1209" s="96"/>
      <c r="X1209" s="96"/>
      <c r="Y1209" s="96"/>
    </row>
    <row r="1210" ht="26.25" customHeight="1">
      <c r="A1210" s="96"/>
      <c r="B1210" s="96"/>
      <c r="C1210" s="97"/>
      <c r="D1210" s="96"/>
      <c r="E1210" s="96"/>
      <c r="F1210" s="96"/>
      <c r="G1210" s="96"/>
      <c r="H1210" s="96"/>
      <c r="I1210" s="96"/>
      <c r="J1210" s="96"/>
      <c r="K1210" s="96"/>
      <c r="L1210" s="96"/>
      <c r="M1210" s="96"/>
      <c r="N1210" s="96"/>
      <c r="O1210" s="96"/>
      <c r="P1210" s="96"/>
      <c r="Q1210" s="96"/>
      <c r="R1210" s="96"/>
      <c r="S1210" s="96"/>
      <c r="T1210" s="96"/>
      <c r="U1210" s="96"/>
      <c r="V1210" s="96"/>
      <c r="W1210" s="96"/>
      <c r="X1210" s="96"/>
      <c r="Y1210" s="96"/>
    </row>
    <row r="1211" ht="26.25" customHeight="1">
      <c r="A1211" s="96"/>
      <c r="B1211" s="96"/>
      <c r="C1211" s="97"/>
      <c r="D1211" s="96"/>
      <c r="E1211" s="96"/>
      <c r="F1211" s="96"/>
      <c r="G1211" s="96"/>
      <c r="H1211" s="96"/>
      <c r="I1211" s="96"/>
      <c r="J1211" s="96"/>
      <c r="K1211" s="96"/>
      <c r="L1211" s="96"/>
      <c r="M1211" s="96"/>
      <c r="N1211" s="96"/>
      <c r="O1211" s="96"/>
      <c r="P1211" s="96"/>
      <c r="Q1211" s="96"/>
      <c r="R1211" s="96"/>
      <c r="S1211" s="96"/>
      <c r="T1211" s="96"/>
      <c r="U1211" s="96"/>
      <c r="V1211" s="96"/>
      <c r="W1211" s="96"/>
      <c r="X1211" s="96"/>
      <c r="Y1211" s="96"/>
    </row>
    <row r="1212" ht="26.25" customHeight="1">
      <c r="A1212" s="96"/>
      <c r="B1212" s="96"/>
      <c r="C1212" s="97"/>
      <c r="D1212" s="96"/>
      <c r="E1212" s="96"/>
      <c r="F1212" s="96"/>
      <c r="G1212" s="96"/>
      <c r="H1212" s="96"/>
      <c r="I1212" s="96"/>
      <c r="J1212" s="96"/>
      <c r="K1212" s="96"/>
      <c r="L1212" s="96"/>
      <c r="M1212" s="96"/>
      <c r="N1212" s="96"/>
      <c r="O1212" s="96"/>
      <c r="P1212" s="96"/>
      <c r="Q1212" s="96"/>
      <c r="R1212" s="96"/>
      <c r="S1212" s="96"/>
      <c r="T1212" s="96"/>
      <c r="U1212" s="96"/>
      <c r="V1212" s="96"/>
      <c r="W1212" s="96"/>
      <c r="X1212" s="96"/>
      <c r="Y1212" s="96"/>
    </row>
    <row r="1213" ht="26.25" customHeight="1">
      <c r="A1213" s="96"/>
      <c r="B1213" s="96"/>
      <c r="C1213" s="97"/>
      <c r="D1213" s="96"/>
      <c r="E1213" s="96"/>
      <c r="F1213" s="96"/>
      <c r="G1213" s="96"/>
      <c r="H1213" s="96"/>
      <c r="I1213" s="96"/>
      <c r="J1213" s="96"/>
      <c r="K1213" s="96"/>
      <c r="L1213" s="96"/>
      <c r="M1213" s="96"/>
      <c r="N1213" s="96"/>
      <c r="O1213" s="96"/>
      <c r="P1213" s="96"/>
      <c r="Q1213" s="96"/>
      <c r="R1213" s="96"/>
      <c r="S1213" s="96"/>
      <c r="T1213" s="96"/>
      <c r="U1213" s="96"/>
      <c r="V1213" s="96"/>
      <c r="W1213" s="96"/>
      <c r="X1213" s="96"/>
      <c r="Y1213" s="96"/>
    </row>
    <row r="1214" ht="26.25" customHeight="1">
      <c r="A1214" s="96"/>
      <c r="B1214" s="96"/>
      <c r="C1214" s="97"/>
      <c r="D1214" s="96"/>
      <c r="E1214" s="96"/>
      <c r="F1214" s="96"/>
      <c r="G1214" s="96"/>
      <c r="H1214" s="96"/>
      <c r="I1214" s="96"/>
      <c r="J1214" s="96"/>
      <c r="K1214" s="96"/>
      <c r="L1214" s="96"/>
      <c r="M1214" s="96"/>
      <c r="N1214" s="96"/>
      <c r="O1214" s="96"/>
      <c r="P1214" s="96"/>
      <c r="Q1214" s="96"/>
      <c r="R1214" s="96"/>
      <c r="S1214" s="96"/>
      <c r="T1214" s="96"/>
      <c r="U1214" s="96"/>
      <c r="V1214" s="96"/>
      <c r="W1214" s="96"/>
      <c r="X1214" s="96"/>
      <c r="Y1214" s="96"/>
    </row>
    <row r="1215" ht="26.25" customHeight="1">
      <c r="A1215" s="96"/>
      <c r="B1215" s="96"/>
      <c r="C1215" s="97"/>
      <c r="D1215" s="96"/>
      <c r="E1215" s="96"/>
      <c r="F1215" s="96"/>
      <c r="G1215" s="96"/>
      <c r="H1215" s="96"/>
      <c r="I1215" s="96"/>
      <c r="J1215" s="96"/>
      <c r="K1215" s="96"/>
      <c r="L1215" s="96"/>
      <c r="M1215" s="96"/>
      <c r="N1215" s="96"/>
      <c r="O1215" s="96"/>
      <c r="P1215" s="96"/>
      <c r="Q1215" s="96"/>
      <c r="R1215" s="96"/>
      <c r="S1215" s="96"/>
      <c r="T1215" s="96"/>
      <c r="U1215" s="96"/>
      <c r="V1215" s="96"/>
      <c r="W1215" s="96"/>
      <c r="X1215" s="96"/>
      <c r="Y1215" s="96"/>
    </row>
    <row r="1216" ht="26.25" customHeight="1">
      <c r="A1216" s="96"/>
      <c r="B1216" s="96"/>
      <c r="C1216" s="97"/>
      <c r="D1216" s="96"/>
      <c r="E1216" s="96"/>
      <c r="F1216" s="96"/>
      <c r="G1216" s="96"/>
      <c r="H1216" s="96"/>
      <c r="I1216" s="96"/>
      <c r="J1216" s="96"/>
      <c r="K1216" s="96"/>
      <c r="L1216" s="96"/>
      <c r="M1216" s="96"/>
      <c r="N1216" s="96"/>
      <c r="O1216" s="96"/>
      <c r="P1216" s="96"/>
      <c r="Q1216" s="96"/>
      <c r="R1216" s="96"/>
      <c r="S1216" s="96"/>
      <c r="T1216" s="96"/>
      <c r="U1216" s="96"/>
      <c r="V1216" s="96"/>
      <c r="W1216" s="96"/>
      <c r="X1216" s="96"/>
      <c r="Y1216" s="96"/>
    </row>
    <row r="1217" ht="26.25" customHeight="1">
      <c r="A1217" s="96"/>
      <c r="B1217" s="96"/>
      <c r="C1217" s="97"/>
      <c r="D1217" s="96"/>
      <c r="E1217" s="96"/>
      <c r="F1217" s="96"/>
      <c r="G1217" s="96"/>
      <c r="H1217" s="96"/>
      <c r="I1217" s="96"/>
      <c r="J1217" s="96"/>
      <c r="K1217" s="96"/>
      <c r="L1217" s="96"/>
      <c r="M1217" s="96"/>
      <c r="N1217" s="96"/>
      <c r="O1217" s="96"/>
      <c r="P1217" s="96"/>
      <c r="Q1217" s="96"/>
      <c r="R1217" s="96"/>
      <c r="S1217" s="96"/>
      <c r="T1217" s="96"/>
      <c r="U1217" s="96"/>
      <c r="V1217" s="96"/>
      <c r="W1217" s="96"/>
      <c r="X1217" s="96"/>
      <c r="Y1217" s="96"/>
    </row>
    <row r="1218" ht="26.25" customHeight="1">
      <c r="A1218" s="96"/>
      <c r="B1218" s="96"/>
      <c r="C1218" s="97"/>
      <c r="D1218" s="96"/>
      <c r="E1218" s="96"/>
      <c r="F1218" s="96"/>
      <c r="G1218" s="96"/>
      <c r="H1218" s="96"/>
      <c r="I1218" s="96"/>
      <c r="J1218" s="96"/>
      <c r="K1218" s="96"/>
      <c r="L1218" s="96"/>
      <c r="M1218" s="96"/>
      <c r="N1218" s="96"/>
      <c r="O1218" s="96"/>
      <c r="P1218" s="96"/>
      <c r="Q1218" s="96"/>
      <c r="R1218" s="96"/>
      <c r="S1218" s="96"/>
      <c r="T1218" s="96"/>
      <c r="U1218" s="96"/>
      <c r="V1218" s="96"/>
      <c r="W1218" s="96"/>
      <c r="X1218" s="96"/>
      <c r="Y1218" s="96"/>
    </row>
    <row r="1219" ht="26.25" customHeight="1">
      <c r="A1219" s="96"/>
      <c r="B1219" s="96"/>
      <c r="C1219" s="97"/>
      <c r="D1219" s="96"/>
      <c r="E1219" s="96"/>
      <c r="F1219" s="96"/>
      <c r="G1219" s="96"/>
      <c r="H1219" s="96"/>
      <c r="I1219" s="96"/>
      <c r="J1219" s="96"/>
      <c r="K1219" s="96"/>
      <c r="L1219" s="96"/>
      <c r="M1219" s="96"/>
      <c r="N1219" s="96"/>
      <c r="O1219" s="96"/>
      <c r="P1219" s="96"/>
      <c r="Q1219" s="96"/>
      <c r="R1219" s="96"/>
      <c r="S1219" s="96"/>
      <c r="T1219" s="96"/>
      <c r="U1219" s="96"/>
      <c r="V1219" s="96"/>
      <c r="W1219" s="96"/>
      <c r="X1219" s="96"/>
      <c r="Y1219" s="96"/>
    </row>
    <row r="1220" ht="26.25" customHeight="1">
      <c r="A1220" s="96"/>
      <c r="B1220" s="96"/>
      <c r="C1220" s="97"/>
      <c r="D1220" s="96"/>
      <c r="E1220" s="96"/>
      <c r="F1220" s="96"/>
      <c r="G1220" s="96"/>
      <c r="H1220" s="96"/>
      <c r="I1220" s="96"/>
      <c r="J1220" s="96"/>
      <c r="K1220" s="96"/>
      <c r="L1220" s="96"/>
      <c r="M1220" s="96"/>
      <c r="N1220" s="96"/>
      <c r="O1220" s="96"/>
      <c r="P1220" s="96"/>
      <c r="Q1220" s="96"/>
      <c r="R1220" s="96"/>
      <c r="S1220" s="96"/>
      <c r="T1220" s="96"/>
      <c r="U1220" s="96"/>
      <c r="V1220" s="96"/>
      <c r="W1220" s="96"/>
      <c r="X1220" s="96"/>
      <c r="Y1220" s="96"/>
    </row>
    <row r="1221" ht="26.25" customHeight="1">
      <c r="A1221" s="96"/>
      <c r="B1221" s="96"/>
      <c r="C1221" s="97"/>
      <c r="D1221" s="96"/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</row>
    <row r="1222" ht="26.25" customHeight="1">
      <c r="A1222" s="96"/>
      <c r="B1222" s="96"/>
      <c r="C1222" s="97"/>
      <c r="D1222" s="96"/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</row>
    <row r="1223" ht="26.25" customHeight="1">
      <c r="A1223" s="96"/>
      <c r="B1223" s="96"/>
      <c r="C1223" s="97"/>
      <c r="D1223" s="96"/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</row>
    <row r="1224" ht="26.25" customHeight="1">
      <c r="A1224" s="96"/>
      <c r="B1224" s="96"/>
      <c r="C1224" s="97"/>
      <c r="D1224" s="96"/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</row>
    <row r="1225" ht="26.25" customHeight="1">
      <c r="A1225" s="96"/>
      <c r="B1225" s="96"/>
      <c r="C1225" s="97"/>
      <c r="D1225" s="96"/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</row>
    <row r="1226" ht="26.25" customHeight="1">
      <c r="A1226" s="96"/>
      <c r="B1226" s="96"/>
      <c r="C1226" s="97"/>
      <c r="D1226" s="96"/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</row>
    <row r="1227" ht="26.25" customHeight="1">
      <c r="A1227" s="96"/>
      <c r="B1227" s="96"/>
      <c r="C1227" s="97"/>
      <c r="D1227" s="96"/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</row>
    <row r="1228" ht="26.25" customHeight="1">
      <c r="A1228" s="96"/>
      <c r="B1228" s="96"/>
      <c r="C1228" s="97"/>
      <c r="D1228" s="96"/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</row>
    <row r="1229" ht="26.25" customHeight="1">
      <c r="A1229" s="96"/>
      <c r="B1229" s="96"/>
      <c r="C1229" s="97"/>
      <c r="D1229" s="96"/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</row>
    <row r="1230" ht="26.25" customHeight="1">
      <c r="A1230" s="96"/>
      <c r="B1230" s="96"/>
      <c r="C1230" s="97"/>
      <c r="D1230" s="96"/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</row>
    <row r="1231" ht="26.25" customHeight="1">
      <c r="A1231" s="96"/>
      <c r="B1231" s="96"/>
      <c r="C1231" s="97"/>
      <c r="D1231" s="96"/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</row>
    <row r="1232" ht="26.25" customHeight="1">
      <c r="A1232" s="96"/>
      <c r="B1232" s="96"/>
      <c r="C1232" s="97"/>
      <c r="D1232" s="96"/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</row>
    <row r="1233" ht="26.25" customHeight="1">
      <c r="A1233" s="96"/>
      <c r="B1233" s="96"/>
      <c r="C1233" s="97"/>
      <c r="D1233" s="96"/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</row>
    <row r="1234" ht="26.25" customHeight="1">
      <c r="A1234" s="96"/>
      <c r="B1234" s="96"/>
      <c r="C1234" s="97"/>
      <c r="D1234" s="96"/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</row>
    <row r="1235" ht="26.25" customHeight="1">
      <c r="A1235" s="96"/>
      <c r="B1235" s="96"/>
      <c r="C1235" s="97"/>
      <c r="D1235" s="96"/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</row>
    <row r="1236" ht="26.25" customHeight="1">
      <c r="A1236" s="96"/>
      <c r="B1236" s="96"/>
      <c r="C1236" s="97"/>
      <c r="D1236" s="96"/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</row>
    <row r="1237" ht="26.25" customHeight="1">
      <c r="A1237" s="96"/>
      <c r="B1237" s="96"/>
      <c r="C1237" s="97"/>
      <c r="D1237" s="96"/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</row>
    <row r="1238" ht="26.25" customHeight="1">
      <c r="A1238" s="96"/>
      <c r="B1238" s="96"/>
      <c r="C1238" s="97"/>
      <c r="D1238" s="96"/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</row>
    <row r="1239" ht="26.25" customHeight="1">
      <c r="A1239" s="96"/>
      <c r="B1239" s="96"/>
      <c r="C1239" s="97"/>
      <c r="D1239" s="96"/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</row>
    <row r="1240" ht="26.25" customHeight="1">
      <c r="A1240" s="96"/>
      <c r="B1240" s="96"/>
      <c r="C1240" s="97"/>
      <c r="D1240" s="96"/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</row>
    <row r="1241" ht="26.25" customHeight="1">
      <c r="A1241" s="96"/>
      <c r="B1241" s="96"/>
      <c r="C1241" s="97"/>
      <c r="D1241" s="96"/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</row>
    <row r="1242" ht="26.25" customHeight="1">
      <c r="A1242" s="96"/>
      <c r="B1242" s="96"/>
      <c r="C1242" s="97"/>
      <c r="D1242" s="96"/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</row>
    <row r="1243" ht="26.25" customHeight="1">
      <c r="A1243" s="96"/>
      <c r="B1243" s="96"/>
      <c r="C1243" s="97"/>
      <c r="D1243" s="96"/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</row>
    <row r="1244" ht="26.25" customHeight="1">
      <c r="A1244" s="96"/>
      <c r="B1244" s="96"/>
      <c r="C1244" s="97"/>
      <c r="D1244" s="96"/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</row>
    <row r="1245" ht="26.25" customHeight="1">
      <c r="A1245" s="96"/>
      <c r="B1245" s="96"/>
      <c r="C1245" s="97"/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</row>
    <row r="1246" ht="26.25" customHeight="1">
      <c r="A1246" s="96"/>
      <c r="B1246" s="96"/>
      <c r="C1246" s="97"/>
      <c r="D1246" s="96"/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</row>
    <row r="1247" ht="26.25" customHeight="1">
      <c r="A1247" s="96"/>
      <c r="B1247" s="96"/>
      <c r="C1247" s="97"/>
      <c r="D1247" s="96"/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</row>
    <row r="1248" ht="26.25" customHeight="1">
      <c r="A1248" s="96"/>
      <c r="B1248" s="96"/>
      <c r="C1248" s="97"/>
      <c r="D1248" s="96"/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</row>
    <row r="1249" ht="26.25" customHeight="1">
      <c r="A1249" s="96"/>
      <c r="B1249" s="96"/>
      <c r="C1249" s="97"/>
      <c r="D1249" s="96"/>
      <c r="E1249" s="96"/>
      <c r="F1249" s="96"/>
      <c r="G1249" s="96"/>
      <c r="H1249" s="96"/>
      <c r="I1249" s="96"/>
      <c r="J1249" s="96"/>
      <c r="K1249" s="96"/>
      <c r="L1249" s="96"/>
      <c r="M1249" s="96"/>
      <c r="N1249" s="96"/>
      <c r="O1249" s="96"/>
      <c r="P1249" s="96"/>
      <c r="Q1249" s="96"/>
      <c r="R1249" s="96"/>
      <c r="S1249" s="96"/>
      <c r="T1249" s="96"/>
      <c r="U1249" s="96"/>
      <c r="V1249" s="96"/>
      <c r="W1249" s="96"/>
      <c r="X1249" s="96"/>
      <c r="Y1249" s="96"/>
    </row>
    <row r="1250" ht="26.25" customHeight="1">
      <c r="A1250" s="96"/>
      <c r="B1250" s="96"/>
      <c r="C1250" s="97"/>
      <c r="D1250" s="96"/>
      <c r="E1250" s="96"/>
      <c r="F1250" s="96"/>
      <c r="G1250" s="96"/>
      <c r="H1250" s="96"/>
      <c r="I1250" s="96"/>
      <c r="J1250" s="96"/>
      <c r="K1250" s="96"/>
      <c r="L1250" s="96"/>
      <c r="M1250" s="96"/>
      <c r="N1250" s="96"/>
      <c r="O1250" s="96"/>
      <c r="P1250" s="96"/>
      <c r="Q1250" s="96"/>
      <c r="R1250" s="96"/>
      <c r="S1250" s="96"/>
      <c r="T1250" s="96"/>
      <c r="U1250" s="96"/>
      <c r="V1250" s="96"/>
      <c r="W1250" s="96"/>
      <c r="X1250" s="96"/>
      <c r="Y1250" s="96"/>
    </row>
    <row r="1251" ht="26.25" customHeight="1">
      <c r="A1251" s="96"/>
      <c r="B1251" s="96"/>
      <c r="C1251" s="97"/>
      <c r="D1251" s="96"/>
      <c r="E1251" s="96"/>
      <c r="F1251" s="96"/>
      <c r="G1251" s="96"/>
      <c r="H1251" s="96"/>
      <c r="I1251" s="96"/>
      <c r="J1251" s="96"/>
      <c r="K1251" s="96"/>
      <c r="L1251" s="96"/>
      <c r="M1251" s="96"/>
      <c r="N1251" s="96"/>
      <c r="O1251" s="96"/>
      <c r="P1251" s="96"/>
      <c r="Q1251" s="96"/>
      <c r="R1251" s="96"/>
      <c r="S1251" s="96"/>
      <c r="T1251" s="96"/>
      <c r="U1251" s="96"/>
      <c r="V1251" s="96"/>
      <c r="W1251" s="96"/>
      <c r="X1251" s="96"/>
      <c r="Y1251" s="96"/>
    </row>
    <row r="1252" ht="26.25" customHeight="1">
      <c r="A1252" s="96"/>
      <c r="B1252" s="96"/>
      <c r="C1252" s="97"/>
      <c r="D1252" s="96"/>
      <c r="E1252" s="96"/>
      <c r="F1252" s="96"/>
      <c r="G1252" s="96"/>
      <c r="H1252" s="96"/>
      <c r="I1252" s="96"/>
      <c r="J1252" s="96"/>
      <c r="K1252" s="96"/>
      <c r="L1252" s="96"/>
      <c r="M1252" s="96"/>
      <c r="N1252" s="96"/>
      <c r="O1252" s="96"/>
      <c r="P1252" s="96"/>
      <c r="Q1252" s="96"/>
      <c r="R1252" s="96"/>
      <c r="S1252" s="96"/>
      <c r="T1252" s="96"/>
      <c r="U1252" s="96"/>
      <c r="V1252" s="96"/>
      <c r="W1252" s="96"/>
      <c r="X1252" s="96"/>
      <c r="Y1252" s="96"/>
    </row>
    <row r="1253" ht="26.25" customHeight="1">
      <c r="A1253" s="96"/>
      <c r="B1253" s="96"/>
      <c r="C1253" s="97"/>
      <c r="D1253" s="96"/>
      <c r="E1253" s="96"/>
      <c r="F1253" s="96"/>
      <c r="G1253" s="96"/>
      <c r="H1253" s="96"/>
      <c r="I1253" s="96"/>
      <c r="J1253" s="96"/>
      <c r="K1253" s="96"/>
      <c r="L1253" s="96"/>
      <c r="M1253" s="96"/>
      <c r="N1253" s="96"/>
      <c r="O1253" s="96"/>
      <c r="P1253" s="96"/>
      <c r="Q1253" s="96"/>
      <c r="R1253" s="96"/>
      <c r="S1253" s="96"/>
      <c r="T1253" s="96"/>
      <c r="U1253" s="96"/>
      <c r="V1253" s="96"/>
      <c r="W1253" s="96"/>
      <c r="X1253" s="96"/>
      <c r="Y1253" s="96"/>
    </row>
    <row r="1254" ht="26.25" customHeight="1">
      <c r="A1254" s="96"/>
      <c r="B1254" s="96"/>
      <c r="C1254" s="97"/>
      <c r="D1254" s="96"/>
      <c r="E1254" s="96"/>
      <c r="F1254" s="96"/>
      <c r="G1254" s="96"/>
      <c r="H1254" s="96"/>
      <c r="I1254" s="96"/>
      <c r="J1254" s="96"/>
      <c r="K1254" s="96"/>
      <c r="L1254" s="96"/>
      <c r="M1254" s="96"/>
      <c r="N1254" s="96"/>
      <c r="O1254" s="96"/>
      <c r="P1254" s="96"/>
      <c r="Q1254" s="96"/>
      <c r="R1254" s="96"/>
      <c r="S1254" s="96"/>
      <c r="T1254" s="96"/>
      <c r="U1254" s="96"/>
      <c r="V1254" s="96"/>
      <c r="W1254" s="96"/>
      <c r="X1254" s="96"/>
      <c r="Y1254" s="96"/>
    </row>
    <row r="1255" ht="26.25" customHeight="1">
      <c r="A1255" s="96"/>
      <c r="B1255" s="96"/>
      <c r="C1255" s="97"/>
      <c r="D1255" s="96"/>
      <c r="E1255" s="96"/>
      <c r="F1255" s="96"/>
      <c r="G1255" s="96"/>
      <c r="H1255" s="96"/>
      <c r="I1255" s="96"/>
      <c r="J1255" s="96"/>
      <c r="K1255" s="96"/>
      <c r="L1255" s="96"/>
      <c r="M1255" s="96"/>
      <c r="N1255" s="96"/>
      <c r="O1255" s="96"/>
      <c r="P1255" s="96"/>
      <c r="Q1255" s="96"/>
      <c r="R1255" s="96"/>
      <c r="S1255" s="96"/>
      <c r="T1255" s="96"/>
      <c r="U1255" s="96"/>
      <c r="V1255" s="96"/>
      <c r="W1255" s="96"/>
      <c r="X1255" s="96"/>
      <c r="Y1255" s="96"/>
    </row>
    <row r="1256" ht="26.25" customHeight="1">
      <c r="A1256" s="96"/>
      <c r="B1256" s="96"/>
      <c r="C1256" s="97"/>
      <c r="D1256" s="96"/>
      <c r="E1256" s="96"/>
      <c r="F1256" s="96"/>
      <c r="G1256" s="96"/>
      <c r="H1256" s="96"/>
      <c r="I1256" s="96"/>
      <c r="J1256" s="96"/>
      <c r="K1256" s="96"/>
      <c r="L1256" s="96"/>
      <c r="M1256" s="96"/>
      <c r="N1256" s="96"/>
      <c r="O1256" s="96"/>
      <c r="P1256" s="96"/>
      <c r="Q1256" s="96"/>
      <c r="R1256" s="96"/>
      <c r="S1256" s="96"/>
      <c r="T1256" s="96"/>
      <c r="U1256" s="96"/>
      <c r="V1256" s="96"/>
      <c r="W1256" s="96"/>
      <c r="X1256" s="96"/>
      <c r="Y1256" s="96"/>
    </row>
    <row r="1257" ht="26.25" customHeight="1">
      <c r="A1257" s="96"/>
      <c r="B1257" s="96"/>
      <c r="C1257" s="97"/>
      <c r="D1257" s="96"/>
      <c r="E1257" s="96"/>
      <c r="F1257" s="96"/>
      <c r="G1257" s="96"/>
      <c r="H1257" s="96"/>
      <c r="I1257" s="96"/>
      <c r="J1257" s="96"/>
      <c r="K1257" s="96"/>
      <c r="L1257" s="96"/>
      <c r="M1257" s="96"/>
      <c r="N1257" s="96"/>
      <c r="O1257" s="96"/>
      <c r="P1257" s="96"/>
      <c r="Q1257" s="96"/>
      <c r="R1257" s="96"/>
      <c r="S1257" s="96"/>
      <c r="T1257" s="96"/>
      <c r="U1257" s="96"/>
      <c r="V1257" s="96"/>
      <c r="W1257" s="96"/>
      <c r="X1257" s="96"/>
      <c r="Y1257" s="96"/>
    </row>
    <row r="1258" ht="26.25" customHeight="1">
      <c r="A1258" s="96"/>
      <c r="B1258" s="96"/>
      <c r="C1258" s="97"/>
      <c r="D1258" s="96"/>
      <c r="E1258" s="96"/>
      <c r="F1258" s="96"/>
      <c r="G1258" s="96"/>
      <c r="H1258" s="96"/>
      <c r="I1258" s="96"/>
      <c r="J1258" s="96"/>
      <c r="K1258" s="96"/>
      <c r="L1258" s="96"/>
      <c r="M1258" s="96"/>
      <c r="N1258" s="96"/>
      <c r="O1258" s="96"/>
      <c r="P1258" s="96"/>
      <c r="Q1258" s="96"/>
      <c r="R1258" s="96"/>
      <c r="S1258" s="96"/>
      <c r="T1258" s="96"/>
      <c r="U1258" s="96"/>
      <c r="V1258" s="96"/>
      <c r="W1258" s="96"/>
      <c r="X1258" s="96"/>
      <c r="Y1258" s="96"/>
    </row>
    <row r="1259" ht="26.25" customHeight="1">
      <c r="A1259" s="96"/>
      <c r="B1259" s="96"/>
      <c r="C1259" s="97"/>
      <c r="D1259" s="96"/>
      <c r="E1259" s="96"/>
      <c r="F1259" s="96"/>
      <c r="G1259" s="96"/>
      <c r="H1259" s="96"/>
      <c r="I1259" s="96"/>
      <c r="J1259" s="96"/>
      <c r="K1259" s="96"/>
      <c r="L1259" s="96"/>
      <c r="M1259" s="96"/>
      <c r="N1259" s="96"/>
      <c r="O1259" s="96"/>
      <c r="P1259" s="96"/>
      <c r="Q1259" s="96"/>
      <c r="R1259" s="96"/>
      <c r="S1259" s="96"/>
      <c r="T1259" s="96"/>
      <c r="U1259" s="96"/>
      <c r="V1259" s="96"/>
      <c r="W1259" s="96"/>
      <c r="X1259" s="96"/>
      <c r="Y1259" s="96"/>
    </row>
    <row r="1260" ht="26.25" customHeight="1">
      <c r="A1260" s="96"/>
      <c r="B1260" s="96"/>
      <c r="C1260" s="97"/>
      <c r="D1260" s="96"/>
      <c r="E1260" s="96"/>
      <c r="F1260" s="96"/>
      <c r="G1260" s="96"/>
      <c r="H1260" s="96"/>
      <c r="I1260" s="96"/>
      <c r="J1260" s="96"/>
      <c r="K1260" s="96"/>
      <c r="L1260" s="96"/>
      <c r="M1260" s="96"/>
      <c r="N1260" s="96"/>
      <c r="O1260" s="96"/>
      <c r="P1260" s="96"/>
      <c r="Q1260" s="96"/>
      <c r="R1260" s="96"/>
      <c r="S1260" s="96"/>
      <c r="T1260" s="96"/>
      <c r="U1260" s="96"/>
      <c r="V1260" s="96"/>
      <c r="W1260" s="96"/>
      <c r="X1260" s="96"/>
      <c r="Y1260" s="96"/>
    </row>
    <row r="1261" ht="26.25" customHeight="1">
      <c r="A1261" s="96"/>
      <c r="B1261" s="96"/>
      <c r="C1261" s="97"/>
      <c r="D1261" s="96"/>
      <c r="E1261" s="96"/>
      <c r="F1261" s="96"/>
      <c r="G1261" s="96"/>
      <c r="H1261" s="96"/>
      <c r="I1261" s="96"/>
      <c r="J1261" s="96"/>
      <c r="K1261" s="96"/>
      <c r="L1261" s="96"/>
      <c r="M1261" s="96"/>
      <c r="N1261" s="96"/>
      <c r="O1261" s="96"/>
      <c r="P1261" s="96"/>
      <c r="Q1261" s="96"/>
      <c r="R1261" s="96"/>
      <c r="S1261" s="96"/>
      <c r="T1261" s="96"/>
      <c r="U1261" s="96"/>
      <c r="V1261" s="96"/>
      <c r="W1261" s="96"/>
      <c r="X1261" s="96"/>
      <c r="Y1261" s="96"/>
    </row>
    <row r="1262" ht="26.25" customHeight="1">
      <c r="A1262" s="96"/>
      <c r="B1262" s="96"/>
      <c r="C1262" s="97"/>
      <c r="D1262" s="96"/>
      <c r="E1262" s="96"/>
      <c r="F1262" s="96"/>
      <c r="G1262" s="96"/>
      <c r="H1262" s="96"/>
      <c r="I1262" s="96"/>
      <c r="J1262" s="96"/>
      <c r="K1262" s="96"/>
      <c r="L1262" s="96"/>
      <c r="M1262" s="96"/>
      <c r="N1262" s="96"/>
      <c r="O1262" s="96"/>
      <c r="P1262" s="96"/>
      <c r="Q1262" s="96"/>
      <c r="R1262" s="96"/>
      <c r="S1262" s="96"/>
      <c r="T1262" s="96"/>
      <c r="U1262" s="96"/>
      <c r="V1262" s="96"/>
      <c r="W1262" s="96"/>
      <c r="X1262" s="96"/>
      <c r="Y1262" s="96"/>
    </row>
    <row r="1263" ht="26.25" customHeight="1">
      <c r="A1263" s="96"/>
      <c r="B1263" s="96"/>
      <c r="C1263" s="97"/>
      <c r="D1263" s="96"/>
      <c r="E1263" s="96"/>
      <c r="F1263" s="96"/>
      <c r="G1263" s="96"/>
      <c r="H1263" s="96"/>
      <c r="I1263" s="96"/>
      <c r="J1263" s="96"/>
      <c r="K1263" s="96"/>
      <c r="L1263" s="96"/>
      <c r="M1263" s="96"/>
      <c r="N1263" s="96"/>
      <c r="O1263" s="96"/>
      <c r="P1263" s="96"/>
      <c r="Q1263" s="96"/>
      <c r="R1263" s="96"/>
      <c r="S1263" s="96"/>
      <c r="T1263" s="96"/>
      <c r="U1263" s="96"/>
      <c r="V1263" s="96"/>
      <c r="W1263" s="96"/>
      <c r="X1263" s="96"/>
      <c r="Y1263" s="96"/>
    </row>
    <row r="1264" ht="26.25" customHeight="1">
      <c r="A1264" s="96"/>
      <c r="B1264" s="96"/>
      <c r="C1264" s="97"/>
      <c r="D1264" s="96"/>
      <c r="E1264" s="96"/>
      <c r="F1264" s="96"/>
      <c r="G1264" s="96"/>
      <c r="H1264" s="96"/>
      <c r="I1264" s="96"/>
      <c r="J1264" s="96"/>
      <c r="K1264" s="96"/>
      <c r="L1264" s="96"/>
      <c r="M1264" s="96"/>
      <c r="N1264" s="96"/>
      <c r="O1264" s="96"/>
      <c r="P1264" s="96"/>
      <c r="Q1264" s="96"/>
      <c r="R1264" s="96"/>
      <c r="S1264" s="96"/>
      <c r="T1264" s="96"/>
      <c r="U1264" s="96"/>
      <c r="V1264" s="96"/>
      <c r="W1264" s="96"/>
      <c r="X1264" s="96"/>
      <c r="Y1264" s="96"/>
    </row>
    <row r="1265" ht="26.25" customHeight="1">
      <c r="A1265" s="96"/>
      <c r="B1265" s="96"/>
      <c r="C1265" s="97"/>
      <c r="D1265" s="96"/>
      <c r="E1265" s="96"/>
      <c r="F1265" s="96"/>
      <c r="G1265" s="96"/>
      <c r="H1265" s="96"/>
      <c r="I1265" s="96"/>
      <c r="J1265" s="96"/>
      <c r="K1265" s="96"/>
      <c r="L1265" s="96"/>
      <c r="M1265" s="96"/>
      <c r="N1265" s="96"/>
      <c r="O1265" s="96"/>
      <c r="P1265" s="96"/>
      <c r="Q1265" s="96"/>
      <c r="R1265" s="96"/>
      <c r="S1265" s="96"/>
      <c r="T1265" s="96"/>
      <c r="U1265" s="96"/>
      <c r="V1265" s="96"/>
      <c r="W1265" s="96"/>
      <c r="X1265" s="96"/>
      <c r="Y1265" s="96"/>
    </row>
    <row r="1266" ht="26.25" customHeight="1">
      <c r="A1266" s="96"/>
      <c r="B1266" s="96"/>
      <c r="C1266" s="97"/>
      <c r="D1266" s="96"/>
      <c r="E1266" s="96"/>
      <c r="F1266" s="96"/>
      <c r="G1266" s="96"/>
      <c r="H1266" s="96"/>
      <c r="I1266" s="96"/>
      <c r="J1266" s="96"/>
      <c r="K1266" s="96"/>
      <c r="L1266" s="96"/>
      <c r="M1266" s="96"/>
      <c r="N1266" s="96"/>
      <c r="O1266" s="96"/>
      <c r="P1266" s="96"/>
      <c r="Q1266" s="96"/>
      <c r="R1266" s="96"/>
      <c r="S1266" s="96"/>
      <c r="T1266" s="96"/>
      <c r="U1266" s="96"/>
      <c r="V1266" s="96"/>
      <c r="W1266" s="96"/>
      <c r="X1266" s="96"/>
      <c r="Y1266" s="96"/>
    </row>
    <row r="1267" ht="26.25" customHeight="1">
      <c r="A1267" s="96"/>
      <c r="B1267" s="96"/>
      <c r="C1267" s="97"/>
      <c r="D1267" s="96"/>
      <c r="E1267" s="96"/>
      <c r="F1267" s="96"/>
      <c r="G1267" s="96"/>
      <c r="H1267" s="96"/>
      <c r="I1267" s="96"/>
      <c r="J1267" s="96"/>
      <c r="K1267" s="96"/>
      <c r="L1267" s="96"/>
      <c r="M1267" s="96"/>
      <c r="N1267" s="96"/>
      <c r="O1267" s="96"/>
      <c r="P1267" s="96"/>
      <c r="Q1267" s="96"/>
      <c r="R1267" s="96"/>
      <c r="S1267" s="96"/>
      <c r="T1267" s="96"/>
      <c r="U1267" s="96"/>
      <c r="V1267" s="96"/>
      <c r="W1267" s="96"/>
      <c r="X1267" s="96"/>
      <c r="Y1267" s="96"/>
    </row>
    <row r="1268" ht="26.25" customHeight="1">
      <c r="A1268" s="96"/>
      <c r="B1268" s="96"/>
      <c r="C1268" s="97"/>
      <c r="D1268" s="96"/>
      <c r="E1268" s="96"/>
      <c r="F1268" s="96"/>
      <c r="G1268" s="96"/>
      <c r="H1268" s="96"/>
      <c r="I1268" s="96"/>
      <c r="J1268" s="96"/>
      <c r="K1268" s="96"/>
      <c r="L1268" s="96"/>
      <c r="M1268" s="96"/>
      <c r="N1268" s="96"/>
      <c r="O1268" s="96"/>
      <c r="P1268" s="96"/>
      <c r="Q1268" s="96"/>
      <c r="R1268" s="96"/>
      <c r="S1268" s="96"/>
      <c r="T1268" s="96"/>
      <c r="U1268" s="96"/>
      <c r="V1268" s="96"/>
      <c r="W1268" s="96"/>
      <c r="X1268" s="96"/>
      <c r="Y1268" s="96"/>
    </row>
    <row r="1269" ht="26.25" customHeight="1">
      <c r="A1269" s="96"/>
      <c r="B1269" s="96"/>
      <c r="C1269" s="97"/>
      <c r="D1269" s="96"/>
      <c r="E1269" s="96"/>
      <c r="F1269" s="96"/>
      <c r="G1269" s="96"/>
      <c r="H1269" s="96"/>
      <c r="I1269" s="96"/>
      <c r="J1269" s="96"/>
      <c r="K1269" s="96"/>
      <c r="L1269" s="96"/>
      <c r="M1269" s="96"/>
      <c r="N1269" s="96"/>
      <c r="O1269" s="96"/>
      <c r="P1269" s="96"/>
      <c r="Q1269" s="96"/>
      <c r="R1269" s="96"/>
      <c r="S1269" s="96"/>
      <c r="T1269" s="96"/>
      <c r="U1269" s="96"/>
      <c r="V1269" s="96"/>
      <c r="W1269" s="96"/>
      <c r="X1269" s="96"/>
      <c r="Y1269" s="96"/>
    </row>
    <row r="1270" ht="26.25" customHeight="1">
      <c r="A1270" s="96"/>
      <c r="B1270" s="96"/>
      <c r="C1270" s="97"/>
      <c r="D1270" s="96"/>
      <c r="E1270" s="96"/>
      <c r="F1270" s="96"/>
      <c r="G1270" s="96"/>
      <c r="H1270" s="96"/>
      <c r="I1270" s="96"/>
      <c r="J1270" s="96"/>
      <c r="K1270" s="96"/>
      <c r="L1270" s="96"/>
      <c r="M1270" s="96"/>
      <c r="N1270" s="96"/>
      <c r="O1270" s="96"/>
      <c r="P1270" s="96"/>
      <c r="Q1270" s="96"/>
      <c r="R1270" s="96"/>
      <c r="S1270" s="96"/>
      <c r="T1270" s="96"/>
      <c r="U1270" s="96"/>
      <c r="V1270" s="96"/>
      <c r="W1270" s="96"/>
      <c r="X1270" s="96"/>
      <c r="Y1270" s="96"/>
    </row>
    <row r="1271" ht="26.25" customHeight="1">
      <c r="A1271" s="96"/>
      <c r="B1271" s="96"/>
      <c r="C1271" s="97"/>
      <c r="D1271" s="96"/>
      <c r="E1271" s="96"/>
      <c r="F1271" s="96"/>
      <c r="G1271" s="96"/>
      <c r="H1271" s="96"/>
      <c r="I1271" s="96"/>
      <c r="J1271" s="96"/>
      <c r="K1271" s="96"/>
      <c r="L1271" s="96"/>
      <c r="M1271" s="96"/>
      <c r="N1271" s="96"/>
      <c r="O1271" s="96"/>
      <c r="P1271" s="96"/>
      <c r="Q1271" s="96"/>
      <c r="R1271" s="96"/>
      <c r="S1271" s="96"/>
      <c r="T1271" s="96"/>
      <c r="U1271" s="96"/>
      <c r="V1271" s="96"/>
      <c r="W1271" s="96"/>
      <c r="X1271" s="96"/>
      <c r="Y1271" s="96"/>
    </row>
    <row r="1272" ht="26.25" customHeight="1">
      <c r="A1272" s="96"/>
      <c r="B1272" s="96"/>
      <c r="C1272" s="97"/>
      <c r="D1272" s="96"/>
      <c r="E1272" s="96"/>
      <c r="F1272" s="96"/>
      <c r="G1272" s="96"/>
      <c r="H1272" s="96"/>
      <c r="I1272" s="96"/>
      <c r="J1272" s="96"/>
      <c r="K1272" s="96"/>
      <c r="L1272" s="96"/>
      <c r="M1272" s="96"/>
      <c r="N1272" s="96"/>
      <c r="O1272" s="96"/>
      <c r="P1272" s="96"/>
      <c r="Q1272" s="96"/>
      <c r="R1272" s="96"/>
      <c r="S1272" s="96"/>
      <c r="T1272" s="96"/>
      <c r="U1272" s="96"/>
      <c r="V1272" s="96"/>
      <c r="W1272" s="96"/>
      <c r="X1272" s="96"/>
      <c r="Y1272" s="96"/>
    </row>
    <row r="1273" ht="26.25" customHeight="1">
      <c r="A1273" s="96"/>
      <c r="B1273" s="96"/>
      <c r="C1273" s="97"/>
      <c r="D1273" s="96"/>
      <c r="E1273" s="96"/>
      <c r="F1273" s="96"/>
      <c r="G1273" s="96"/>
      <c r="H1273" s="96"/>
      <c r="I1273" s="96"/>
      <c r="J1273" s="96"/>
      <c r="K1273" s="96"/>
      <c r="L1273" s="96"/>
      <c r="M1273" s="96"/>
      <c r="N1273" s="96"/>
      <c r="O1273" s="96"/>
      <c r="P1273" s="96"/>
      <c r="Q1273" s="96"/>
      <c r="R1273" s="96"/>
      <c r="S1273" s="96"/>
      <c r="T1273" s="96"/>
      <c r="U1273" s="96"/>
      <c r="V1273" s="96"/>
      <c r="W1273" s="96"/>
      <c r="X1273" s="96"/>
      <c r="Y1273" s="96"/>
    </row>
    <row r="1274" ht="26.25" customHeight="1">
      <c r="A1274" s="96"/>
      <c r="B1274" s="96"/>
      <c r="C1274" s="97"/>
      <c r="D1274" s="96"/>
      <c r="E1274" s="96"/>
      <c r="F1274" s="96"/>
      <c r="G1274" s="96"/>
      <c r="H1274" s="96"/>
      <c r="I1274" s="96"/>
      <c r="J1274" s="96"/>
      <c r="K1274" s="96"/>
      <c r="L1274" s="96"/>
      <c r="M1274" s="96"/>
      <c r="N1274" s="96"/>
      <c r="O1274" s="96"/>
      <c r="P1274" s="96"/>
      <c r="Q1274" s="96"/>
      <c r="R1274" s="96"/>
      <c r="S1274" s="96"/>
      <c r="T1274" s="96"/>
      <c r="U1274" s="96"/>
      <c r="V1274" s="96"/>
      <c r="W1274" s="96"/>
      <c r="X1274" s="96"/>
      <c r="Y1274" s="96"/>
    </row>
    <row r="1275" ht="26.25" customHeight="1">
      <c r="A1275" s="96"/>
      <c r="B1275" s="96"/>
      <c r="C1275" s="97"/>
      <c r="D1275" s="96"/>
      <c r="E1275" s="96"/>
      <c r="F1275" s="96"/>
      <c r="G1275" s="96"/>
      <c r="H1275" s="96"/>
      <c r="I1275" s="96"/>
      <c r="J1275" s="96"/>
      <c r="K1275" s="96"/>
      <c r="L1275" s="96"/>
      <c r="M1275" s="96"/>
      <c r="N1275" s="96"/>
      <c r="O1275" s="96"/>
      <c r="P1275" s="96"/>
      <c r="Q1275" s="96"/>
      <c r="R1275" s="96"/>
      <c r="S1275" s="96"/>
      <c r="T1275" s="96"/>
      <c r="U1275" s="96"/>
      <c r="V1275" s="96"/>
      <c r="W1275" s="96"/>
      <c r="X1275" s="96"/>
      <c r="Y1275" s="96"/>
    </row>
    <row r="1276" ht="26.25" customHeight="1">
      <c r="A1276" s="96"/>
      <c r="B1276" s="96"/>
      <c r="C1276" s="97"/>
      <c r="D1276" s="96"/>
      <c r="E1276" s="96"/>
      <c r="F1276" s="96"/>
      <c r="G1276" s="96"/>
      <c r="H1276" s="96"/>
      <c r="I1276" s="96"/>
      <c r="J1276" s="96"/>
      <c r="K1276" s="96"/>
      <c r="L1276" s="96"/>
      <c r="M1276" s="96"/>
      <c r="N1276" s="96"/>
      <c r="O1276" s="96"/>
      <c r="P1276" s="96"/>
      <c r="Q1276" s="96"/>
      <c r="R1276" s="96"/>
      <c r="S1276" s="96"/>
      <c r="T1276" s="96"/>
      <c r="U1276" s="96"/>
      <c r="V1276" s="96"/>
      <c r="W1276" s="96"/>
      <c r="X1276" s="96"/>
      <c r="Y1276" s="96"/>
    </row>
    <row r="1277" ht="26.25" customHeight="1">
      <c r="A1277" s="96"/>
      <c r="B1277" s="96"/>
      <c r="C1277" s="97"/>
      <c r="D1277" s="96"/>
      <c r="E1277" s="96"/>
      <c r="F1277" s="96"/>
      <c r="G1277" s="96"/>
      <c r="H1277" s="96"/>
      <c r="I1277" s="96"/>
      <c r="J1277" s="96"/>
      <c r="K1277" s="96"/>
      <c r="L1277" s="96"/>
      <c r="M1277" s="96"/>
      <c r="N1277" s="96"/>
      <c r="O1277" s="96"/>
      <c r="P1277" s="96"/>
      <c r="Q1277" s="96"/>
      <c r="R1277" s="96"/>
      <c r="S1277" s="96"/>
      <c r="T1277" s="96"/>
      <c r="U1277" s="96"/>
      <c r="V1277" s="96"/>
      <c r="W1277" s="96"/>
      <c r="X1277" s="96"/>
      <c r="Y1277" s="96"/>
    </row>
    <row r="1278" ht="26.25" customHeight="1">
      <c r="A1278" s="96"/>
      <c r="B1278" s="96"/>
      <c r="C1278" s="97"/>
      <c r="D1278" s="96"/>
      <c r="E1278" s="96"/>
      <c r="F1278" s="96"/>
      <c r="G1278" s="96"/>
      <c r="H1278" s="96"/>
      <c r="I1278" s="96"/>
      <c r="J1278" s="96"/>
      <c r="K1278" s="96"/>
      <c r="L1278" s="96"/>
      <c r="M1278" s="96"/>
      <c r="N1278" s="96"/>
      <c r="O1278" s="96"/>
      <c r="P1278" s="96"/>
      <c r="Q1278" s="96"/>
      <c r="R1278" s="96"/>
      <c r="S1278" s="96"/>
      <c r="T1278" s="96"/>
      <c r="U1278" s="96"/>
      <c r="V1278" s="96"/>
      <c r="W1278" s="96"/>
      <c r="X1278" s="96"/>
      <c r="Y1278" s="96"/>
    </row>
    <row r="1279" ht="26.25" customHeight="1">
      <c r="A1279" s="96"/>
      <c r="B1279" s="96"/>
      <c r="C1279" s="97"/>
      <c r="D1279" s="96"/>
      <c r="E1279" s="96"/>
      <c r="F1279" s="96"/>
      <c r="G1279" s="96"/>
      <c r="H1279" s="96"/>
      <c r="I1279" s="96"/>
      <c r="J1279" s="96"/>
      <c r="K1279" s="96"/>
      <c r="L1279" s="96"/>
      <c r="M1279" s="96"/>
      <c r="N1279" s="96"/>
      <c r="O1279" s="96"/>
      <c r="P1279" s="96"/>
      <c r="Q1279" s="96"/>
      <c r="R1279" s="96"/>
      <c r="S1279" s="96"/>
      <c r="T1279" s="96"/>
      <c r="U1279" s="96"/>
      <c r="V1279" s="96"/>
      <c r="W1279" s="96"/>
      <c r="X1279" s="96"/>
      <c r="Y1279" s="96"/>
    </row>
    <row r="1280" ht="26.25" customHeight="1">
      <c r="A1280" s="96"/>
      <c r="B1280" s="96"/>
      <c r="C1280" s="97"/>
      <c r="D1280" s="96"/>
      <c r="E1280" s="96"/>
      <c r="F1280" s="96"/>
      <c r="G1280" s="96"/>
      <c r="H1280" s="96"/>
      <c r="I1280" s="96"/>
      <c r="J1280" s="96"/>
      <c r="K1280" s="96"/>
      <c r="L1280" s="96"/>
      <c r="M1280" s="96"/>
      <c r="N1280" s="96"/>
      <c r="O1280" s="96"/>
      <c r="P1280" s="96"/>
      <c r="Q1280" s="96"/>
      <c r="R1280" s="96"/>
      <c r="S1280" s="96"/>
      <c r="T1280" s="96"/>
      <c r="U1280" s="96"/>
      <c r="V1280" s="96"/>
      <c r="W1280" s="96"/>
      <c r="X1280" s="96"/>
      <c r="Y1280" s="96"/>
    </row>
    <row r="1281" ht="26.25" customHeight="1">
      <c r="A1281" s="96"/>
      <c r="B1281" s="96"/>
      <c r="C1281" s="97"/>
      <c r="D1281" s="96"/>
      <c r="E1281" s="96"/>
      <c r="F1281" s="96"/>
      <c r="G1281" s="96"/>
      <c r="H1281" s="96"/>
      <c r="I1281" s="96"/>
      <c r="J1281" s="96"/>
      <c r="K1281" s="96"/>
      <c r="L1281" s="96"/>
      <c r="M1281" s="96"/>
      <c r="N1281" s="96"/>
      <c r="O1281" s="96"/>
      <c r="P1281" s="96"/>
      <c r="Q1281" s="96"/>
      <c r="R1281" s="96"/>
      <c r="S1281" s="96"/>
      <c r="T1281" s="96"/>
      <c r="U1281" s="96"/>
      <c r="V1281" s="96"/>
      <c r="W1281" s="96"/>
      <c r="X1281" s="96"/>
      <c r="Y1281" s="96"/>
    </row>
    <row r="1282" ht="26.25" customHeight="1">
      <c r="A1282" s="96"/>
      <c r="B1282" s="96"/>
      <c r="C1282" s="97"/>
      <c r="D1282" s="96"/>
      <c r="E1282" s="96"/>
      <c r="F1282" s="96"/>
      <c r="G1282" s="96"/>
      <c r="H1282" s="96"/>
      <c r="I1282" s="96"/>
      <c r="J1282" s="96"/>
      <c r="K1282" s="96"/>
      <c r="L1282" s="96"/>
      <c r="M1282" s="96"/>
      <c r="N1282" s="96"/>
      <c r="O1282" s="96"/>
      <c r="P1282" s="96"/>
      <c r="Q1282" s="96"/>
      <c r="R1282" s="96"/>
      <c r="S1282" s="96"/>
      <c r="T1282" s="96"/>
      <c r="U1282" s="96"/>
      <c r="V1282" s="96"/>
      <c r="W1282" s="96"/>
      <c r="X1282" s="96"/>
      <c r="Y1282" s="96"/>
    </row>
    <row r="1283" ht="26.25" customHeight="1">
      <c r="A1283" s="96"/>
      <c r="B1283" s="96"/>
      <c r="C1283" s="97"/>
      <c r="D1283" s="96"/>
      <c r="E1283" s="96"/>
      <c r="F1283" s="96"/>
      <c r="G1283" s="96"/>
      <c r="H1283" s="96"/>
      <c r="I1283" s="96"/>
      <c r="J1283" s="96"/>
      <c r="K1283" s="96"/>
      <c r="L1283" s="96"/>
      <c r="M1283" s="96"/>
      <c r="N1283" s="96"/>
      <c r="O1283" s="96"/>
      <c r="P1283" s="96"/>
      <c r="Q1283" s="96"/>
      <c r="R1283" s="96"/>
      <c r="S1283" s="96"/>
      <c r="T1283" s="96"/>
      <c r="U1283" s="96"/>
      <c r="V1283" s="96"/>
      <c r="W1283" s="96"/>
      <c r="X1283" s="96"/>
      <c r="Y1283" s="96"/>
    </row>
    <row r="1284" ht="26.25" customHeight="1">
      <c r="A1284" s="96"/>
      <c r="B1284" s="96"/>
      <c r="C1284" s="97"/>
      <c r="D1284" s="96"/>
      <c r="E1284" s="96"/>
      <c r="F1284" s="96"/>
      <c r="G1284" s="96"/>
      <c r="H1284" s="96"/>
      <c r="I1284" s="96"/>
      <c r="J1284" s="96"/>
      <c r="K1284" s="96"/>
      <c r="L1284" s="96"/>
      <c r="M1284" s="96"/>
      <c r="N1284" s="96"/>
      <c r="O1284" s="96"/>
      <c r="P1284" s="96"/>
      <c r="Q1284" s="96"/>
      <c r="R1284" s="96"/>
      <c r="S1284" s="96"/>
      <c r="T1284" s="96"/>
      <c r="U1284" s="96"/>
      <c r="V1284" s="96"/>
      <c r="W1284" s="96"/>
      <c r="X1284" s="96"/>
      <c r="Y1284" s="96"/>
    </row>
    <row r="1285" ht="26.25" customHeight="1">
      <c r="A1285" s="96"/>
      <c r="B1285" s="96"/>
      <c r="C1285" s="97"/>
      <c r="D1285" s="96"/>
      <c r="E1285" s="96"/>
      <c r="F1285" s="96"/>
      <c r="G1285" s="96"/>
      <c r="H1285" s="96"/>
      <c r="I1285" s="96"/>
      <c r="J1285" s="96"/>
      <c r="K1285" s="96"/>
      <c r="L1285" s="96"/>
      <c r="M1285" s="96"/>
      <c r="N1285" s="96"/>
      <c r="O1285" s="96"/>
      <c r="P1285" s="96"/>
      <c r="Q1285" s="96"/>
      <c r="R1285" s="96"/>
      <c r="S1285" s="96"/>
      <c r="T1285" s="96"/>
      <c r="U1285" s="96"/>
      <c r="V1285" s="96"/>
      <c r="W1285" s="96"/>
      <c r="X1285" s="96"/>
      <c r="Y1285" s="96"/>
    </row>
    <row r="1286" ht="26.25" customHeight="1">
      <c r="A1286" s="96"/>
      <c r="B1286" s="96"/>
      <c r="C1286" s="97"/>
      <c r="D1286" s="96"/>
      <c r="E1286" s="96"/>
      <c r="F1286" s="96"/>
      <c r="G1286" s="96"/>
      <c r="H1286" s="96"/>
      <c r="I1286" s="96"/>
      <c r="J1286" s="96"/>
      <c r="K1286" s="96"/>
      <c r="L1286" s="96"/>
      <c r="M1286" s="96"/>
      <c r="N1286" s="96"/>
      <c r="O1286" s="96"/>
      <c r="P1286" s="96"/>
      <c r="Q1286" s="96"/>
      <c r="R1286" s="96"/>
      <c r="S1286" s="96"/>
      <c r="T1286" s="96"/>
      <c r="U1286" s="96"/>
      <c r="V1286" s="96"/>
      <c r="W1286" s="96"/>
      <c r="X1286" s="96"/>
      <c r="Y1286" s="96"/>
    </row>
    <row r="1287" ht="26.25" customHeight="1">
      <c r="A1287" s="96"/>
      <c r="B1287" s="96"/>
      <c r="C1287" s="97"/>
      <c r="D1287" s="96"/>
      <c r="E1287" s="96"/>
      <c r="F1287" s="96"/>
      <c r="G1287" s="96"/>
      <c r="H1287" s="96"/>
      <c r="I1287" s="96"/>
      <c r="J1287" s="96"/>
      <c r="K1287" s="96"/>
      <c r="L1287" s="96"/>
      <c r="M1287" s="96"/>
      <c r="N1287" s="96"/>
      <c r="O1287" s="96"/>
      <c r="P1287" s="96"/>
      <c r="Q1287" s="96"/>
      <c r="R1287" s="96"/>
      <c r="S1287" s="96"/>
      <c r="T1287" s="96"/>
      <c r="U1287" s="96"/>
      <c r="V1287" s="96"/>
      <c r="W1287" s="96"/>
      <c r="X1287" s="96"/>
      <c r="Y1287" s="96"/>
    </row>
    <row r="1288" ht="26.25" customHeight="1">
      <c r="A1288" s="96"/>
      <c r="B1288" s="96"/>
      <c r="C1288" s="97"/>
      <c r="D1288" s="96"/>
      <c r="E1288" s="96"/>
      <c r="F1288" s="96"/>
      <c r="G1288" s="96"/>
      <c r="H1288" s="96"/>
      <c r="I1288" s="96"/>
      <c r="J1288" s="96"/>
      <c r="K1288" s="96"/>
      <c r="L1288" s="96"/>
      <c r="M1288" s="96"/>
      <c r="N1288" s="96"/>
      <c r="O1288" s="96"/>
      <c r="P1288" s="96"/>
      <c r="Q1288" s="96"/>
      <c r="R1288" s="96"/>
      <c r="S1288" s="96"/>
      <c r="T1288" s="96"/>
      <c r="U1288" s="96"/>
      <c r="V1288" s="96"/>
      <c r="W1288" s="96"/>
      <c r="X1288" s="96"/>
      <c r="Y1288" s="96"/>
    </row>
    <row r="1289" ht="26.25" customHeight="1">
      <c r="A1289" s="96"/>
      <c r="B1289" s="96"/>
      <c r="C1289" s="97"/>
      <c r="D1289" s="96"/>
      <c r="E1289" s="96"/>
      <c r="F1289" s="96"/>
      <c r="G1289" s="96"/>
      <c r="H1289" s="96"/>
      <c r="I1289" s="96"/>
      <c r="J1289" s="96"/>
      <c r="K1289" s="96"/>
      <c r="L1289" s="96"/>
      <c r="M1289" s="96"/>
      <c r="N1289" s="96"/>
      <c r="O1289" s="96"/>
      <c r="P1289" s="96"/>
      <c r="Q1289" s="96"/>
      <c r="R1289" s="96"/>
      <c r="S1289" s="96"/>
      <c r="T1289" s="96"/>
      <c r="U1289" s="96"/>
      <c r="V1289" s="96"/>
      <c r="W1289" s="96"/>
      <c r="X1289" s="96"/>
      <c r="Y1289" s="96"/>
    </row>
    <row r="1290" ht="26.25" customHeight="1">
      <c r="A1290" s="96"/>
      <c r="B1290" s="96"/>
      <c r="C1290" s="97"/>
      <c r="D1290" s="96"/>
      <c r="E1290" s="96"/>
      <c r="F1290" s="96"/>
      <c r="G1290" s="96"/>
      <c r="H1290" s="96"/>
      <c r="I1290" s="96"/>
      <c r="J1290" s="96"/>
      <c r="K1290" s="96"/>
      <c r="L1290" s="96"/>
      <c r="M1290" s="96"/>
      <c r="N1290" s="96"/>
      <c r="O1290" s="96"/>
      <c r="P1290" s="96"/>
      <c r="Q1290" s="96"/>
      <c r="R1290" s="96"/>
      <c r="S1290" s="96"/>
      <c r="T1290" s="96"/>
      <c r="U1290" s="96"/>
      <c r="V1290" s="96"/>
      <c r="W1290" s="96"/>
      <c r="X1290" s="96"/>
      <c r="Y1290" s="96"/>
    </row>
    <row r="1291" ht="26.25" customHeight="1">
      <c r="A1291" s="96"/>
      <c r="B1291" s="96"/>
      <c r="C1291" s="97"/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  <c r="O1291" s="96"/>
      <c r="P1291" s="96"/>
      <c r="Q1291" s="96"/>
      <c r="R1291" s="96"/>
      <c r="S1291" s="96"/>
      <c r="T1291" s="96"/>
      <c r="U1291" s="96"/>
      <c r="V1291" s="96"/>
      <c r="W1291" s="96"/>
      <c r="X1291" s="96"/>
      <c r="Y1291" s="96"/>
    </row>
    <row r="1292" ht="26.25" customHeight="1">
      <c r="A1292" s="96"/>
      <c r="B1292" s="96"/>
      <c r="C1292" s="97"/>
      <c r="D1292" s="96"/>
      <c r="E1292" s="96"/>
      <c r="F1292" s="96"/>
      <c r="G1292" s="96"/>
      <c r="H1292" s="96"/>
      <c r="I1292" s="96"/>
      <c r="J1292" s="96"/>
      <c r="K1292" s="96"/>
      <c r="L1292" s="96"/>
      <c r="M1292" s="96"/>
      <c r="N1292" s="96"/>
      <c r="O1292" s="96"/>
      <c r="P1292" s="96"/>
      <c r="Q1292" s="96"/>
      <c r="R1292" s="96"/>
      <c r="S1292" s="96"/>
      <c r="T1292" s="96"/>
      <c r="U1292" s="96"/>
      <c r="V1292" s="96"/>
      <c r="W1292" s="96"/>
      <c r="X1292" s="96"/>
      <c r="Y1292" s="96"/>
    </row>
    <row r="1293" ht="26.25" customHeight="1">
      <c r="A1293" s="96"/>
      <c r="B1293" s="96"/>
      <c r="C1293" s="97"/>
      <c r="D1293" s="96"/>
      <c r="E1293" s="96"/>
      <c r="F1293" s="96"/>
      <c r="G1293" s="96"/>
      <c r="H1293" s="96"/>
      <c r="I1293" s="96"/>
      <c r="J1293" s="96"/>
      <c r="K1293" s="96"/>
      <c r="L1293" s="96"/>
      <c r="M1293" s="96"/>
      <c r="N1293" s="96"/>
      <c r="O1293" s="96"/>
      <c r="P1293" s="96"/>
      <c r="Q1293" s="96"/>
      <c r="R1293" s="96"/>
      <c r="S1293" s="96"/>
      <c r="T1293" s="96"/>
      <c r="U1293" s="96"/>
      <c r="V1293" s="96"/>
      <c r="W1293" s="96"/>
      <c r="X1293" s="96"/>
      <c r="Y1293" s="96"/>
    </row>
    <row r="1294" ht="26.25" customHeight="1">
      <c r="A1294" s="96"/>
      <c r="B1294" s="96"/>
      <c r="C1294" s="97"/>
      <c r="D1294" s="96"/>
      <c r="E1294" s="96"/>
      <c r="F1294" s="96"/>
      <c r="G1294" s="96"/>
      <c r="H1294" s="96"/>
      <c r="I1294" s="96"/>
      <c r="J1294" s="96"/>
      <c r="K1294" s="96"/>
      <c r="L1294" s="96"/>
      <c r="M1294" s="96"/>
      <c r="N1294" s="96"/>
      <c r="O1294" s="96"/>
      <c r="P1294" s="96"/>
      <c r="Q1294" s="96"/>
      <c r="R1294" s="96"/>
      <c r="S1294" s="96"/>
      <c r="T1294" s="96"/>
      <c r="U1294" s="96"/>
      <c r="V1294" s="96"/>
      <c r="W1294" s="96"/>
      <c r="X1294" s="96"/>
      <c r="Y1294" s="96"/>
    </row>
    <row r="1295" ht="26.25" customHeight="1">
      <c r="A1295" s="96"/>
      <c r="B1295" s="96"/>
      <c r="C1295" s="97"/>
      <c r="D1295" s="96"/>
      <c r="E1295" s="96"/>
      <c r="F1295" s="96"/>
      <c r="G1295" s="96"/>
      <c r="H1295" s="96"/>
      <c r="I1295" s="96"/>
      <c r="J1295" s="96"/>
      <c r="K1295" s="96"/>
      <c r="L1295" s="96"/>
      <c r="M1295" s="96"/>
      <c r="N1295" s="96"/>
      <c r="O1295" s="96"/>
      <c r="P1295" s="96"/>
      <c r="Q1295" s="96"/>
      <c r="R1295" s="96"/>
      <c r="S1295" s="96"/>
      <c r="T1295" s="96"/>
      <c r="U1295" s="96"/>
      <c r="V1295" s="96"/>
      <c r="W1295" s="96"/>
      <c r="X1295" s="96"/>
      <c r="Y1295" s="96"/>
    </row>
    <row r="1296" ht="26.25" customHeight="1">
      <c r="A1296" s="96"/>
      <c r="B1296" s="96"/>
      <c r="C1296" s="97"/>
      <c r="D1296" s="96"/>
      <c r="E1296" s="96"/>
      <c r="F1296" s="96"/>
      <c r="G1296" s="96"/>
      <c r="H1296" s="96"/>
      <c r="I1296" s="96"/>
      <c r="J1296" s="96"/>
      <c r="K1296" s="96"/>
      <c r="L1296" s="96"/>
      <c r="M1296" s="96"/>
      <c r="N1296" s="96"/>
      <c r="O1296" s="96"/>
      <c r="P1296" s="96"/>
      <c r="Q1296" s="96"/>
      <c r="R1296" s="96"/>
      <c r="S1296" s="96"/>
      <c r="T1296" s="96"/>
      <c r="U1296" s="96"/>
      <c r="V1296" s="96"/>
      <c r="W1296" s="96"/>
      <c r="X1296" s="96"/>
      <c r="Y1296" s="96"/>
    </row>
    <row r="1297" ht="26.25" customHeight="1">
      <c r="A1297" s="96"/>
      <c r="B1297" s="96"/>
      <c r="C1297" s="97"/>
      <c r="D1297" s="96"/>
      <c r="E1297" s="96"/>
      <c r="F1297" s="96"/>
      <c r="G1297" s="96"/>
      <c r="H1297" s="96"/>
      <c r="I1297" s="96"/>
      <c r="J1297" s="96"/>
      <c r="K1297" s="96"/>
      <c r="L1297" s="96"/>
      <c r="M1297" s="96"/>
      <c r="N1297" s="96"/>
      <c r="O1297" s="96"/>
      <c r="P1297" s="96"/>
      <c r="Q1297" s="96"/>
      <c r="R1297" s="96"/>
      <c r="S1297" s="96"/>
      <c r="T1297" s="96"/>
      <c r="U1297" s="96"/>
      <c r="V1297" s="96"/>
      <c r="W1297" s="96"/>
      <c r="X1297" s="96"/>
      <c r="Y1297" s="96"/>
    </row>
    <row r="1298" ht="26.25" customHeight="1">
      <c r="A1298" s="96"/>
      <c r="B1298" s="96"/>
      <c r="C1298" s="97"/>
      <c r="D1298" s="96"/>
      <c r="E1298" s="96"/>
      <c r="F1298" s="96"/>
      <c r="G1298" s="96"/>
      <c r="H1298" s="96"/>
      <c r="I1298" s="96"/>
      <c r="J1298" s="96"/>
      <c r="K1298" s="96"/>
      <c r="L1298" s="96"/>
      <c r="M1298" s="96"/>
      <c r="N1298" s="96"/>
      <c r="O1298" s="96"/>
      <c r="P1298" s="96"/>
      <c r="Q1298" s="96"/>
      <c r="R1298" s="96"/>
      <c r="S1298" s="96"/>
      <c r="T1298" s="96"/>
      <c r="U1298" s="96"/>
      <c r="V1298" s="96"/>
      <c r="W1298" s="96"/>
      <c r="X1298" s="96"/>
      <c r="Y1298" s="96"/>
    </row>
    <row r="1299" ht="26.25" customHeight="1">
      <c r="A1299" s="96"/>
      <c r="B1299" s="96"/>
      <c r="C1299" s="97"/>
      <c r="D1299" s="96"/>
      <c r="E1299" s="96"/>
      <c r="F1299" s="96"/>
      <c r="G1299" s="96"/>
      <c r="H1299" s="96"/>
      <c r="I1299" s="96"/>
      <c r="J1299" s="96"/>
      <c r="K1299" s="96"/>
      <c r="L1299" s="96"/>
      <c r="M1299" s="96"/>
      <c r="N1299" s="96"/>
      <c r="O1299" s="96"/>
      <c r="P1299" s="96"/>
      <c r="Q1299" s="96"/>
      <c r="R1299" s="96"/>
      <c r="S1299" s="96"/>
      <c r="T1299" s="96"/>
      <c r="U1299" s="96"/>
      <c r="V1299" s="96"/>
      <c r="W1299" s="96"/>
      <c r="X1299" s="96"/>
      <c r="Y1299" s="96"/>
    </row>
    <row r="1300" ht="26.25" customHeight="1">
      <c r="A1300" s="96"/>
      <c r="B1300" s="96"/>
      <c r="C1300" s="97"/>
      <c r="D1300" s="96"/>
      <c r="E1300" s="96"/>
      <c r="F1300" s="96"/>
      <c r="G1300" s="96"/>
      <c r="H1300" s="96"/>
      <c r="I1300" s="96"/>
      <c r="J1300" s="96"/>
      <c r="K1300" s="96"/>
      <c r="L1300" s="96"/>
      <c r="M1300" s="96"/>
      <c r="N1300" s="96"/>
      <c r="O1300" s="96"/>
      <c r="P1300" s="96"/>
      <c r="Q1300" s="96"/>
      <c r="R1300" s="96"/>
      <c r="S1300" s="96"/>
      <c r="T1300" s="96"/>
      <c r="U1300" s="96"/>
      <c r="V1300" s="96"/>
      <c r="W1300" s="96"/>
      <c r="X1300" s="96"/>
      <c r="Y1300" s="96"/>
    </row>
    <row r="1301" ht="26.25" customHeight="1">
      <c r="A1301" s="96"/>
      <c r="B1301" s="96"/>
      <c r="C1301" s="97"/>
      <c r="D1301" s="96"/>
      <c r="E1301" s="96"/>
      <c r="F1301" s="96"/>
      <c r="G1301" s="96"/>
      <c r="H1301" s="96"/>
      <c r="I1301" s="96"/>
      <c r="J1301" s="96"/>
      <c r="K1301" s="96"/>
      <c r="L1301" s="96"/>
      <c r="M1301" s="96"/>
      <c r="N1301" s="96"/>
      <c r="O1301" s="96"/>
      <c r="P1301" s="96"/>
      <c r="Q1301" s="96"/>
      <c r="R1301" s="96"/>
      <c r="S1301" s="96"/>
      <c r="T1301" s="96"/>
      <c r="U1301" s="96"/>
      <c r="V1301" s="96"/>
      <c r="W1301" s="96"/>
      <c r="X1301" s="96"/>
      <c r="Y1301" s="96"/>
    </row>
    <row r="1302" ht="26.25" customHeight="1">
      <c r="A1302" s="96"/>
      <c r="B1302" s="96"/>
      <c r="C1302" s="97"/>
      <c r="D1302" s="96"/>
      <c r="E1302" s="96"/>
      <c r="F1302" s="96"/>
      <c r="G1302" s="96"/>
      <c r="H1302" s="96"/>
      <c r="I1302" s="96"/>
      <c r="J1302" s="96"/>
      <c r="K1302" s="96"/>
      <c r="L1302" s="96"/>
      <c r="M1302" s="96"/>
      <c r="N1302" s="96"/>
      <c r="O1302" s="96"/>
      <c r="P1302" s="96"/>
      <c r="Q1302" s="96"/>
      <c r="R1302" s="96"/>
      <c r="S1302" s="96"/>
      <c r="T1302" s="96"/>
      <c r="U1302" s="96"/>
      <c r="V1302" s="96"/>
      <c r="W1302" s="96"/>
      <c r="X1302" s="96"/>
      <c r="Y1302" s="96"/>
    </row>
    <row r="1303" ht="26.25" customHeight="1">
      <c r="A1303" s="96"/>
      <c r="B1303" s="96"/>
      <c r="C1303" s="97"/>
      <c r="D1303" s="96"/>
      <c r="E1303" s="96"/>
      <c r="F1303" s="96"/>
      <c r="G1303" s="96"/>
      <c r="H1303" s="96"/>
      <c r="I1303" s="96"/>
      <c r="J1303" s="96"/>
      <c r="K1303" s="96"/>
      <c r="L1303" s="96"/>
      <c r="M1303" s="96"/>
      <c r="N1303" s="96"/>
      <c r="O1303" s="96"/>
      <c r="P1303" s="96"/>
      <c r="Q1303" s="96"/>
      <c r="R1303" s="96"/>
      <c r="S1303" s="96"/>
      <c r="T1303" s="96"/>
      <c r="U1303" s="96"/>
      <c r="V1303" s="96"/>
      <c r="W1303" s="96"/>
      <c r="X1303" s="96"/>
      <c r="Y1303" s="96"/>
    </row>
    <row r="1304" ht="26.25" customHeight="1">
      <c r="A1304" s="96"/>
      <c r="B1304" s="96"/>
      <c r="C1304" s="97"/>
      <c r="D1304" s="96"/>
      <c r="E1304" s="96"/>
      <c r="F1304" s="96"/>
      <c r="G1304" s="96"/>
      <c r="H1304" s="96"/>
      <c r="I1304" s="96"/>
      <c r="J1304" s="96"/>
      <c r="K1304" s="96"/>
      <c r="L1304" s="96"/>
      <c r="M1304" s="96"/>
      <c r="N1304" s="96"/>
      <c r="O1304" s="96"/>
      <c r="P1304" s="96"/>
      <c r="Q1304" s="96"/>
      <c r="R1304" s="96"/>
      <c r="S1304" s="96"/>
      <c r="T1304" s="96"/>
      <c r="U1304" s="96"/>
      <c r="V1304" s="96"/>
      <c r="W1304" s="96"/>
      <c r="X1304" s="96"/>
      <c r="Y1304" s="96"/>
    </row>
    <row r="1305" ht="26.25" customHeight="1">
      <c r="A1305" s="96"/>
      <c r="B1305" s="96"/>
      <c r="C1305" s="97"/>
      <c r="D1305" s="96"/>
      <c r="E1305" s="96"/>
      <c r="F1305" s="96"/>
      <c r="G1305" s="96"/>
      <c r="H1305" s="96"/>
      <c r="I1305" s="96"/>
      <c r="J1305" s="96"/>
      <c r="K1305" s="96"/>
      <c r="L1305" s="96"/>
      <c r="M1305" s="96"/>
      <c r="N1305" s="96"/>
      <c r="O1305" s="96"/>
      <c r="P1305" s="96"/>
      <c r="Q1305" s="96"/>
      <c r="R1305" s="96"/>
      <c r="S1305" s="96"/>
      <c r="T1305" s="96"/>
      <c r="U1305" s="96"/>
      <c r="V1305" s="96"/>
      <c r="W1305" s="96"/>
      <c r="X1305" s="96"/>
      <c r="Y1305" s="96"/>
    </row>
    <row r="1306" ht="26.25" customHeight="1">
      <c r="A1306" s="96"/>
      <c r="B1306" s="96"/>
      <c r="C1306" s="97"/>
      <c r="D1306" s="96"/>
      <c r="E1306" s="96"/>
      <c r="F1306" s="96"/>
      <c r="G1306" s="96"/>
      <c r="H1306" s="96"/>
      <c r="I1306" s="96"/>
      <c r="J1306" s="96"/>
      <c r="K1306" s="96"/>
      <c r="L1306" s="96"/>
      <c r="M1306" s="96"/>
      <c r="N1306" s="96"/>
      <c r="O1306" s="96"/>
      <c r="P1306" s="96"/>
      <c r="Q1306" s="96"/>
      <c r="R1306" s="96"/>
      <c r="S1306" s="96"/>
      <c r="T1306" s="96"/>
      <c r="U1306" s="96"/>
      <c r="V1306" s="96"/>
      <c r="W1306" s="96"/>
      <c r="X1306" s="96"/>
      <c r="Y1306" s="96"/>
    </row>
    <row r="1307" ht="26.25" customHeight="1">
      <c r="A1307" s="96"/>
      <c r="B1307" s="96"/>
      <c r="C1307" s="97"/>
      <c r="D1307" s="96"/>
      <c r="E1307" s="96"/>
      <c r="F1307" s="96"/>
      <c r="G1307" s="96"/>
      <c r="H1307" s="96"/>
      <c r="I1307" s="96"/>
      <c r="J1307" s="96"/>
      <c r="K1307" s="96"/>
      <c r="L1307" s="96"/>
      <c r="M1307" s="96"/>
      <c r="N1307" s="96"/>
      <c r="O1307" s="96"/>
      <c r="P1307" s="96"/>
      <c r="Q1307" s="96"/>
      <c r="R1307" s="96"/>
      <c r="S1307" s="96"/>
      <c r="T1307" s="96"/>
      <c r="U1307" s="96"/>
      <c r="V1307" s="96"/>
      <c r="W1307" s="96"/>
      <c r="X1307" s="96"/>
      <c r="Y1307" s="96"/>
    </row>
    <row r="1308" ht="26.25" customHeight="1">
      <c r="A1308" s="96"/>
      <c r="B1308" s="96"/>
      <c r="C1308" s="97"/>
      <c r="D1308" s="96"/>
      <c r="E1308" s="96"/>
      <c r="F1308" s="96"/>
      <c r="G1308" s="96"/>
      <c r="H1308" s="96"/>
      <c r="I1308" s="96"/>
      <c r="J1308" s="96"/>
      <c r="K1308" s="96"/>
      <c r="L1308" s="96"/>
      <c r="M1308" s="96"/>
      <c r="N1308" s="96"/>
      <c r="O1308" s="96"/>
      <c r="P1308" s="96"/>
      <c r="Q1308" s="96"/>
      <c r="R1308" s="96"/>
      <c r="S1308" s="96"/>
      <c r="T1308" s="96"/>
      <c r="U1308" s="96"/>
      <c r="V1308" s="96"/>
      <c r="W1308" s="96"/>
      <c r="X1308" s="96"/>
      <c r="Y1308" s="96"/>
    </row>
    <row r="1309" ht="26.25" customHeight="1">
      <c r="A1309" s="96"/>
      <c r="B1309" s="96"/>
      <c r="C1309" s="97"/>
      <c r="D1309" s="96"/>
      <c r="E1309" s="96"/>
      <c r="F1309" s="96"/>
      <c r="G1309" s="96"/>
      <c r="H1309" s="96"/>
      <c r="I1309" s="96"/>
      <c r="J1309" s="96"/>
      <c r="K1309" s="96"/>
      <c r="L1309" s="96"/>
      <c r="M1309" s="96"/>
      <c r="N1309" s="96"/>
      <c r="O1309" s="96"/>
      <c r="P1309" s="96"/>
      <c r="Q1309" s="96"/>
      <c r="R1309" s="96"/>
      <c r="S1309" s="96"/>
      <c r="T1309" s="96"/>
      <c r="U1309" s="96"/>
      <c r="V1309" s="96"/>
      <c r="W1309" s="96"/>
      <c r="X1309" s="96"/>
      <c r="Y1309" s="96"/>
    </row>
    <row r="1310" ht="26.25" customHeight="1">
      <c r="A1310" s="96"/>
      <c r="B1310" s="96"/>
      <c r="C1310" s="97"/>
      <c r="D1310" s="96"/>
      <c r="E1310" s="96"/>
      <c r="F1310" s="96"/>
      <c r="G1310" s="96"/>
      <c r="H1310" s="96"/>
      <c r="I1310" s="96"/>
      <c r="J1310" s="96"/>
      <c r="K1310" s="96"/>
      <c r="L1310" s="96"/>
      <c r="M1310" s="96"/>
      <c r="N1310" s="96"/>
      <c r="O1310" s="96"/>
      <c r="P1310" s="96"/>
      <c r="Q1310" s="96"/>
      <c r="R1310" s="96"/>
      <c r="S1310" s="96"/>
      <c r="T1310" s="96"/>
      <c r="U1310" s="96"/>
      <c r="V1310" s="96"/>
      <c r="W1310" s="96"/>
      <c r="X1310" s="96"/>
      <c r="Y1310" s="96"/>
    </row>
    <row r="1311" ht="26.25" customHeight="1">
      <c r="A1311" s="96"/>
      <c r="B1311" s="96"/>
      <c r="C1311" s="97"/>
      <c r="D1311" s="96"/>
      <c r="E1311" s="96"/>
      <c r="F1311" s="96"/>
      <c r="G1311" s="96"/>
      <c r="H1311" s="96"/>
      <c r="I1311" s="96"/>
      <c r="J1311" s="96"/>
      <c r="K1311" s="96"/>
      <c r="L1311" s="96"/>
      <c r="M1311" s="96"/>
      <c r="N1311" s="96"/>
      <c r="O1311" s="96"/>
      <c r="P1311" s="96"/>
      <c r="Q1311" s="96"/>
      <c r="R1311" s="96"/>
      <c r="S1311" s="96"/>
      <c r="T1311" s="96"/>
      <c r="U1311" s="96"/>
      <c r="V1311" s="96"/>
      <c r="W1311" s="96"/>
      <c r="X1311" s="96"/>
      <c r="Y1311" s="96"/>
    </row>
    <row r="1312" ht="26.25" customHeight="1">
      <c r="A1312" s="96"/>
      <c r="B1312" s="96"/>
      <c r="C1312" s="97"/>
      <c r="D1312" s="96"/>
      <c r="E1312" s="96"/>
      <c r="F1312" s="96"/>
      <c r="G1312" s="96"/>
      <c r="H1312" s="96"/>
      <c r="I1312" s="96"/>
      <c r="J1312" s="96"/>
      <c r="K1312" s="96"/>
      <c r="L1312" s="96"/>
      <c r="M1312" s="96"/>
      <c r="N1312" s="96"/>
      <c r="O1312" s="96"/>
      <c r="P1312" s="96"/>
      <c r="Q1312" s="96"/>
      <c r="R1312" s="96"/>
      <c r="S1312" s="96"/>
      <c r="T1312" s="96"/>
      <c r="U1312" s="96"/>
      <c r="V1312" s="96"/>
      <c r="W1312" s="96"/>
      <c r="X1312" s="96"/>
      <c r="Y1312" s="96"/>
    </row>
    <row r="1313" ht="26.25" customHeight="1">
      <c r="A1313" s="96"/>
      <c r="B1313" s="96"/>
      <c r="C1313" s="97"/>
      <c r="D1313" s="96"/>
      <c r="E1313" s="96"/>
      <c r="F1313" s="96"/>
      <c r="G1313" s="96"/>
      <c r="H1313" s="96"/>
      <c r="I1313" s="96"/>
      <c r="J1313" s="96"/>
      <c r="K1313" s="96"/>
      <c r="L1313" s="96"/>
      <c r="M1313" s="96"/>
      <c r="N1313" s="96"/>
      <c r="O1313" s="96"/>
      <c r="P1313" s="96"/>
      <c r="Q1313" s="96"/>
      <c r="R1313" s="96"/>
      <c r="S1313" s="96"/>
      <c r="T1313" s="96"/>
      <c r="U1313" s="96"/>
      <c r="V1313" s="96"/>
      <c r="W1313" s="96"/>
      <c r="X1313" s="96"/>
      <c r="Y1313" s="96"/>
    </row>
    <row r="1314" ht="26.25" customHeight="1">
      <c r="A1314" s="96"/>
      <c r="B1314" s="96"/>
      <c r="C1314" s="97"/>
      <c r="D1314" s="96"/>
      <c r="E1314" s="96"/>
      <c r="F1314" s="96"/>
      <c r="G1314" s="96"/>
      <c r="H1314" s="96"/>
      <c r="I1314" s="96"/>
      <c r="J1314" s="96"/>
      <c r="K1314" s="96"/>
      <c r="L1314" s="96"/>
      <c r="M1314" s="96"/>
      <c r="N1314" s="96"/>
      <c r="O1314" s="96"/>
      <c r="P1314" s="96"/>
      <c r="Q1314" s="96"/>
      <c r="R1314" s="96"/>
      <c r="S1314" s="96"/>
      <c r="T1314" s="96"/>
      <c r="U1314" s="96"/>
      <c r="V1314" s="96"/>
      <c r="W1314" s="96"/>
      <c r="X1314" s="96"/>
      <c r="Y1314" s="96"/>
    </row>
    <row r="1315" ht="26.25" customHeight="1">
      <c r="A1315" s="96"/>
      <c r="B1315" s="96"/>
      <c r="C1315" s="97"/>
      <c r="D1315" s="96"/>
      <c r="E1315" s="96"/>
      <c r="F1315" s="96"/>
      <c r="G1315" s="96"/>
      <c r="H1315" s="96"/>
      <c r="I1315" s="96"/>
      <c r="J1315" s="96"/>
      <c r="K1315" s="96"/>
      <c r="L1315" s="96"/>
      <c r="M1315" s="96"/>
      <c r="N1315" s="96"/>
      <c r="O1315" s="96"/>
      <c r="P1315" s="96"/>
      <c r="Q1315" s="96"/>
      <c r="R1315" s="96"/>
      <c r="S1315" s="96"/>
      <c r="T1315" s="96"/>
      <c r="U1315" s="96"/>
      <c r="V1315" s="96"/>
      <c r="W1315" s="96"/>
      <c r="X1315" s="96"/>
      <c r="Y1315" s="96"/>
    </row>
    <row r="1316" ht="26.25" customHeight="1">
      <c r="A1316" s="96"/>
      <c r="B1316" s="96"/>
      <c r="C1316" s="97"/>
      <c r="D1316" s="96"/>
      <c r="E1316" s="96"/>
      <c r="F1316" s="96"/>
      <c r="G1316" s="96"/>
      <c r="H1316" s="96"/>
      <c r="I1316" s="96"/>
      <c r="J1316" s="96"/>
      <c r="K1316" s="96"/>
      <c r="L1316" s="96"/>
      <c r="M1316" s="96"/>
      <c r="N1316" s="96"/>
      <c r="O1316" s="96"/>
      <c r="P1316" s="96"/>
      <c r="Q1316" s="96"/>
      <c r="R1316" s="96"/>
      <c r="S1316" s="96"/>
      <c r="T1316" s="96"/>
      <c r="U1316" s="96"/>
      <c r="V1316" s="96"/>
      <c r="W1316" s="96"/>
      <c r="X1316" s="96"/>
      <c r="Y1316" s="96"/>
    </row>
    <row r="1317" ht="26.25" customHeight="1">
      <c r="A1317" s="96"/>
      <c r="B1317" s="96"/>
      <c r="C1317" s="97"/>
      <c r="D1317" s="96"/>
      <c r="E1317" s="96"/>
      <c r="F1317" s="96"/>
      <c r="G1317" s="96"/>
      <c r="H1317" s="96"/>
      <c r="I1317" s="96"/>
      <c r="J1317" s="96"/>
      <c r="K1317" s="96"/>
      <c r="L1317" s="96"/>
      <c r="M1317" s="96"/>
      <c r="N1317" s="96"/>
      <c r="O1317" s="96"/>
      <c r="P1317" s="96"/>
      <c r="Q1317" s="96"/>
      <c r="R1317" s="96"/>
      <c r="S1317" s="96"/>
      <c r="T1317" s="96"/>
      <c r="U1317" s="96"/>
      <c r="V1317" s="96"/>
      <c r="W1317" s="96"/>
      <c r="X1317" s="96"/>
      <c r="Y1317" s="96"/>
    </row>
    <row r="1318" ht="26.25" customHeight="1">
      <c r="A1318" s="96"/>
      <c r="B1318" s="96"/>
      <c r="C1318" s="97"/>
      <c r="D1318" s="96"/>
      <c r="E1318" s="96"/>
      <c r="F1318" s="96"/>
      <c r="G1318" s="96"/>
      <c r="H1318" s="96"/>
      <c r="I1318" s="96"/>
      <c r="J1318" s="96"/>
      <c r="K1318" s="96"/>
      <c r="L1318" s="96"/>
      <c r="M1318" s="96"/>
      <c r="N1318" s="96"/>
      <c r="O1318" s="96"/>
      <c r="P1318" s="96"/>
      <c r="Q1318" s="96"/>
      <c r="R1318" s="96"/>
      <c r="S1318" s="96"/>
      <c r="T1318" s="96"/>
      <c r="U1318" s="96"/>
      <c r="V1318" s="96"/>
      <c r="W1318" s="96"/>
      <c r="X1318" s="96"/>
      <c r="Y1318" s="96"/>
    </row>
    <row r="1319" ht="26.25" customHeight="1">
      <c r="A1319" s="96"/>
      <c r="B1319" s="96"/>
      <c r="C1319" s="97"/>
      <c r="D1319" s="96"/>
      <c r="E1319" s="96"/>
      <c r="F1319" s="96"/>
      <c r="G1319" s="96"/>
      <c r="H1319" s="96"/>
      <c r="I1319" s="96"/>
      <c r="J1319" s="96"/>
      <c r="K1319" s="96"/>
      <c r="L1319" s="96"/>
      <c r="M1319" s="96"/>
      <c r="N1319" s="96"/>
      <c r="O1319" s="96"/>
      <c r="P1319" s="96"/>
      <c r="Q1319" s="96"/>
      <c r="R1319" s="96"/>
      <c r="S1319" s="96"/>
      <c r="T1319" s="96"/>
      <c r="U1319" s="96"/>
      <c r="V1319" s="96"/>
      <c r="W1319" s="96"/>
      <c r="X1319" s="96"/>
      <c r="Y1319" s="96"/>
    </row>
    <row r="1320" ht="26.25" customHeight="1">
      <c r="A1320" s="96"/>
      <c r="B1320" s="96"/>
      <c r="C1320" s="97"/>
      <c r="D1320" s="96"/>
      <c r="E1320" s="96"/>
      <c r="F1320" s="96"/>
      <c r="G1320" s="96"/>
      <c r="H1320" s="96"/>
      <c r="I1320" s="96"/>
      <c r="J1320" s="96"/>
      <c r="K1320" s="96"/>
      <c r="L1320" s="96"/>
      <c r="M1320" s="96"/>
      <c r="N1320" s="96"/>
      <c r="O1320" s="96"/>
      <c r="P1320" s="96"/>
      <c r="Q1320" s="96"/>
      <c r="R1320" s="96"/>
      <c r="S1320" s="96"/>
      <c r="T1320" s="96"/>
      <c r="U1320" s="96"/>
      <c r="V1320" s="96"/>
      <c r="W1320" s="96"/>
      <c r="X1320" s="96"/>
      <c r="Y1320" s="96"/>
    </row>
    <row r="1321" ht="26.25" customHeight="1">
      <c r="A1321" s="96"/>
      <c r="B1321" s="96"/>
      <c r="C1321" s="97"/>
      <c r="D1321" s="96"/>
      <c r="E1321" s="96"/>
      <c r="F1321" s="96"/>
      <c r="G1321" s="96"/>
      <c r="H1321" s="96"/>
      <c r="I1321" s="96"/>
      <c r="J1321" s="96"/>
      <c r="K1321" s="96"/>
      <c r="L1321" s="96"/>
      <c r="M1321" s="96"/>
      <c r="N1321" s="96"/>
      <c r="O1321" s="96"/>
      <c r="P1321" s="96"/>
      <c r="Q1321" s="96"/>
      <c r="R1321" s="96"/>
      <c r="S1321" s="96"/>
      <c r="T1321" s="96"/>
      <c r="U1321" s="96"/>
      <c r="V1321" s="96"/>
      <c r="W1321" s="96"/>
      <c r="X1321" s="96"/>
      <c r="Y1321" s="96"/>
    </row>
    <row r="1322" ht="26.25" customHeight="1">
      <c r="A1322" s="96"/>
      <c r="B1322" s="96"/>
      <c r="C1322" s="97"/>
      <c r="D1322" s="96"/>
      <c r="E1322" s="96"/>
      <c r="F1322" s="96"/>
      <c r="G1322" s="96"/>
      <c r="H1322" s="96"/>
      <c r="I1322" s="96"/>
      <c r="J1322" s="96"/>
      <c r="K1322" s="96"/>
      <c r="L1322" s="96"/>
      <c r="M1322" s="96"/>
      <c r="N1322" s="96"/>
      <c r="O1322" s="96"/>
      <c r="P1322" s="96"/>
      <c r="Q1322" s="96"/>
      <c r="R1322" s="96"/>
      <c r="S1322" s="96"/>
      <c r="T1322" s="96"/>
      <c r="U1322" s="96"/>
      <c r="V1322" s="96"/>
      <c r="W1322" s="96"/>
      <c r="X1322" s="96"/>
      <c r="Y1322" s="96"/>
    </row>
    <row r="1323" ht="26.25" customHeight="1">
      <c r="A1323" s="96"/>
      <c r="B1323" s="96"/>
      <c r="C1323" s="97"/>
      <c r="D1323" s="96"/>
      <c r="E1323" s="96"/>
      <c r="F1323" s="96"/>
      <c r="G1323" s="96"/>
      <c r="H1323" s="96"/>
      <c r="I1323" s="96"/>
      <c r="J1323" s="96"/>
      <c r="K1323" s="96"/>
      <c r="L1323" s="96"/>
      <c r="M1323" s="96"/>
      <c r="N1323" s="96"/>
      <c r="O1323" s="96"/>
      <c r="P1323" s="96"/>
      <c r="Q1323" s="96"/>
      <c r="R1323" s="96"/>
      <c r="S1323" s="96"/>
      <c r="T1323" s="96"/>
      <c r="U1323" s="96"/>
      <c r="V1323" s="96"/>
      <c r="W1323" s="96"/>
      <c r="X1323" s="96"/>
      <c r="Y1323" s="96"/>
    </row>
    <row r="1324" ht="26.25" customHeight="1">
      <c r="A1324" s="96"/>
      <c r="B1324" s="96"/>
      <c r="C1324" s="97"/>
      <c r="D1324" s="96"/>
      <c r="E1324" s="96"/>
      <c r="F1324" s="96"/>
      <c r="G1324" s="96"/>
      <c r="H1324" s="96"/>
      <c r="I1324" s="96"/>
      <c r="J1324" s="96"/>
      <c r="K1324" s="96"/>
      <c r="L1324" s="96"/>
      <c r="M1324" s="96"/>
      <c r="N1324" s="96"/>
      <c r="O1324" s="96"/>
      <c r="P1324" s="96"/>
      <c r="Q1324" s="96"/>
      <c r="R1324" s="96"/>
      <c r="S1324" s="96"/>
      <c r="T1324" s="96"/>
      <c r="U1324" s="96"/>
      <c r="V1324" s="96"/>
      <c r="W1324" s="96"/>
      <c r="X1324" s="96"/>
      <c r="Y1324" s="96"/>
    </row>
    <row r="1325" ht="26.25" customHeight="1">
      <c r="A1325" s="96"/>
      <c r="B1325" s="96"/>
      <c r="C1325" s="97"/>
      <c r="D1325" s="96"/>
      <c r="E1325" s="96"/>
      <c r="F1325" s="96"/>
      <c r="G1325" s="96"/>
      <c r="H1325" s="96"/>
      <c r="I1325" s="96"/>
      <c r="J1325" s="96"/>
      <c r="K1325" s="96"/>
      <c r="L1325" s="96"/>
      <c r="M1325" s="96"/>
      <c r="N1325" s="96"/>
      <c r="O1325" s="96"/>
      <c r="P1325" s="96"/>
      <c r="Q1325" s="96"/>
      <c r="R1325" s="96"/>
      <c r="S1325" s="96"/>
      <c r="T1325" s="96"/>
      <c r="U1325" s="96"/>
      <c r="V1325" s="96"/>
      <c r="W1325" s="96"/>
      <c r="X1325" s="96"/>
      <c r="Y1325" s="96"/>
    </row>
    <row r="1326" ht="26.25" customHeight="1">
      <c r="A1326" s="96"/>
      <c r="B1326" s="96"/>
      <c r="C1326" s="97"/>
      <c r="D1326" s="96"/>
      <c r="E1326" s="96"/>
      <c r="F1326" s="96"/>
      <c r="G1326" s="96"/>
      <c r="H1326" s="96"/>
      <c r="I1326" s="96"/>
      <c r="J1326" s="96"/>
      <c r="K1326" s="96"/>
      <c r="L1326" s="96"/>
      <c r="M1326" s="96"/>
      <c r="N1326" s="96"/>
      <c r="O1326" s="96"/>
      <c r="P1326" s="96"/>
      <c r="Q1326" s="96"/>
      <c r="R1326" s="96"/>
      <c r="S1326" s="96"/>
      <c r="T1326" s="96"/>
      <c r="U1326" s="96"/>
      <c r="V1326" s="96"/>
      <c r="W1326" s="96"/>
      <c r="X1326" s="96"/>
      <c r="Y1326" s="96"/>
    </row>
    <row r="1327" ht="26.25" customHeight="1">
      <c r="A1327" s="96"/>
      <c r="B1327" s="96"/>
      <c r="C1327" s="97"/>
      <c r="D1327" s="96"/>
      <c r="E1327" s="96"/>
      <c r="F1327" s="96"/>
      <c r="G1327" s="96"/>
      <c r="H1327" s="96"/>
      <c r="I1327" s="96"/>
      <c r="J1327" s="96"/>
      <c r="K1327" s="96"/>
      <c r="L1327" s="96"/>
      <c r="M1327" s="96"/>
      <c r="N1327" s="96"/>
      <c r="O1327" s="96"/>
      <c r="P1327" s="96"/>
      <c r="Q1327" s="96"/>
      <c r="R1327" s="96"/>
      <c r="S1327" s="96"/>
      <c r="T1327" s="96"/>
      <c r="U1327" s="96"/>
      <c r="V1327" s="96"/>
      <c r="W1327" s="96"/>
      <c r="X1327" s="96"/>
      <c r="Y1327" s="96"/>
    </row>
    <row r="1328" ht="26.25" customHeight="1">
      <c r="A1328" s="96"/>
      <c r="B1328" s="96"/>
      <c r="C1328" s="97"/>
      <c r="D1328" s="96"/>
      <c r="E1328" s="96"/>
      <c r="F1328" s="96"/>
      <c r="G1328" s="96"/>
      <c r="H1328" s="96"/>
      <c r="I1328" s="96"/>
      <c r="J1328" s="96"/>
      <c r="K1328" s="96"/>
      <c r="L1328" s="96"/>
      <c r="M1328" s="96"/>
      <c r="N1328" s="96"/>
      <c r="O1328" s="96"/>
      <c r="P1328" s="96"/>
      <c r="Q1328" s="96"/>
      <c r="R1328" s="96"/>
      <c r="S1328" s="96"/>
      <c r="T1328" s="96"/>
      <c r="U1328" s="96"/>
      <c r="V1328" s="96"/>
      <c r="W1328" s="96"/>
      <c r="X1328" s="96"/>
      <c r="Y1328" s="96"/>
    </row>
    <row r="1329" ht="26.25" customHeight="1">
      <c r="A1329" s="96"/>
      <c r="B1329" s="96"/>
      <c r="C1329" s="97"/>
      <c r="D1329" s="96"/>
      <c r="E1329" s="96"/>
      <c r="F1329" s="96"/>
      <c r="G1329" s="96"/>
      <c r="H1329" s="96"/>
      <c r="I1329" s="96"/>
      <c r="J1329" s="96"/>
      <c r="K1329" s="96"/>
      <c r="L1329" s="96"/>
      <c r="M1329" s="96"/>
      <c r="N1329" s="96"/>
      <c r="O1329" s="96"/>
      <c r="P1329" s="96"/>
      <c r="Q1329" s="96"/>
      <c r="R1329" s="96"/>
      <c r="S1329" s="96"/>
      <c r="T1329" s="96"/>
      <c r="U1329" s="96"/>
      <c r="V1329" s="96"/>
      <c r="W1329" s="96"/>
      <c r="X1329" s="96"/>
      <c r="Y1329" s="96"/>
    </row>
    <row r="1330" ht="26.25" customHeight="1">
      <c r="A1330" s="96"/>
      <c r="B1330" s="96"/>
      <c r="C1330" s="97"/>
      <c r="D1330" s="96"/>
      <c r="E1330" s="96"/>
      <c r="F1330" s="96"/>
      <c r="G1330" s="96"/>
      <c r="H1330" s="96"/>
      <c r="I1330" s="96"/>
      <c r="J1330" s="96"/>
      <c r="K1330" s="96"/>
      <c r="L1330" s="96"/>
      <c r="M1330" s="96"/>
      <c r="N1330" s="96"/>
      <c r="O1330" s="96"/>
      <c r="P1330" s="96"/>
      <c r="Q1330" s="96"/>
      <c r="R1330" s="96"/>
      <c r="S1330" s="96"/>
      <c r="T1330" s="96"/>
      <c r="U1330" s="96"/>
      <c r="V1330" s="96"/>
      <c r="W1330" s="96"/>
      <c r="X1330" s="96"/>
      <c r="Y1330" s="96"/>
    </row>
    <row r="1331" ht="26.25" customHeight="1">
      <c r="A1331" s="96"/>
      <c r="B1331" s="96"/>
      <c r="C1331" s="97"/>
      <c r="D1331" s="96"/>
      <c r="E1331" s="96"/>
      <c r="F1331" s="96"/>
      <c r="G1331" s="96"/>
      <c r="H1331" s="96"/>
      <c r="I1331" s="96"/>
      <c r="J1331" s="96"/>
      <c r="K1331" s="96"/>
      <c r="L1331" s="96"/>
      <c r="M1331" s="96"/>
      <c r="N1331" s="96"/>
      <c r="O1331" s="96"/>
      <c r="P1331" s="96"/>
      <c r="Q1331" s="96"/>
      <c r="R1331" s="96"/>
      <c r="S1331" s="96"/>
      <c r="T1331" s="96"/>
      <c r="U1331" s="96"/>
      <c r="V1331" s="96"/>
      <c r="W1331" s="96"/>
      <c r="X1331" s="96"/>
      <c r="Y1331" s="96"/>
    </row>
    <row r="1332" ht="26.25" customHeight="1">
      <c r="A1332" s="96"/>
      <c r="B1332" s="96"/>
      <c r="C1332" s="97"/>
      <c r="D1332" s="96"/>
      <c r="E1332" s="96"/>
      <c r="F1332" s="96"/>
      <c r="G1332" s="96"/>
      <c r="H1332" s="96"/>
      <c r="I1332" s="96"/>
      <c r="J1332" s="96"/>
      <c r="K1332" s="96"/>
      <c r="L1332" s="96"/>
      <c r="M1332" s="96"/>
      <c r="N1332" s="96"/>
      <c r="O1332" s="96"/>
      <c r="P1332" s="96"/>
      <c r="Q1332" s="96"/>
      <c r="R1332" s="96"/>
      <c r="S1332" s="96"/>
      <c r="T1332" s="96"/>
      <c r="U1332" s="96"/>
      <c r="V1332" s="96"/>
      <c r="W1332" s="96"/>
      <c r="X1332" s="96"/>
      <c r="Y1332" s="96"/>
    </row>
    <row r="1333" ht="26.25" customHeight="1">
      <c r="A1333" s="96"/>
      <c r="B1333" s="96"/>
      <c r="C1333" s="97"/>
      <c r="D1333" s="96"/>
      <c r="E1333" s="96"/>
      <c r="F1333" s="96"/>
      <c r="G1333" s="96"/>
      <c r="H1333" s="96"/>
      <c r="I1333" s="96"/>
      <c r="J1333" s="96"/>
      <c r="K1333" s="96"/>
      <c r="L1333" s="96"/>
      <c r="M1333" s="96"/>
      <c r="N1333" s="96"/>
      <c r="O1333" s="96"/>
      <c r="P1333" s="96"/>
      <c r="Q1333" s="96"/>
      <c r="R1333" s="96"/>
      <c r="S1333" s="96"/>
      <c r="T1333" s="96"/>
      <c r="U1333" s="96"/>
      <c r="V1333" s="96"/>
      <c r="W1333" s="96"/>
      <c r="X1333" s="96"/>
      <c r="Y1333" s="96"/>
    </row>
    <row r="1334" ht="26.25" customHeight="1">
      <c r="A1334" s="96"/>
      <c r="B1334" s="96"/>
      <c r="C1334" s="97"/>
      <c r="D1334" s="96"/>
      <c r="E1334" s="96"/>
      <c r="F1334" s="96"/>
      <c r="G1334" s="96"/>
      <c r="H1334" s="96"/>
      <c r="I1334" s="96"/>
      <c r="J1334" s="96"/>
      <c r="K1334" s="96"/>
      <c r="L1334" s="96"/>
      <c r="M1334" s="96"/>
      <c r="N1334" s="96"/>
      <c r="O1334" s="96"/>
      <c r="P1334" s="96"/>
      <c r="Q1334" s="96"/>
      <c r="R1334" s="96"/>
      <c r="S1334" s="96"/>
      <c r="T1334" s="96"/>
      <c r="U1334" s="96"/>
      <c r="V1334" s="96"/>
      <c r="W1334" s="96"/>
      <c r="X1334" s="96"/>
      <c r="Y1334" s="96"/>
    </row>
    <row r="1335" ht="26.25" customHeight="1">
      <c r="A1335" s="96"/>
      <c r="B1335" s="96"/>
      <c r="C1335" s="97"/>
      <c r="D1335" s="96"/>
      <c r="E1335" s="96"/>
      <c r="F1335" s="96"/>
      <c r="G1335" s="96"/>
      <c r="H1335" s="96"/>
      <c r="I1335" s="96"/>
      <c r="J1335" s="96"/>
      <c r="K1335" s="96"/>
      <c r="L1335" s="96"/>
      <c r="M1335" s="96"/>
      <c r="N1335" s="96"/>
      <c r="O1335" s="96"/>
      <c r="P1335" s="96"/>
      <c r="Q1335" s="96"/>
      <c r="R1335" s="96"/>
      <c r="S1335" s="96"/>
      <c r="T1335" s="96"/>
      <c r="U1335" s="96"/>
      <c r="V1335" s="96"/>
      <c r="W1335" s="96"/>
      <c r="X1335" s="96"/>
      <c r="Y1335" s="96"/>
    </row>
    <row r="1336" ht="26.25" customHeight="1">
      <c r="A1336" s="96"/>
      <c r="B1336" s="96"/>
      <c r="C1336" s="97"/>
      <c r="D1336" s="96"/>
      <c r="E1336" s="96"/>
      <c r="F1336" s="96"/>
      <c r="G1336" s="96"/>
      <c r="H1336" s="96"/>
      <c r="I1336" s="96"/>
      <c r="J1336" s="96"/>
      <c r="K1336" s="96"/>
      <c r="L1336" s="96"/>
      <c r="M1336" s="96"/>
      <c r="N1336" s="96"/>
      <c r="O1336" s="96"/>
      <c r="P1336" s="96"/>
      <c r="Q1336" s="96"/>
      <c r="R1336" s="96"/>
      <c r="S1336" s="96"/>
      <c r="T1336" s="96"/>
      <c r="U1336" s="96"/>
      <c r="V1336" s="96"/>
      <c r="W1336" s="96"/>
      <c r="X1336" s="96"/>
      <c r="Y1336" s="96"/>
    </row>
    <row r="1337" ht="26.25" customHeight="1">
      <c r="A1337" s="96"/>
      <c r="B1337" s="96"/>
      <c r="C1337" s="97"/>
      <c r="D1337" s="96"/>
      <c r="E1337" s="96"/>
      <c r="F1337" s="96"/>
      <c r="G1337" s="96"/>
      <c r="H1337" s="96"/>
      <c r="I1337" s="96"/>
      <c r="J1337" s="96"/>
      <c r="K1337" s="96"/>
      <c r="L1337" s="96"/>
      <c r="M1337" s="96"/>
      <c r="N1337" s="96"/>
      <c r="O1337" s="96"/>
      <c r="P1337" s="96"/>
      <c r="Q1337" s="96"/>
      <c r="R1337" s="96"/>
      <c r="S1337" s="96"/>
      <c r="T1337" s="96"/>
      <c r="U1337" s="96"/>
      <c r="V1337" s="96"/>
      <c r="W1337" s="96"/>
      <c r="X1337" s="96"/>
      <c r="Y1337" s="96"/>
    </row>
    <row r="1338" ht="26.25" customHeight="1">
      <c r="A1338" s="96"/>
      <c r="B1338" s="96"/>
      <c r="C1338" s="97"/>
      <c r="D1338" s="96"/>
      <c r="E1338" s="96"/>
      <c r="F1338" s="96"/>
      <c r="G1338" s="96"/>
      <c r="H1338" s="96"/>
      <c r="I1338" s="96"/>
      <c r="J1338" s="96"/>
      <c r="K1338" s="96"/>
      <c r="L1338" s="96"/>
      <c r="M1338" s="96"/>
      <c r="N1338" s="96"/>
      <c r="O1338" s="96"/>
      <c r="P1338" s="96"/>
      <c r="Q1338" s="96"/>
      <c r="R1338" s="96"/>
      <c r="S1338" s="96"/>
      <c r="T1338" s="96"/>
      <c r="U1338" s="96"/>
      <c r="V1338" s="96"/>
      <c r="W1338" s="96"/>
      <c r="X1338" s="96"/>
      <c r="Y1338" s="96"/>
    </row>
    <row r="1339" ht="26.25" customHeight="1">
      <c r="A1339" s="96"/>
      <c r="B1339" s="96"/>
      <c r="C1339" s="97"/>
      <c r="D1339" s="96"/>
      <c r="E1339" s="96"/>
      <c r="F1339" s="96"/>
      <c r="G1339" s="96"/>
      <c r="H1339" s="96"/>
      <c r="I1339" s="96"/>
      <c r="J1339" s="96"/>
      <c r="K1339" s="96"/>
      <c r="L1339" s="96"/>
      <c r="M1339" s="96"/>
      <c r="N1339" s="96"/>
      <c r="O1339" s="96"/>
      <c r="P1339" s="96"/>
      <c r="Q1339" s="96"/>
      <c r="R1339" s="96"/>
      <c r="S1339" s="96"/>
      <c r="T1339" s="96"/>
      <c r="U1339" s="96"/>
      <c r="V1339" s="96"/>
      <c r="W1339" s="96"/>
      <c r="X1339" s="96"/>
      <c r="Y1339" s="96"/>
    </row>
    <row r="1340" ht="26.25" customHeight="1">
      <c r="A1340" s="96"/>
      <c r="B1340" s="96"/>
      <c r="C1340" s="97"/>
      <c r="D1340" s="96"/>
      <c r="E1340" s="96"/>
      <c r="F1340" s="96"/>
      <c r="G1340" s="96"/>
      <c r="H1340" s="96"/>
      <c r="I1340" s="96"/>
      <c r="J1340" s="96"/>
      <c r="K1340" s="96"/>
      <c r="L1340" s="96"/>
      <c r="M1340" s="96"/>
      <c r="N1340" s="96"/>
      <c r="O1340" s="96"/>
      <c r="P1340" s="96"/>
      <c r="Q1340" s="96"/>
      <c r="R1340" s="96"/>
      <c r="S1340" s="96"/>
      <c r="T1340" s="96"/>
      <c r="U1340" s="96"/>
      <c r="V1340" s="96"/>
      <c r="W1340" s="96"/>
      <c r="X1340" s="96"/>
      <c r="Y1340" s="96"/>
    </row>
    <row r="1341" ht="26.25" customHeight="1">
      <c r="A1341" s="96"/>
      <c r="B1341" s="96"/>
      <c r="C1341" s="97"/>
      <c r="D1341" s="96"/>
      <c r="E1341" s="96"/>
      <c r="F1341" s="96"/>
      <c r="G1341" s="96"/>
      <c r="H1341" s="96"/>
      <c r="I1341" s="96"/>
      <c r="J1341" s="96"/>
      <c r="K1341" s="96"/>
      <c r="L1341" s="96"/>
      <c r="M1341" s="96"/>
      <c r="N1341" s="96"/>
      <c r="O1341" s="96"/>
      <c r="P1341" s="96"/>
      <c r="Q1341" s="96"/>
      <c r="R1341" s="96"/>
      <c r="S1341" s="96"/>
      <c r="T1341" s="96"/>
      <c r="U1341" s="96"/>
      <c r="V1341" s="96"/>
      <c r="W1341" s="96"/>
      <c r="X1341" s="96"/>
      <c r="Y1341" s="96"/>
    </row>
    <row r="1342" ht="26.25" customHeight="1">
      <c r="A1342" s="96"/>
      <c r="B1342" s="96"/>
      <c r="C1342" s="97"/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  <c r="O1342" s="96"/>
      <c r="P1342" s="96"/>
      <c r="Q1342" s="96"/>
      <c r="R1342" s="96"/>
      <c r="S1342" s="96"/>
      <c r="T1342" s="96"/>
      <c r="U1342" s="96"/>
      <c r="V1342" s="96"/>
      <c r="W1342" s="96"/>
      <c r="X1342" s="96"/>
      <c r="Y1342" s="96"/>
    </row>
    <row r="1343" ht="26.25" customHeight="1">
      <c r="A1343" s="96"/>
      <c r="B1343" s="96"/>
      <c r="C1343" s="97"/>
      <c r="D1343" s="96"/>
      <c r="E1343" s="96"/>
      <c r="F1343" s="96"/>
      <c r="G1343" s="96"/>
      <c r="H1343" s="96"/>
      <c r="I1343" s="96"/>
      <c r="J1343" s="96"/>
      <c r="K1343" s="96"/>
      <c r="L1343" s="96"/>
      <c r="M1343" s="96"/>
      <c r="N1343" s="96"/>
      <c r="O1343" s="96"/>
      <c r="P1343" s="96"/>
      <c r="Q1343" s="96"/>
      <c r="R1343" s="96"/>
      <c r="S1343" s="96"/>
      <c r="T1343" s="96"/>
      <c r="U1343" s="96"/>
      <c r="V1343" s="96"/>
      <c r="W1343" s="96"/>
      <c r="X1343" s="96"/>
      <c r="Y1343" s="96"/>
    </row>
    <row r="1344" ht="26.25" customHeight="1">
      <c r="A1344" s="96"/>
      <c r="B1344" s="96"/>
      <c r="C1344" s="97"/>
      <c r="D1344" s="96"/>
      <c r="E1344" s="96"/>
      <c r="F1344" s="96"/>
      <c r="G1344" s="96"/>
      <c r="H1344" s="96"/>
      <c r="I1344" s="96"/>
      <c r="J1344" s="96"/>
      <c r="K1344" s="96"/>
      <c r="L1344" s="96"/>
      <c r="M1344" s="96"/>
      <c r="N1344" s="96"/>
      <c r="O1344" s="96"/>
      <c r="P1344" s="96"/>
      <c r="Q1344" s="96"/>
      <c r="R1344" s="96"/>
      <c r="S1344" s="96"/>
      <c r="T1344" s="96"/>
      <c r="U1344" s="96"/>
      <c r="V1344" s="96"/>
      <c r="W1344" s="96"/>
      <c r="X1344" s="96"/>
      <c r="Y1344" s="96"/>
    </row>
    <row r="1345" ht="26.25" customHeight="1">
      <c r="A1345" s="96"/>
      <c r="B1345" s="96"/>
      <c r="C1345" s="97"/>
      <c r="D1345" s="96"/>
      <c r="E1345" s="96"/>
      <c r="F1345" s="96"/>
      <c r="G1345" s="96"/>
      <c r="H1345" s="96"/>
      <c r="I1345" s="96"/>
      <c r="J1345" s="96"/>
      <c r="K1345" s="96"/>
      <c r="L1345" s="96"/>
      <c r="M1345" s="96"/>
      <c r="N1345" s="96"/>
      <c r="O1345" s="96"/>
      <c r="P1345" s="96"/>
      <c r="Q1345" s="96"/>
      <c r="R1345" s="96"/>
      <c r="S1345" s="96"/>
      <c r="T1345" s="96"/>
      <c r="U1345" s="96"/>
      <c r="V1345" s="96"/>
      <c r="W1345" s="96"/>
      <c r="X1345" s="96"/>
      <c r="Y1345" s="96"/>
    </row>
    <row r="1346" ht="26.25" customHeight="1">
      <c r="A1346" s="96"/>
      <c r="B1346" s="96"/>
      <c r="C1346" s="97"/>
      <c r="D1346" s="96"/>
      <c r="E1346" s="96"/>
      <c r="F1346" s="96"/>
      <c r="G1346" s="96"/>
      <c r="H1346" s="96"/>
      <c r="I1346" s="96"/>
      <c r="J1346" s="96"/>
      <c r="K1346" s="96"/>
      <c r="L1346" s="96"/>
      <c r="M1346" s="96"/>
      <c r="N1346" s="96"/>
      <c r="O1346" s="96"/>
      <c r="P1346" s="96"/>
      <c r="Q1346" s="96"/>
      <c r="R1346" s="96"/>
      <c r="S1346" s="96"/>
      <c r="T1346" s="96"/>
      <c r="U1346" s="96"/>
      <c r="V1346" s="96"/>
      <c r="W1346" s="96"/>
      <c r="X1346" s="96"/>
      <c r="Y1346" s="96"/>
    </row>
    <row r="1347" ht="26.25" customHeight="1">
      <c r="A1347" s="96"/>
      <c r="B1347" s="96"/>
      <c r="C1347" s="97"/>
      <c r="D1347" s="96"/>
      <c r="E1347" s="96"/>
      <c r="F1347" s="96"/>
      <c r="G1347" s="96"/>
      <c r="H1347" s="96"/>
      <c r="I1347" s="96"/>
      <c r="J1347" s="96"/>
      <c r="K1347" s="96"/>
      <c r="L1347" s="96"/>
      <c r="M1347" s="96"/>
      <c r="N1347" s="96"/>
      <c r="O1347" s="96"/>
      <c r="P1347" s="96"/>
      <c r="Q1347" s="96"/>
      <c r="R1347" s="96"/>
      <c r="S1347" s="96"/>
      <c r="T1347" s="96"/>
      <c r="U1347" s="96"/>
      <c r="V1347" s="96"/>
      <c r="W1347" s="96"/>
      <c r="X1347" s="96"/>
      <c r="Y1347" s="96"/>
    </row>
    <row r="1348" ht="26.25" customHeight="1">
      <c r="A1348" s="96"/>
      <c r="B1348" s="96"/>
      <c r="C1348" s="97"/>
      <c r="D1348" s="96"/>
      <c r="E1348" s="96"/>
      <c r="F1348" s="96"/>
      <c r="G1348" s="96"/>
      <c r="H1348" s="96"/>
      <c r="I1348" s="96"/>
      <c r="J1348" s="96"/>
      <c r="K1348" s="96"/>
      <c r="L1348" s="96"/>
      <c r="M1348" s="96"/>
      <c r="N1348" s="96"/>
      <c r="O1348" s="96"/>
      <c r="P1348" s="96"/>
      <c r="Q1348" s="96"/>
      <c r="R1348" s="96"/>
      <c r="S1348" s="96"/>
      <c r="T1348" s="96"/>
      <c r="U1348" s="96"/>
      <c r="V1348" s="96"/>
      <c r="W1348" s="96"/>
      <c r="X1348" s="96"/>
      <c r="Y1348" s="96"/>
    </row>
    <row r="1349" ht="26.25" customHeight="1">
      <c r="A1349" s="96"/>
      <c r="B1349" s="96"/>
      <c r="C1349" s="97"/>
      <c r="D1349" s="96"/>
      <c r="E1349" s="96"/>
      <c r="F1349" s="96"/>
      <c r="G1349" s="96"/>
      <c r="H1349" s="96"/>
      <c r="I1349" s="96"/>
      <c r="J1349" s="96"/>
      <c r="K1349" s="96"/>
      <c r="L1349" s="96"/>
      <c r="M1349" s="96"/>
      <c r="N1349" s="96"/>
      <c r="O1349" s="96"/>
      <c r="P1349" s="96"/>
      <c r="Q1349" s="96"/>
      <c r="R1349" s="96"/>
      <c r="S1349" s="96"/>
      <c r="T1349" s="96"/>
      <c r="U1349" s="96"/>
      <c r="V1349" s="96"/>
      <c r="W1349" s="96"/>
      <c r="X1349" s="96"/>
      <c r="Y1349" s="96"/>
    </row>
    <row r="1350" ht="26.25" customHeight="1">
      <c r="A1350" s="96"/>
      <c r="B1350" s="96"/>
      <c r="C1350" s="97"/>
      <c r="D1350" s="96"/>
      <c r="E1350" s="96"/>
      <c r="F1350" s="96"/>
      <c r="G1350" s="96"/>
      <c r="H1350" s="96"/>
      <c r="I1350" s="96"/>
      <c r="J1350" s="96"/>
      <c r="K1350" s="96"/>
      <c r="L1350" s="96"/>
      <c r="M1350" s="96"/>
      <c r="N1350" s="96"/>
      <c r="O1350" s="96"/>
      <c r="P1350" s="96"/>
      <c r="Q1350" s="96"/>
      <c r="R1350" s="96"/>
      <c r="S1350" s="96"/>
      <c r="T1350" s="96"/>
      <c r="U1350" s="96"/>
      <c r="V1350" s="96"/>
      <c r="W1350" s="96"/>
      <c r="X1350" s="96"/>
      <c r="Y1350" s="96"/>
    </row>
    <row r="1351" ht="26.25" customHeight="1">
      <c r="A1351" s="96"/>
      <c r="B1351" s="96"/>
      <c r="C1351" s="97"/>
      <c r="D1351" s="96"/>
      <c r="E1351" s="96"/>
      <c r="F1351" s="96"/>
      <c r="G1351" s="96"/>
      <c r="H1351" s="96"/>
      <c r="I1351" s="96"/>
      <c r="J1351" s="96"/>
      <c r="K1351" s="96"/>
      <c r="L1351" s="96"/>
      <c r="M1351" s="96"/>
      <c r="N1351" s="96"/>
      <c r="O1351" s="96"/>
      <c r="P1351" s="96"/>
      <c r="Q1351" s="96"/>
      <c r="R1351" s="96"/>
      <c r="S1351" s="96"/>
      <c r="T1351" s="96"/>
      <c r="U1351" s="96"/>
      <c r="V1351" s="96"/>
      <c r="W1351" s="96"/>
      <c r="X1351" s="96"/>
      <c r="Y1351" s="96"/>
    </row>
    <row r="1352" ht="26.25" customHeight="1">
      <c r="A1352" s="96"/>
      <c r="B1352" s="96"/>
      <c r="C1352" s="97"/>
      <c r="D1352" s="96"/>
      <c r="E1352" s="96"/>
      <c r="F1352" s="96"/>
      <c r="G1352" s="96"/>
      <c r="H1352" s="96"/>
      <c r="I1352" s="96"/>
      <c r="J1352" s="96"/>
      <c r="K1352" s="96"/>
      <c r="L1352" s="96"/>
      <c r="M1352" s="96"/>
      <c r="N1352" s="96"/>
      <c r="O1352" s="96"/>
      <c r="P1352" s="96"/>
      <c r="Q1352" s="96"/>
      <c r="R1352" s="96"/>
      <c r="S1352" s="96"/>
      <c r="T1352" s="96"/>
      <c r="U1352" s="96"/>
      <c r="V1352" s="96"/>
      <c r="W1352" s="96"/>
      <c r="X1352" s="96"/>
      <c r="Y1352" s="96"/>
    </row>
    <row r="1353" ht="26.25" customHeight="1">
      <c r="A1353" s="96"/>
      <c r="B1353" s="96"/>
      <c r="C1353" s="97"/>
      <c r="D1353" s="96"/>
      <c r="E1353" s="96"/>
      <c r="F1353" s="96"/>
      <c r="G1353" s="96"/>
      <c r="H1353" s="96"/>
      <c r="I1353" s="96"/>
      <c r="J1353" s="96"/>
      <c r="K1353" s="96"/>
      <c r="L1353" s="96"/>
      <c r="M1353" s="96"/>
      <c r="N1353" s="96"/>
      <c r="O1353" s="96"/>
      <c r="P1353" s="96"/>
      <c r="Q1353" s="96"/>
      <c r="R1353" s="96"/>
      <c r="S1353" s="96"/>
      <c r="T1353" s="96"/>
      <c r="U1353" s="96"/>
      <c r="V1353" s="96"/>
      <c r="W1353" s="96"/>
      <c r="X1353" s="96"/>
      <c r="Y1353" s="96"/>
    </row>
    <row r="1354" ht="26.25" customHeight="1">
      <c r="A1354" s="96"/>
      <c r="B1354" s="96"/>
      <c r="C1354" s="97"/>
      <c r="D1354" s="96"/>
      <c r="E1354" s="96"/>
      <c r="F1354" s="96"/>
      <c r="G1354" s="96"/>
      <c r="H1354" s="96"/>
      <c r="I1354" s="96"/>
      <c r="J1354" s="96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6"/>
      <c r="V1354" s="96"/>
      <c r="W1354" s="96"/>
      <c r="X1354" s="96"/>
      <c r="Y1354" s="96"/>
    </row>
    <row r="1355" ht="26.25" customHeight="1">
      <c r="A1355" s="96"/>
      <c r="B1355" s="96"/>
      <c r="C1355" s="97"/>
      <c r="D1355" s="96"/>
      <c r="E1355" s="96"/>
      <c r="F1355" s="96"/>
      <c r="G1355" s="96"/>
      <c r="H1355" s="96"/>
      <c r="I1355" s="96"/>
      <c r="J1355" s="96"/>
      <c r="K1355" s="96"/>
      <c r="L1355" s="96"/>
      <c r="M1355" s="96"/>
      <c r="N1355" s="96"/>
      <c r="O1355" s="96"/>
      <c r="P1355" s="96"/>
      <c r="Q1355" s="96"/>
      <c r="R1355" s="96"/>
      <c r="S1355" s="96"/>
      <c r="T1355" s="96"/>
      <c r="U1355" s="96"/>
      <c r="V1355" s="96"/>
      <c r="W1355" s="96"/>
      <c r="X1355" s="96"/>
      <c r="Y1355" s="96"/>
    </row>
    <row r="1356" ht="26.25" customHeight="1">
      <c r="A1356" s="96"/>
      <c r="B1356" s="96"/>
      <c r="C1356" s="97"/>
      <c r="D1356" s="96"/>
      <c r="E1356" s="96"/>
      <c r="F1356" s="96"/>
      <c r="G1356" s="96"/>
      <c r="H1356" s="96"/>
      <c r="I1356" s="96"/>
      <c r="J1356" s="96"/>
      <c r="K1356" s="96"/>
      <c r="L1356" s="96"/>
      <c r="M1356" s="96"/>
      <c r="N1356" s="96"/>
      <c r="O1356" s="96"/>
      <c r="P1356" s="96"/>
      <c r="Q1356" s="96"/>
      <c r="R1356" s="96"/>
      <c r="S1356" s="96"/>
      <c r="T1356" s="96"/>
      <c r="U1356" s="96"/>
      <c r="V1356" s="96"/>
      <c r="W1356" s="96"/>
      <c r="X1356" s="96"/>
      <c r="Y1356" s="96"/>
    </row>
    <row r="1357" ht="26.25" customHeight="1">
      <c r="A1357" s="96"/>
      <c r="B1357" s="96"/>
      <c r="C1357" s="97"/>
      <c r="D1357" s="96"/>
      <c r="E1357" s="96"/>
      <c r="F1357" s="96"/>
      <c r="G1357" s="96"/>
      <c r="H1357" s="96"/>
      <c r="I1357" s="96"/>
      <c r="J1357" s="96"/>
      <c r="K1357" s="96"/>
      <c r="L1357" s="96"/>
      <c r="M1357" s="96"/>
      <c r="N1357" s="96"/>
      <c r="O1357" s="96"/>
      <c r="P1357" s="96"/>
      <c r="Q1357" s="96"/>
      <c r="R1357" s="96"/>
      <c r="S1357" s="96"/>
      <c r="T1357" s="96"/>
      <c r="U1357" s="96"/>
      <c r="V1357" s="96"/>
      <c r="W1357" s="96"/>
      <c r="X1357" s="96"/>
      <c r="Y1357" s="96"/>
    </row>
    <row r="1358" ht="26.25" customHeight="1">
      <c r="A1358" s="96"/>
      <c r="B1358" s="96"/>
      <c r="C1358" s="97"/>
      <c r="D1358" s="96"/>
      <c r="E1358" s="96"/>
      <c r="F1358" s="96"/>
      <c r="G1358" s="96"/>
      <c r="H1358" s="96"/>
      <c r="I1358" s="96"/>
      <c r="J1358" s="96"/>
      <c r="K1358" s="96"/>
      <c r="L1358" s="96"/>
      <c r="M1358" s="96"/>
      <c r="N1358" s="96"/>
      <c r="O1358" s="96"/>
      <c r="P1358" s="96"/>
      <c r="Q1358" s="96"/>
      <c r="R1358" s="96"/>
      <c r="S1358" s="96"/>
      <c r="T1358" s="96"/>
      <c r="U1358" s="96"/>
      <c r="V1358" s="96"/>
      <c r="W1358" s="96"/>
      <c r="X1358" s="96"/>
      <c r="Y1358" s="96"/>
    </row>
    <row r="1359" ht="26.25" customHeight="1">
      <c r="A1359" s="96"/>
      <c r="B1359" s="96"/>
      <c r="C1359" s="97"/>
      <c r="D1359" s="96"/>
      <c r="E1359" s="96"/>
      <c r="F1359" s="96"/>
      <c r="G1359" s="96"/>
      <c r="H1359" s="96"/>
      <c r="I1359" s="96"/>
      <c r="J1359" s="96"/>
      <c r="K1359" s="96"/>
      <c r="L1359" s="96"/>
      <c r="M1359" s="96"/>
      <c r="N1359" s="96"/>
      <c r="O1359" s="96"/>
      <c r="P1359" s="96"/>
      <c r="Q1359" s="96"/>
      <c r="R1359" s="96"/>
      <c r="S1359" s="96"/>
      <c r="T1359" s="96"/>
      <c r="U1359" s="96"/>
      <c r="V1359" s="96"/>
      <c r="W1359" s="96"/>
      <c r="X1359" s="96"/>
      <c r="Y1359" s="96"/>
    </row>
    <row r="1360" ht="26.25" customHeight="1">
      <c r="A1360" s="96"/>
      <c r="B1360" s="96"/>
      <c r="C1360" s="97"/>
      <c r="D1360" s="96"/>
      <c r="E1360" s="96"/>
      <c r="F1360" s="96"/>
      <c r="G1360" s="96"/>
      <c r="H1360" s="96"/>
      <c r="I1360" s="96"/>
      <c r="J1360" s="96"/>
      <c r="K1360" s="96"/>
      <c r="L1360" s="96"/>
      <c r="M1360" s="96"/>
      <c r="N1360" s="96"/>
      <c r="O1360" s="96"/>
      <c r="P1360" s="96"/>
      <c r="Q1360" s="96"/>
      <c r="R1360" s="96"/>
      <c r="S1360" s="96"/>
      <c r="T1360" s="96"/>
      <c r="U1360" s="96"/>
      <c r="V1360" s="96"/>
      <c r="W1360" s="96"/>
      <c r="X1360" s="96"/>
      <c r="Y1360" s="96"/>
    </row>
    <row r="1361" ht="26.25" customHeight="1">
      <c r="A1361" s="96"/>
      <c r="B1361" s="96"/>
      <c r="C1361" s="97"/>
      <c r="D1361" s="96"/>
      <c r="E1361" s="96"/>
      <c r="F1361" s="96"/>
      <c r="G1361" s="96"/>
      <c r="H1361" s="96"/>
      <c r="I1361" s="96"/>
      <c r="J1361" s="96"/>
      <c r="K1361" s="96"/>
      <c r="L1361" s="96"/>
      <c r="M1361" s="96"/>
      <c r="N1361" s="96"/>
      <c r="O1361" s="96"/>
      <c r="P1361" s="96"/>
      <c r="Q1361" s="96"/>
      <c r="R1361" s="96"/>
      <c r="S1361" s="96"/>
      <c r="T1361" s="96"/>
      <c r="U1361" s="96"/>
      <c r="V1361" s="96"/>
      <c r="W1361" s="96"/>
      <c r="X1361" s="96"/>
      <c r="Y1361" s="96"/>
    </row>
    <row r="1362" ht="26.25" customHeight="1">
      <c r="A1362" s="96"/>
      <c r="B1362" s="96"/>
      <c r="C1362" s="97"/>
      <c r="D1362" s="96"/>
      <c r="E1362" s="96"/>
      <c r="F1362" s="96"/>
      <c r="G1362" s="96"/>
      <c r="H1362" s="96"/>
      <c r="I1362" s="96"/>
      <c r="J1362" s="96"/>
      <c r="K1362" s="96"/>
      <c r="L1362" s="96"/>
      <c r="M1362" s="96"/>
      <c r="N1362" s="96"/>
      <c r="O1362" s="96"/>
      <c r="P1362" s="96"/>
      <c r="Q1362" s="96"/>
      <c r="R1362" s="96"/>
      <c r="S1362" s="96"/>
      <c r="T1362" s="96"/>
      <c r="U1362" s="96"/>
      <c r="V1362" s="96"/>
      <c r="W1362" s="96"/>
      <c r="X1362" s="96"/>
      <c r="Y1362" s="96"/>
    </row>
    <row r="1363" ht="26.25" customHeight="1">
      <c r="A1363" s="96"/>
      <c r="B1363" s="96"/>
      <c r="C1363" s="97"/>
      <c r="D1363" s="96"/>
      <c r="E1363" s="96"/>
      <c r="F1363" s="96"/>
      <c r="G1363" s="96"/>
      <c r="H1363" s="96"/>
      <c r="I1363" s="96"/>
      <c r="J1363" s="96"/>
      <c r="K1363" s="96"/>
      <c r="L1363" s="96"/>
      <c r="M1363" s="96"/>
      <c r="N1363" s="96"/>
      <c r="O1363" s="96"/>
      <c r="P1363" s="96"/>
      <c r="Q1363" s="96"/>
      <c r="R1363" s="96"/>
      <c r="S1363" s="96"/>
      <c r="T1363" s="96"/>
      <c r="U1363" s="96"/>
      <c r="V1363" s="96"/>
      <c r="W1363" s="96"/>
      <c r="X1363" s="96"/>
      <c r="Y1363" s="96"/>
    </row>
    <row r="1364" ht="26.25" customHeight="1">
      <c r="A1364" s="96"/>
      <c r="B1364" s="96"/>
      <c r="C1364" s="97"/>
      <c r="D1364" s="96"/>
      <c r="E1364" s="96"/>
      <c r="F1364" s="96"/>
      <c r="G1364" s="96"/>
      <c r="H1364" s="96"/>
      <c r="I1364" s="96"/>
      <c r="J1364" s="96"/>
      <c r="K1364" s="96"/>
      <c r="L1364" s="96"/>
      <c r="M1364" s="96"/>
      <c r="N1364" s="96"/>
      <c r="O1364" s="96"/>
      <c r="P1364" s="96"/>
      <c r="Q1364" s="96"/>
      <c r="R1364" s="96"/>
      <c r="S1364" s="96"/>
      <c r="T1364" s="96"/>
      <c r="U1364" s="96"/>
      <c r="V1364" s="96"/>
      <c r="W1364" s="96"/>
      <c r="X1364" s="96"/>
      <c r="Y1364" s="96"/>
    </row>
    <row r="1365" ht="26.25" customHeight="1">
      <c r="A1365" s="96"/>
      <c r="B1365" s="96"/>
      <c r="C1365" s="97"/>
      <c r="D1365" s="96"/>
      <c r="E1365" s="96"/>
      <c r="F1365" s="96"/>
      <c r="G1365" s="96"/>
      <c r="H1365" s="96"/>
      <c r="I1365" s="96"/>
      <c r="J1365" s="96"/>
      <c r="K1365" s="96"/>
      <c r="L1365" s="96"/>
      <c r="M1365" s="96"/>
      <c r="N1365" s="96"/>
      <c r="O1365" s="96"/>
      <c r="P1365" s="96"/>
      <c r="Q1365" s="96"/>
      <c r="R1365" s="96"/>
      <c r="S1365" s="96"/>
      <c r="T1365" s="96"/>
      <c r="U1365" s="96"/>
      <c r="V1365" s="96"/>
      <c r="W1365" s="96"/>
      <c r="X1365" s="96"/>
      <c r="Y1365" s="96"/>
    </row>
    <row r="1366" ht="26.25" customHeight="1">
      <c r="A1366" s="96"/>
      <c r="B1366" s="96"/>
      <c r="C1366" s="97"/>
      <c r="D1366" s="96"/>
      <c r="E1366" s="96"/>
      <c r="F1366" s="96"/>
      <c r="G1366" s="96"/>
      <c r="H1366" s="96"/>
      <c r="I1366" s="96"/>
      <c r="J1366" s="96"/>
      <c r="K1366" s="96"/>
      <c r="L1366" s="96"/>
      <c r="M1366" s="96"/>
      <c r="N1366" s="96"/>
      <c r="O1366" s="96"/>
      <c r="P1366" s="96"/>
      <c r="Q1366" s="96"/>
      <c r="R1366" s="96"/>
      <c r="S1366" s="96"/>
      <c r="T1366" s="96"/>
      <c r="U1366" s="96"/>
      <c r="V1366" s="96"/>
      <c r="W1366" s="96"/>
      <c r="X1366" s="96"/>
      <c r="Y1366" s="96"/>
    </row>
    <row r="1367" ht="26.25" customHeight="1">
      <c r="A1367" s="96"/>
      <c r="B1367" s="96"/>
      <c r="C1367" s="97"/>
      <c r="D1367" s="96"/>
      <c r="E1367" s="96"/>
      <c r="F1367" s="96"/>
      <c r="G1367" s="96"/>
      <c r="H1367" s="96"/>
      <c r="I1367" s="96"/>
      <c r="J1367" s="96"/>
      <c r="K1367" s="96"/>
      <c r="L1367" s="96"/>
      <c r="M1367" s="96"/>
      <c r="N1367" s="96"/>
      <c r="O1367" s="96"/>
      <c r="P1367" s="96"/>
      <c r="Q1367" s="96"/>
      <c r="R1367" s="96"/>
      <c r="S1367" s="96"/>
      <c r="T1367" s="96"/>
      <c r="U1367" s="96"/>
      <c r="V1367" s="96"/>
      <c r="W1367" s="96"/>
      <c r="X1367" s="96"/>
      <c r="Y1367" s="96"/>
    </row>
    <row r="1368" ht="26.25" customHeight="1">
      <c r="A1368" s="96"/>
      <c r="B1368" s="96"/>
      <c r="C1368" s="97"/>
      <c r="D1368" s="96"/>
      <c r="E1368" s="96"/>
      <c r="F1368" s="96"/>
      <c r="G1368" s="96"/>
      <c r="H1368" s="96"/>
      <c r="I1368" s="96"/>
      <c r="J1368" s="96"/>
      <c r="K1368" s="96"/>
      <c r="L1368" s="96"/>
      <c r="M1368" s="96"/>
      <c r="N1368" s="96"/>
      <c r="O1368" s="96"/>
      <c r="P1368" s="96"/>
      <c r="Q1368" s="96"/>
      <c r="R1368" s="96"/>
      <c r="S1368" s="96"/>
      <c r="T1368" s="96"/>
      <c r="U1368" s="96"/>
      <c r="V1368" s="96"/>
      <c r="W1368" s="96"/>
      <c r="X1368" s="96"/>
      <c r="Y1368" s="96"/>
    </row>
    <row r="1369" ht="26.25" customHeight="1">
      <c r="A1369" s="96"/>
      <c r="B1369" s="96"/>
      <c r="C1369" s="97"/>
      <c r="D1369" s="96"/>
      <c r="E1369" s="96"/>
      <c r="F1369" s="96"/>
      <c r="G1369" s="96"/>
      <c r="H1369" s="96"/>
      <c r="I1369" s="96"/>
      <c r="J1369" s="96"/>
      <c r="K1369" s="96"/>
      <c r="L1369" s="96"/>
      <c r="M1369" s="96"/>
      <c r="N1369" s="96"/>
      <c r="O1369" s="96"/>
      <c r="P1369" s="96"/>
      <c r="Q1369" s="96"/>
      <c r="R1369" s="96"/>
      <c r="S1369" s="96"/>
      <c r="T1369" s="96"/>
      <c r="U1369" s="96"/>
      <c r="V1369" s="96"/>
      <c r="W1369" s="96"/>
      <c r="X1369" s="96"/>
      <c r="Y1369" s="96"/>
    </row>
    <row r="1370" ht="26.25" customHeight="1">
      <c r="A1370" s="96"/>
      <c r="B1370" s="96"/>
      <c r="C1370" s="97"/>
      <c r="D1370" s="96"/>
      <c r="E1370" s="96"/>
      <c r="F1370" s="96"/>
      <c r="G1370" s="96"/>
      <c r="H1370" s="96"/>
      <c r="I1370" s="96"/>
      <c r="J1370" s="96"/>
      <c r="K1370" s="96"/>
      <c r="L1370" s="96"/>
      <c r="M1370" s="96"/>
      <c r="N1370" s="96"/>
      <c r="O1370" s="96"/>
      <c r="P1370" s="96"/>
      <c r="Q1370" s="96"/>
      <c r="R1370" s="96"/>
      <c r="S1370" s="96"/>
      <c r="T1370" s="96"/>
      <c r="U1370" s="96"/>
      <c r="V1370" s="96"/>
      <c r="W1370" s="96"/>
      <c r="X1370" s="96"/>
      <c r="Y1370" s="96"/>
    </row>
    <row r="1371" ht="26.25" customHeight="1">
      <c r="A1371" s="96"/>
      <c r="B1371" s="96"/>
      <c r="C1371" s="97"/>
      <c r="D1371" s="96"/>
      <c r="E1371" s="96"/>
      <c r="F1371" s="96"/>
      <c r="G1371" s="96"/>
      <c r="H1371" s="96"/>
      <c r="I1371" s="96"/>
      <c r="J1371" s="96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6"/>
      <c r="V1371" s="96"/>
      <c r="W1371" s="96"/>
      <c r="X1371" s="96"/>
      <c r="Y1371" s="96"/>
    </row>
    <row r="1372" ht="26.25" customHeight="1">
      <c r="A1372" s="96"/>
      <c r="B1372" s="96"/>
      <c r="C1372" s="97"/>
      <c r="D1372" s="96"/>
      <c r="E1372" s="96"/>
      <c r="F1372" s="96"/>
      <c r="G1372" s="96"/>
      <c r="H1372" s="96"/>
      <c r="I1372" s="96"/>
      <c r="J1372" s="96"/>
      <c r="K1372" s="96"/>
      <c r="L1372" s="96"/>
      <c r="M1372" s="96"/>
      <c r="N1372" s="96"/>
      <c r="O1372" s="96"/>
      <c r="P1372" s="96"/>
      <c r="Q1372" s="96"/>
      <c r="R1372" s="96"/>
      <c r="S1372" s="96"/>
      <c r="T1372" s="96"/>
      <c r="U1372" s="96"/>
      <c r="V1372" s="96"/>
      <c r="W1372" s="96"/>
      <c r="X1372" s="96"/>
      <c r="Y1372" s="96"/>
    </row>
    <row r="1373" ht="26.25" customHeight="1">
      <c r="A1373" s="96"/>
      <c r="B1373" s="96"/>
      <c r="C1373" s="97"/>
      <c r="D1373" s="96"/>
      <c r="E1373" s="96"/>
      <c r="F1373" s="96"/>
      <c r="G1373" s="96"/>
      <c r="H1373" s="96"/>
      <c r="I1373" s="96"/>
      <c r="J1373" s="96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6"/>
      <c r="V1373" s="96"/>
      <c r="W1373" s="96"/>
      <c r="X1373" s="96"/>
      <c r="Y1373" s="96"/>
    </row>
    <row r="1374" ht="26.25" customHeight="1">
      <c r="A1374" s="96"/>
      <c r="B1374" s="96"/>
      <c r="C1374" s="97"/>
      <c r="D1374" s="96"/>
      <c r="E1374" s="96"/>
      <c r="F1374" s="96"/>
      <c r="G1374" s="96"/>
      <c r="H1374" s="96"/>
      <c r="I1374" s="96"/>
      <c r="J1374" s="96"/>
      <c r="K1374" s="96"/>
      <c r="L1374" s="96"/>
      <c r="M1374" s="96"/>
      <c r="N1374" s="96"/>
      <c r="O1374" s="96"/>
      <c r="P1374" s="96"/>
      <c r="Q1374" s="96"/>
      <c r="R1374" s="96"/>
      <c r="S1374" s="96"/>
      <c r="T1374" s="96"/>
      <c r="U1374" s="96"/>
      <c r="V1374" s="96"/>
      <c r="W1374" s="96"/>
      <c r="X1374" s="96"/>
      <c r="Y1374" s="96"/>
    </row>
    <row r="1375" ht="26.25" customHeight="1">
      <c r="A1375" s="96"/>
      <c r="B1375" s="96"/>
      <c r="C1375" s="97"/>
      <c r="D1375" s="96"/>
      <c r="E1375" s="96"/>
      <c r="F1375" s="96"/>
      <c r="G1375" s="96"/>
      <c r="H1375" s="96"/>
      <c r="I1375" s="96"/>
      <c r="J1375" s="96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6"/>
      <c r="V1375" s="96"/>
      <c r="W1375" s="96"/>
      <c r="X1375" s="96"/>
      <c r="Y1375" s="96"/>
    </row>
    <row r="1376" ht="26.25" customHeight="1">
      <c r="A1376" s="96"/>
      <c r="B1376" s="96"/>
      <c r="C1376" s="97"/>
      <c r="D1376" s="96"/>
      <c r="E1376" s="96"/>
      <c r="F1376" s="96"/>
      <c r="G1376" s="96"/>
      <c r="H1376" s="96"/>
      <c r="I1376" s="96"/>
      <c r="J1376" s="96"/>
      <c r="K1376" s="96"/>
      <c r="L1376" s="96"/>
      <c r="M1376" s="96"/>
      <c r="N1376" s="96"/>
      <c r="O1376" s="96"/>
      <c r="P1376" s="96"/>
      <c r="Q1376" s="96"/>
      <c r="R1376" s="96"/>
      <c r="S1376" s="96"/>
      <c r="T1376" s="96"/>
      <c r="U1376" s="96"/>
      <c r="V1376" s="96"/>
      <c r="W1376" s="96"/>
      <c r="X1376" s="96"/>
      <c r="Y1376" s="96"/>
    </row>
    <row r="1377" ht="26.25" customHeight="1">
      <c r="A1377" s="96"/>
      <c r="B1377" s="96"/>
      <c r="C1377" s="97"/>
      <c r="D1377" s="96"/>
      <c r="E1377" s="96"/>
      <c r="F1377" s="96"/>
      <c r="G1377" s="96"/>
      <c r="H1377" s="96"/>
      <c r="I1377" s="96"/>
      <c r="J1377" s="96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6"/>
      <c r="V1377" s="96"/>
      <c r="W1377" s="96"/>
      <c r="X1377" s="96"/>
      <c r="Y1377" s="96"/>
    </row>
    <row r="1378" ht="26.25" customHeight="1">
      <c r="A1378" s="96"/>
      <c r="B1378" s="96"/>
      <c r="C1378" s="97"/>
      <c r="D1378" s="96"/>
      <c r="E1378" s="96"/>
      <c r="F1378" s="96"/>
      <c r="G1378" s="96"/>
      <c r="H1378" s="96"/>
      <c r="I1378" s="96"/>
      <c r="J1378" s="96"/>
      <c r="K1378" s="96"/>
      <c r="L1378" s="96"/>
      <c r="M1378" s="96"/>
      <c r="N1378" s="96"/>
      <c r="O1378" s="96"/>
      <c r="P1378" s="96"/>
      <c r="Q1378" s="96"/>
      <c r="R1378" s="96"/>
      <c r="S1378" s="96"/>
      <c r="T1378" s="96"/>
      <c r="U1378" s="96"/>
      <c r="V1378" s="96"/>
      <c r="W1378" s="96"/>
      <c r="X1378" s="96"/>
      <c r="Y1378" s="96"/>
    </row>
    <row r="1379" ht="26.25" customHeight="1">
      <c r="A1379" s="96"/>
      <c r="B1379" s="96"/>
      <c r="C1379" s="97"/>
      <c r="D1379" s="96"/>
      <c r="E1379" s="96"/>
      <c r="F1379" s="96"/>
      <c r="G1379" s="96"/>
      <c r="H1379" s="96"/>
      <c r="I1379" s="96"/>
      <c r="J1379" s="96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6"/>
      <c r="V1379" s="96"/>
      <c r="W1379" s="96"/>
      <c r="X1379" s="96"/>
      <c r="Y1379" s="96"/>
    </row>
    <row r="1380" ht="26.25" customHeight="1">
      <c r="A1380" s="96"/>
      <c r="B1380" s="96"/>
      <c r="C1380" s="97"/>
      <c r="D1380" s="96"/>
      <c r="E1380" s="96"/>
      <c r="F1380" s="96"/>
      <c r="G1380" s="96"/>
      <c r="H1380" s="96"/>
      <c r="I1380" s="96"/>
      <c r="J1380" s="96"/>
      <c r="K1380" s="96"/>
      <c r="L1380" s="96"/>
      <c r="M1380" s="96"/>
      <c r="N1380" s="96"/>
      <c r="O1380" s="96"/>
      <c r="P1380" s="96"/>
      <c r="Q1380" s="96"/>
      <c r="R1380" s="96"/>
      <c r="S1380" s="96"/>
      <c r="T1380" s="96"/>
      <c r="U1380" s="96"/>
      <c r="V1380" s="96"/>
      <c r="W1380" s="96"/>
      <c r="X1380" s="96"/>
      <c r="Y1380" s="96"/>
    </row>
    <row r="1381" ht="26.25" customHeight="1">
      <c r="A1381" s="96"/>
      <c r="B1381" s="96"/>
      <c r="C1381" s="97"/>
      <c r="D1381" s="96"/>
      <c r="E1381" s="96"/>
      <c r="F1381" s="96"/>
      <c r="G1381" s="96"/>
      <c r="H1381" s="96"/>
      <c r="I1381" s="96"/>
      <c r="J1381" s="96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6"/>
      <c r="V1381" s="96"/>
      <c r="W1381" s="96"/>
      <c r="X1381" s="96"/>
      <c r="Y1381" s="96"/>
    </row>
    <row r="1382" ht="26.25" customHeight="1">
      <c r="A1382" s="96"/>
      <c r="B1382" s="96"/>
      <c r="C1382" s="97"/>
      <c r="D1382" s="96"/>
      <c r="E1382" s="96"/>
      <c r="F1382" s="96"/>
      <c r="G1382" s="96"/>
      <c r="H1382" s="96"/>
      <c r="I1382" s="96"/>
      <c r="J1382" s="96"/>
      <c r="K1382" s="96"/>
      <c r="L1382" s="96"/>
      <c r="M1382" s="96"/>
      <c r="N1382" s="96"/>
      <c r="O1382" s="96"/>
      <c r="P1382" s="96"/>
      <c r="Q1382" s="96"/>
      <c r="R1382" s="96"/>
      <c r="S1382" s="96"/>
      <c r="T1382" s="96"/>
      <c r="U1382" s="96"/>
      <c r="V1382" s="96"/>
      <c r="W1382" s="96"/>
      <c r="X1382" s="96"/>
      <c r="Y1382" s="96"/>
    </row>
    <row r="1383" ht="26.25" customHeight="1">
      <c r="A1383" s="96"/>
      <c r="B1383" s="96"/>
      <c r="C1383" s="97"/>
      <c r="D1383" s="96"/>
      <c r="E1383" s="96"/>
      <c r="F1383" s="96"/>
      <c r="G1383" s="96"/>
      <c r="H1383" s="96"/>
      <c r="I1383" s="96"/>
      <c r="J1383" s="96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6"/>
      <c r="V1383" s="96"/>
      <c r="W1383" s="96"/>
      <c r="X1383" s="96"/>
      <c r="Y1383" s="96"/>
    </row>
    <row r="1384" ht="26.25" customHeight="1">
      <c r="A1384" s="96"/>
      <c r="B1384" s="96"/>
      <c r="C1384" s="97"/>
      <c r="D1384" s="96"/>
      <c r="E1384" s="96"/>
      <c r="F1384" s="96"/>
      <c r="G1384" s="96"/>
      <c r="H1384" s="96"/>
      <c r="I1384" s="96"/>
      <c r="J1384" s="96"/>
      <c r="K1384" s="96"/>
      <c r="L1384" s="96"/>
      <c r="M1384" s="96"/>
      <c r="N1384" s="96"/>
      <c r="O1384" s="96"/>
      <c r="P1384" s="96"/>
      <c r="Q1384" s="96"/>
      <c r="R1384" s="96"/>
      <c r="S1384" s="96"/>
      <c r="T1384" s="96"/>
      <c r="U1384" s="96"/>
      <c r="V1384" s="96"/>
      <c r="W1384" s="96"/>
      <c r="X1384" s="96"/>
      <c r="Y1384" s="96"/>
    </row>
    <row r="1385" ht="26.25" customHeight="1">
      <c r="A1385" s="96"/>
      <c r="B1385" s="96"/>
      <c r="C1385" s="97"/>
      <c r="D1385" s="96"/>
      <c r="E1385" s="96"/>
      <c r="F1385" s="96"/>
      <c r="G1385" s="96"/>
      <c r="H1385" s="96"/>
      <c r="I1385" s="96"/>
      <c r="J1385" s="96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6"/>
      <c r="V1385" s="96"/>
      <c r="W1385" s="96"/>
      <c r="X1385" s="96"/>
      <c r="Y1385" s="96"/>
    </row>
    <row r="1386" ht="26.25" customHeight="1">
      <c r="A1386" s="96"/>
      <c r="B1386" s="96"/>
      <c r="C1386" s="97"/>
      <c r="D1386" s="96"/>
      <c r="E1386" s="96"/>
      <c r="F1386" s="96"/>
      <c r="G1386" s="96"/>
      <c r="H1386" s="96"/>
      <c r="I1386" s="96"/>
      <c r="J1386" s="96"/>
      <c r="K1386" s="96"/>
      <c r="L1386" s="96"/>
      <c r="M1386" s="96"/>
      <c r="N1386" s="96"/>
      <c r="O1386" s="96"/>
      <c r="P1386" s="96"/>
      <c r="Q1386" s="96"/>
      <c r="R1386" s="96"/>
      <c r="S1386" s="96"/>
      <c r="T1386" s="96"/>
      <c r="U1386" s="96"/>
      <c r="V1386" s="96"/>
      <c r="W1386" s="96"/>
      <c r="X1386" s="96"/>
      <c r="Y1386" s="96"/>
    </row>
    <row r="1387" ht="26.25" customHeight="1">
      <c r="A1387" s="96"/>
      <c r="B1387" s="96"/>
      <c r="C1387" s="97"/>
      <c r="D1387" s="96"/>
      <c r="E1387" s="96"/>
      <c r="F1387" s="96"/>
      <c r="G1387" s="96"/>
      <c r="H1387" s="96"/>
      <c r="I1387" s="96"/>
      <c r="J1387" s="96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6"/>
      <c r="V1387" s="96"/>
      <c r="W1387" s="96"/>
      <c r="X1387" s="96"/>
      <c r="Y1387" s="96"/>
    </row>
    <row r="1388" ht="26.25" customHeight="1">
      <c r="A1388" s="96"/>
      <c r="B1388" s="96"/>
      <c r="C1388" s="97"/>
      <c r="D1388" s="96"/>
      <c r="E1388" s="96"/>
      <c r="F1388" s="96"/>
      <c r="G1388" s="96"/>
      <c r="H1388" s="96"/>
      <c r="I1388" s="96"/>
      <c r="J1388" s="96"/>
      <c r="K1388" s="96"/>
      <c r="L1388" s="96"/>
      <c r="M1388" s="96"/>
      <c r="N1388" s="96"/>
      <c r="O1388" s="96"/>
      <c r="P1388" s="96"/>
      <c r="Q1388" s="96"/>
      <c r="R1388" s="96"/>
      <c r="S1388" s="96"/>
      <c r="T1388" s="96"/>
      <c r="U1388" s="96"/>
      <c r="V1388" s="96"/>
      <c r="W1388" s="96"/>
      <c r="X1388" s="96"/>
      <c r="Y1388" s="96"/>
    </row>
    <row r="1389" ht="26.25" customHeight="1">
      <c r="A1389" s="96"/>
      <c r="B1389" s="96"/>
      <c r="C1389" s="97"/>
      <c r="D1389" s="96"/>
      <c r="E1389" s="96"/>
      <c r="F1389" s="96"/>
      <c r="G1389" s="96"/>
      <c r="H1389" s="96"/>
      <c r="I1389" s="96"/>
      <c r="J1389" s="96"/>
      <c r="K1389" s="96"/>
      <c r="L1389" s="96"/>
      <c r="M1389" s="96"/>
      <c r="N1389" s="96"/>
      <c r="O1389" s="96"/>
      <c r="P1389" s="96"/>
      <c r="Q1389" s="96"/>
      <c r="R1389" s="96"/>
      <c r="S1389" s="96"/>
      <c r="T1389" s="96"/>
      <c r="U1389" s="96"/>
      <c r="V1389" s="96"/>
      <c r="W1389" s="96"/>
      <c r="X1389" s="96"/>
      <c r="Y1389" s="96"/>
    </row>
    <row r="1390" ht="26.25" customHeight="1">
      <c r="A1390" s="96"/>
      <c r="B1390" s="96"/>
      <c r="C1390" s="97"/>
      <c r="D1390" s="96"/>
      <c r="E1390" s="96"/>
      <c r="F1390" s="96"/>
      <c r="G1390" s="96"/>
      <c r="H1390" s="96"/>
      <c r="I1390" s="96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</row>
    <row r="1391" ht="26.25" customHeight="1">
      <c r="A1391" s="96"/>
      <c r="B1391" s="96"/>
      <c r="C1391" s="97"/>
      <c r="D1391" s="96"/>
      <c r="E1391" s="96"/>
      <c r="F1391" s="96"/>
      <c r="G1391" s="96"/>
      <c r="H1391" s="96"/>
      <c r="I1391" s="96"/>
      <c r="J1391" s="96"/>
      <c r="K1391" s="96"/>
      <c r="L1391" s="96"/>
      <c r="M1391" s="96"/>
      <c r="N1391" s="96"/>
      <c r="O1391" s="96"/>
      <c r="P1391" s="96"/>
      <c r="Q1391" s="96"/>
      <c r="R1391" s="96"/>
      <c r="S1391" s="96"/>
      <c r="T1391" s="96"/>
      <c r="U1391" s="96"/>
      <c r="V1391" s="96"/>
      <c r="W1391" s="96"/>
      <c r="X1391" s="96"/>
      <c r="Y1391" s="96"/>
    </row>
    <row r="1392" ht="26.25" customHeight="1">
      <c r="A1392" s="96"/>
      <c r="B1392" s="96"/>
      <c r="C1392" s="97"/>
      <c r="D1392" s="96"/>
      <c r="E1392" s="96"/>
      <c r="F1392" s="96"/>
      <c r="G1392" s="96"/>
      <c r="H1392" s="96"/>
      <c r="I1392" s="96"/>
      <c r="J1392" s="96"/>
      <c r="K1392" s="96"/>
      <c r="L1392" s="96"/>
      <c r="M1392" s="96"/>
      <c r="N1392" s="96"/>
      <c r="O1392" s="96"/>
      <c r="P1392" s="96"/>
      <c r="Q1392" s="96"/>
      <c r="R1392" s="96"/>
      <c r="S1392" s="96"/>
      <c r="T1392" s="96"/>
      <c r="U1392" s="96"/>
      <c r="V1392" s="96"/>
      <c r="W1392" s="96"/>
      <c r="X1392" s="96"/>
      <c r="Y1392" s="96"/>
    </row>
    <row r="1393" ht="26.25" customHeight="1">
      <c r="A1393" s="96"/>
      <c r="B1393" s="96"/>
      <c r="C1393" s="97"/>
      <c r="D1393" s="96"/>
      <c r="E1393" s="96"/>
      <c r="F1393" s="96"/>
      <c r="G1393" s="96"/>
      <c r="H1393" s="96"/>
      <c r="I1393" s="96"/>
      <c r="J1393" s="96"/>
      <c r="K1393" s="96"/>
      <c r="L1393" s="96"/>
      <c r="M1393" s="96"/>
      <c r="N1393" s="96"/>
      <c r="O1393" s="96"/>
      <c r="P1393" s="96"/>
      <c r="Q1393" s="96"/>
      <c r="R1393" s="96"/>
      <c r="S1393" s="96"/>
      <c r="T1393" s="96"/>
      <c r="U1393" s="96"/>
      <c r="V1393" s="96"/>
      <c r="W1393" s="96"/>
      <c r="X1393" s="96"/>
      <c r="Y1393" s="96"/>
    </row>
    <row r="1394" ht="26.25" customHeight="1">
      <c r="A1394" s="96"/>
      <c r="B1394" s="96"/>
      <c r="C1394" s="97"/>
      <c r="D1394" s="96"/>
      <c r="E1394" s="96"/>
      <c r="F1394" s="96"/>
      <c r="G1394" s="96"/>
      <c r="H1394" s="96"/>
      <c r="I1394" s="96"/>
      <c r="J1394" s="96"/>
      <c r="K1394" s="96"/>
      <c r="L1394" s="96"/>
      <c r="M1394" s="96"/>
      <c r="N1394" s="96"/>
      <c r="O1394" s="96"/>
      <c r="P1394" s="96"/>
      <c r="Q1394" s="96"/>
      <c r="R1394" s="96"/>
      <c r="S1394" s="96"/>
      <c r="T1394" s="96"/>
      <c r="U1394" s="96"/>
      <c r="V1394" s="96"/>
      <c r="W1394" s="96"/>
      <c r="X1394" s="96"/>
      <c r="Y1394" s="96"/>
    </row>
    <row r="1395" ht="26.25" customHeight="1">
      <c r="A1395" s="96"/>
      <c r="B1395" s="96"/>
      <c r="C1395" s="97"/>
      <c r="D1395" s="96"/>
      <c r="E1395" s="96"/>
      <c r="F1395" s="96"/>
      <c r="G1395" s="96"/>
      <c r="H1395" s="96"/>
      <c r="I1395" s="96"/>
      <c r="J1395" s="96"/>
      <c r="K1395" s="96"/>
      <c r="L1395" s="96"/>
      <c r="M1395" s="96"/>
      <c r="N1395" s="96"/>
      <c r="O1395" s="96"/>
      <c r="P1395" s="96"/>
      <c r="Q1395" s="96"/>
      <c r="R1395" s="96"/>
      <c r="S1395" s="96"/>
      <c r="T1395" s="96"/>
      <c r="U1395" s="96"/>
      <c r="V1395" s="96"/>
      <c r="W1395" s="96"/>
      <c r="X1395" s="96"/>
      <c r="Y1395" s="96"/>
    </row>
    <row r="1396" ht="26.25" customHeight="1">
      <c r="A1396" s="96"/>
      <c r="B1396" s="96"/>
      <c r="C1396" s="97"/>
      <c r="D1396" s="96"/>
      <c r="E1396" s="96"/>
      <c r="F1396" s="96"/>
      <c r="G1396" s="96"/>
      <c r="H1396" s="96"/>
      <c r="I1396" s="96"/>
      <c r="J1396" s="96"/>
      <c r="K1396" s="96"/>
      <c r="L1396" s="96"/>
      <c r="M1396" s="96"/>
      <c r="N1396" s="96"/>
      <c r="O1396" s="96"/>
      <c r="P1396" s="96"/>
      <c r="Q1396" s="96"/>
      <c r="R1396" s="96"/>
      <c r="S1396" s="96"/>
      <c r="T1396" s="96"/>
      <c r="U1396" s="96"/>
      <c r="V1396" s="96"/>
      <c r="W1396" s="96"/>
      <c r="X1396" s="96"/>
      <c r="Y1396" s="96"/>
    </row>
    <row r="1397" ht="26.25" customHeight="1">
      <c r="A1397" s="96"/>
      <c r="B1397" s="96"/>
      <c r="C1397" s="97"/>
      <c r="D1397" s="96"/>
      <c r="E1397" s="96"/>
      <c r="F1397" s="96"/>
      <c r="G1397" s="96"/>
      <c r="H1397" s="96"/>
      <c r="I1397" s="96"/>
      <c r="J1397" s="96"/>
      <c r="K1397" s="96"/>
      <c r="L1397" s="96"/>
      <c r="M1397" s="96"/>
      <c r="N1397" s="96"/>
      <c r="O1397" s="96"/>
      <c r="P1397" s="96"/>
      <c r="Q1397" s="96"/>
      <c r="R1397" s="96"/>
      <c r="S1397" s="96"/>
      <c r="T1397" s="96"/>
      <c r="U1397" s="96"/>
      <c r="V1397" s="96"/>
      <c r="W1397" s="96"/>
      <c r="X1397" s="96"/>
      <c r="Y1397" s="96"/>
    </row>
    <row r="1398" ht="26.25" customHeight="1">
      <c r="A1398" s="96"/>
      <c r="B1398" s="96"/>
      <c r="C1398" s="97"/>
      <c r="D1398" s="96"/>
      <c r="E1398" s="96"/>
      <c r="F1398" s="96"/>
      <c r="G1398" s="96"/>
      <c r="H1398" s="96"/>
      <c r="I1398" s="96"/>
      <c r="J1398" s="96"/>
      <c r="K1398" s="96"/>
      <c r="L1398" s="96"/>
      <c r="M1398" s="96"/>
      <c r="N1398" s="96"/>
      <c r="O1398" s="96"/>
      <c r="P1398" s="96"/>
      <c r="Q1398" s="96"/>
      <c r="R1398" s="96"/>
      <c r="S1398" s="96"/>
      <c r="T1398" s="96"/>
      <c r="U1398" s="96"/>
      <c r="V1398" s="96"/>
      <c r="W1398" s="96"/>
      <c r="X1398" s="96"/>
      <c r="Y1398" s="96"/>
    </row>
    <row r="1399" ht="26.25" customHeight="1">
      <c r="A1399" s="96"/>
      <c r="B1399" s="96"/>
      <c r="C1399" s="97"/>
      <c r="D1399" s="96"/>
      <c r="E1399" s="96"/>
      <c r="F1399" s="96"/>
      <c r="G1399" s="96"/>
      <c r="H1399" s="96"/>
      <c r="I1399" s="96"/>
      <c r="J1399" s="96"/>
      <c r="K1399" s="96"/>
      <c r="L1399" s="96"/>
      <c r="M1399" s="96"/>
      <c r="N1399" s="96"/>
      <c r="O1399" s="96"/>
      <c r="P1399" s="96"/>
      <c r="Q1399" s="96"/>
      <c r="R1399" s="96"/>
      <c r="S1399" s="96"/>
      <c r="T1399" s="96"/>
      <c r="U1399" s="96"/>
      <c r="V1399" s="96"/>
      <c r="W1399" s="96"/>
      <c r="X1399" s="96"/>
      <c r="Y1399" s="96"/>
    </row>
    <row r="1400" ht="26.25" customHeight="1">
      <c r="A1400" s="96"/>
      <c r="B1400" s="96"/>
      <c r="C1400" s="97"/>
      <c r="D1400" s="96"/>
      <c r="E1400" s="96"/>
      <c r="F1400" s="96"/>
      <c r="G1400" s="96"/>
      <c r="H1400" s="96"/>
      <c r="I1400" s="96"/>
      <c r="J1400" s="96"/>
      <c r="K1400" s="96"/>
      <c r="L1400" s="96"/>
      <c r="M1400" s="96"/>
      <c r="N1400" s="96"/>
      <c r="O1400" s="96"/>
      <c r="P1400" s="96"/>
      <c r="Q1400" s="96"/>
      <c r="R1400" s="96"/>
      <c r="S1400" s="96"/>
      <c r="T1400" s="96"/>
      <c r="U1400" s="96"/>
      <c r="V1400" s="96"/>
      <c r="W1400" s="96"/>
      <c r="X1400" s="96"/>
      <c r="Y1400" s="96"/>
    </row>
    <row r="1401" ht="26.25" customHeight="1">
      <c r="A1401" s="96"/>
      <c r="B1401" s="96"/>
      <c r="C1401" s="97"/>
      <c r="D1401" s="96"/>
      <c r="E1401" s="96"/>
      <c r="F1401" s="96"/>
      <c r="G1401" s="96"/>
      <c r="H1401" s="96"/>
      <c r="I1401" s="96"/>
      <c r="J1401" s="96"/>
      <c r="K1401" s="96"/>
      <c r="L1401" s="96"/>
      <c r="M1401" s="96"/>
      <c r="N1401" s="96"/>
      <c r="O1401" s="96"/>
      <c r="P1401" s="96"/>
      <c r="Q1401" s="96"/>
      <c r="R1401" s="96"/>
      <c r="S1401" s="96"/>
      <c r="T1401" s="96"/>
      <c r="U1401" s="96"/>
      <c r="V1401" s="96"/>
      <c r="W1401" s="96"/>
      <c r="X1401" s="96"/>
      <c r="Y1401" s="96"/>
    </row>
    <row r="1402" ht="26.25" customHeight="1">
      <c r="A1402" s="96"/>
      <c r="B1402" s="96"/>
      <c r="C1402" s="97"/>
      <c r="D1402" s="96"/>
      <c r="E1402" s="96"/>
      <c r="F1402" s="96"/>
      <c r="G1402" s="96"/>
      <c r="H1402" s="96"/>
      <c r="I1402" s="96"/>
      <c r="J1402" s="96"/>
      <c r="K1402" s="96"/>
      <c r="L1402" s="96"/>
      <c r="M1402" s="96"/>
      <c r="N1402" s="96"/>
      <c r="O1402" s="96"/>
      <c r="P1402" s="96"/>
      <c r="Q1402" s="96"/>
      <c r="R1402" s="96"/>
      <c r="S1402" s="96"/>
      <c r="T1402" s="96"/>
      <c r="U1402" s="96"/>
      <c r="V1402" s="96"/>
      <c r="W1402" s="96"/>
      <c r="X1402" s="96"/>
      <c r="Y1402" s="96"/>
    </row>
    <row r="1403" ht="26.25" customHeight="1">
      <c r="A1403" s="96"/>
      <c r="B1403" s="96"/>
      <c r="C1403" s="97"/>
      <c r="D1403" s="96"/>
      <c r="E1403" s="96"/>
      <c r="F1403" s="96"/>
      <c r="G1403" s="96"/>
      <c r="H1403" s="96"/>
      <c r="I1403" s="96"/>
      <c r="J1403" s="96"/>
      <c r="K1403" s="96"/>
      <c r="L1403" s="96"/>
      <c r="M1403" s="96"/>
      <c r="N1403" s="96"/>
      <c r="O1403" s="96"/>
      <c r="P1403" s="96"/>
      <c r="Q1403" s="96"/>
      <c r="R1403" s="96"/>
      <c r="S1403" s="96"/>
      <c r="T1403" s="96"/>
      <c r="U1403" s="96"/>
      <c r="V1403" s="96"/>
      <c r="W1403" s="96"/>
      <c r="X1403" s="96"/>
      <c r="Y1403" s="96"/>
    </row>
    <row r="1404" ht="26.25" customHeight="1">
      <c r="A1404" s="96"/>
      <c r="B1404" s="96"/>
      <c r="C1404" s="97"/>
      <c r="D1404" s="96"/>
      <c r="E1404" s="96"/>
      <c r="F1404" s="96"/>
      <c r="G1404" s="96"/>
      <c r="H1404" s="96"/>
      <c r="I1404" s="96"/>
      <c r="J1404" s="96"/>
      <c r="K1404" s="96"/>
      <c r="L1404" s="96"/>
      <c r="M1404" s="96"/>
      <c r="N1404" s="96"/>
      <c r="O1404" s="96"/>
      <c r="P1404" s="96"/>
      <c r="Q1404" s="96"/>
      <c r="R1404" s="96"/>
      <c r="S1404" s="96"/>
      <c r="T1404" s="96"/>
      <c r="U1404" s="96"/>
      <c r="V1404" s="96"/>
      <c r="W1404" s="96"/>
      <c r="X1404" s="96"/>
      <c r="Y1404" s="96"/>
    </row>
    <row r="1405" ht="26.25" customHeight="1">
      <c r="A1405" s="96"/>
      <c r="B1405" s="96"/>
      <c r="C1405" s="97"/>
      <c r="D1405" s="96"/>
      <c r="E1405" s="96"/>
      <c r="F1405" s="96"/>
      <c r="G1405" s="96"/>
      <c r="H1405" s="96"/>
      <c r="I1405" s="96"/>
      <c r="J1405" s="96"/>
      <c r="K1405" s="96"/>
      <c r="L1405" s="96"/>
      <c r="M1405" s="96"/>
      <c r="N1405" s="96"/>
      <c r="O1405" s="96"/>
      <c r="P1405" s="96"/>
      <c r="Q1405" s="96"/>
      <c r="R1405" s="96"/>
      <c r="S1405" s="96"/>
      <c r="T1405" s="96"/>
      <c r="U1405" s="96"/>
      <c r="V1405" s="96"/>
      <c r="W1405" s="96"/>
      <c r="X1405" s="96"/>
      <c r="Y1405" s="96"/>
    </row>
    <row r="1406" ht="26.25" customHeight="1">
      <c r="A1406" s="96"/>
      <c r="B1406" s="96"/>
      <c r="C1406" s="97"/>
      <c r="D1406" s="96"/>
      <c r="E1406" s="96"/>
      <c r="F1406" s="96"/>
      <c r="G1406" s="96"/>
      <c r="H1406" s="96"/>
      <c r="I1406" s="96"/>
      <c r="J1406" s="96"/>
      <c r="K1406" s="96"/>
      <c r="L1406" s="96"/>
      <c r="M1406" s="96"/>
      <c r="N1406" s="96"/>
      <c r="O1406" s="96"/>
      <c r="P1406" s="96"/>
      <c r="Q1406" s="96"/>
      <c r="R1406" s="96"/>
      <c r="S1406" s="96"/>
      <c r="T1406" s="96"/>
      <c r="U1406" s="96"/>
      <c r="V1406" s="96"/>
      <c r="W1406" s="96"/>
      <c r="X1406" s="96"/>
      <c r="Y1406" s="96"/>
    </row>
    <row r="1407" ht="26.25" customHeight="1">
      <c r="A1407" s="96"/>
      <c r="B1407" s="96"/>
      <c r="C1407" s="97"/>
      <c r="D1407" s="96"/>
      <c r="E1407" s="96"/>
      <c r="F1407" s="96"/>
      <c r="G1407" s="96"/>
      <c r="H1407" s="96"/>
      <c r="I1407" s="96"/>
      <c r="J1407" s="96"/>
      <c r="K1407" s="96"/>
      <c r="L1407" s="96"/>
      <c r="M1407" s="96"/>
      <c r="N1407" s="96"/>
      <c r="O1407" s="96"/>
      <c r="P1407" s="96"/>
      <c r="Q1407" s="96"/>
      <c r="R1407" s="96"/>
      <c r="S1407" s="96"/>
      <c r="T1407" s="96"/>
      <c r="U1407" s="96"/>
      <c r="V1407" s="96"/>
      <c r="W1407" s="96"/>
      <c r="X1407" s="96"/>
      <c r="Y1407" s="96"/>
    </row>
    <row r="1408" ht="26.25" customHeight="1">
      <c r="A1408" s="96"/>
      <c r="B1408" s="96"/>
      <c r="C1408" s="97"/>
      <c r="D1408" s="96"/>
      <c r="E1408" s="96"/>
      <c r="F1408" s="96"/>
      <c r="G1408" s="96"/>
      <c r="H1408" s="96"/>
      <c r="I1408" s="96"/>
      <c r="J1408" s="96"/>
      <c r="K1408" s="96"/>
      <c r="L1408" s="96"/>
      <c r="M1408" s="96"/>
      <c r="N1408" s="96"/>
      <c r="O1408" s="96"/>
      <c r="P1408" s="96"/>
      <c r="Q1408" s="96"/>
      <c r="R1408" s="96"/>
      <c r="S1408" s="96"/>
      <c r="T1408" s="96"/>
      <c r="U1408" s="96"/>
      <c r="V1408" s="96"/>
      <c r="W1408" s="96"/>
      <c r="X1408" s="96"/>
      <c r="Y1408" s="96"/>
    </row>
    <row r="1409" ht="26.25" customHeight="1">
      <c r="A1409" s="96"/>
      <c r="B1409" s="96"/>
      <c r="C1409" s="97"/>
      <c r="D1409" s="96"/>
      <c r="E1409" s="96"/>
      <c r="F1409" s="96"/>
      <c r="G1409" s="96"/>
      <c r="H1409" s="96"/>
      <c r="I1409" s="96"/>
      <c r="J1409" s="96"/>
      <c r="K1409" s="96"/>
      <c r="L1409" s="96"/>
      <c r="M1409" s="96"/>
      <c r="N1409" s="96"/>
      <c r="O1409" s="96"/>
      <c r="P1409" s="96"/>
      <c r="Q1409" s="96"/>
      <c r="R1409" s="96"/>
      <c r="S1409" s="96"/>
      <c r="T1409" s="96"/>
      <c r="U1409" s="96"/>
      <c r="V1409" s="96"/>
      <c r="W1409" s="96"/>
      <c r="X1409" s="96"/>
      <c r="Y1409" s="96"/>
    </row>
    <row r="1410" ht="26.25" customHeight="1">
      <c r="A1410" s="96"/>
      <c r="B1410" s="96"/>
      <c r="C1410" s="97"/>
      <c r="D1410" s="96"/>
      <c r="E1410" s="96"/>
      <c r="F1410" s="96"/>
      <c r="G1410" s="96"/>
      <c r="H1410" s="96"/>
      <c r="I1410" s="96"/>
      <c r="J1410" s="96"/>
      <c r="K1410" s="96"/>
      <c r="L1410" s="96"/>
      <c r="M1410" s="96"/>
      <c r="N1410" s="96"/>
      <c r="O1410" s="96"/>
      <c r="P1410" s="96"/>
      <c r="Q1410" s="96"/>
      <c r="R1410" s="96"/>
      <c r="S1410" s="96"/>
      <c r="T1410" s="96"/>
      <c r="U1410" s="96"/>
      <c r="V1410" s="96"/>
      <c r="W1410" s="96"/>
      <c r="X1410" s="96"/>
      <c r="Y1410" s="96"/>
    </row>
    <row r="1411" ht="26.25" customHeight="1">
      <c r="A1411" s="96"/>
      <c r="B1411" s="96"/>
      <c r="C1411" s="97"/>
      <c r="D1411" s="96"/>
      <c r="E1411" s="96"/>
      <c r="F1411" s="96"/>
      <c r="G1411" s="96"/>
      <c r="H1411" s="96"/>
      <c r="I1411" s="96"/>
      <c r="J1411" s="96"/>
      <c r="K1411" s="96"/>
      <c r="L1411" s="96"/>
      <c r="M1411" s="96"/>
      <c r="N1411" s="96"/>
      <c r="O1411" s="96"/>
      <c r="P1411" s="96"/>
      <c r="Q1411" s="96"/>
      <c r="R1411" s="96"/>
      <c r="S1411" s="96"/>
      <c r="T1411" s="96"/>
      <c r="U1411" s="96"/>
      <c r="V1411" s="96"/>
      <c r="W1411" s="96"/>
      <c r="X1411" s="96"/>
      <c r="Y1411" s="96"/>
    </row>
    <row r="1412" ht="26.25" customHeight="1">
      <c r="A1412" s="96"/>
      <c r="B1412" s="96"/>
      <c r="C1412" s="97"/>
      <c r="D1412" s="96"/>
      <c r="E1412" s="96"/>
      <c r="F1412" s="96"/>
      <c r="G1412" s="96"/>
      <c r="H1412" s="96"/>
      <c r="I1412" s="96"/>
      <c r="J1412" s="96"/>
      <c r="K1412" s="96"/>
      <c r="L1412" s="96"/>
      <c r="M1412" s="96"/>
      <c r="N1412" s="96"/>
      <c r="O1412" s="96"/>
      <c r="P1412" s="96"/>
      <c r="Q1412" s="96"/>
      <c r="R1412" s="96"/>
      <c r="S1412" s="96"/>
      <c r="T1412" s="96"/>
      <c r="U1412" s="96"/>
      <c r="V1412" s="96"/>
      <c r="W1412" s="96"/>
      <c r="X1412" s="96"/>
      <c r="Y1412" s="96"/>
    </row>
    <row r="1413" ht="26.25" customHeight="1">
      <c r="A1413" s="96"/>
      <c r="B1413" s="96"/>
      <c r="C1413" s="97"/>
      <c r="D1413" s="96"/>
      <c r="E1413" s="96"/>
      <c r="F1413" s="96"/>
      <c r="G1413" s="96"/>
      <c r="H1413" s="96"/>
      <c r="I1413" s="96"/>
      <c r="J1413" s="96"/>
      <c r="K1413" s="96"/>
      <c r="L1413" s="96"/>
      <c r="M1413" s="96"/>
      <c r="N1413" s="96"/>
      <c r="O1413" s="96"/>
      <c r="P1413" s="96"/>
      <c r="Q1413" s="96"/>
      <c r="R1413" s="96"/>
      <c r="S1413" s="96"/>
      <c r="T1413" s="96"/>
      <c r="U1413" s="96"/>
      <c r="V1413" s="96"/>
      <c r="W1413" s="96"/>
      <c r="X1413" s="96"/>
      <c r="Y1413" s="96"/>
    </row>
    <row r="1414" ht="26.25" customHeight="1">
      <c r="A1414" s="96"/>
      <c r="B1414" s="96"/>
      <c r="C1414" s="97"/>
      <c r="D1414" s="96"/>
      <c r="E1414" s="96"/>
      <c r="F1414" s="96"/>
      <c r="G1414" s="96"/>
      <c r="H1414" s="96"/>
      <c r="I1414" s="96"/>
      <c r="J1414" s="96"/>
      <c r="K1414" s="96"/>
      <c r="L1414" s="96"/>
      <c r="M1414" s="96"/>
      <c r="N1414" s="96"/>
      <c r="O1414" s="96"/>
      <c r="P1414" s="96"/>
      <c r="Q1414" s="96"/>
      <c r="R1414" s="96"/>
      <c r="S1414" s="96"/>
      <c r="T1414" s="96"/>
      <c r="U1414" s="96"/>
      <c r="V1414" s="96"/>
      <c r="W1414" s="96"/>
      <c r="X1414" s="96"/>
      <c r="Y1414" s="96"/>
    </row>
    <row r="1415" ht="26.25" customHeight="1">
      <c r="A1415" s="96"/>
      <c r="B1415" s="96"/>
      <c r="C1415" s="97"/>
      <c r="D1415" s="96"/>
      <c r="E1415" s="96"/>
      <c r="F1415" s="96"/>
      <c r="G1415" s="96"/>
      <c r="H1415" s="96"/>
      <c r="I1415" s="96"/>
      <c r="J1415" s="96"/>
      <c r="K1415" s="96"/>
      <c r="L1415" s="96"/>
      <c r="M1415" s="96"/>
      <c r="N1415" s="96"/>
      <c r="O1415" s="96"/>
      <c r="P1415" s="96"/>
      <c r="Q1415" s="96"/>
      <c r="R1415" s="96"/>
      <c r="S1415" s="96"/>
      <c r="T1415" s="96"/>
      <c r="U1415" s="96"/>
      <c r="V1415" s="96"/>
      <c r="W1415" s="96"/>
      <c r="X1415" s="96"/>
      <c r="Y1415" s="96"/>
    </row>
    <row r="1416" ht="26.25" customHeight="1">
      <c r="A1416" s="96"/>
      <c r="B1416" s="96"/>
      <c r="C1416" s="97"/>
      <c r="D1416" s="96"/>
      <c r="E1416" s="96"/>
      <c r="F1416" s="96"/>
      <c r="G1416" s="96"/>
      <c r="H1416" s="96"/>
      <c r="I1416" s="96"/>
      <c r="J1416" s="96"/>
      <c r="K1416" s="96"/>
      <c r="L1416" s="96"/>
      <c r="M1416" s="96"/>
      <c r="N1416" s="96"/>
      <c r="O1416" s="96"/>
      <c r="P1416" s="96"/>
      <c r="Q1416" s="96"/>
      <c r="R1416" s="96"/>
      <c r="S1416" s="96"/>
      <c r="T1416" s="96"/>
      <c r="U1416" s="96"/>
      <c r="V1416" s="96"/>
      <c r="W1416" s="96"/>
      <c r="X1416" s="96"/>
      <c r="Y1416" s="96"/>
    </row>
    <row r="1417" ht="26.25" customHeight="1">
      <c r="A1417" s="96"/>
      <c r="B1417" s="96"/>
      <c r="C1417" s="97"/>
      <c r="D1417" s="96"/>
      <c r="E1417" s="96"/>
      <c r="F1417" s="96"/>
      <c r="G1417" s="96"/>
      <c r="H1417" s="96"/>
      <c r="I1417" s="96"/>
      <c r="J1417" s="96"/>
      <c r="K1417" s="96"/>
      <c r="L1417" s="96"/>
      <c r="M1417" s="96"/>
      <c r="N1417" s="96"/>
      <c r="O1417" s="96"/>
      <c r="P1417" s="96"/>
      <c r="Q1417" s="96"/>
      <c r="R1417" s="96"/>
      <c r="S1417" s="96"/>
      <c r="T1417" s="96"/>
      <c r="U1417" s="96"/>
      <c r="V1417" s="96"/>
      <c r="W1417" s="96"/>
      <c r="X1417" s="96"/>
      <c r="Y1417" s="96"/>
    </row>
    <row r="1418" ht="26.25" customHeight="1">
      <c r="A1418" s="96"/>
      <c r="B1418" s="96"/>
      <c r="C1418" s="97"/>
      <c r="D1418" s="96"/>
      <c r="E1418" s="96"/>
      <c r="F1418" s="96"/>
      <c r="G1418" s="96"/>
      <c r="H1418" s="96"/>
      <c r="I1418" s="96"/>
      <c r="J1418" s="96"/>
      <c r="K1418" s="96"/>
      <c r="L1418" s="96"/>
      <c r="M1418" s="96"/>
      <c r="N1418" s="96"/>
      <c r="O1418" s="96"/>
      <c r="P1418" s="96"/>
      <c r="Q1418" s="96"/>
      <c r="R1418" s="96"/>
      <c r="S1418" s="96"/>
      <c r="T1418" s="96"/>
      <c r="U1418" s="96"/>
      <c r="V1418" s="96"/>
      <c r="W1418" s="96"/>
      <c r="X1418" s="96"/>
      <c r="Y1418" s="96"/>
    </row>
    <row r="1419" ht="26.25" customHeight="1">
      <c r="A1419" s="96"/>
      <c r="B1419" s="96"/>
      <c r="C1419" s="97"/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  <c r="O1419" s="96"/>
      <c r="P1419" s="96"/>
      <c r="Q1419" s="96"/>
      <c r="R1419" s="96"/>
      <c r="S1419" s="96"/>
      <c r="T1419" s="96"/>
      <c r="U1419" s="96"/>
      <c r="V1419" s="96"/>
      <c r="W1419" s="96"/>
      <c r="X1419" s="96"/>
      <c r="Y1419" s="96"/>
    </row>
    <row r="1420" ht="26.25" customHeight="1">
      <c r="A1420" s="96"/>
      <c r="B1420" s="96"/>
      <c r="C1420" s="97"/>
      <c r="D1420" s="96"/>
      <c r="E1420" s="96"/>
      <c r="F1420" s="96"/>
      <c r="G1420" s="96"/>
      <c r="H1420" s="96"/>
      <c r="I1420" s="96"/>
      <c r="J1420" s="96"/>
      <c r="K1420" s="96"/>
      <c r="L1420" s="96"/>
      <c r="M1420" s="96"/>
      <c r="N1420" s="96"/>
      <c r="O1420" s="96"/>
      <c r="P1420" s="96"/>
      <c r="Q1420" s="96"/>
      <c r="R1420" s="96"/>
      <c r="S1420" s="96"/>
      <c r="T1420" s="96"/>
      <c r="U1420" s="96"/>
      <c r="V1420" s="96"/>
      <c r="W1420" s="96"/>
      <c r="X1420" s="96"/>
      <c r="Y1420" s="96"/>
    </row>
    <row r="1421" ht="26.25" customHeight="1">
      <c r="A1421" s="96"/>
      <c r="B1421" s="96"/>
      <c r="C1421" s="97"/>
      <c r="D1421" s="96"/>
      <c r="E1421" s="96"/>
      <c r="F1421" s="96"/>
      <c r="G1421" s="96"/>
      <c r="H1421" s="96"/>
      <c r="I1421" s="96"/>
      <c r="J1421" s="96"/>
      <c r="K1421" s="96"/>
      <c r="L1421" s="96"/>
      <c r="M1421" s="96"/>
      <c r="N1421" s="96"/>
      <c r="O1421" s="96"/>
      <c r="P1421" s="96"/>
      <c r="Q1421" s="96"/>
      <c r="R1421" s="96"/>
      <c r="S1421" s="96"/>
      <c r="T1421" s="96"/>
      <c r="U1421" s="96"/>
      <c r="V1421" s="96"/>
      <c r="W1421" s="96"/>
      <c r="X1421" s="96"/>
      <c r="Y1421" s="96"/>
    </row>
    <row r="1422" ht="26.25" customHeight="1">
      <c r="A1422" s="96"/>
      <c r="B1422" s="96"/>
      <c r="C1422" s="97"/>
      <c r="D1422" s="96"/>
      <c r="E1422" s="96"/>
      <c r="F1422" s="96"/>
      <c r="G1422" s="96"/>
      <c r="H1422" s="96"/>
      <c r="I1422" s="96"/>
      <c r="J1422" s="96"/>
      <c r="K1422" s="96"/>
      <c r="L1422" s="96"/>
      <c r="M1422" s="96"/>
      <c r="N1422" s="96"/>
      <c r="O1422" s="96"/>
      <c r="P1422" s="96"/>
      <c r="Q1422" s="96"/>
      <c r="R1422" s="96"/>
      <c r="S1422" s="96"/>
      <c r="T1422" s="96"/>
      <c r="U1422" s="96"/>
      <c r="V1422" s="96"/>
      <c r="W1422" s="96"/>
      <c r="X1422" s="96"/>
      <c r="Y1422" s="96"/>
    </row>
    <row r="1423" ht="26.25" customHeight="1">
      <c r="A1423" s="96"/>
      <c r="B1423" s="96"/>
      <c r="C1423" s="97"/>
      <c r="D1423" s="96"/>
      <c r="E1423" s="96"/>
      <c r="F1423" s="96"/>
      <c r="G1423" s="96"/>
      <c r="H1423" s="96"/>
      <c r="I1423" s="96"/>
      <c r="J1423" s="96"/>
      <c r="K1423" s="96"/>
      <c r="L1423" s="96"/>
      <c r="M1423" s="96"/>
      <c r="N1423" s="96"/>
      <c r="O1423" s="96"/>
      <c r="P1423" s="96"/>
      <c r="Q1423" s="96"/>
      <c r="R1423" s="96"/>
      <c r="S1423" s="96"/>
      <c r="T1423" s="96"/>
      <c r="U1423" s="96"/>
      <c r="V1423" s="96"/>
      <c r="W1423" s="96"/>
      <c r="X1423" s="96"/>
      <c r="Y1423" s="96"/>
    </row>
    <row r="1424" ht="26.25" customHeight="1">
      <c r="A1424" s="96"/>
      <c r="B1424" s="96"/>
      <c r="C1424" s="97"/>
      <c r="D1424" s="96"/>
      <c r="E1424" s="96"/>
      <c r="F1424" s="96"/>
      <c r="G1424" s="96"/>
      <c r="H1424" s="96"/>
      <c r="I1424" s="96"/>
      <c r="J1424" s="96"/>
      <c r="K1424" s="96"/>
      <c r="L1424" s="96"/>
      <c r="M1424" s="96"/>
      <c r="N1424" s="96"/>
      <c r="O1424" s="96"/>
      <c r="P1424" s="96"/>
      <c r="Q1424" s="96"/>
      <c r="R1424" s="96"/>
      <c r="S1424" s="96"/>
      <c r="T1424" s="96"/>
      <c r="U1424" s="96"/>
      <c r="V1424" s="96"/>
      <c r="W1424" s="96"/>
      <c r="X1424" s="96"/>
      <c r="Y1424" s="96"/>
    </row>
    <row r="1425" ht="26.25" customHeight="1">
      <c r="A1425" s="96"/>
      <c r="B1425" s="96"/>
      <c r="C1425" s="97"/>
      <c r="D1425" s="96"/>
      <c r="E1425" s="96"/>
      <c r="F1425" s="96"/>
      <c r="G1425" s="96"/>
      <c r="H1425" s="96"/>
      <c r="I1425" s="96"/>
      <c r="J1425" s="96"/>
      <c r="K1425" s="96"/>
      <c r="L1425" s="96"/>
      <c r="M1425" s="96"/>
      <c r="N1425" s="96"/>
      <c r="O1425" s="96"/>
      <c r="P1425" s="96"/>
      <c r="Q1425" s="96"/>
      <c r="R1425" s="96"/>
      <c r="S1425" s="96"/>
      <c r="T1425" s="96"/>
      <c r="U1425" s="96"/>
      <c r="V1425" s="96"/>
      <c r="W1425" s="96"/>
      <c r="X1425" s="96"/>
      <c r="Y1425" s="96"/>
    </row>
    <row r="1426" ht="26.25" customHeight="1">
      <c r="A1426" s="96"/>
      <c r="B1426" s="96"/>
      <c r="C1426" s="97"/>
      <c r="D1426" s="96"/>
      <c r="E1426" s="96"/>
      <c r="F1426" s="96"/>
      <c r="G1426" s="96"/>
      <c r="H1426" s="96"/>
      <c r="I1426" s="96"/>
      <c r="J1426" s="96"/>
      <c r="K1426" s="96"/>
      <c r="L1426" s="96"/>
      <c r="M1426" s="96"/>
      <c r="N1426" s="96"/>
      <c r="O1426" s="96"/>
      <c r="P1426" s="96"/>
      <c r="Q1426" s="96"/>
      <c r="R1426" s="96"/>
      <c r="S1426" s="96"/>
      <c r="T1426" s="96"/>
      <c r="U1426" s="96"/>
      <c r="V1426" s="96"/>
      <c r="W1426" s="96"/>
      <c r="X1426" s="96"/>
      <c r="Y1426" s="96"/>
    </row>
    <row r="1427" ht="26.25" customHeight="1">
      <c r="A1427" s="96"/>
      <c r="B1427" s="96"/>
      <c r="C1427" s="97"/>
      <c r="D1427" s="96"/>
      <c r="E1427" s="96"/>
      <c r="F1427" s="96"/>
      <c r="G1427" s="96"/>
      <c r="H1427" s="96"/>
      <c r="I1427" s="96"/>
      <c r="J1427" s="96"/>
      <c r="K1427" s="96"/>
      <c r="L1427" s="96"/>
      <c r="M1427" s="96"/>
      <c r="N1427" s="96"/>
      <c r="O1427" s="96"/>
      <c r="P1427" s="96"/>
      <c r="Q1427" s="96"/>
      <c r="R1427" s="96"/>
      <c r="S1427" s="96"/>
      <c r="T1427" s="96"/>
      <c r="U1427" s="96"/>
      <c r="V1427" s="96"/>
      <c r="W1427" s="96"/>
      <c r="X1427" s="96"/>
      <c r="Y1427" s="96"/>
    </row>
    <row r="1428" ht="26.25" customHeight="1">
      <c r="A1428" s="96"/>
      <c r="B1428" s="96"/>
      <c r="C1428" s="97"/>
      <c r="D1428" s="96"/>
      <c r="E1428" s="96"/>
      <c r="F1428" s="96"/>
      <c r="G1428" s="96"/>
      <c r="H1428" s="96"/>
      <c r="I1428" s="96"/>
      <c r="J1428" s="96"/>
      <c r="K1428" s="96"/>
      <c r="L1428" s="96"/>
      <c r="M1428" s="96"/>
      <c r="N1428" s="96"/>
      <c r="O1428" s="96"/>
      <c r="P1428" s="96"/>
      <c r="Q1428" s="96"/>
      <c r="R1428" s="96"/>
      <c r="S1428" s="96"/>
      <c r="T1428" s="96"/>
      <c r="U1428" s="96"/>
      <c r="V1428" s="96"/>
      <c r="W1428" s="96"/>
      <c r="X1428" s="96"/>
      <c r="Y1428" s="96"/>
    </row>
    <row r="1429" ht="26.25" customHeight="1">
      <c r="A1429" s="96"/>
      <c r="B1429" s="96"/>
      <c r="C1429" s="97"/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  <c r="O1429" s="96"/>
      <c r="P1429" s="96"/>
      <c r="Q1429" s="96"/>
      <c r="R1429" s="96"/>
      <c r="S1429" s="96"/>
      <c r="T1429" s="96"/>
      <c r="U1429" s="96"/>
      <c r="V1429" s="96"/>
      <c r="W1429" s="96"/>
      <c r="X1429" s="96"/>
      <c r="Y1429" s="96"/>
    </row>
    <row r="1430" ht="26.25" customHeight="1">
      <c r="A1430" s="96"/>
      <c r="B1430" s="96"/>
      <c r="C1430" s="97"/>
      <c r="D1430" s="96"/>
      <c r="E1430" s="96"/>
      <c r="F1430" s="96"/>
      <c r="G1430" s="96"/>
      <c r="H1430" s="96"/>
      <c r="I1430" s="96"/>
      <c r="J1430" s="96"/>
      <c r="K1430" s="96"/>
      <c r="L1430" s="96"/>
      <c r="M1430" s="96"/>
      <c r="N1430" s="96"/>
      <c r="O1430" s="96"/>
      <c r="P1430" s="96"/>
      <c r="Q1430" s="96"/>
      <c r="R1430" s="96"/>
      <c r="S1430" s="96"/>
      <c r="T1430" s="96"/>
      <c r="U1430" s="96"/>
      <c r="V1430" s="96"/>
      <c r="W1430" s="96"/>
      <c r="X1430" s="96"/>
      <c r="Y1430" s="96"/>
    </row>
    <row r="1431" ht="26.25" customHeight="1">
      <c r="A1431" s="96"/>
      <c r="B1431" s="96"/>
      <c r="C1431" s="97"/>
      <c r="D1431" s="96"/>
      <c r="E1431" s="96"/>
      <c r="F1431" s="96"/>
      <c r="G1431" s="96"/>
      <c r="H1431" s="96"/>
      <c r="I1431" s="96"/>
      <c r="J1431" s="96"/>
      <c r="K1431" s="96"/>
      <c r="L1431" s="96"/>
      <c r="M1431" s="96"/>
      <c r="N1431" s="96"/>
      <c r="O1431" s="96"/>
      <c r="P1431" s="96"/>
      <c r="Q1431" s="96"/>
      <c r="R1431" s="96"/>
      <c r="S1431" s="96"/>
      <c r="T1431" s="96"/>
      <c r="U1431" s="96"/>
      <c r="V1431" s="96"/>
      <c r="W1431" s="96"/>
      <c r="X1431" s="96"/>
      <c r="Y1431" s="96"/>
    </row>
    <row r="1432" ht="26.25" customHeight="1">
      <c r="A1432" s="96"/>
      <c r="B1432" s="96"/>
      <c r="C1432" s="97"/>
      <c r="D1432" s="96"/>
      <c r="E1432" s="96"/>
      <c r="F1432" s="96"/>
      <c r="G1432" s="96"/>
      <c r="H1432" s="96"/>
      <c r="I1432" s="96"/>
      <c r="J1432" s="96"/>
      <c r="K1432" s="96"/>
      <c r="L1432" s="96"/>
      <c r="M1432" s="96"/>
      <c r="N1432" s="96"/>
      <c r="O1432" s="96"/>
      <c r="P1432" s="96"/>
      <c r="Q1432" s="96"/>
      <c r="R1432" s="96"/>
      <c r="S1432" s="96"/>
      <c r="T1432" s="96"/>
      <c r="U1432" s="96"/>
      <c r="V1432" s="96"/>
      <c r="W1432" s="96"/>
      <c r="X1432" s="96"/>
      <c r="Y1432" s="96"/>
    </row>
    <row r="1433" ht="26.25" customHeight="1">
      <c r="A1433" s="96"/>
      <c r="B1433" s="96"/>
      <c r="C1433" s="97"/>
      <c r="D1433" s="96"/>
      <c r="E1433" s="96"/>
      <c r="F1433" s="96"/>
      <c r="G1433" s="96"/>
      <c r="H1433" s="96"/>
      <c r="I1433" s="96"/>
      <c r="J1433" s="96"/>
      <c r="K1433" s="96"/>
      <c r="L1433" s="96"/>
      <c r="M1433" s="96"/>
      <c r="N1433" s="96"/>
      <c r="O1433" s="96"/>
      <c r="P1433" s="96"/>
      <c r="Q1433" s="96"/>
      <c r="R1433" s="96"/>
      <c r="S1433" s="96"/>
      <c r="T1433" s="96"/>
      <c r="U1433" s="96"/>
      <c r="V1433" s="96"/>
      <c r="W1433" s="96"/>
      <c r="X1433" s="96"/>
      <c r="Y1433" s="96"/>
    </row>
    <row r="1434" ht="26.25" customHeight="1">
      <c r="A1434" s="96"/>
      <c r="B1434" s="96"/>
      <c r="C1434" s="97"/>
      <c r="D1434" s="96"/>
      <c r="E1434" s="96"/>
      <c r="F1434" s="96"/>
      <c r="G1434" s="96"/>
      <c r="H1434" s="96"/>
      <c r="I1434" s="96"/>
      <c r="J1434" s="96"/>
      <c r="K1434" s="96"/>
      <c r="L1434" s="96"/>
      <c r="M1434" s="96"/>
      <c r="N1434" s="96"/>
      <c r="O1434" s="96"/>
      <c r="P1434" s="96"/>
      <c r="Q1434" s="96"/>
      <c r="R1434" s="96"/>
      <c r="S1434" s="96"/>
      <c r="T1434" s="96"/>
      <c r="U1434" s="96"/>
      <c r="V1434" s="96"/>
      <c r="W1434" s="96"/>
      <c r="X1434" s="96"/>
      <c r="Y1434" s="96"/>
    </row>
    <row r="1435" ht="26.25" customHeight="1">
      <c r="A1435" s="96"/>
      <c r="B1435" s="96"/>
      <c r="C1435" s="97"/>
      <c r="D1435" s="96"/>
      <c r="E1435" s="96"/>
      <c r="F1435" s="96"/>
      <c r="G1435" s="96"/>
      <c r="H1435" s="96"/>
      <c r="I1435" s="96"/>
      <c r="J1435" s="96"/>
      <c r="K1435" s="96"/>
      <c r="L1435" s="96"/>
      <c r="M1435" s="96"/>
      <c r="N1435" s="96"/>
      <c r="O1435" s="96"/>
      <c r="P1435" s="96"/>
      <c r="Q1435" s="96"/>
      <c r="R1435" s="96"/>
      <c r="S1435" s="96"/>
      <c r="T1435" s="96"/>
      <c r="U1435" s="96"/>
      <c r="V1435" s="96"/>
      <c r="W1435" s="96"/>
      <c r="X1435" s="96"/>
      <c r="Y1435" s="96"/>
    </row>
    <row r="1436" ht="26.25" customHeight="1">
      <c r="A1436" s="96"/>
      <c r="B1436" s="96"/>
      <c r="C1436" s="97"/>
      <c r="D1436" s="96"/>
      <c r="E1436" s="96"/>
      <c r="F1436" s="96"/>
      <c r="G1436" s="96"/>
      <c r="H1436" s="96"/>
      <c r="I1436" s="96"/>
      <c r="J1436" s="96"/>
      <c r="K1436" s="96"/>
      <c r="L1436" s="96"/>
      <c r="M1436" s="96"/>
      <c r="N1436" s="96"/>
      <c r="O1436" s="96"/>
      <c r="P1436" s="96"/>
      <c r="Q1436" s="96"/>
      <c r="R1436" s="96"/>
      <c r="S1436" s="96"/>
      <c r="T1436" s="96"/>
      <c r="U1436" s="96"/>
      <c r="V1436" s="96"/>
      <c r="W1436" s="96"/>
      <c r="X1436" s="96"/>
      <c r="Y1436" s="96"/>
    </row>
    <row r="1437" ht="26.25" customHeight="1">
      <c r="A1437" s="96"/>
      <c r="B1437" s="96"/>
      <c r="C1437" s="97"/>
      <c r="D1437" s="96"/>
      <c r="E1437" s="96"/>
      <c r="F1437" s="96"/>
      <c r="G1437" s="96"/>
      <c r="H1437" s="96"/>
      <c r="I1437" s="96"/>
      <c r="J1437" s="96"/>
      <c r="K1437" s="96"/>
      <c r="L1437" s="96"/>
      <c r="M1437" s="96"/>
      <c r="N1437" s="96"/>
      <c r="O1437" s="96"/>
      <c r="P1437" s="96"/>
      <c r="Q1437" s="96"/>
      <c r="R1437" s="96"/>
      <c r="S1437" s="96"/>
      <c r="T1437" s="96"/>
      <c r="U1437" s="96"/>
      <c r="V1437" s="96"/>
      <c r="W1437" s="96"/>
      <c r="X1437" s="96"/>
      <c r="Y1437" s="96"/>
    </row>
    <row r="1438" ht="26.25" customHeight="1">
      <c r="A1438" s="96"/>
      <c r="B1438" s="96"/>
      <c r="C1438" s="97"/>
      <c r="D1438" s="96"/>
      <c r="E1438" s="96"/>
      <c r="F1438" s="96"/>
      <c r="G1438" s="96"/>
      <c r="H1438" s="96"/>
      <c r="I1438" s="96"/>
      <c r="J1438" s="96"/>
      <c r="K1438" s="96"/>
      <c r="L1438" s="96"/>
      <c r="M1438" s="96"/>
      <c r="N1438" s="96"/>
      <c r="O1438" s="96"/>
      <c r="P1438" s="96"/>
      <c r="Q1438" s="96"/>
      <c r="R1438" s="96"/>
      <c r="S1438" s="96"/>
      <c r="T1438" s="96"/>
      <c r="U1438" s="96"/>
      <c r="V1438" s="96"/>
      <c r="W1438" s="96"/>
      <c r="X1438" s="96"/>
      <c r="Y1438" s="96"/>
    </row>
    <row r="1439" ht="26.25" customHeight="1">
      <c r="A1439" s="96"/>
      <c r="B1439" s="96"/>
      <c r="C1439" s="97"/>
      <c r="D1439" s="96"/>
      <c r="E1439" s="96"/>
      <c r="F1439" s="96"/>
      <c r="G1439" s="96"/>
      <c r="H1439" s="96"/>
      <c r="I1439" s="96"/>
      <c r="J1439" s="96"/>
      <c r="K1439" s="96"/>
      <c r="L1439" s="96"/>
      <c r="M1439" s="96"/>
      <c r="N1439" s="96"/>
      <c r="O1439" s="96"/>
      <c r="P1439" s="96"/>
      <c r="Q1439" s="96"/>
      <c r="R1439" s="96"/>
      <c r="S1439" s="96"/>
      <c r="T1439" s="96"/>
      <c r="U1439" s="96"/>
      <c r="V1439" s="96"/>
      <c r="W1439" s="96"/>
      <c r="X1439" s="96"/>
      <c r="Y1439" s="96"/>
    </row>
    <row r="1440" ht="26.25" customHeight="1">
      <c r="A1440" s="96"/>
      <c r="B1440" s="96"/>
      <c r="C1440" s="97"/>
      <c r="D1440" s="96"/>
      <c r="E1440" s="96"/>
      <c r="F1440" s="96"/>
      <c r="G1440" s="96"/>
      <c r="H1440" s="96"/>
      <c r="I1440" s="96"/>
      <c r="J1440" s="96"/>
      <c r="K1440" s="96"/>
      <c r="L1440" s="96"/>
      <c r="M1440" s="96"/>
      <c r="N1440" s="96"/>
      <c r="O1440" s="96"/>
      <c r="P1440" s="96"/>
      <c r="Q1440" s="96"/>
      <c r="R1440" s="96"/>
      <c r="S1440" s="96"/>
      <c r="T1440" s="96"/>
      <c r="U1440" s="96"/>
      <c r="V1440" s="96"/>
      <c r="W1440" s="96"/>
      <c r="X1440" s="96"/>
      <c r="Y1440" s="96"/>
    </row>
    <row r="1441" ht="26.25" customHeight="1">
      <c r="A1441" s="96"/>
      <c r="B1441" s="96"/>
      <c r="C1441" s="97"/>
      <c r="D1441" s="96"/>
      <c r="E1441" s="96"/>
      <c r="F1441" s="96"/>
      <c r="G1441" s="96"/>
      <c r="H1441" s="96"/>
      <c r="I1441" s="96"/>
      <c r="J1441" s="96"/>
      <c r="K1441" s="96"/>
      <c r="L1441" s="96"/>
      <c r="M1441" s="96"/>
      <c r="N1441" s="96"/>
      <c r="O1441" s="96"/>
      <c r="P1441" s="96"/>
      <c r="Q1441" s="96"/>
      <c r="R1441" s="96"/>
      <c r="S1441" s="96"/>
      <c r="T1441" s="96"/>
      <c r="U1441" s="96"/>
      <c r="V1441" s="96"/>
      <c r="W1441" s="96"/>
      <c r="X1441" s="96"/>
      <c r="Y1441" s="96"/>
    </row>
    <row r="1442" ht="26.25" customHeight="1">
      <c r="A1442" s="96"/>
      <c r="B1442" s="96"/>
      <c r="C1442" s="97"/>
      <c r="D1442" s="96"/>
      <c r="E1442" s="96"/>
      <c r="F1442" s="96"/>
      <c r="G1442" s="96"/>
      <c r="H1442" s="96"/>
      <c r="I1442" s="96"/>
      <c r="J1442" s="96"/>
      <c r="K1442" s="96"/>
      <c r="L1442" s="96"/>
      <c r="M1442" s="96"/>
      <c r="N1442" s="96"/>
      <c r="O1442" s="96"/>
      <c r="P1442" s="96"/>
      <c r="Q1442" s="96"/>
      <c r="R1442" s="96"/>
      <c r="S1442" s="96"/>
      <c r="T1442" s="96"/>
      <c r="U1442" s="96"/>
      <c r="V1442" s="96"/>
      <c r="W1442" s="96"/>
      <c r="X1442" s="96"/>
      <c r="Y1442" s="96"/>
    </row>
    <row r="1443" ht="26.25" customHeight="1">
      <c r="A1443" s="96"/>
      <c r="B1443" s="96"/>
      <c r="C1443" s="97"/>
      <c r="D1443" s="96"/>
      <c r="E1443" s="96"/>
      <c r="F1443" s="96"/>
      <c r="G1443" s="96"/>
      <c r="H1443" s="96"/>
      <c r="I1443" s="96"/>
      <c r="J1443" s="96"/>
      <c r="K1443" s="96"/>
      <c r="L1443" s="96"/>
      <c r="M1443" s="96"/>
      <c r="N1443" s="96"/>
      <c r="O1443" s="96"/>
      <c r="P1443" s="96"/>
      <c r="Q1443" s="96"/>
      <c r="R1443" s="96"/>
      <c r="S1443" s="96"/>
      <c r="T1443" s="96"/>
      <c r="U1443" s="96"/>
      <c r="V1443" s="96"/>
      <c r="W1443" s="96"/>
      <c r="X1443" s="96"/>
      <c r="Y1443" s="96"/>
    </row>
    <row r="1444" ht="26.25" customHeight="1">
      <c r="A1444" s="96"/>
      <c r="B1444" s="96"/>
      <c r="C1444" s="97"/>
      <c r="D1444" s="96"/>
      <c r="E1444" s="96"/>
      <c r="F1444" s="96"/>
      <c r="G1444" s="96"/>
      <c r="H1444" s="96"/>
      <c r="I1444" s="96"/>
      <c r="J1444" s="96"/>
      <c r="K1444" s="96"/>
      <c r="L1444" s="96"/>
      <c r="M1444" s="96"/>
      <c r="N1444" s="96"/>
      <c r="O1444" s="96"/>
      <c r="P1444" s="96"/>
      <c r="Q1444" s="96"/>
      <c r="R1444" s="96"/>
      <c r="S1444" s="96"/>
      <c r="T1444" s="96"/>
      <c r="U1444" s="96"/>
      <c r="V1444" s="96"/>
      <c r="W1444" s="96"/>
      <c r="X1444" s="96"/>
      <c r="Y1444" s="96"/>
    </row>
    <row r="1445" ht="26.25" customHeight="1">
      <c r="A1445" s="96"/>
      <c r="B1445" s="96"/>
      <c r="C1445" s="97"/>
      <c r="D1445" s="96"/>
      <c r="E1445" s="96"/>
      <c r="F1445" s="96"/>
      <c r="G1445" s="96"/>
      <c r="H1445" s="96"/>
      <c r="I1445" s="96"/>
      <c r="J1445" s="96"/>
      <c r="K1445" s="96"/>
      <c r="L1445" s="96"/>
      <c r="M1445" s="96"/>
      <c r="N1445" s="96"/>
      <c r="O1445" s="96"/>
      <c r="P1445" s="96"/>
      <c r="Q1445" s="96"/>
      <c r="R1445" s="96"/>
      <c r="S1445" s="96"/>
      <c r="T1445" s="96"/>
      <c r="U1445" s="96"/>
      <c r="V1445" s="96"/>
      <c r="W1445" s="96"/>
      <c r="X1445" s="96"/>
      <c r="Y1445" s="96"/>
    </row>
    <row r="1446" ht="26.25" customHeight="1">
      <c r="A1446" s="96"/>
      <c r="B1446" s="96"/>
      <c r="C1446" s="97"/>
      <c r="D1446" s="96"/>
      <c r="E1446" s="96"/>
      <c r="F1446" s="96"/>
      <c r="G1446" s="96"/>
      <c r="H1446" s="96"/>
      <c r="I1446" s="96"/>
      <c r="J1446" s="96"/>
      <c r="K1446" s="96"/>
      <c r="L1446" s="96"/>
      <c r="M1446" s="96"/>
      <c r="N1446" s="96"/>
      <c r="O1446" s="96"/>
      <c r="P1446" s="96"/>
      <c r="Q1446" s="96"/>
      <c r="R1446" s="96"/>
      <c r="S1446" s="96"/>
      <c r="T1446" s="96"/>
      <c r="U1446" s="96"/>
      <c r="V1446" s="96"/>
      <c r="W1446" s="96"/>
      <c r="X1446" s="96"/>
      <c r="Y1446" s="96"/>
    </row>
    <row r="1447" ht="26.25" customHeight="1">
      <c r="A1447" s="96"/>
      <c r="B1447" s="96"/>
      <c r="C1447" s="97"/>
      <c r="D1447" s="96"/>
      <c r="E1447" s="96"/>
      <c r="F1447" s="96"/>
      <c r="G1447" s="96"/>
      <c r="H1447" s="96"/>
      <c r="I1447" s="96"/>
      <c r="J1447" s="96"/>
      <c r="K1447" s="96"/>
      <c r="L1447" s="96"/>
      <c r="M1447" s="96"/>
      <c r="N1447" s="96"/>
      <c r="O1447" s="96"/>
      <c r="P1447" s="96"/>
      <c r="Q1447" s="96"/>
      <c r="R1447" s="96"/>
      <c r="S1447" s="96"/>
      <c r="T1447" s="96"/>
      <c r="U1447" s="96"/>
      <c r="V1447" s="96"/>
      <c r="W1447" s="96"/>
      <c r="X1447" s="96"/>
      <c r="Y1447" s="96"/>
    </row>
    <row r="1448" ht="26.25" customHeight="1">
      <c r="A1448" s="96"/>
      <c r="B1448" s="96"/>
      <c r="C1448" s="97"/>
      <c r="D1448" s="96"/>
      <c r="E1448" s="96"/>
      <c r="F1448" s="96"/>
      <c r="G1448" s="96"/>
      <c r="H1448" s="96"/>
      <c r="I1448" s="96"/>
      <c r="J1448" s="96"/>
      <c r="K1448" s="96"/>
      <c r="L1448" s="96"/>
      <c r="M1448" s="96"/>
      <c r="N1448" s="96"/>
      <c r="O1448" s="96"/>
      <c r="P1448" s="96"/>
      <c r="Q1448" s="96"/>
      <c r="R1448" s="96"/>
      <c r="S1448" s="96"/>
      <c r="T1448" s="96"/>
      <c r="U1448" s="96"/>
      <c r="V1448" s="96"/>
      <c r="W1448" s="96"/>
      <c r="X1448" s="96"/>
      <c r="Y1448" s="96"/>
    </row>
    <row r="1449" ht="26.25" customHeight="1">
      <c r="A1449" s="96"/>
      <c r="B1449" s="96"/>
      <c r="C1449" s="97"/>
      <c r="D1449" s="96"/>
      <c r="E1449" s="96"/>
      <c r="F1449" s="96"/>
      <c r="G1449" s="96"/>
      <c r="H1449" s="96"/>
      <c r="I1449" s="96"/>
      <c r="J1449" s="96"/>
      <c r="K1449" s="96"/>
      <c r="L1449" s="96"/>
      <c r="M1449" s="96"/>
      <c r="N1449" s="96"/>
      <c r="O1449" s="96"/>
      <c r="P1449" s="96"/>
      <c r="Q1449" s="96"/>
      <c r="R1449" s="96"/>
      <c r="S1449" s="96"/>
      <c r="T1449" s="96"/>
      <c r="U1449" s="96"/>
      <c r="V1449" s="96"/>
      <c r="W1449" s="96"/>
      <c r="X1449" s="96"/>
      <c r="Y1449" s="96"/>
    </row>
    <row r="1450" ht="26.25" customHeight="1">
      <c r="A1450" s="96"/>
      <c r="B1450" s="96"/>
      <c r="C1450" s="97"/>
      <c r="D1450" s="96"/>
      <c r="E1450" s="96"/>
      <c r="F1450" s="96"/>
      <c r="G1450" s="96"/>
      <c r="H1450" s="96"/>
      <c r="I1450" s="96"/>
      <c r="J1450" s="96"/>
      <c r="K1450" s="96"/>
      <c r="L1450" s="96"/>
      <c r="M1450" s="96"/>
      <c r="N1450" s="96"/>
      <c r="O1450" s="96"/>
      <c r="P1450" s="96"/>
      <c r="Q1450" s="96"/>
      <c r="R1450" s="96"/>
      <c r="S1450" s="96"/>
      <c r="T1450" s="96"/>
      <c r="U1450" s="96"/>
      <c r="V1450" s="96"/>
      <c r="W1450" s="96"/>
      <c r="X1450" s="96"/>
      <c r="Y1450" s="96"/>
    </row>
    <row r="1451" ht="26.25" customHeight="1">
      <c r="A1451" s="96"/>
      <c r="B1451" s="96"/>
      <c r="C1451" s="97"/>
      <c r="D1451" s="96"/>
      <c r="E1451" s="96"/>
      <c r="F1451" s="96"/>
      <c r="G1451" s="96"/>
      <c r="H1451" s="96"/>
      <c r="I1451" s="96"/>
      <c r="J1451" s="96"/>
      <c r="K1451" s="96"/>
      <c r="L1451" s="96"/>
      <c r="M1451" s="96"/>
      <c r="N1451" s="96"/>
      <c r="O1451" s="96"/>
      <c r="P1451" s="96"/>
      <c r="Q1451" s="96"/>
      <c r="R1451" s="96"/>
      <c r="S1451" s="96"/>
      <c r="T1451" s="96"/>
      <c r="U1451" s="96"/>
      <c r="V1451" s="96"/>
      <c r="W1451" s="96"/>
      <c r="X1451" s="96"/>
      <c r="Y1451" s="96"/>
    </row>
    <row r="1452" ht="26.25" customHeight="1">
      <c r="A1452" s="96"/>
      <c r="B1452" s="96"/>
      <c r="C1452" s="97"/>
      <c r="D1452" s="96"/>
      <c r="E1452" s="96"/>
      <c r="F1452" s="96"/>
      <c r="G1452" s="96"/>
      <c r="H1452" s="96"/>
      <c r="I1452" s="96"/>
      <c r="J1452" s="96"/>
      <c r="K1452" s="96"/>
      <c r="L1452" s="96"/>
      <c r="M1452" s="96"/>
      <c r="N1452" s="96"/>
      <c r="O1452" s="96"/>
      <c r="P1452" s="96"/>
      <c r="Q1452" s="96"/>
      <c r="R1452" s="96"/>
      <c r="S1452" s="96"/>
      <c r="T1452" s="96"/>
      <c r="U1452" s="96"/>
      <c r="V1452" s="96"/>
      <c r="W1452" s="96"/>
      <c r="X1452" s="96"/>
      <c r="Y1452" s="96"/>
    </row>
    <row r="1453" ht="26.25" customHeight="1">
      <c r="A1453" s="96"/>
      <c r="B1453" s="96"/>
      <c r="C1453" s="97"/>
      <c r="D1453" s="96"/>
      <c r="E1453" s="96"/>
      <c r="F1453" s="96"/>
      <c r="G1453" s="96"/>
      <c r="H1453" s="96"/>
      <c r="I1453" s="96"/>
      <c r="J1453" s="96"/>
      <c r="K1453" s="96"/>
      <c r="L1453" s="96"/>
      <c r="M1453" s="96"/>
      <c r="N1453" s="96"/>
      <c r="O1453" s="96"/>
      <c r="P1453" s="96"/>
      <c r="Q1453" s="96"/>
      <c r="R1453" s="96"/>
      <c r="S1453" s="96"/>
      <c r="T1453" s="96"/>
      <c r="U1453" s="96"/>
      <c r="V1453" s="96"/>
      <c r="W1453" s="96"/>
      <c r="X1453" s="96"/>
      <c r="Y1453" s="96"/>
    </row>
    <row r="1454" ht="26.25" customHeight="1">
      <c r="A1454" s="96"/>
      <c r="B1454" s="96"/>
      <c r="C1454" s="97"/>
      <c r="D1454" s="96"/>
      <c r="E1454" s="96"/>
      <c r="F1454" s="96"/>
      <c r="G1454" s="96"/>
      <c r="H1454" s="96"/>
      <c r="I1454" s="96"/>
      <c r="J1454" s="96"/>
      <c r="K1454" s="96"/>
      <c r="L1454" s="96"/>
      <c r="M1454" s="96"/>
      <c r="N1454" s="96"/>
      <c r="O1454" s="96"/>
      <c r="P1454" s="96"/>
      <c r="Q1454" s="96"/>
      <c r="R1454" s="96"/>
      <c r="S1454" s="96"/>
      <c r="T1454" s="96"/>
      <c r="U1454" s="96"/>
      <c r="V1454" s="96"/>
      <c r="W1454" s="96"/>
      <c r="X1454" s="96"/>
      <c r="Y1454" s="96"/>
    </row>
    <row r="1455" ht="26.25" customHeight="1">
      <c r="A1455" s="96"/>
      <c r="B1455" s="96"/>
      <c r="C1455" s="97"/>
      <c r="D1455" s="96"/>
      <c r="E1455" s="96"/>
      <c r="F1455" s="96"/>
      <c r="G1455" s="96"/>
      <c r="H1455" s="96"/>
      <c r="I1455" s="96"/>
      <c r="J1455" s="96"/>
      <c r="K1455" s="96"/>
      <c r="L1455" s="96"/>
      <c r="M1455" s="96"/>
      <c r="N1455" s="96"/>
      <c r="O1455" s="96"/>
      <c r="P1455" s="96"/>
      <c r="Q1455" s="96"/>
      <c r="R1455" s="96"/>
      <c r="S1455" s="96"/>
      <c r="T1455" s="96"/>
      <c r="U1455" s="96"/>
      <c r="V1455" s="96"/>
      <c r="W1455" s="96"/>
      <c r="X1455" s="96"/>
      <c r="Y1455" s="96"/>
    </row>
    <row r="1456" ht="26.25" customHeight="1">
      <c r="A1456" s="96"/>
      <c r="B1456" s="96"/>
      <c r="C1456" s="97"/>
      <c r="D1456" s="96"/>
      <c r="E1456" s="96"/>
      <c r="F1456" s="96"/>
      <c r="G1456" s="96"/>
      <c r="H1456" s="96"/>
      <c r="I1456" s="96"/>
      <c r="J1456" s="96"/>
      <c r="K1456" s="96"/>
      <c r="L1456" s="96"/>
      <c r="M1456" s="96"/>
      <c r="N1456" s="96"/>
      <c r="O1456" s="96"/>
      <c r="P1456" s="96"/>
      <c r="Q1456" s="96"/>
      <c r="R1456" s="96"/>
      <c r="S1456" s="96"/>
      <c r="T1456" s="96"/>
      <c r="U1456" s="96"/>
      <c r="V1456" s="96"/>
      <c r="W1456" s="96"/>
      <c r="X1456" s="96"/>
      <c r="Y1456" s="96"/>
    </row>
    <row r="1457" ht="26.25" customHeight="1">
      <c r="A1457" s="96"/>
      <c r="B1457" s="96"/>
      <c r="C1457" s="97"/>
      <c r="D1457" s="96"/>
      <c r="E1457" s="96"/>
      <c r="F1457" s="96"/>
      <c r="G1457" s="96"/>
      <c r="H1457" s="96"/>
      <c r="I1457" s="96"/>
      <c r="J1457" s="96"/>
      <c r="K1457" s="96"/>
      <c r="L1457" s="96"/>
      <c r="M1457" s="96"/>
      <c r="N1457" s="96"/>
      <c r="O1457" s="96"/>
      <c r="P1457" s="96"/>
      <c r="Q1457" s="96"/>
      <c r="R1457" s="96"/>
      <c r="S1457" s="96"/>
      <c r="T1457" s="96"/>
      <c r="U1457" s="96"/>
      <c r="V1457" s="96"/>
      <c r="W1457" s="96"/>
      <c r="X1457" s="96"/>
      <c r="Y1457" s="96"/>
    </row>
    <row r="1458" ht="26.25" customHeight="1">
      <c r="A1458" s="96"/>
      <c r="B1458" s="96"/>
      <c r="C1458" s="97"/>
      <c r="D1458" s="96"/>
      <c r="E1458" s="96"/>
      <c r="F1458" s="96"/>
      <c r="G1458" s="96"/>
      <c r="H1458" s="96"/>
      <c r="I1458" s="96"/>
      <c r="J1458" s="96"/>
      <c r="K1458" s="96"/>
      <c r="L1458" s="96"/>
      <c r="M1458" s="96"/>
      <c r="N1458" s="96"/>
      <c r="O1458" s="96"/>
      <c r="P1458" s="96"/>
      <c r="Q1458" s="96"/>
      <c r="R1458" s="96"/>
      <c r="S1458" s="96"/>
      <c r="T1458" s="96"/>
      <c r="U1458" s="96"/>
      <c r="V1458" s="96"/>
      <c r="W1458" s="96"/>
      <c r="X1458" s="96"/>
      <c r="Y1458" s="96"/>
    </row>
    <row r="1459" ht="26.25" customHeight="1">
      <c r="A1459" s="96"/>
      <c r="B1459" s="96"/>
      <c r="C1459" s="97"/>
      <c r="D1459" s="96"/>
      <c r="E1459" s="96"/>
      <c r="F1459" s="96"/>
      <c r="G1459" s="96"/>
      <c r="H1459" s="96"/>
      <c r="I1459" s="96"/>
      <c r="J1459" s="96"/>
      <c r="K1459" s="96"/>
      <c r="L1459" s="96"/>
      <c r="M1459" s="96"/>
      <c r="N1459" s="96"/>
      <c r="O1459" s="96"/>
      <c r="P1459" s="96"/>
      <c r="Q1459" s="96"/>
      <c r="R1459" s="96"/>
      <c r="S1459" s="96"/>
      <c r="T1459" s="96"/>
      <c r="U1459" s="96"/>
      <c r="V1459" s="96"/>
      <c r="W1459" s="96"/>
      <c r="X1459" s="96"/>
      <c r="Y1459" s="96"/>
    </row>
    <row r="1460" ht="26.25" customHeight="1">
      <c r="A1460" s="96"/>
      <c r="B1460" s="96"/>
      <c r="C1460" s="97"/>
      <c r="D1460" s="96"/>
      <c r="E1460" s="96"/>
      <c r="F1460" s="96"/>
      <c r="G1460" s="96"/>
      <c r="H1460" s="96"/>
      <c r="I1460" s="96"/>
      <c r="J1460" s="96"/>
      <c r="K1460" s="96"/>
      <c r="L1460" s="96"/>
      <c r="M1460" s="96"/>
      <c r="N1460" s="96"/>
      <c r="O1460" s="96"/>
      <c r="P1460" s="96"/>
      <c r="Q1460" s="96"/>
      <c r="R1460" s="96"/>
      <c r="S1460" s="96"/>
      <c r="T1460" s="96"/>
      <c r="U1460" s="96"/>
      <c r="V1460" s="96"/>
      <c r="W1460" s="96"/>
      <c r="X1460" s="96"/>
      <c r="Y1460" s="96"/>
    </row>
    <row r="1461" ht="26.25" customHeight="1">
      <c r="A1461" s="96"/>
      <c r="B1461" s="96"/>
      <c r="C1461" s="97"/>
      <c r="D1461" s="96"/>
      <c r="E1461" s="96"/>
      <c r="F1461" s="96"/>
      <c r="G1461" s="96"/>
      <c r="H1461" s="96"/>
      <c r="I1461" s="96"/>
      <c r="J1461" s="96"/>
      <c r="K1461" s="96"/>
      <c r="L1461" s="96"/>
      <c r="M1461" s="96"/>
      <c r="N1461" s="96"/>
      <c r="O1461" s="96"/>
      <c r="P1461" s="96"/>
      <c r="Q1461" s="96"/>
      <c r="R1461" s="96"/>
      <c r="S1461" s="96"/>
      <c r="T1461" s="96"/>
      <c r="U1461" s="96"/>
      <c r="V1461" s="96"/>
      <c r="W1461" s="96"/>
      <c r="X1461" s="96"/>
      <c r="Y1461" s="96"/>
    </row>
    <row r="1462" ht="26.25" customHeight="1">
      <c r="A1462" s="96"/>
      <c r="B1462" s="96"/>
      <c r="C1462" s="97"/>
      <c r="D1462" s="96"/>
      <c r="E1462" s="96"/>
      <c r="F1462" s="96"/>
      <c r="G1462" s="96"/>
      <c r="H1462" s="96"/>
      <c r="I1462" s="96"/>
      <c r="J1462" s="96"/>
      <c r="K1462" s="96"/>
      <c r="L1462" s="96"/>
      <c r="M1462" s="96"/>
      <c r="N1462" s="96"/>
      <c r="O1462" s="96"/>
      <c r="P1462" s="96"/>
      <c r="Q1462" s="96"/>
      <c r="R1462" s="96"/>
      <c r="S1462" s="96"/>
      <c r="T1462" s="96"/>
      <c r="U1462" s="96"/>
      <c r="V1462" s="96"/>
      <c r="W1462" s="96"/>
      <c r="X1462" s="96"/>
      <c r="Y1462" s="96"/>
    </row>
    <row r="1463" ht="26.25" customHeight="1">
      <c r="A1463" s="96"/>
      <c r="B1463" s="96"/>
      <c r="C1463" s="97"/>
      <c r="D1463" s="96"/>
      <c r="E1463" s="96"/>
      <c r="F1463" s="96"/>
      <c r="G1463" s="96"/>
      <c r="H1463" s="96"/>
      <c r="I1463" s="96"/>
      <c r="J1463" s="96"/>
      <c r="K1463" s="96"/>
      <c r="L1463" s="96"/>
      <c r="M1463" s="96"/>
      <c r="N1463" s="96"/>
      <c r="O1463" s="96"/>
      <c r="P1463" s="96"/>
      <c r="Q1463" s="96"/>
      <c r="R1463" s="96"/>
      <c r="S1463" s="96"/>
      <c r="T1463" s="96"/>
      <c r="U1463" s="96"/>
      <c r="V1463" s="96"/>
      <c r="W1463" s="96"/>
      <c r="X1463" s="96"/>
      <c r="Y1463" s="96"/>
    </row>
    <row r="1464" ht="26.25" customHeight="1">
      <c r="A1464" s="96"/>
      <c r="B1464" s="96"/>
      <c r="C1464" s="97"/>
      <c r="D1464" s="96"/>
      <c r="E1464" s="96"/>
      <c r="F1464" s="96"/>
      <c r="G1464" s="96"/>
      <c r="H1464" s="96"/>
      <c r="I1464" s="96"/>
      <c r="J1464" s="96"/>
      <c r="K1464" s="96"/>
      <c r="L1464" s="96"/>
      <c r="M1464" s="96"/>
      <c r="N1464" s="96"/>
      <c r="O1464" s="96"/>
      <c r="P1464" s="96"/>
      <c r="Q1464" s="96"/>
      <c r="R1464" s="96"/>
      <c r="S1464" s="96"/>
      <c r="T1464" s="96"/>
      <c r="U1464" s="96"/>
      <c r="V1464" s="96"/>
      <c r="W1464" s="96"/>
      <c r="X1464" s="96"/>
      <c r="Y1464" s="96"/>
    </row>
    <row r="1465" ht="26.25" customHeight="1">
      <c r="A1465" s="96"/>
      <c r="B1465" s="96"/>
      <c r="C1465" s="97"/>
      <c r="D1465" s="96"/>
      <c r="E1465" s="96"/>
      <c r="F1465" s="96"/>
      <c r="G1465" s="96"/>
      <c r="H1465" s="96"/>
      <c r="I1465" s="96"/>
      <c r="J1465" s="96"/>
      <c r="K1465" s="96"/>
      <c r="L1465" s="96"/>
      <c r="M1465" s="96"/>
      <c r="N1465" s="96"/>
      <c r="O1465" s="96"/>
      <c r="P1465" s="96"/>
      <c r="Q1465" s="96"/>
      <c r="R1465" s="96"/>
      <c r="S1465" s="96"/>
      <c r="T1465" s="96"/>
      <c r="U1465" s="96"/>
      <c r="V1465" s="96"/>
      <c r="W1465" s="96"/>
      <c r="X1465" s="96"/>
      <c r="Y1465" s="96"/>
    </row>
    <row r="1466" ht="26.25" customHeight="1">
      <c r="A1466" s="96"/>
      <c r="B1466" s="96"/>
      <c r="C1466" s="97"/>
      <c r="D1466" s="96"/>
      <c r="E1466" s="96"/>
      <c r="F1466" s="96"/>
      <c r="G1466" s="96"/>
      <c r="H1466" s="96"/>
      <c r="I1466" s="96"/>
      <c r="J1466" s="96"/>
      <c r="K1466" s="96"/>
      <c r="L1466" s="96"/>
      <c r="M1466" s="96"/>
      <c r="N1466" s="96"/>
      <c r="O1466" s="96"/>
      <c r="P1466" s="96"/>
      <c r="Q1466" s="96"/>
      <c r="R1466" s="96"/>
      <c r="S1466" s="96"/>
      <c r="T1466" s="96"/>
      <c r="U1466" s="96"/>
      <c r="V1466" s="96"/>
      <c r="W1466" s="96"/>
      <c r="X1466" s="96"/>
      <c r="Y1466" s="96"/>
    </row>
    <row r="1467" ht="26.25" customHeight="1">
      <c r="A1467" s="96"/>
      <c r="B1467" s="96"/>
      <c r="C1467" s="97"/>
      <c r="D1467" s="96"/>
      <c r="E1467" s="96"/>
      <c r="F1467" s="96"/>
      <c r="G1467" s="96"/>
      <c r="H1467" s="96"/>
      <c r="I1467" s="96"/>
      <c r="J1467" s="96"/>
      <c r="K1467" s="96"/>
      <c r="L1467" s="96"/>
      <c r="M1467" s="96"/>
      <c r="N1467" s="96"/>
      <c r="O1467" s="96"/>
      <c r="P1467" s="96"/>
      <c r="Q1467" s="96"/>
      <c r="R1467" s="96"/>
      <c r="S1467" s="96"/>
      <c r="T1467" s="96"/>
      <c r="U1467" s="96"/>
      <c r="V1467" s="96"/>
      <c r="W1467" s="96"/>
      <c r="X1467" s="96"/>
      <c r="Y1467" s="96"/>
    </row>
    <row r="1468" ht="26.25" customHeight="1">
      <c r="A1468" s="96"/>
      <c r="B1468" s="96"/>
      <c r="C1468" s="97"/>
      <c r="D1468" s="96"/>
      <c r="E1468" s="96"/>
      <c r="F1468" s="96"/>
      <c r="G1468" s="96"/>
      <c r="H1468" s="96"/>
      <c r="I1468" s="96"/>
      <c r="J1468" s="96"/>
      <c r="K1468" s="96"/>
      <c r="L1468" s="96"/>
      <c r="M1468" s="96"/>
      <c r="N1468" s="96"/>
      <c r="O1468" s="96"/>
      <c r="P1468" s="96"/>
      <c r="Q1468" s="96"/>
      <c r="R1468" s="96"/>
      <c r="S1468" s="96"/>
      <c r="T1468" s="96"/>
      <c r="U1468" s="96"/>
      <c r="V1468" s="96"/>
      <c r="W1468" s="96"/>
      <c r="X1468" s="96"/>
      <c r="Y1468" s="96"/>
    </row>
    <row r="1469" ht="26.25" customHeight="1">
      <c r="A1469" s="96"/>
      <c r="B1469" s="96"/>
      <c r="C1469" s="97"/>
      <c r="D1469" s="96"/>
      <c r="E1469" s="96"/>
      <c r="F1469" s="96"/>
      <c r="G1469" s="96"/>
      <c r="H1469" s="96"/>
      <c r="I1469" s="96"/>
      <c r="J1469" s="96"/>
      <c r="K1469" s="96"/>
      <c r="L1469" s="96"/>
      <c r="M1469" s="96"/>
      <c r="N1469" s="96"/>
      <c r="O1469" s="96"/>
      <c r="P1469" s="96"/>
      <c r="Q1469" s="96"/>
      <c r="R1469" s="96"/>
      <c r="S1469" s="96"/>
      <c r="T1469" s="96"/>
      <c r="U1469" s="96"/>
      <c r="V1469" s="96"/>
      <c r="W1469" s="96"/>
      <c r="X1469" s="96"/>
      <c r="Y1469" s="96"/>
    </row>
    <row r="1470" ht="26.25" customHeight="1">
      <c r="A1470" s="96"/>
      <c r="B1470" s="96"/>
      <c r="C1470" s="97"/>
      <c r="D1470" s="96"/>
      <c r="E1470" s="96"/>
      <c r="F1470" s="96"/>
      <c r="G1470" s="96"/>
      <c r="H1470" s="96"/>
      <c r="I1470" s="96"/>
      <c r="J1470" s="96"/>
      <c r="K1470" s="96"/>
      <c r="L1470" s="96"/>
      <c r="M1470" s="96"/>
      <c r="N1470" s="96"/>
      <c r="O1470" s="96"/>
      <c r="P1470" s="96"/>
      <c r="Q1470" s="96"/>
      <c r="R1470" s="96"/>
      <c r="S1470" s="96"/>
      <c r="T1470" s="96"/>
      <c r="U1470" s="96"/>
      <c r="V1470" s="96"/>
      <c r="W1470" s="96"/>
      <c r="X1470" s="96"/>
      <c r="Y1470" s="96"/>
    </row>
    <row r="1471" ht="26.25" customHeight="1">
      <c r="A1471" s="96"/>
      <c r="B1471" s="96"/>
      <c r="C1471" s="97"/>
      <c r="D1471" s="96"/>
      <c r="E1471" s="96"/>
      <c r="F1471" s="96"/>
      <c r="G1471" s="96"/>
      <c r="H1471" s="96"/>
      <c r="I1471" s="96"/>
      <c r="J1471" s="96"/>
      <c r="K1471" s="96"/>
      <c r="L1471" s="96"/>
      <c r="M1471" s="96"/>
      <c r="N1471" s="96"/>
      <c r="O1471" s="96"/>
      <c r="P1471" s="96"/>
      <c r="Q1471" s="96"/>
      <c r="R1471" s="96"/>
      <c r="S1471" s="96"/>
      <c r="T1471" s="96"/>
      <c r="U1471" s="96"/>
      <c r="V1471" s="96"/>
      <c r="W1471" s="96"/>
      <c r="X1471" s="96"/>
      <c r="Y1471" s="96"/>
    </row>
    <row r="1472" ht="26.25" customHeight="1">
      <c r="A1472" s="96"/>
      <c r="B1472" s="96"/>
      <c r="C1472" s="97"/>
      <c r="D1472" s="96"/>
      <c r="E1472" s="96"/>
      <c r="F1472" s="96"/>
      <c r="G1472" s="96"/>
      <c r="H1472" s="96"/>
      <c r="I1472" s="96"/>
      <c r="J1472" s="96"/>
      <c r="K1472" s="96"/>
      <c r="L1472" s="96"/>
      <c r="M1472" s="96"/>
      <c r="N1472" s="96"/>
      <c r="O1472" s="96"/>
      <c r="P1472" s="96"/>
      <c r="Q1472" s="96"/>
      <c r="R1472" s="96"/>
      <c r="S1472" s="96"/>
      <c r="T1472" s="96"/>
      <c r="U1472" s="96"/>
      <c r="V1472" s="96"/>
      <c r="W1472" s="96"/>
      <c r="X1472" s="96"/>
      <c r="Y1472" s="96"/>
    </row>
    <row r="1473" ht="26.25" customHeight="1">
      <c r="A1473" s="96"/>
      <c r="B1473" s="96"/>
      <c r="C1473" s="97"/>
      <c r="D1473" s="96"/>
      <c r="E1473" s="96"/>
      <c r="F1473" s="96"/>
      <c r="G1473" s="96"/>
      <c r="H1473" s="96"/>
      <c r="I1473" s="96"/>
      <c r="J1473" s="96"/>
      <c r="K1473" s="96"/>
      <c r="L1473" s="96"/>
      <c r="M1473" s="96"/>
      <c r="N1473" s="96"/>
      <c r="O1473" s="96"/>
      <c r="P1473" s="96"/>
      <c r="Q1473" s="96"/>
      <c r="R1473" s="96"/>
      <c r="S1473" s="96"/>
      <c r="T1473" s="96"/>
      <c r="U1473" s="96"/>
      <c r="V1473" s="96"/>
      <c r="W1473" s="96"/>
      <c r="X1473" s="96"/>
      <c r="Y1473" s="96"/>
    </row>
    <row r="1474" ht="26.25" customHeight="1">
      <c r="A1474" s="96"/>
      <c r="B1474" s="96"/>
      <c r="C1474" s="97"/>
      <c r="D1474" s="96"/>
      <c r="E1474" s="96"/>
      <c r="F1474" s="96"/>
      <c r="G1474" s="96"/>
      <c r="H1474" s="96"/>
      <c r="I1474" s="96"/>
      <c r="J1474" s="96"/>
      <c r="K1474" s="96"/>
      <c r="L1474" s="96"/>
      <c r="M1474" s="96"/>
      <c r="N1474" s="96"/>
      <c r="O1474" s="96"/>
      <c r="P1474" s="96"/>
      <c r="Q1474" s="96"/>
      <c r="R1474" s="96"/>
      <c r="S1474" s="96"/>
      <c r="T1474" s="96"/>
      <c r="U1474" s="96"/>
      <c r="V1474" s="96"/>
      <c r="W1474" s="96"/>
      <c r="X1474" s="96"/>
      <c r="Y1474" s="96"/>
    </row>
    <row r="1475" ht="26.25" customHeight="1">
      <c r="A1475" s="96"/>
      <c r="B1475" s="96"/>
      <c r="C1475" s="97"/>
      <c r="D1475" s="96"/>
      <c r="E1475" s="96"/>
      <c r="F1475" s="96"/>
      <c r="G1475" s="96"/>
      <c r="H1475" s="96"/>
      <c r="I1475" s="96"/>
      <c r="J1475" s="96"/>
      <c r="K1475" s="96"/>
      <c r="L1475" s="96"/>
      <c r="M1475" s="96"/>
      <c r="N1475" s="96"/>
      <c r="O1475" s="96"/>
      <c r="P1475" s="96"/>
      <c r="Q1475" s="96"/>
      <c r="R1475" s="96"/>
      <c r="S1475" s="96"/>
      <c r="T1475" s="96"/>
      <c r="U1475" s="96"/>
      <c r="V1475" s="96"/>
      <c r="W1475" s="96"/>
      <c r="X1475" s="96"/>
      <c r="Y1475" s="96"/>
    </row>
    <row r="1476" ht="26.25" customHeight="1">
      <c r="A1476" s="96"/>
      <c r="B1476" s="96"/>
      <c r="C1476" s="97"/>
      <c r="D1476" s="96"/>
      <c r="E1476" s="96"/>
      <c r="F1476" s="96"/>
      <c r="G1476" s="96"/>
      <c r="H1476" s="96"/>
      <c r="I1476" s="96"/>
      <c r="J1476" s="96"/>
      <c r="K1476" s="96"/>
      <c r="L1476" s="96"/>
      <c r="M1476" s="96"/>
      <c r="N1476" s="96"/>
      <c r="O1476" s="96"/>
      <c r="P1476" s="96"/>
      <c r="Q1476" s="96"/>
      <c r="R1476" s="96"/>
      <c r="S1476" s="96"/>
      <c r="T1476" s="96"/>
      <c r="U1476" s="96"/>
      <c r="V1476" s="96"/>
      <c r="W1476" s="96"/>
      <c r="X1476" s="96"/>
      <c r="Y1476" s="96"/>
    </row>
    <row r="1477" ht="26.25" customHeight="1">
      <c r="A1477" s="96"/>
      <c r="B1477" s="96"/>
      <c r="C1477" s="97"/>
      <c r="D1477" s="96"/>
      <c r="E1477" s="96"/>
      <c r="F1477" s="96"/>
      <c r="G1477" s="96"/>
      <c r="H1477" s="96"/>
      <c r="I1477" s="96"/>
      <c r="J1477" s="96"/>
      <c r="K1477" s="96"/>
      <c r="L1477" s="96"/>
      <c r="M1477" s="96"/>
      <c r="N1477" s="96"/>
      <c r="O1477" s="96"/>
      <c r="P1477" s="96"/>
      <c r="Q1477" s="96"/>
      <c r="R1477" s="96"/>
      <c r="S1477" s="96"/>
      <c r="T1477" s="96"/>
      <c r="U1477" s="96"/>
      <c r="V1477" s="96"/>
      <c r="W1477" s="96"/>
      <c r="X1477" s="96"/>
      <c r="Y1477" s="96"/>
    </row>
    <row r="1478" ht="26.25" customHeight="1">
      <c r="A1478" s="96"/>
      <c r="B1478" s="96"/>
      <c r="C1478" s="97"/>
      <c r="D1478" s="96"/>
      <c r="E1478" s="96"/>
      <c r="F1478" s="96"/>
      <c r="G1478" s="96"/>
      <c r="H1478" s="96"/>
      <c r="I1478" s="96"/>
      <c r="J1478" s="96"/>
      <c r="K1478" s="96"/>
      <c r="L1478" s="96"/>
      <c r="M1478" s="96"/>
      <c r="N1478" s="96"/>
      <c r="O1478" s="96"/>
      <c r="P1478" s="96"/>
      <c r="Q1478" s="96"/>
      <c r="R1478" s="96"/>
      <c r="S1478" s="96"/>
      <c r="T1478" s="96"/>
      <c r="U1478" s="96"/>
      <c r="V1478" s="96"/>
      <c r="W1478" s="96"/>
      <c r="X1478" s="96"/>
      <c r="Y1478" s="96"/>
    </row>
    <row r="1479" ht="26.25" customHeight="1">
      <c r="A1479" s="96"/>
      <c r="B1479" s="96"/>
      <c r="C1479" s="97"/>
      <c r="D1479" s="96"/>
      <c r="E1479" s="96"/>
      <c r="F1479" s="96"/>
      <c r="G1479" s="96"/>
      <c r="H1479" s="96"/>
      <c r="I1479" s="96"/>
      <c r="J1479" s="96"/>
      <c r="K1479" s="96"/>
      <c r="L1479" s="96"/>
      <c r="M1479" s="96"/>
      <c r="N1479" s="96"/>
      <c r="O1479" s="96"/>
      <c r="P1479" s="96"/>
      <c r="Q1479" s="96"/>
      <c r="R1479" s="96"/>
      <c r="S1479" s="96"/>
      <c r="T1479" s="96"/>
      <c r="U1479" s="96"/>
      <c r="V1479" s="96"/>
      <c r="W1479" s="96"/>
      <c r="X1479" s="96"/>
      <c r="Y1479" s="96"/>
    </row>
    <row r="1480" ht="26.25" customHeight="1">
      <c r="A1480" s="96"/>
      <c r="B1480" s="96"/>
      <c r="C1480" s="97"/>
      <c r="D1480" s="96"/>
      <c r="E1480" s="96"/>
      <c r="F1480" s="96"/>
      <c r="G1480" s="96"/>
      <c r="H1480" s="96"/>
      <c r="I1480" s="96"/>
      <c r="J1480" s="96"/>
      <c r="K1480" s="96"/>
      <c r="L1480" s="96"/>
      <c r="M1480" s="96"/>
      <c r="N1480" s="96"/>
      <c r="O1480" s="96"/>
      <c r="P1480" s="96"/>
      <c r="Q1480" s="96"/>
      <c r="R1480" s="96"/>
      <c r="S1480" s="96"/>
      <c r="T1480" s="96"/>
      <c r="U1480" s="96"/>
      <c r="V1480" s="96"/>
      <c r="W1480" s="96"/>
      <c r="X1480" s="96"/>
      <c r="Y1480" s="96"/>
    </row>
    <row r="1481" ht="26.25" customHeight="1">
      <c r="A1481" s="96"/>
      <c r="B1481" s="96"/>
      <c r="C1481" s="97"/>
      <c r="D1481" s="96"/>
      <c r="E1481" s="96"/>
      <c r="F1481" s="96"/>
      <c r="G1481" s="96"/>
      <c r="H1481" s="96"/>
      <c r="I1481" s="96"/>
      <c r="J1481" s="96"/>
      <c r="K1481" s="96"/>
      <c r="L1481" s="96"/>
      <c r="M1481" s="96"/>
      <c r="N1481" s="96"/>
      <c r="O1481" s="96"/>
      <c r="P1481" s="96"/>
      <c r="Q1481" s="96"/>
      <c r="R1481" s="96"/>
      <c r="S1481" s="96"/>
      <c r="T1481" s="96"/>
      <c r="U1481" s="96"/>
      <c r="V1481" s="96"/>
      <c r="W1481" s="96"/>
      <c r="X1481" s="96"/>
      <c r="Y1481" s="96"/>
    </row>
    <row r="1482" ht="26.25" customHeight="1">
      <c r="A1482" s="96"/>
      <c r="B1482" s="96"/>
      <c r="C1482" s="97"/>
      <c r="D1482" s="96"/>
      <c r="E1482" s="96"/>
      <c r="F1482" s="96"/>
      <c r="G1482" s="96"/>
      <c r="H1482" s="96"/>
      <c r="I1482" s="96"/>
      <c r="J1482" s="96"/>
      <c r="K1482" s="96"/>
      <c r="L1482" s="96"/>
      <c r="M1482" s="96"/>
      <c r="N1482" s="96"/>
      <c r="O1482" s="96"/>
      <c r="P1482" s="96"/>
      <c r="Q1482" s="96"/>
      <c r="R1482" s="96"/>
      <c r="S1482" s="96"/>
      <c r="T1482" s="96"/>
      <c r="U1482" s="96"/>
      <c r="V1482" s="96"/>
      <c r="W1482" s="96"/>
      <c r="X1482" s="96"/>
      <c r="Y1482" s="96"/>
    </row>
    <row r="1483" ht="26.25" customHeight="1">
      <c r="A1483" s="96"/>
      <c r="B1483" s="96"/>
      <c r="C1483" s="97"/>
      <c r="D1483" s="96"/>
      <c r="E1483" s="96"/>
      <c r="F1483" s="96"/>
      <c r="G1483" s="96"/>
      <c r="H1483" s="96"/>
      <c r="I1483" s="96"/>
      <c r="J1483" s="96"/>
      <c r="K1483" s="96"/>
      <c r="L1483" s="96"/>
      <c r="M1483" s="96"/>
      <c r="N1483" s="96"/>
      <c r="O1483" s="96"/>
      <c r="P1483" s="96"/>
      <c r="Q1483" s="96"/>
      <c r="R1483" s="96"/>
      <c r="S1483" s="96"/>
      <c r="T1483" s="96"/>
      <c r="U1483" s="96"/>
      <c r="V1483" s="96"/>
      <c r="W1483" s="96"/>
      <c r="X1483" s="96"/>
      <c r="Y1483" s="96"/>
    </row>
    <row r="1484" ht="26.25" customHeight="1">
      <c r="A1484" s="96"/>
      <c r="B1484" s="96"/>
      <c r="C1484" s="97"/>
      <c r="D1484" s="96"/>
      <c r="E1484" s="96"/>
      <c r="F1484" s="96"/>
      <c r="G1484" s="96"/>
      <c r="H1484" s="96"/>
      <c r="I1484" s="96"/>
      <c r="J1484" s="96"/>
      <c r="K1484" s="96"/>
      <c r="L1484" s="96"/>
      <c r="M1484" s="96"/>
      <c r="N1484" s="96"/>
      <c r="O1484" s="96"/>
      <c r="P1484" s="96"/>
      <c r="Q1484" s="96"/>
      <c r="R1484" s="96"/>
      <c r="S1484" s="96"/>
      <c r="T1484" s="96"/>
      <c r="U1484" s="96"/>
      <c r="V1484" s="96"/>
      <c r="W1484" s="96"/>
      <c r="X1484" s="96"/>
      <c r="Y1484" s="96"/>
    </row>
    <row r="1485" ht="26.25" customHeight="1">
      <c r="A1485" s="96"/>
      <c r="B1485" s="96"/>
      <c r="C1485" s="97"/>
      <c r="D1485" s="96"/>
      <c r="E1485" s="96"/>
      <c r="F1485" s="96"/>
      <c r="G1485" s="96"/>
      <c r="H1485" s="96"/>
      <c r="I1485" s="96"/>
      <c r="J1485" s="96"/>
      <c r="K1485" s="96"/>
      <c r="L1485" s="96"/>
      <c r="M1485" s="96"/>
      <c r="N1485" s="96"/>
      <c r="O1485" s="96"/>
      <c r="P1485" s="96"/>
      <c r="Q1485" s="96"/>
      <c r="R1485" s="96"/>
      <c r="S1485" s="96"/>
      <c r="T1485" s="96"/>
      <c r="U1485" s="96"/>
      <c r="V1485" s="96"/>
      <c r="W1485" s="96"/>
      <c r="X1485" s="96"/>
      <c r="Y1485" s="96"/>
    </row>
    <row r="1486" ht="26.25" customHeight="1">
      <c r="A1486" s="96"/>
      <c r="B1486" s="96"/>
      <c r="C1486" s="97"/>
      <c r="D1486" s="96"/>
      <c r="E1486" s="96"/>
      <c r="F1486" s="96"/>
      <c r="G1486" s="96"/>
      <c r="H1486" s="96"/>
      <c r="I1486" s="96"/>
      <c r="J1486" s="96"/>
      <c r="K1486" s="96"/>
      <c r="L1486" s="96"/>
      <c r="M1486" s="96"/>
      <c r="N1486" s="96"/>
      <c r="O1486" s="96"/>
      <c r="P1486" s="96"/>
      <c r="Q1486" s="96"/>
      <c r="R1486" s="96"/>
      <c r="S1486" s="96"/>
      <c r="T1486" s="96"/>
      <c r="U1486" s="96"/>
      <c r="V1486" s="96"/>
      <c r="W1486" s="96"/>
      <c r="X1486" s="96"/>
      <c r="Y1486" s="96"/>
    </row>
    <row r="1487" ht="26.25" customHeight="1">
      <c r="A1487" s="96"/>
      <c r="B1487" s="96"/>
      <c r="C1487" s="97"/>
      <c r="D1487" s="96"/>
      <c r="E1487" s="96"/>
      <c r="F1487" s="96"/>
      <c r="G1487" s="96"/>
      <c r="H1487" s="96"/>
      <c r="I1487" s="96"/>
      <c r="J1487" s="96"/>
      <c r="K1487" s="96"/>
      <c r="L1487" s="96"/>
      <c r="M1487" s="96"/>
      <c r="N1487" s="96"/>
      <c r="O1487" s="96"/>
      <c r="P1487" s="96"/>
      <c r="Q1487" s="96"/>
      <c r="R1487" s="96"/>
      <c r="S1487" s="96"/>
      <c r="T1487" s="96"/>
      <c r="U1487" s="96"/>
      <c r="V1487" s="96"/>
      <c r="W1487" s="96"/>
      <c r="X1487" s="96"/>
      <c r="Y1487" s="96"/>
    </row>
    <row r="1488" ht="26.25" customHeight="1">
      <c r="A1488" s="96"/>
      <c r="B1488" s="96"/>
      <c r="C1488" s="97"/>
      <c r="D1488" s="96"/>
      <c r="E1488" s="96"/>
      <c r="F1488" s="96"/>
      <c r="G1488" s="96"/>
      <c r="H1488" s="96"/>
      <c r="I1488" s="96"/>
      <c r="J1488" s="96"/>
      <c r="K1488" s="96"/>
      <c r="L1488" s="96"/>
      <c r="M1488" s="96"/>
      <c r="N1488" s="96"/>
      <c r="O1488" s="96"/>
      <c r="P1488" s="96"/>
      <c r="Q1488" s="96"/>
      <c r="R1488" s="96"/>
      <c r="S1488" s="96"/>
      <c r="T1488" s="96"/>
      <c r="U1488" s="96"/>
      <c r="V1488" s="96"/>
      <c r="W1488" s="96"/>
      <c r="X1488" s="96"/>
      <c r="Y1488" s="96"/>
    </row>
    <row r="1489" ht="26.25" customHeight="1">
      <c r="A1489" s="96"/>
      <c r="B1489" s="96"/>
      <c r="C1489" s="97"/>
      <c r="D1489" s="96"/>
      <c r="E1489" s="96"/>
      <c r="F1489" s="96"/>
      <c r="G1489" s="96"/>
      <c r="H1489" s="96"/>
      <c r="I1489" s="96"/>
      <c r="J1489" s="96"/>
      <c r="K1489" s="96"/>
      <c r="L1489" s="96"/>
      <c r="M1489" s="96"/>
      <c r="N1489" s="96"/>
      <c r="O1489" s="96"/>
      <c r="P1489" s="96"/>
      <c r="Q1489" s="96"/>
      <c r="R1489" s="96"/>
      <c r="S1489" s="96"/>
      <c r="T1489" s="96"/>
      <c r="U1489" s="96"/>
      <c r="V1489" s="96"/>
      <c r="W1489" s="96"/>
      <c r="X1489" s="96"/>
      <c r="Y1489" s="96"/>
    </row>
    <row r="1490" ht="26.25" customHeight="1">
      <c r="A1490" s="96"/>
      <c r="B1490" s="96"/>
      <c r="C1490" s="97"/>
      <c r="D1490" s="96"/>
      <c r="E1490" s="96"/>
      <c r="F1490" s="96"/>
      <c r="G1490" s="96"/>
      <c r="H1490" s="96"/>
      <c r="I1490" s="96"/>
      <c r="J1490" s="96"/>
      <c r="K1490" s="96"/>
      <c r="L1490" s="96"/>
      <c r="M1490" s="96"/>
      <c r="N1490" s="96"/>
      <c r="O1490" s="96"/>
      <c r="P1490" s="96"/>
      <c r="Q1490" s="96"/>
      <c r="R1490" s="96"/>
      <c r="S1490" s="96"/>
      <c r="T1490" s="96"/>
      <c r="U1490" s="96"/>
      <c r="V1490" s="96"/>
      <c r="W1490" s="96"/>
      <c r="X1490" s="96"/>
      <c r="Y1490" s="96"/>
    </row>
    <row r="1491" ht="26.25" customHeight="1">
      <c r="A1491" s="96"/>
      <c r="B1491" s="96"/>
      <c r="C1491" s="97"/>
      <c r="D1491" s="96"/>
      <c r="E1491" s="96"/>
      <c r="F1491" s="96"/>
      <c r="G1491" s="96"/>
      <c r="H1491" s="96"/>
      <c r="I1491" s="96"/>
      <c r="J1491" s="96"/>
      <c r="K1491" s="96"/>
      <c r="L1491" s="96"/>
      <c r="M1491" s="96"/>
      <c r="N1491" s="96"/>
      <c r="O1491" s="96"/>
      <c r="P1491" s="96"/>
      <c r="Q1491" s="96"/>
      <c r="R1491" s="96"/>
      <c r="S1491" s="96"/>
      <c r="T1491" s="96"/>
      <c r="U1491" s="96"/>
      <c r="V1491" s="96"/>
      <c r="W1491" s="96"/>
      <c r="X1491" s="96"/>
      <c r="Y1491" s="96"/>
    </row>
    <row r="1492" ht="26.25" customHeight="1">
      <c r="A1492" s="96"/>
      <c r="B1492" s="96"/>
      <c r="C1492" s="97"/>
      <c r="D1492" s="96"/>
      <c r="E1492" s="96"/>
      <c r="F1492" s="96"/>
      <c r="G1492" s="96"/>
      <c r="H1492" s="96"/>
      <c r="I1492" s="96"/>
      <c r="J1492" s="96"/>
      <c r="K1492" s="96"/>
      <c r="L1492" s="96"/>
      <c r="M1492" s="96"/>
      <c r="N1492" s="96"/>
      <c r="O1492" s="96"/>
      <c r="P1492" s="96"/>
      <c r="Q1492" s="96"/>
      <c r="R1492" s="96"/>
      <c r="S1492" s="96"/>
      <c r="T1492" s="96"/>
      <c r="U1492" s="96"/>
      <c r="V1492" s="96"/>
      <c r="W1492" s="96"/>
      <c r="X1492" s="96"/>
      <c r="Y1492" s="96"/>
    </row>
    <row r="1493" ht="26.25" customHeight="1">
      <c r="A1493" s="96"/>
      <c r="B1493" s="96"/>
      <c r="C1493" s="97"/>
      <c r="D1493" s="96"/>
      <c r="E1493" s="96"/>
      <c r="F1493" s="96"/>
      <c r="G1493" s="96"/>
      <c r="H1493" s="96"/>
      <c r="I1493" s="96"/>
      <c r="J1493" s="96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6"/>
      <c r="V1493" s="96"/>
      <c r="W1493" s="96"/>
      <c r="X1493" s="96"/>
      <c r="Y1493" s="96"/>
    </row>
    <row r="1494" ht="26.25" customHeight="1">
      <c r="A1494" s="96"/>
      <c r="B1494" s="96"/>
      <c r="C1494" s="97"/>
      <c r="D1494" s="96"/>
      <c r="E1494" s="96"/>
      <c r="F1494" s="96"/>
      <c r="G1494" s="96"/>
      <c r="H1494" s="96"/>
      <c r="I1494" s="96"/>
      <c r="J1494" s="96"/>
      <c r="K1494" s="96"/>
      <c r="L1494" s="96"/>
      <c r="M1494" s="96"/>
      <c r="N1494" s="96"/>
      <c r="O1494" s="96"/>
      <c r="P1494" s="96"/>
      <c r="Q1494" s="96"/>
      <c r="R1494" s="96"/>
      <c r="S1494" s="96"/>
      <c r="T1494" s="96"/>
      <c r="U1494" s="96"/>
      <c r="V1494" s="96"/>
      <c r="W1494" s="96"/>
      <c r="X1494" s="96"/>
      <c r="Y1494" s="96"/>
    </row>
    <row r="1495" ht="26.25" customHeight="1">
      <c r="A1495" s="96"/>
      <c r="B1495" s="96"/>
      <c r="C1495" s="97"/>
      <c r="D1495" s="96"/>
      <c r="E1495" s="96"/>
      <c r="F1495" s="96"/>
      <c r="G1495" s="96"/>
      <c r="H1495" s="96"/>
      <c r="I1495" s="96"/>
      <c r="J1495" s="96"/>
      <c r="K1495" s="96"/>
      <c r="L1495" s="96"/>
      <c r="M1495" s="96"/>
      <c r="N1495" s="96"/>
      <c r="O1495" s="96"/>
      <c r="P1495" s="96"/>
      <c r="Q1495" s="96"/>
      <c r="R1495" s="96"/>
      <c r="S1495" s="96"/>
      <c r="T1495" s="96"/>
      <c r="U1495" s="96"/>
      <c r="V1495" s="96"/>
      <c r="W1495" s="96"/>
      <c r="X1495" s="96"/>
      <c r="Y1495" s="96"/>
    </row>
    <row r="1496" ht="26.25" customHeight="1">
      <c r="A1496" s="96"/>
      <c r="B1496" s="96"/>
      <c r="C1496" s="97"/>
      <c r="D1496" s="96"/>
      <c r="E1496" s="96"/>
      <c r="F1496" s="96"/>
      <c r="G1496" s="96"/>
      <c r="H1496" s="96"/>
      <c r="I1496" s="96"/>
      <c r="J1496" s="96"/>
      <c r="K1496" s="96"/>
      <c r="L1496" s="96"/>
      <c r="M1496" s="96"/>
      <c r="N1496" s="96"/>
      <c r="O1496" s="96"/>
      <c r="P1496" s="96"/>
      <c r="Q1496" s="96"/>
      <c r="R1496" s="96"/>
      <c r="S1496" s="96"/>
      <c r="T1496" s="96"/>
      <c r="U1496" s="96"/>
      <c r="V1496" s="96"/>
      <c r="W1496" s="96"/>
      <c r="X1496" s="96"/>
      <c r="Y1496" s="96"/>
    </row>
    <row r="1497" ht="26.25" customHeight="1">
      <c r="A1497" s="96"/>
      <c r="B1497" s="96"/>
      <c r="C1497" s="97"/>
      <c r="D1497" s="96"/>
      <c r="E1497" s="96"/>
      <c r="F1497" s="96"/>
      <c r="G1497" s="96"/>
      <c r="H1497" s="96"/>
      <c r="I1497" s="96"/>
      <c r="J1497" s="96"/>
      <c r="K1497" s="96"/>
      <c r="L1497" s="96"/>
      <c r="M1497" s="96"/>
      <c r="N1497" s="96"/>
      <c r="O1497" s="96"/>
      <c r="P1497" s="96"/>
      <c r="Q1497" s="96"/>
      <c r="R1497" s="96"/>
      <c r="S1497" s="96"/>
      <c r="T1497" s="96"/>
      <c r="U1497" s="96"/>
      <c r="V1497" s="96"/>
      <c r="W1497" s="96"/>
      <c r="X1497" s="96"/>
      <c r="Y1497" s="96"/>
    </row>
  </sheetData>
  <customSheetViews>
    <customSheetView guid="{E89A854D-CA60-4EB3-8BF0-291130071F0F}" filter="1" showAutoFilter="1">
      <autoFilter ref="$A$1:$Y$1142">
        <filterColumn colId="1">
          <filters>
            <filter val="1833A05G5"/>
            <filter val="19331A0570"/>
            <filter val="19331a0553"/>
            <filter val="199331A05F3"/>
            <filter val="18341A0585"/>
            <filter val="19331a0570"/>
            <filter val="18331A0502"/>
            <filter val="18332A05F0"/>
            <filter val="18331A05A0"/>
            <filter val="18331A05A1"/>
            <filter val="18331A05A2"/>
            <filter val="18331A05A4"/>
            <filter val="1833A05C1"/>
            <filter val="18331A05G0."/>
            <filter val="18331A0504"/>
            <filter val="18331A0505"/>
            <filter val="18331A0506"/>
            <filter val="18331A0507"/>
            <filter val="18331A0509"/>
            <filter val="18331A0510"/>
            <filter val="18331A0511"/>
            <filter val="18331A0514"/>
            <filter val="18331A05A5"/>
            <filter val="18331A05A6"/>
            <filter val="18331A05A7"/>
            <filter val="18331A05A8"/>
            <filter val="18331A05B0"/>
            <filter val="18331A05B1"/>
            <filter val="18331A05B2"/>
            <filter val="18331A05B5"/>
            <filter val="18331A0515"/>
            <filter val="18331A0516"/>
            <filter val="18331A0517"/>
            <filter val="18331a05h3"/>
            <filter val="18331A0521"/>
            <filter val="18331A0525"/>
            <filter val="18331A05B7"/>
            <filter val="18331A05B9"/>
            <filter val="19335a0509"/>
            <filter val="18331A05C1"/>
            <filter val="18331A05C3"/>
            <filter val="18331A05C5"/>
            <filter val="18331A05C6"/>
            <filter val="18331A0527"/>
            <filter val="18331A0528"/>
            <filter val="18331A0529"/>
            <filter val="19331A0599"/>
            <filter val="18331A0530"/>
            <filter val="19331A0598"/>
            <filter val="18331A0531"/>
            <filter val="19331A0595"/>
            <filter val="19331A0594"/>
            <filter val="18331A0535"/>
            <filter val="18331A0536"/>
            <filter val="18331A05C7"/>
            <filter val="18331A05C8"/>
            <filter val="19335A0503"/>
            <filter val="19335A0504"/>
            <filter val="19335A0505"/>
            <filter val="19335A0506"/>
            <filter val="18331A05D0"/>
            <filter val="18331A05D1"/>
            <filter val="18331A05D2"/>
            <filter val="18331A05D3"/>
            <filter val="18331A05D4"/>
            <filter val="18331A05D5"/>
            <filter val="18331A05D6"/>
            <filter val="18331A0539"/>
            <filter val="18331A0541"/>
            <filter val="18331A0542"/>
            <filter val="18331A0543"/>
            <filter val="18331A0547"/>
            <filter val="18331A05D8"/>
            <filter val="18331A05D9"/>
            <filter val="19335A0518"/>
            <filter val="19335A0519"/>
            <filter val="18331A05E4"/>
            <filter val="18331A05E6"/>
            <filter val="18331A0549"/>
            <filter val="18331A0551"/>
            <filter val="18331A0552"/>
            <filter val="18331A0555"/>
            <filter val="18331A0557"/>
            <filter val="18331A0558"/>
            <filter val="18331A05E9"/>
            <filter val="18331A0550"/>
            <filter val="18331A05F2"/>
            <filter val="19335A0508"/>
            <filter val="18331A05F3"/>
            <filter val="19335A0509"/>
            <filter val="18331A05F4"/>
            <filter val="18331A05F6"/>
            <filter val="18331A05F8"/>
            <filter val="18331A05F9"/>
            <filter val="18331A0559"/>
            <filter val="18331A05F0"/>
            <filter val="18331A0562"/>
            <filter val="18331A0563"/>
            <filter val="18331A0564"/>
            <filter val="18331A0565"/>
            <filter val="18331A0569"/>
            <filter val="19335A0511"/>
            <filter val="19335A0513"/>
            <filter val="19335A0515"/>
            <filter val="19335A0516"/>
            <filter val="18331A0560"/>
            <filter val="19335A0517"/>
            <filter val="18331A0561"/>
            <filter val="18331A05G3"/>
            <filter val="18331A05G4"/>
            <filter val="18331A05G5"/>
            <filter val="18331A05G7"/>
            <filter val="18331A05G0"/>
            <filter val="18331A05G1"/>
            <filter val="18331A05G2"/>
            <filter val="18331A0573"/>
            <filter val="18331A0576"/>
            <filter val="18331A0579"/>
            <filter val="18331A0571"/>
            <filter val="18331A0572"/>
            <filter val="18331A05H4"/>
            <filter val="18331A05H5"/>
            <filter val="18331A05H6"/>
            <filter val="18331A05H8"/>
            <filter val="183331A0572"/>
            <filter val="18331A05H2"/>
            <filter val="18331A0584"/>
            <filter val="18331A0585"/>
            <filter val="18331A0586"/>
            <filter val="18331A0587"/>
            <filter val="18331A0588"/>
            <filter val="18331A0581"/>
            <filter val="18331A0582"/>
            <filter val="18331A0583"/>
            <filter val="18331A0595"/>
            <filter val="18331A0597"/>
            <filter val="18331A0598"/>
            <filter val="18331A0599"/>
            <filter val="18331A0590"/>
            <filter val="18331A0591"/>
            <filter val="18331A0592"/>
            <filter val="18331A0593"/>
            <filter val="19331A598"/>
            <filter val="19331A05A1"/>
            <filter val="1933A0523"/>
          </filters>
        </filterColumn>
      </autoFilter>
    </customSheetView>
    <customSheetView guid="{5A3FE551-BE9F-4F73-9636-37149EBA48E4}" filter="1" showAutoFilter="1">
      <autoFilter ref="$A$1:$Y$976">
        <filterColumn colId="1">
          <filters>
            <filter val="19331A05G6"/>
            <filter val="19331A05G3"/>
            <filter val="1833A05G5"/>
            <filter val="19331A05H0"/>
            <filter val="19331a0553"/>
            <filter val="19331A0584"/>
            <filter val="20331A0572"/>
            <filter val="20331A0571"/>
            <filter val="199331A05F3"/>
            <filter val="19331A0555"/>
            <filter val="19331A0554"/>
            <filter val="19331A0556"/>
            <filter val="18341A0585"/>
            <filter val="20331A0579"/>
            <filter val="20331A0576"/>
            <filter val="20331A0577"/>
            <filter val="20331A0574"/>
            <filter val="19331A05F3"/>
            <filter val="19331A0565"/>
            <filter val="18331A0502"/>
            <filter val="20331A0569"/>
            <filter val="18332A05F0"/>
            <filter val="20331A0568"/>
            <filter val="20331A0565"/>
            <filter val="20331A0566"/>
            <filter val="20331A0592"/>
            <filter val="20331A0593"/>
            <filter val="18331A05A0"/>
            <filter val="18331A05A1"/>
            <filter val="20331A0590"/>
            <filter val="18331A05A2"/>
            <filter val="20331A0591"/>
            <filter val="18331A05A4"/>
            <filter val="1833A05C1"/>
            <filter val="18331A05G0."/>
            <filter val="18331A0504"/>
            <filter val="18331A0505"/>
            <filter val="18331A0506"/>
            <filter val="18331A0507"/>
            <filter val="18331A0509"/>
            <filter val="18331A0510"/>
            <filter val="18331A0511"/>
            <filter val="18331A0514"/>
            <filter val="18331A05A5"/>
            <filter val="18331A05A6"/>
            <filter val="18331A05A7"/>
            <filter val="18331A05A8"/>
            <filter val="20331A0598"/>
            <filter val="20331A0596"/>
            <filter val="20331A0597"/>
            <filter val="20331A0583"/>
            <filter val="20331A0584"/>
            <filter val="20331A0581"/>
            <filter val="18331A05B0"/>
            <filter val="20331A0582"/>
            <filter val="18331A05B1"/>
            <filter val="18331A05B2"/>
            <filter val="18331A05B5"/>
            <filter val="18331A0515"/>
            <filter val="18331A0516"/>
            <filter val="18331A0517"/>
            <filter val="18331a05h3"/>
            <filter val="18331A0521"/>
            <filter val="18331A0525"/>
            <filter val="18331A05B7"/>
            <filter val="18331A05B9"/>
            <filter val="20331A0587"/>
            <filter val="20331A0588"/>
            <filter val="19335a0509"/>
            <filter val="18331A05C1"/>
            <filter val="18331A05C3"/>
            <filter val="18331A05C5"/>
            <filter val="18331A05C6"/>
            <filter val="18331A0528"/>
            <filter val="18331A0529"/>
            <filter val="18331A0530"/>
            <filter val="18331A0531"/>
            <filter val="19331A0594"/>
            <filter val="18331A0535"/>
            <filter val="18331A0536"/>
            <filter val="18331A05C7"/>
            <filter val="18331A05C8"/>
            <filter val="19335A0503"/>
            <filter val="19335A0504"/>
            <filter val="19335A0505"/>
            <filter val="19335A0506"/>
            <filter val="18331A05D0"/>
            <filter val="18331A05D1"/>
            <filter val="18331A05D2"/>
            <filter val="18331A05D3"/>
            <filter val="18331A05D4"/>
            <filter val="18331A05D5"/>
            <filter val="18331A05D6"/>
            <filter val="18331A0539"/>
            <filter val="18331A0541"/>
            <filter val="18331A0542"/>
            <filter val="18331A0547"/>
            <filter val="18331A05D8"/>
            <filter val="18331A05D9"/>
            <filter val="19335A0518"/>
            <filter val="19335A0519"/>
            <filter val="18331A05E4"/>
            <filter val="18331A05E6"/>
            <filter val="18331A0549"/>
            <filter val="18331A0551"/>
            <filter val="20335A0503"/>
            <filter val="18331A0552"/>
            <filter val="20335A0504"/>
            <filter val="20335A0501"/>
            <filter val="20335A0502"/>
            <filter val="18331A0555"/>
            <filter val="20335A0507"/>
            <filter val="18331A0557"/>
            <filter val="20335A0505"/>
            <filter val="18331A0558"/>
            <filter val="20335A0506"/>
            <filter val="18331A05E9"/>
            <filter val="18331A0550"/>
            <filter val="18331A05F2"/>
            <filter val="19335A0508"/>
            <filter val="18331A05F3"/>
            <filter val="19335A0509"/>
            <filter val="18331A05F4"/>
            <filter val="18331A05F6"/>
            <filter val="18331A05F8"/>
            <filter val="18331A05F9"/>
            <filter val="18331A0559"/>
            <filter val="20335A0511"/>
            <filter val="18331A05F0"/>
            <filter val="18331A0562"/>
            <filter val="20335A0514"/>
            <filter val="18331A0563"/>
            <filter val="20335A0515"/>
            <filter val="18331A0564"/>
            <filter val="20335A0512"/>
            <filter val="18331A0565"/>
            <filter val="20335A0513"/>
            <filter val="19331A0501"/>
            <filter val="18331A0569"/>
            <filter val="19335A0511"/>
            <filter val="19335A0513"/>
            <filter val="19335A0515"/>
            <filter val="19335A0516"/>
            <filter val="18331A0560"/>
            <filter val="19335A0517"/>
            <filter val="18331A0561"/>
            <filter val="18331A05G3"/>
            <filter val="18331A05G4"/>
            <filter val="18331A05G5"/>
            <filter val="18331A05G7"/>
            <filter val="18331A05G0"/>
            <filter val="18331A05G1"/>
            <filter val="18331A05G2"/>
            <filter val="18331A0573"/>
            <filter val="18331A0576"/>
            <filter val="18331A0579"/>
            <filter val="18331A0571"/>
            <filter val="18331A0572"/>
            <filter val="18331A05H4"/>
            <filter val="18331A05H5"/>
            <filter val="18331A05H6"/>
            <filter val="183331A0572"/>
            <filter val="18331A05H2"/>
            <filter val="18331A0584"/>
            <filter val="18331A0585"/>
            <filter val="18331A0586"/>
            <filter val="18331A0587"/>
            <filter val="18331A0588"/>
            <filter val="18331A0581"/>
            <filter val="18331A0582"/>
            <filter val="18331A0583"/>
            <filter val="20331A05A8"/>
            <filter val="20331A05A5"/>
            <filter val="20331A05A2"/>
            <filter val="20331A05A3"/>
            <filter val="18331A0595"/>
            <filter val="18331A0597"/>
            <filter val="19331A0535"/>
            <filter val="18331A0598"/>
            <filter val="18331A0599"/>
            <filter val="20331A0519"/>
            <filter val="18331A0590"/>
            <filter val="18331A0591"/>
            <filter val="18331A0592"/>
            <filter val="18331A0593"/>
            <filter val="20331A05C8"/>
            <filter val="20331A05C6"/>
            <filter val="20331A05C7"/>
            <filter val="20331A05C2"/>
            <filter val="20331A0659"/>
            <filter val="20331A05B5"/>
            <filter val="20331A05B2"/>
            <filter val="19331A0517"/>
            <filter val="20331A05B0"/>
            <filter val="19331A0520"/>
            <filter val="20331A0524"/>
          </filters>
        </filterColumn>
      </autoFilter>
    </customSheetView>
  </customSheetViews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  <hyperlink r:id="rId397" ref="K398"/>
    <hyperlink r:id="rId398" ref="K399"/>
    <hyperlink r:id="rId399" ref="K400"/>
    <hyperlink r:id="rId400" ref="K401"/>
    <hyperlink r:id="rId401" ref="K402"/>
    <hyperlink r:id="rId402" ref="K403"/>
    <hyperlink r:id="rId403" ref="K404"/>
    <hyperlink r:id="rId404" ref="K405"/>
    <hyperlink r:id="rId405" ref="K406"/>
    <hyperlink r:id="rId406" ref="K407"/>
    <hyperlink r:id="rId407" ref="K408"/>
    <hyperlink r:id="rId408" ref="K409"/>
    <hyperlink r:id="rId409" ref="K410"/>
    <hyperlink r:id="rId410" ref="K411"/>
    <hyperlink r:id="rId411" ref="K412"/>
    <hyperlink r:id="rId412" ref="K413"/>
    <hyperlink r:id="rId413" ref="K414"/>
    <hyperlink r:id="rId414" ref="K415"/>
    <hyperlink r:id="rId415" ref="K416"/>
    <hyperlink r:id="rId416" ref="K417"/>
    <hyperlink r:id="rId417" ref="K418"/>
    <hyperlink r:id="rId418" ref="K419"/>
    <hyperlink r:id="rId419" ref="K420"/>
    <hyperlink r:id="rId420" ref="K421"/>
    <hyperlink r:id="rId421" ref="K422"/>
    <hyperlink r:id="rId422" ref="K423"/>
    <hyperlink r:id="rId423" ref="K424"/>
    <hyperlink r:id="rId424" ref="K425"/>
    <hyperlink r:id="rId425" ref="K426"/>
    <hyperlink r:id="rId426" ref="K427"/>
    <hyperlink r:id="rId427" ref="K428"/>
    <hyperlink r:id="rId428" ref="K429"/>
    <hyperlink r:id="rId429" ref="K430"/>
    <hyperlink r:id="rId430" ref="K431"/>
    <hyperlink r:id="rId431" ref="K432"/>
    <hyperlink r:id="rId432" ref="K433"/>
    <hyperlink r:id="rId433" ref="K434"/>
    <hyperlink r:id="rId434" ref="K435"/>
    <hyperlink r:id="rId435" ref="K436"/>
    <hyperlink r:id="rId436" ref="K437"/>
    <hyperlink r:id="rId437" ref="K438"/>
    <hyperlink r:id="rId438" ref="K439"/>
    <hyperlink r:id="rId439" ref="K440"/>
    <hyperlink r:id="rId440" ref="K441"/>
    <hyperlink r:id="rId441" ref="K442"/>
    <hyperlink r:id="rId442" ref="K443"/>
    <hyperlink r:id="rId443" ref="K444"/>
    <hyperlink r:id="rId444" ref="K445"/>
    <hyperlink r:id="rId445" ref="K446"/>
    <hyperlink r:id="rId446" ref="K447"/>
    <hyperlink r:id="rId447" ref="K448"/>
    <hyperlink r:id="rId448" ref="K449"/>
    <hyperlink r:id="rId449" ref="K450"/>
    <hyperlink r:id="rId450" ref="K451"/>
    <hyperlink r:id="rId451" ref="K452"/>
    <hyperlink r:id="rId452" ref="K453"/>
    <hyperlink r:id="rId453" ref="K454"/>
    <hyperlink r:id="rId454" ref="K455"/>
    <hyperlink r:id="rId455" ref="K456"/>
    <hyperlink r:id="rId456" ref="K457"/>
    <hyperlink r:id="rId457" ref="K458"/>
    <hyperlink r:id="rId458" ref="K459"/>
    <hyperlink r:id="rId459" ref="K460"/>
    <hyperlink r:id="rId460" ref="K461"/>
    <hyperlink r:id="rId461" ref="K462"/>
    <hyperlink r:id="rId462" ref="K463"/>
    <hyperlink r:id="rId463" ref="K464"/>
    <hyperlink r:id="rId464" ref="K465"/>
    <hyperlink r:id="rId465" ref="K466"/>
    <hyperlink r:id="rId466" ref="K467"/>
    <hyperlink r:id="rId467" ref="K468"/>
    <hyperlink r:id="rId468" ref="K469"/>
    <hyperlink r:id="rId469" ref="K470"/>
    <hyperlink r:id="rId470" ref="K471"/>
    <hyperlink r:id="rId471" ref="K472"/>
    <hyperlink r:id="rId472" ref="K473"/>
    <hyperlink r:id="rId473" ref="K474"/>
    <hyperlink r:id="rId474" ref="K475"/>
    <hyperlink r:id="rId475" ref="K476"/>
    <hyperlink r:id="rId476" ref="K477"/>
    <hyperlink r:id="rId477" ref="K478"/>
    <hyperlink r:id="rId478" ref="K479"/>
    <hyperlink r:id="rId479" ref="K480"/>
    <hyperlink r:id="rId480" ref="K481"/>
    <hyperlink r:id="rId481" ref="K482"/>
    <hyperlink r:id="rId482" ref="K483"/>
    <hyperlink r:id="rId483" ref="K484"/>
    <hyperlink r:id="rId484" ref="K485"/>
    <hyperlink r:id="rId485" ref="K486"/>
    <hyperlink r:id="rId486" ref="K487"/>
    <hyperlink r:id="rId487" ref="K488"/>
    <hyperlink r:id="rId488" ref="K489"/>
    <hyperlink r:id="rId489" ref="K490"/>
    <hyperlink r:id="rId490" ref="K491"/>
    <hyperlink r:id="rId491" ref="K492"/>
    <hyperlink r:id="rId492" ref="K493"/>
    <hyperlink r:id="rId493" ref="K494"/>
    <hyperlink r:id="rId494" ref="K495"/>
    <hyperlink r:id="rId495" ref="K496"/>
    <hyperlink r:id="rId496" ref="K497"/>
    <hyperlink r:id="rId497" ref="K498"/>
    <hyperlink r:id="rId498" ref="K499"/>
    <hyperlink r:id="rId499" ref="K500"/>
    <hyperlink r:id="rId500" ref="K501"/>
    <hyperlink r:id="rId501" ref="K502"/>
    <hyperlink r:id="rId502" ref="K503"/>
    <hyperlink r:id="rId503" ref="K504"/>
    <hyperlink r:id="rId504" ref="K505"/>
    <hyperlink r:id="rId505" ref="K506"/>
    <hyperlink r:id="rId506" ref="K507"/>
    <hyperlink r:id="rId507" ref="K508"/>
    <hyperlink r:id="rId508" ref="K509"/>
    <hyperlink r:id="rId509" ref="K510"/>
    <hyperlink r:id="rId510" ref="K511"/>
    <hyperlink r:id="rId511" ref="K512"/>
    <hyperlink r:id="rId512" ref="K513"/>
    <hyperlink r:id="rId513" ref="K514"/>
    <hyperlink r:id="rId514" ref="K515"/>
    <hyperlink r:id="rId515" ref="K516"/>
    <hyperlink r:id="rId516" ref="K517"/>
    <hyperlink r:id="rId517" ref="K518"/>
    <hyperlink r:id="rId518" ref="K519"/>
    <hyperlink r:id="rId519" ref="K520"/>
    <hyperlink r:id="rId520" ref="K521"/>
    <hyperlink r:id="rId521" ref="K522"/>
    <hyperlink r:id="rId522" ref="K523"/>
    <hyperlink r:id="rId523" ref="K524"/>
    <hyperlink r:id="rId524" ref="K525"/>
    <hyperlink r:id="rId525" ref="K526"/>
    <hyperlink r:id="rId526" ref="K527"/>
    <hyperlink r:id="rId527" ref="K528"/>
    <hyperlink r:id="rId528" ref="K529"/>
    <hyperlink r:id="rId529" ref="K530"/>
    <hyperlink r:id="rId530" ref="K531"/>
    <hyperlink r:id="rId531" ref="K532"/>
    <hyperlink r:id="rId532" ref="K533"/>
    <hyperlink r:id="rId533" ref="K534"/>
    <hyperlink r:id="rId534" ref="K535"/>
    <hyperlink r:id="rId535" ref="K536"/>
    <hyperlink r:id="rId536" ref="K537"/>
    <hyperlink r:id="rId537" ref="K538"/>
    <hyperlink r:id="rId538" ref="K539"/>
    <hyperlink r:id="rId539" ref="K540"/>
    <hyperlink r:id="rId540" ref="K541"/>
    <hyperlink r:id="rId541" ref="K542"/>
    <hyperlink r:id="rId542" ref="K543"/>
    <hyperlink r:id="rId543" ref="K544"/>
    <hyperlink r:id="rId544" ref="K545"/>
    <hyperlink r:id="rId545" ref="K546"/>
    <hyperlink r:id="rId546" ref="K547"/>
    <hyperlink r:id="rId547" ref="K548"/>
    <hyperlink r:id="rId548" ref="K549"/>
    <hyperlink r:id="rId549" ref="K550"/>
    <hyperlink r:id="rId550" ref="K551"/>
    <hyperlink r:id="rId551" ref="K552"/>
    <hyperlink r:id="rId552" ref="K553"/>
    <hyperlink r:id="rId553" ref="K554"/>
    <hyperlink r:id="rId554" ref="K555"/>
    <hyperlink r:id="rId555" ref="K556"/>
    <hyperlink r:id="rId556" ref="K557"/>
    <hyperlink r:id="rId557" ref="K558"/>
    <hyperlink r:id="rId558" ref="K559"/>
    <hyperlink r:id="rId559" ref="K560"/>
    <hyperlink r:id="rId560" ref="K561"/>
    <hyperlink r:id="rId561" ref="K562"/>
    <hyperlink r:id="rId562" ref="K563"/>
    <hyperlink r:id="rId563" ref="K564"/>
    <hyperlink r:id="rId564" ref="K565"/>
    <hyperlink r:id="rId565" ref="K566"/>
    <hyperlink r:id="rId566" ref="K567"/>
    <hyperlink r:id="rId567" ref="K568"/>
    <hyperlink r:id="rId568" ref="K569"/>
    <hyperlink r:id="rId569" ref="K570"/>
    <hyperlink r:id="rId570" ref="K571"/>
    <hyperlink r:id="rId571" ref="K572"/>
    <hyperlink r:id="rId572" ref="K573"/>
    <hyperlink r:id="rId573" ref="K574"/>
    <hyperlink r:id="rId574" ref="K575"/>
    <hyperlink r:id="rId575" ref="K576"/>
    <hyperlink r:id="rId576" ref="K577"/>
    <hyperlink r:id="rId577" ref="K578"/>
    <hyperlink r:id="rId578" ref="K579"/>
    <hyperlink r:id="rId579" ref="K580"/>
    <hyperlink r:id="rId580" ref="K581"/>
    <hyperlink r:id="rId581" ref="K582"/>
    <hyperlink r:id="rId582" ref="K583"/>
    <hyperlink r:id="rId583" ref="K584"/>
    <hyperlink r:id="rId584" ref="K585"/>
    <hyperlink r:id="rId585" ref="K586"/>
    <hyperlink r:id="rId586" ref="K587"/>
    <hyperlink r:id="rId587" ref="K588"/>
    <hyperlink r:id="rId588" ref="K589"/>
    <hyperlink r:id="rId589" ref="K590"/>
    <hyperlink r:id="rId590" ref="K591"/>
    <hyperlink r:id="rId591" ref="K592"/>
    <hyperlink r:id="rId592" ref="K593"/>
    <hyperlink r:id="rId593" ref="K594"/>
    <hyperlink r:id="rId594" ref="K595"/>
    <hyperlink r:id="rId595" ref="K596"/>
    <hyperlink r:id="rId596" ref="K597"/>
    <hyperlink r:id="rId597" ref="K598"/>
    <hyperlink r:id="rId598" ref="K599"/>
    <hyperlink r:id="rId599" ref="K600"/>
    <hyperlink r:id="rId600" ref="K601"/>
    <hyperlink r:id="rId601" ref="K602"/>
    <hyperlink r:id="rId602" ref="K603"/>
    <hyperlink r:id="rId603" ref="K604"/>
    <hyperlink r:id="rId604" ref="K605"/>
    <hyperlink r:id="rId605" ref="K606"/>
    <hyperlink r:id="rId606" ref="K607"/>
    <hyperlink r:id="rId607" ref="K608"/>
    <hyperlink r:id="rId608" ref="K609"/>
    <hyperlink r:id="rId609" ref="K610"/>
    <hyperlink r:id="rId610" ref="K611"/>
    <hyperlink r:id="rId611" ref="K612"/>
    <hyperlink r:id="rId612" ref="K613"/>
    <hyperlink r:id="rId613" ref="K614"/>
    <hyperlink r:id="rId614" ref="K615"/>
    <hyperlink r:id="rId615" ref="K616"/>
    <hyperlink r:id="rId616" ref="K617"/>
    <hyperlink r:id="rId617" ref="K618"/>
    <hyperlink r:id="rId618" ref="K619"/>
    <hyperlink r:id="rId619" ref="K620"/>
    <hyperlink r:id="rId620" ref="K621"/>
    <hyperlink r:id="rId621" ref="K622"/>
    <hyperlink r:id="rId622" ref="K623"/>
    <hyperlink r:id="rId623" ref="K624"/>
    <hyperlink r:id="rId624" ref="K625"/>
    <hyperlink r:id="rId625" ref="K626"/>
    <hyperlink r:id="rId626" ref="K627"/>
    <hyperlink r:id="rId627" ref="K628"/>
    <hyperlink r:id="rId628" ref="K629"/>
    <hyperlink r:id="rId629" ref="K630"/>
    <hyperlink r:id="rId630" ref="K631"/>
    <hyperlink r:id="rId631" ref="K632"/>
    <hyperlink r:id="rId632" ref="K633"/>
    <hyperlink r:id="rId633" ref="K634"/>
    <hyperlink r:id="rId634" ref="K635"/>
    <hyperlink r:id="rId635" ref="K636"/>
    <hyperlink r:id="rId636" ref="K637"/>
    <hyperlink r:id="rId637" ref="K638"/>
    <hyperlink r:id="rId638" ref="K639"/>
    <hyperlink r:id="rId639" ref="K640"/>
    <hyperlink r:id="rId640" ref="K641"/>
    <hyperlink r:id="rId641" ref="K642"/>
    <hyperlink r:id="rId642" ref="K643"/>
    <hyperlink r:id="rId643" ref="K644"/>
    <hyperlink r:id="rId644" ref="K645"/>
    <hyperlink r:id="rId645" ref="K646"/>
    <hyperlink r:id="rId646" ref="K647"/>
    <hyperlink r:id="rId647" ref="K648"/>
    <hyperlink r:id="rId648" ref="K649"/>
    <hyperlink r:id="rId649" ref="K650"/>
    <hyperlink r:id="rId650" ref="K651"/>
    <hyperlink r:id="rId651" ref="K652"/>
    <hyperlink r:id="rId652" ref="K653"/>
    <hyperlink r:id="rId653" ref="K654"/>
    <hyperlink r:id="rId654" ref="K655"/>
    <hyperlink r:id="rId655" ref="K656"/>
    <hyperlink r:id="rId656" ref="K657"/>
    <hyperlink r:id="rId657" ref="K658"/>
    <hyperlink r:id="rId658" ref="K659"/>
    <hyperlink r:id="rId659" ref="K660"/>
    <hyperlink r:id="rId660" ref="K661"/>
    <hyperlink r:id="rId661" ref="K662"/>
    <hyperlink r:id="rId662" ref="K663"/>
    <hyperlink r:id="rId663" ref="K664"/>
    <hyperlink r:id="rId664" ref="K665"/>
    <hyperlink r:id="rId665" ref="K666"/>
    <hyperlink r:id="rId666" ref="K667"/>
    <hyperlink r:id="rId667" ref="K668"/>
    <hyperlink r:id="rId668" ref="K669"/>
    <hyperlink r:id="rId669" ref="K670"/>
    <hyperlink r:id="rId670" ref="K671"/>
    <hyperlink r:id="rId671" ref="K672"/>
    <hyperlink r:id="rId672" ref="K673"/>
    <hyperlink r:id="rId673" ref="K674"/>
    <hyperlink r:id="rId674" ref="K675"/>
    <hyperlink r:id="rId675" ref="K676"/>
    <hyperlink r:id="rId676" ref="K677"/>
    <hyperlink r:id="rId677" ref="K678"/>
    <hyperlink r:id="rId678" ref="K679"/>
    <hyperlink r:id="rId679" ref="K680"/>
    <hyperlink r:id="rId680" ref="K681"/>
    <hyperlink r:id="rId681" ref="K682"/>
    <hyperlink r:id="rId682" ref="K683"/>
    <hyperlink r:id="rId683" ref="K684"/>
    <hyperlink r:id="rId684" ref="K685"/>
    <hyperlink r:id="rId685" ref="K686"/>
    <hyperlink r:id="rId686" ref="K687"/>
    <hyperlink r:id="rId687" ref="K688"/>
    <hyperlink r:id="rId688" ref="K689"/>
    <hyperlink r:id="rId689" ref="K690"/>
    <hyperlink r:id="rId690" ref="K691"/>
    <hyperlink r:id="rId691" ref="K692"/>
    <hyperlink r:id="rId692" ref="K693"/>
    <hyperlink r:id="rId693" ref="K694"/>
    <hyperlink r:id="rId694" ref="K695"/>
    <hyperlink r:id="rId695" ref="K696"/>
    <hyperlink r:id="rId696" ref="K697"/>
    <hyperlink r:id="rId697" ref="K698"/>
    <hyperlink r:id="rId698" ref="K699"/>
    <hyperlink r:id="rId699" ref="K700"/>
    <hyperlink r:id="rId700" ref="K701"/>
    <hyperlink r:id="rId701" ref="K702"/>
    <hyperlink r:id="rId702" ref="K703"/>
    <hyperlink r:id="rId703" ref="K704"/>
    <hyperlink r:id="rId704" ref="K705"/>
    <hyperlink r:id="rId705" ref="K706"/>
    <hyperlink r:id="rId706" ref="K707"/>
    <hyperlink r:id="rId707" ref="K708"/>
    <hyperlink r:id="rId708" ref="K709"/>
    <hyperlink r:id="rId709" ref="K710"/>
    <hyperlink r:id="rId710" ref="K711"/>
    <hyperlink r:id="rId711" ref="K712"/>
    <hyperlink r:id="rId712" ref="K713"/>
    <hyperlink r:id="rId713" ref="K714"/>
    <hyperlink r:id="rId714" ref="K715"/>
    <hyperlink r:id="rId715" ref="K716"/>
    <hyperlink r:id="rId716" ref="K717"/>
    <hyperlink r:id="rId717" ref="K718"/>
    <hyperlink r:id="rId718" ref="K719"/>
    <hyperlink r:id="rId719" ref="K720"/>
    <hyperlink r:id="rId720" ref="K721"/>
    <hyperlink r:id="rId721" ref="K722"/>
    <hyperlink r:id="rId722" ref="K723"/>
    <hyperlink r:id="rId723" ref="K724"/>
    <hyperlink r:id="rId724" ref="K725"/>
    <hyperlink r:id="rId725" ref="K726"/>
    <hyperlink r:id="rId726" ref="K727"/>
    <hyperlink r:id="rId727" ref="K728"/>
    <hyperlink r:id="rId728" ref="K729"/>
    <hyperlink r:id="rId729" ref="K730"/>
    <hyperlink r:id="rId730" ref="K731"/>
    <hyperlink r:id="rId731" ref="K732"/>
    <hyperlink r:id="rId732" ref="K733"/>
    <hyperlink r:id="rId733" ref="K734"/>
    <hyperlink r:id="rId734" ref="K735"/>
    <hyperlink r:id="rId735" ref="K736"/>
    <hyperlink r:id="rId736" ref="K737"/>
    <hyperlink r:id="rId737" ref="K738"/>
    <hyperlink r:id="rId738" ref="K739"/>
    <hyperlink r:id="rId739" ref="K740"/>
    <hyperlink r:id="rId740" ref="K741"/>
    <hyperlink r:id="rId741" ref="K742"/>
    <hyperlink r:id="rId742" ref="K743"/>
    <hyperlink r:id="rId743" ref="K744"/>
    <hyperlink r:id="rId744" ref="K745"/>
    <hyperlink r:id="rId745" ref="K746"/>
    <hyperlink r:id="rId746" ref="K747"/>
    <hyperlink r:id="rId747" ref="K748"/>
    <hyperlink r:id="rId748" ref="K749"/>
    <hyperlink r:id="rId749" ref="K750"/>
    <hyperlink r:id="rId750" ref="K751"/>
    <hyperlink r:id="rId751" ref="K752"/>
    <hyperlink r:id="rId752" ref="K753"/>
    <hyperlink r:id="rId753" ref="K754"/>
    <hyperlink r:id="rId754" ref="K755"/>
    <hyperlink r:id="rId755" ref="K756"/>
    <hyperlink r:id="rId756" ref="K757"/>
    <hyperlink r:id="rId757" ref="K758"/>
    <hyperlink r:id="rId758" ref="K759"/>
    <hyperlink r:id="rId759" ref="K760"/>
    <hyperlink r:id="rId760" ref="K761"/>
    <hyperlink r:id="rId761" ref="K762"/>
    <hyperlink r:id="rId762" ref="K763"/>
    <hyperlink r:id="rId763" ref="K764"/>
    <hyperlink r:id="rId764" ref="K765"/>
    <hyperlink r:id="rId765" ref="K766"/>
    <hyperlink r:id="rId766" ref="K767"/>
    <hyperlink r:id="rId767" ref="K768"/>
    <hyperlink r:id="rId768" ref="K769"/>
    <hyperlink r:id="rId769" ref="K770"/>
    <hyperlink r:id="rId770" ref="K771"/>
    <hyperlink r:id="rId771" ref="K772"/>
    <hyperlink r:id="rId772" ref="K773"/>
    <hyperlink r:id="rId773" ref="K774"/>
    <hyperlink r:id="rId774" ref="K775"/>
    <hyperlink r:id="rId775" ref="K776"/>
    <hyperlink r:id="rId776" ref="K777"/>
    <hyperlink r:id="rId777" ref="K778"/>
    <hyperlink r:id="rId778" ref="K779"/>
    <hyperlink r:id="rId779" ref="K780"/>
    <hyperlink r:id="rId780" ref="K781"/>
    <hyperlink r:id="rId781" ref="K782"/>
    <hyperlink r:id="rId782" ref="K783"/>
    <hyperlink r:id="rId783" ref="K784"/>
    <hyperlink r:id="rId784" ref="K785"/>
    <hyperlink r:id="rId785" ref="K786"/>
    <hyperlink r:id="rId786" ref="K787"/>
    <hyperlink r:id="rId787" ref="K788"/>
    <hyperlink r:id="rId788" ref="K789"/>
    <hyperlink r:id="rId789" ref="K790"/>
    <hyperlink r:id="rId790" ref="K791"/>
    <hyperlink r:id="rId791" ref="K792"/>
    <hyperlink r:id="rId792" ref="K793"/>
    <hyperlink r:id="rId793" ref="K794"/>
    <hyperlink r:id="rId794" ref="K795"/>
    <hyperlink r:id="rId795" ref="K796"/>
    <hyperlink r:id="rId796" ref="K797"/>
    <hyperlink r:id="rId797" ref="K798"/>
    <hyperlink r:id="rId798" ref="K799"/>
    <hyperlink r:id="rId799" ref="K800"/>
    <hyperlink r:id="rId800" ref="K801"/>
    <hyperlink r:id="rId801" ref="K802"/>
    <hyperlink r:id="rId802" ref="K803"/>
    <hyperlink r:id="rId803" ref="K804"/>
    <hyperlink r:id="rId804" ref="K805"/>
    <hyperlink r:id="rId805" ref="K806"/>
    <hyperlink r:id="rId806" ref="K807"/>
    <hyperlink r:id="rId807" ref="K808"/>
    <hyperlink r:id="rId808" ref="K809"/>
    <hyperlink r:id="rId809" ref="K810"/>
    <hyperlink r:id="rId810" ref="K811"/>
    <hyperlink r:id="rId811" ref="K812"/>
    <hyperlink r:id="rId812" ref="K813"/>
    <hyperlink r:id="rId813" ref="K814"/>
    <hyperlink r:id="rId814" ref="K815"/>
    <hyperlink r:id="rId815" ref="K816"/>
    <hyperlink r:id="rId816" ref="K817"/>
    <hyperlink r:id="rId817" ref="K818"/>
    <hyperlink r:id="rId818" ref="K819"/>
    <hyperlink r:id="rId819" ref="K820"/>
    <hyperlink r:id="rId820" ref="K821"/>
    <hyperlink r:id="rId821" ref="K822"/>
    <hyperlink r:id="rId822" ref="K823"/>
    <hyperlink r:id="rId823" ref="K824"/>
    <hyperlink r:id="rId824" ref="K825"/>
    <hyperlink r:id="rId825" ref="K826"/>
    <hyperlink r:id="rId826" ref="K827"/>
    <hyperlink r:id="rId827" ref="K828"/>
    <hyperlink r:id="rId828" ref="K829"/>
    <hyperlink r:id="rId829" ref="K830"/>
    <hyperlink r:id="rId830" ref="K831"/>
    <hyperlink r:id="rId831" ref="K832"/>
    <hyperlink r:id="rId832" ref="K833"/>
    <hyperlink r:id="rId833" ref="K834"/>
    <hyperlink r:id="rId834" ref="K835"/>
    <hyperlink r:id="rId835" ref="K836"/>
    <hyperlink r:id="rId836" ref="K837"/>
    <hyperlink r:id="rId837" ref="K838"/>
    <hyperlink r:id="rId838" ref="K839"/>
    <hyperlink r:id="rId839" ref="K840"/>
    <hyperlink r:id="rId840" ref="K841"/>
    <hyperlink r:id="rId841" ref="K842"/>
    <hyperlink r:id="rId842" ref="K843"/>
    <hyperlink r:id="rId843" ref="K844"/>
    <hyperlink r:id="rId844" ref="K845"/>
    <hyperlink r:id="rId845" ref="K846"/>
    <hyperlink r:id="rId846" ref="K847"/>
    <hyperlink r:id="rId847" ref="K848"/>
    <hyperlink r:id="rId848" ref="K849"/>
    <hyperlink r:id="rId849" ref="K850"/>
    <hyperlink r:id="rId850" ref="K851"/>
    <hyperlink r:id="rId851" ref="K852"/>
    <hyperlink r:id="rId852" ref="K853"/>
    <hyperlink r:id="rId853" ref="K854"/>
    <hyperlink r:id="rId854" ref="K855"/>
    <hyperlink r:id="rId855" ref="K856"/>
    <hyperlink r:id="rId856" ref="K857"/>
    <hyperlink r:id="rId857" ref="K858"/>
    <hyperlink r:id="rId858" ref="K859"/>
    <hyperlink r:id="rId859" ref="K860"/>
    <hyperlink r:id="rId860" ref="K861"/>
    <hyperlink r:id="rId861" ref="K862"/>
    <hyperlink r:id="rId862" ref="K863"/>
    <hyperlink r:id="rId863" ref="K864"/>
    <hyperlink r:id="rId864" ref="K865"/>
    <hyperlink r:id="rId865" ref="K866"/>
    <hyperlink r:id="rId866" ref="K867"/>
    <hyperlink r:id="rId867" ref="K868"/>
    <hyperlink r:id="rId868" ref="K869"/>
    <hyperlink r:id="rId869" ref="K870"/>
    <hyperlink r:id="rId870" ref="K871"/>
    <hyperlink r:id="rId871" ref="K872"/>
    <hyperlink r:id="rId872" ref="K873"/>
    <hyperlink r:id="rId873" ref="K874"/>
    <hyperlink r:id="rId874" ref="K875"/>
    <hyperlink r:id="rId875" ref="K876"/>
    <hyperlink r:id="rId876" ref="K877"/>
    <hyperlink r:id="rId877" ref="K878"/>
    <hyperlink r:id="rId878" ref="K879"/>
    <hyperlink r:id="rId879" ref="K880"/>
    <hyperlink r:id="rId880" ref="K881"/>
    <hyperlink r:id="rId881" ref="K882"/>
    <hyperlink r:id="rId882" ref="K883"/>
    <hyperlink r:id="rId883" ref="K884"/>
    <hyperlink r:id="rId884" ref="K885"/>
    <hyperlink r:id="rId885" ref="K886"/>
    <hyperlink r:id="rId886" ref="K887"/>
    <hyperlink r:id="rId887" ref="K888"/>
    <hyperlink r:id="rId888" ref="K889"/>
    <hyperlink r:id="rId889" ref="K890"/>
    <hyperlink r:id="rId890" ref="K891"/>
    <hyperlink r:id="rId891" ref="K892"/>
    <hyperlink r:id="rId892" ref="K893"/>
    <hyperlink r:id="rId893" ref="K894"/>
    <hyperlink r:id="rId894" ref="K895"/>
    <hyperlink r:id="rId895" ref="K896"/>
    <hyperlink r:id="rId896" ref="K897"/>
    <hyperlink r:id="rId897" ref="K898"/>
    <hyperlink r:id="rId898" ref="K899"/>
    <hyperlink r:id="rId899" ref="K900"/>
    <hyperlink r:id="rId900" ref="K901"/>
    <hyperlink r:id="rId901" ref="K902"/>
    <hyperlink r:id="rId902" ref="K903"/>
    <hyperlink r:id="rId903" ref="K904"/>
    <hyperlink r:id="rId904" ref="K905"/>
    <hyperlink r:id="rId905" ref="K906"/>
    <hyperlink r:id="rId906" ref="K907"/>
    <hyperlink r:id="rId907" ref="K908"/>
    <hyperlink r:id="rId908" ref="K909"/>
    <hyperlink r:id="rId909" ref="K910"/>
    <hyperlink r:id="rId910" ref="K911"/>
    <hyperlink r:id="rId911" ref="K912"/>
    <hyperlink r:id="rId912" ref="K913"/>
    <hyperlink r:id="rId913" ref="K914"/>
    <hyperlink r:id="rId914" ref="K915"/>
    <hyperlink r:id="rId915" ref="K916"/>
    <hyperlink r:id="rId916" ref="K917"/>
    <hyperlink r:id="rId917" ref="K918"/>
    <hyperlink r:id="rId918" ref="K919"/>
    <hyperlink r:id="rId919" ref="K920"/>
    <hyperlink r:id="rId920" ref="K921"/>
    <hyperlink r:id="rId921" ref="K922"/>
    <hyperlink r:id="rId922" ref="K923"/>
    <hyperlink r:id="rId923" ref="K924"/>
    <hyperlink r:id="rId924" ref="K925"/>
    <hyperlink r:id="rId925" ref="K926"/>
    <hyperlink r:id="rId926" ref="K927"/>
    <hyperlink r:id="rId927" ref="K928"/>
    <hyperlink r:id="rId928" ref="K929"/>
    <hyperlink r:id="rId929" ref="K930"/>
    <hyperlink r:id="rId930" ref="K931"/>
    <hyperlink r:id="rId931" ref="K932"/>
    <hyperlink r:id="rId932" ref="K933"/>
    <hyperlink r:id="rId933" ref="K934"/>
    <hyperlink r:id="rId934" ref="K935"/>
    <hyperlink r:id="rId935" ref="K936"/>
    <hyperlink r:id="rId936" ref="K937"/>
    <hyperlink r:id="rId937" ref="K938"/>
    <hyperlink r:id="rId938" ref="K939"/>
    <hyperlink r:id="rId939" ref="K940"/>
    <hyperlink r:id="rId940" ref="K941"/>
    <hyperlink r:id="rId941" ref="K942"/>
    <hyperlink r:id="rId942" ref="K943"/>
    <hyperlink r:id="rId943" ref="K944"/>
    <hyperlink r:id="rId944" ref="K945"/>
    <hyperlink r:id="rId945" ref="K946"/>
    <hyperlink r:id="rId946" ref="K947"/>
    <hyperlink r:id="rId947" ref="K948"/>
    <hyperlink r:id="rId948" ref="K949"/>
    <hyperlink r:id="rId949" ref="K950"/>
    <hyperlink r:id="rId950" ref="K951"/>
    <hyperlink r:id="rId951" ref="K952"/>
    <hyperlink r:id="rId952" ref="K953"/>
    <hyperlink r:id="rId953" ref="K954"/>
    <hyperlink r:id="rId954" ref="K955"/>
    <hyperlink r:id="rId955" ref="K956"/>
    <hyperlink r:id="rId956" ref="K957"/>
    <hyperlink r:id="rId957" ref="K958"/>
    <hyperlink r:id="rId958" ref="K959"/>
    <hyperlink r:id="rId959" ref="K960"/>
    <hyperlink r:id="rId960" ref="K961"/>
    <hyperlink r:id="rId961" ref="K962"/>
    <hyperlink r:id="rId962" ref="K963"/>
    <hyperlink r:id="rId963" ref="K964"/>
    <hyperlink r:id="rId964" ref="K965"/>
    <hyperlink r:id="rId965" ref="K966"/>
    <hyperlink r:id="rId966" ref="K967"/>
    <hyperlink r:id="rId967" ref="K968"/>
    <hyperlink r:id="rId968" ref="K969"/>
    <hyperlink r:id="rId969" ref="K970"/>
    <hyperlink r:id="rId970" ref="K971"/>
    <hyperlink r:id="rId971" ref="K972"/>
    <hyperlink r:id="rId972" ref="K973"/>
    <hyperlink r:id="rId973" ref="K974"/>
    <hyperlink r:id="rId974" ref="K975"/>
    <hyperlink r:id="rId975" ref="K976"/>
    <hyperlink r:id="rId976" ref="K977"/>
    <hyperlink r:id="rId977" ref="K978"/>
    <hyperlink r:id="rId978" ref="K979"/>
    <hyperlink r:id="rId979" ref="K980"/>
    <hyperlink r:id="rId980" ref="K981"/>
    <hyperlink r:id="rId981" ref="K982"/>
    <hyperlink r:id="rId982" ref="K983"/>
    <hyperlink r:id="rId983" ref="K984"/>
    <hyperlink r:id="rId984" ref="K985"/>
    <hyperlink r:id="rId985" ref="K986"/>
    <hyperlink r:id="rId986" ref="K987"/>
    <hyperlink r:id="rId987" ref="K988"/>
    <hyperlink r:id="rId988" ref="K989"/>
    <hyperlink r:id="rId989" ref="K990"/>
    <hyperlink r:id="rId990" ref="K991"/>
    <hyperlink r:id="rId991" ref="K992"/>
    <hyperlink r:id="rId992" ref="K993"/>
    <hyperlink r:id="rId993" ref="K994"/>
    <hyperlink r:id="rId994" ref="K995"/>
    <hyperlink r:id="rId995" ref="K996"/>
    <hyperlink r:id="rId996" ref="K997"/>
    <hyperlink r:id="rId997" ref="K998"/>
    <hyperlink r:id="rId998" ref="K999"/>
    <hyperlink r:id="rId999" ref="K1000"/>
    <hyperlink r:id="rId1000" ref="K1001"/>
    <hyperlink r:id="rId1001" ref="K1002"/>
    <hyperlink r:id="rId1002" ref="K1003"/>
    <hyperlink r:id="rId1003" ref="K1004"/>
    <hyperlink r:id="rId1004" ref="K1005"/>
    <hyperlink r:id="rId1005" ref="K1006"/>
    <hyperlink r:id="rId1006" ref="K1007"/>
    <hyperlink r:id="rId1007" ref="K1008"/>
    <hyperlink r:id="rId1008" ref="K1009"/>
    <hyperlink r:id="rId1009" ref="K1010"/>
    <hyperlink r:id="rId1010" ref="K1011"/>
    <hyperlink r:id="rId1011" ref="K1012"/>
    <hyperlink r:id="rId1012" ref="K1013"/>
    <hyperlink r:id="rId1013" ref="K1014"/>
    <hyperlink r:id="rId1014" ref="K1015"/>
    <hyperlink r:id="rId1015" ref="K1016"/>
    <hyperlink r:id="rId1016" ref="K1017"/>
    <hyperlink r:id="rId1017" ref="K1018"/>
    <hyperlink r:id="rId1018" ref="K1019"/>
    <hyperlink r:id="rId1019" ref="K1020"/>
    <hyperlink r:id="rId1020" ref="K1021"/>
    <hyperlink r:id="rId1021" ref="K1022"/>
    <hyperlink r:id="rId1022" ref="K1023"/>
    <hyperlink r:id="rId1023" ref="K1024"/>
    <hyperlink r:id="rId1024" ref="K1025"/>
    <hyperlink r:id="rId1025" ref="K1026"/>
    <hyperlink r:id="rId1026" ref="K1027"/>
    <hyperlink r:id="rId1027" ref="K1028"/>
    <hyperlink r:id="rId1028" ref="K1029"/>
    <hyperlink r:id="rId1029" ref="K1030"/>
    <hyperlink r:id="rId1030" ref="K1031"/>
    <hyperlink r:id="rId1031" ref="K1032"/>
    <hyperlink r:id="rId1032" ref="K1033"/>
    <hyperlink r:id="rId1033" ref="K1034"/>
    <hyperlink r:id="rId1034" ref="K1035"/>
    <hyperlink r:id="rId1035" ref="K1036"/>
    <hyperlink r:id="rId1036" ref="K1037"/>
    <hyperlink r:id="rId1037" ref="K1038"/>
    <hyperlink r:id="rId1038" ref="K1039"/>
    <hyperlink r:id="rId1039" ref="K1040"/>
    <hyperlink r:id="rId1040" ref="K1041"/>
    <hyperlink r:id="rId1041" ref="K1042"/>
    <hyperlink r:id="rId1042" ref="K1043"/>
    <hyperlink r:id="rId1043" ref="K1044"/>
    <hyperlink r:id="rId1044" ref="K1045"/>
    <hyperlink r:id="rId1045" ref="K1046"/>
    <hyperlink r:id="rId1046" ref="K1047"/>
    <hyperlink r:id="rId1047" ref="K1048"/>
    <hyperlink r:id="rId1048" ref="K1049"/>
    <hyperlink r:id="rId1049" ref="K1050"/>
    <hyperlink r:id="rId1050" ref="K1051"/>
    <hyperlink r:id="rId1051" ref="K1052"/>
    <hyperlink r:id="rId1052" ref="K1053"/>
    <hyperlink r:id="rId1053" ref="K1054"/>
    <hyperlink r:id="rId1054" ref="K1055"/>
    <hyperlink r:id="rId1055" ref="K1056"/>
    <hyperlink r:id="rId1056" ref="K1057"/>
    <hyperlink r:id="rId1057" ref="K1058"/>
    <hyperlink r:id="rId1058" ref="K1059"/>
    <hyperlink r:id="rId1059" ref="K1060"/>
    <hyperlink r:id="rId1060" ref="K1061"/>
    <hyperlink r:id="rId1061" ref="K1062"/>
    <hyperlink r:id="rId1062" ref="K1063"/>
    <hyperlink r:id="rId1063" ref="K1064"/>
    <hyperlink r:id="rId1064" ref="K1065"/>
    <hyperlink r:id="rId1065" ref="K1066"/>
    <hyperlink r:id="rId1066" ref="K1067"/>
    <hyperlink r:id="rId1067" ref="K1068"/>
    <hyperlink r:id="rId1068" ref="K1069"/>
    <hyperlink r:id="rId1069" ref="K1070"/>
    <hyperlink r:id="rId1070" ref="K1071"/>
    <hyperlink r:id="rId1071" ref="K1072"/>
    <hyperlink r:id="rId1072" ref="K1073"/>
    <hyperlink r:id="rId1073" ref="K1074"/>
    <hyperlink r:id="rId1074" ref="K1075"/>
    <hyperlink r:id="rId1075" ref="K1076"/>
    <hyperlink r:id="rId1076" ref="K1077"/>
    <hyperlink r:id="rId1077" ref="K1078"/>
    <hyperlink r:id="rId1078" ref="K1079"/>
    <hyperlink r:id="rId1079" ref="K1080"/>
    <hyperlink r:id="rId1080" ref="K1081"/>
    <hyperlink r:id="rId1081" ref="K1082"/>
    <hyperlink r:id="rId1082" ref="K1083"/>
    <hyperlink r:id="rId1083" ref="K1084"/>
    <hyperlink r:id="rId1084" ref="K1085"/>
    <hyperlink r:id="rId1085" ref="K1086"/>
    <hyperlink r:id="rId1086" ref="K1087"/>
    <hyperlink r:id="rId1087" ref="K1088"/>
    <hyperlink r:id="rId1088" ref="K1089"/>
    <hyperlink r:id="rId1089" ref="K1090"/>
    <hyperlink r:id="rId1090" ref="K1091"/>
    <hyperlink r:id="rId1091" ref="K1092"/>
    <hyperlink r:id="rId1092" ref="K1093"/>
    <hyperlink r:id="rId1093" ref="K1094"/>
    <hyperlink r:id="rId1094" ref="K1095"/>
    <hyperlink r:id="rId1095" ref="K1096"/>
    <hyperlink r:id="rId1096" ref="K1097"/>
    <hyperlink r:id="rId1097" ref="K1098"/>
    <hyperlink r:id="rId1098" ref="K1099"/>
    <hyperlink r:id="rId1099" ref="K1100"/>
    <hyperlink r:id="rId1100" ref="K1101"/>
    <hyperlink r:id="rId1101" ref="K1102"/>
    <hyperlink r:id="rId1102" ref="K1103"/>
    <hyperlink r:id="rId1103" ref="K1104"/>
    <hyperlink r:id="rId1104" ref="K1105"/>
    <hyperlink r:id="rId1105" ref="K1106"/>
    <hyperlink r:id="rId1106" ref="K1107"/>
    <hyperlink r:id="rId1107" ref="K1108"/>
    <hyperlink r:id="rId1108" ref="K1109"/>
    <hyperlink r:id="rId1109" ref="K1110"/>
    <hyperlink r:id="rId1110" ref="K1111"/>
    <hyperlink r:id="rId1111" ref="K1112"/>
    <hyperlink r:id="rId1112" ref="K1113"/>
    <hyperlink r:id="rId1113" ref="K1114"/>
    <hyperlink r:id="rId1114" ref="K1115"/>
    <hyperlink r:id="rId1115" ref="K1116"/>
    <hyperlink r:id="rId1116" ref="K1117"/>
    <hyperlink r:id="rId1117" ref="K1118"/>
    <hyperlink r:id="rId1118" ref="K1119"/>
    <hyperlink r:id="rId1119" ref="K1120"/>
    <hyperlink r:id="rId1120" ref="K1121"/>
    <hyperlink r:id="rId1121" ref="K1122"/>
    <hyperlink r:id="rId1122" ref="K1123"/>
    <hyperlink r:id="rId1123" ref="K1124"/>
    <hyperlink r:id="rId1124" ref="K1125"/>
    <hyperlink r:id="rId1125" ref="K1126"/>
    <hyperlink r:id="rId1126" ref="K1127"/>
    <hyperlink r:id="rId1127" ref="K1128"/>
    <hyperlink r:id="rId1128" ref="K1129"/>
    <hyperlink r:id="rId1129" ref="K1130"/>
    <hyperlink r:id="rId1130" ref="K1131"/>
    <hyperlink r:id="rId1131" ref="K1132"/>
    <hyperlink r:id="rId1132" ref="K1133"/>
    <hyperlink r:id="rId1133" ref="K1134"/>
    <hyperlink r:id="rId1134" ref="K1135"/>
    <hyperlink r:id="rId1135" ref="K1136"/>
    <hyperlink r:id="rId1136" ref="K1137"/>
    <hyperlink r:id="rId1137" ref="K1138"/>
    <hyperlink r:id="rId1138" ref="K1139"/>
    <hyperlink r:id="rId1139" ref="K1140"/>
    <hyperlink r:id="rId1140" ref="K1141"/>
    <hyperlink r:id="rId1141" ref="K1142"/>
    <hyperlink r:id="rId1142" ref="K1143"/>
    <hyperlink r:id="rId1143" ref="K1144"/>
    <hyperlink r:id="rId1144" ref="K1145"/>
    <hyperlink r:id="rId1145" ref="K1146"/>
    <hyperlink r:id="rId1146" ref="K1147"/>
    <hyperlink r:id="rId1147" ref="K1148"/>
    <hyperlink r:id="rId1148" ref="K1149"/>
    <hyperlink r:id="rId1149" ref="K1150"/>
    <hyperlink r:id="rId1150" ref="K1151"/>
    <hyperlink r:id="rId1151" ref="K1152"/>
    <hyperlink r:id="rId1152" ref="K1153"/>
    <hyperlink r:id="rId1153" ref="D1154"/>
    <hyperlink r:id="rId1154" ref="K1154"/>
    <hyperlink r:id="rId1155" ref="K1155"/>
    <hyperlink r:id="rId1156" ref="K1156"/>
    <hyperlink r:id="rId1157" ref="K1157"/>
    <hyperlink r:id="rId1158" ref="K1158"/>
    <hyperlink r:id="rId1159" ref="K1159"/>
    <hyperlink r:id="rId1160" ref="K1160"/>
    <hyperlink r:id="rId1161" ref="K1161"/>
    <hyperlink r:id="rId1162" ref="K1162"/>
    <hyperlink r:id="rId1163" ref="K1163"/>
    <hyperlink r:id="rId1164" ref="K1164"/>
    <hyperlink r:id="rId1165" ref="K1165"/>
    <hyperlink r:id="rId1166" ref="K1166"/>
    <hyperlink r:id="rId1167" ref="K1167"/>
    <hyperlink r:id="rId1168" ref="K1168"/>
    <hyperlink r:id="rId1169" ref="K1169"/>
    <hyperlink r:id="rId1170" ref="K1170"/>
    <hyperlink r:id="rId1171" ref="K1171"/>
    <hyperlink r:id="rId1172" ref="K1172"/>
    <hyperlink r:id="rId1173" ref="K1173"/>
    <hyperlink r:id="rId1174" ref="K1174"/>
    <hyperlink r:id="rId1175" ref="K1175"/>
    <hyperlink r:id="rId1176" ref="K1176"/>
    <hyperlink r:id="rId1177" ref="K1177"/>
    <hyperlink r:id="rId1178" ref="K1178"/>
    <hyperlink r:id="rId1179" ref="K1179"/>
    <hyperlink r:id="rId1180" ref="K1180"/>
    <hyperlink r:id="rId1181" ref="K1181"/>
  </hyperlinks>
  <drawing r:id="rId118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63"/>
    <col customWidth="1" min="2" max="3" width="11.75"/>
    <col customWidth="1" min="4" max="4" width="30.13"/>
    <col customWidth="1" min="5" max="5" width="74.0"/>
    <col customWidth="1" min="6" max="6" width="12.38"/>
    <col customWidth="1" min="7" max="8" width="9.38"/>
    <col customWidth="1" min="9" max="9" width="63.5"/>
    <col customWidth="1" min="10" max="10" width="76.13"/>
    <col customWidth="1" min="11" max="11" width="19.0"/>
    <col customWidth="1" min="12" max="12" width="25.38"/>
    <col customWidth="1" min="13" max="13" width="42.13"/>
    <col customWidth="1" min="14" max="14" width="64.5"/>
    <col customWidth="1" min="15" max="15" width="15.13"/>
    <col customWidth="1" min="16" max="16" width="31.38"/>
    <col customWidth="1" min="17" max="17" width="31.75"/>
    <col customWidth="1" min="18" max="18" width="10.13"/>
    <col customWidth="1" min="19" max="25" width="12.63"/>
  </cols>
  <sheetData>
    <row r="1" ht="26.25" customHeight="1">
      <c r="A1" s="16" t="s">
        <v>30</v>
      </c>
      <c r="B1" s="16" t="s">
        <v>31</v>
      </c>
      <c r="C1" s="16" t="s">
        <v>73</v>
      </c>
      <c r="D1" s="16" t="s">
        <v>5274</v>
      </c>
      <c r="E1" s="16" t="s">
        <v>75</v>
      </c>
      <c r="F1" s="16" t="s">
        <v>5275</v>
      </c>
      <c r="G1" s="16" t="s">
        <v>60</v>
      </c>
      <c r="H1" s="16" t="s">
        <v>61</v>
      </c>
      <c r="I1" s="16" t="s">
        <v>77</v>
      </c>
      <c r="J1" s="16" t="s">
        <v>78</v>
      </c>
      <c r="K1" s="16" t="s">
        <v>5276</v>
      </c>
      <c r="L1" s="16" t="s">
        <v>5277</v>
      </c>
      <c r="M1" s="16" t="s">
        <v>5278</v>
      </c>
      <c r="N1" s="16" t="s">
        <v>82</v>
      </c>
      <c r="O1" s="70" t="s">
        <v>29</v>
      </c>
      <c r="P1" s="61" t="s">
        <v>1</v>
      </c>
      <c r="Q1" s="70" t="s">
        <v>118</v>
      </c>
      <c r="R1" s="70" t="s">
        <v>119</v>
      </c>
      <c r="S1" s="12"/>
      <c r="T1" s="12"/>
      <c r="U1" s="12"/>
      <c r="V1" s="12"/>
      <c r="W1" s="12"/>
      <c r="X1" s="12"/>
      <c r="Y1" s="12"/>
    </row>
    <row r="2" ht="26.25" customHeight="1">
      <c r="A2" s="109" t="str">
        <f>IFERROR(__xludf.DUMMYFUNCTION("QUERY(MasterData!A1:NK11797,""select BI,BJ,BK,BL,BM,BN,BO,BP,BQ,BR,BS,BT,BU,BV,B,C,FL,FM where C='S5: Student Workshops/Conf attended'"",0)"),"Kundrapu Jayanth Naidu")</f>
        <v>Kundrapu Jayanth Naidu</v>
      </c>
      <c r="B2" s="109" t="str">
        <f>IFERROR(__xludf.DUMMYFUNCTION("""COMPUTED_VALUE"""),"18331A0582")</f>
        <v>18331A0582</v>
      </c>
      <c r="C2" s="109" t="str">
        <f>IFERROR(__xludf.DUMMYFUNCTION("""COMPUTED_VALUE"""),"2018-2019")</f>
        <v>2018-2019</v>
      </c>
      <c r="D2" s="109" t="str">
        <f>IFERROR(__xludf.DUMMYFUNCTION("""COMPUTED_VALUE"""),"Conference")</f>
        <v>Conference</v>
      </c>
      <c r="E2" s="109" t="str">
        <f>IFERROR(__xludf.DUMMYFUNCTION("""COMPUTED_VALUE"""),"International Conference on Cognitive Science and Artificial Intelligence")</f>
        <v>International Conference on Cognitive Science and Artificial Intelligence</v>
      </c>
      <c r="F2" s="109">
        <f>IFERROR(__xludf.DUMMYFUNCTION("""COMPUTED_VALUE"""),2.0)</f>
        <v>2</v>
      </c>
      <c r="G2" s="110">
        <f>IFERROR(__xludf.DUMMYFUNCTION("""COMPUTED_VALUE"""),43462.0)</f>
        <v>43462</v>
      </c>
      <c r="H2" s="110">
        <f>IFERROR(__xludf.DUMMYFUNCTION("""COMPUTED_VALUE"""),43463.0)</f>
        <v>43463</v>
      </c>
      <c r="I2" s="109" t="str">
        <f>IFERROR(__xludf.DUMMYFUNCTION("""COMPUTED_VALUE"""),"Institute of Bioinformatics and computational Biology")</f>
        <v>Institute of Bioinformatics and computational Biology</v>
      </c>
      <c r="J2" s="109" t="str">
        <f>IFERROR(__xludf.DUMMYFUNCTION("""COMPUTED_VALUE"""),"Dr P.SATHEESH ")</f>
        <v>Dr P.SATHEESH </v>
      </c>
      <c r="K2" s="109" t="str">
        <f>IFERROR(__xludf.DUMMYFUNCTION("""COMPUTED_VALUE"""),"International")</f>
        <v>International</v>
      </c>
      <c r="L2" s="109" t="str">
        <f>IFERROR(__xludf.DUMMYFUNCTION("""COMPUTED_VALUE"""),"Free")</f>
        <v>Free</v>
      </c>
      <c r="M2" s="109"/>
      <c r="N2" s="111" t="str">
        <f>IFERROR(__xludf.DUMMYFUNCTION("""COMPUTED_VALUE"""),"https://drive.google.com/open?id=1GzSlloib5_ZjM3U8BaXAS0iZVY4Qvefl")</f>
        <v>https://drive.google.com/open?id=1GzSlloib5_ZjM3U8BaXAS0iZVY4Qvefl</v>
      </c>
      <c r="O2" s="71" t="str">
        <f>IFERROR(__xludf.DUMMYFUNCTION("""COMPUTED_VALUE"""),"5")</f>
        <v>5</v>
      </c>
      <c r="P2" s="71" t="str">
        <f>IFERROR(__xludf.DUMMYFUNCTION("""COMPUTED_VALUE"""),"S5: Student Workshops/Conf attended")</f>
        <v>S5: Student Workshops/Conf attended</v>
      </c>
      <c r="Q2" s="71" t="str">
        <f>IFERROR(__xludf.DUMMYFUNCTION("""COMPUTED_VALUE"""),"18331a0582@mvgrce.edu.in")</f>
        <v>18331a0582@mvgrce.edu.in</v>
      </c>
      <c r="R2" s="71"/>
      <c r="S2" s="74"/>
      <c r="T2" s="74"/>
      <c r="U2" s="74"/>
      <c r="V2" s="74"/>
      <c r="W2" s="74"/>
      <c r="X2" s="74"/>
      <c r="Y2" s="74"/>
    </row>
    <row r="3" ht="26.25" customHeight="1">
      <c r="A3" s="21" t="str">
        <f>IFERROR(__xludf.DUMMYFUNCTION("""COMPUTED_VALUE"""),"BHUPATHIRAJU S S SOWJANYA LAKSHMI")</f>
        <v>BHUPATHIRAJU S S SOWJANYA LAKSHMI</v>
      </c>
      <c r="B3" s="21" t="str">
        <f>IFERROR(__xludf.DUMMYFUNCTION("""COMPUTED_VALUE"""),"19331D8401")</f>
        <v>19331D8401</v>
      </c>
      <c r="C3" s="21" t="str">
        <f>IFERROR(__xludf.DUMMYFUNCTION("""COMPUTED_VALUE"""),"2020-2021")</f>
        <v>2020-2021</v>
      </c>
      <c r="D3" s="21" t="str">
        <f>IFERROR(__xludf.DUMMYFUNCTION("""COMPUTED_VALUE"""),"Webinar")</f>
        <v>Webinar</v>
      </c>
      <c r="E3" s="21" t="str">
        <f>IFERROR(__xludf.DUMMYFUNCTION("""COMPUTED_VALUE"""),"IPR Strategy for startups and MSMEs")</f>
        <v>IPR Strategy for startups and MSMEs</v>
      </c>
      <c r="F3" s="21">
        <f>IFERROR(__xludf.DUMMYFUNCTION("""COMPUTED_VALUE"""),1.0)</f>
        <v>1</v>
      </c>
      <c r="G3" s="112">
        <f>IFERROR(__xludf.DUMMYFUNCTION("""COMPUTED_VALUE"""),44254.0)</f>
        <v>44254</v>
      </c>
      <c r="H3" s="112">
        <f>IFERROR(__xludf.DUMMYFUNCTION("""COMPUTED_VALUE"""),44254.0)</f>
        <v>44254</v>
      </c>
      <c r="I3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3" s="21" t="str">
        <f>IFERROR(__xludf.DUMMYFUNCTION("""COMPUTED_VALUE"""),"1.	Dr. Dayanada Murthy 
2.	Dr. B.K Sahu
3.	Shri. Ravi Gadde
4.	G.V.R. Naidu
5.	Shri. Satish Kumar
6.	Dr.R.Ramesh")</f>
        <v>1.	Dr. Dayanada Murthy 
2.	Dr. B.K Sahu
3.	Shri. Ravi Gadde
4.	G.V.R. Naidu
5.	Shri. Satish Kumar
6.	Dr.R.Ramesh</v>
      </c>
      <c r="K3" s="21" t="str">
        <f>IFERROR(__xludf.DUMMYFUNCTION("""COMPUTED_VALUE"""),"National")</f>
        <v>National</v>
      </c>
      <c r="L3" s="21" t="str">
        <f>IFERROR(__xludf.DUMMYFUNCTION("""COMPUTED_VALUE"""),"Free")</f>
        <v>Free</v>
      </c>
      <c r="M3" s="21"/>
      <c r="N3" s="113" t="str">
        <f>IFERROR(__xludf.DUMMYFUNCTION("""COMPUTED_VALUE"""),"https://drive.google.com/open?id=1nOXIgsmw_1iZ20dMcolXCnFpxNh3geu6")</f>
        <v>https://drive.google.com/open?id=1nOXIgsmw_1iZ20dMcolXCnFpxNh3geu6</v>
      </c>
      <c r="O3" s="64" t="str">
        <f>IFERROR(__xludf.DUMMYFUNCTION("""COMPUTED_VALUE"""),"3")</f>
        <v>3</v>
      </c>
      <c r="P3" s="64" t="str">
        <f>IFERROR(__xludf.DUMMYFUNCTION("""COMPUTED_VALUE"""),"S5: Student Workshops/Conf attended")</f>
        <v>S5: Student Workshops/Conf attended</v>
      </c>
      <c r="Q3" s="64" t="str">
        <f>IFERROR(__xludf.DUMMYFUNCTION("""COMPUTED_VALUE"""),"placementcse@mvgrce.edu.in")</f>
        <v>placementcse@mvgrce.edu.in</v>
      </c>
      <c r="R3" s="64"/>
      <c r="S3" s="12"/>
      <c r="T3" s="12"/>
      <c r="U3" s="12"/>
      <c r="V3" s="12"/>
      <c r="W3" s="12"/>
      <c r="X3" s="12"/>
      <c r="Y3" s="12"/>
    </row>
    <row r="4" ht="26.25" customHeight="1">
      <c r="A4" s="21" t="str">
        <f>IFERROR(__xludf.DUMMYFUNCTION("""COMPUTED_VALUE"""),"CHENDA ARUN HYDE")</f>
        <v>CHENDA ARUN HYDE</v>
      </c>
      <c r="B4" s="21" t="str">
        <f>IFERROR(__xludf.DUMMYFUNCTION("""COMPUTED_VALUE"""),"19331D8402")</f>
        <v>19331D8402</v>
      </c>
      <c r="C4" s="21" t="str">
        <f>IFERROR(__xludf.DUMMYFUNCTION("""COMPUTED_VALUE"""),"2020-2021")</f>
        <v>2020-2021</v>
      </c>
      <c r="D4" s="21" t="str">
        <f>IFERROR(__xludf.DUMMYFUNCTION("""COMPUTED_VALUE"""),"Webinar")</f>
        <v>Webinar</v>
      </c>
      <c r="E4" s="21" t="str">
        <f>IFERROR(__xludf.DUMMYFUNCTION("""COMPUTED_VALUE"""),"IPR Strategy for startups and MSMEs")</f>
        <v>IPR Strategy for startups and MSMEs</v>
      </c>
      <c r="F4" s="21">
        <f>IFERROR(__xludf.DUMMYFUNCTION("""COMPUTED_VALUE"""),1.0)</f>
        <v>1</v>
      </c>
      <c r="G4" s="112">
        <f>IFERROR(__xludf.DUMMYFUNCTION("""COMPUTED_VALUE"""),44254.0)</f>
        <v>44254</v>
      </c>
      <c r="H4" s="112">
        <f>IFERROR(__xludf.DUMMYFUNCTION("""COMPUTED_VALUE"""),44254.0)</f>
        <v>44254</v>
      </c>
      <c r="I4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4" s="21" t="str">
        <f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
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v>
      </c>
      <c r="K4" s="21" t="str">
        <f>IFERROR(__xludf.DUMMYFUNCTION("""COMPUTED_VALUE"""),"National")</f>
        <v>National</v>
      </c>
      <c r="L4" s="21" t="str">
        <f>IFERROR(__xludf.DUMMYFUNCTION("""COMPUTED_VALUE"""),"Free")</f>
        <v>Free</v>
      </c>
      <c r="M4" s="21"/>
      <c r="N4" s="113" t="str">
        <f>IFERROR(__xludf.DUMMYFUNCTION("""COMPUTED_VALUE"""),"https://drive.google.com/open?id=1afo59aMa85woopBPrtJmp_56u-PY7HTs")</f>
        <v>https://drive.google.com/open?id=1afo59aMa85woopBPrtJmp_56u-PY7HTs</v>
      </c>
      <c r="O4" s="64" t="str">
        <f>IFERROR(__xludf.DUMMYFUNCTION("""COMPUTED_VALUE"""),"3")</f>
        <v>3</v>
      </c>
      <c r="P4" s="64" t="str">
        <f>IFERROR(__xludf.DUMMYFUNCTION("""COMPUTED_VALUE"""),"S5: Student Workshops/Conf attended")</f>
        <v>S5: Student Workshops/Conf attended</v>
      </c>
      <c r="Q4" s="64" t="str">
        <f>IFERROR(__xludf.DUMMYFUNCTION("""COMPUTED_VALUE"""),"placementcse@mvgrce.edu.in")</f>
        <v>placementcse@mvgrce.edu.in</v>
      </c>
      <c r="R4" s="64"/>
      <c r="S4" s="12"/>
      <c r="T4" s="12"/>
      <c r="U4" s="12"/>
      <c r="V4" s="12"/>
      <c r="W4" s="12"/>
      <c r="X4" s="12"/>
      <c r="Y4" s="12"/>
    </row>
    <row r="5" ht="26.25" customHeight="1">
      <c r="A5" s="21" t="str">
        <f>IFERROR(__xludf.DUMMYFUNCTION("""COMPUTED_VALUE"""),"LOLLA KIRAN KUMAR")</f>
        <v>LOLLA KIRAN KUMAR</v>
      </c>
      <c r="B5" s="21" t="str">
        <f>IFERROR(__xludf.DUMMYFUNCTION("""COMPUTED_VALUE"""),"19331D8403")</f>
        <v>19331D8403</v>
      </c>
      <c r="C5" s="21" t="str">
        <f>IFERROR(__xludf.DUMMYFUNCTION("""COMPUTED_VALUE"""),"2020-2021")</f>
        <v>2020-2021</v>
      </c>
      <c r="D5" s="21" t="str">
        <f>IFERROR(__xludf.DUMMYFUNCTION("""COMPUTED_VALUE"""),"Webinar")</f>
        <v>Webinar</v>
      </c>
      <c r="E5" s="21" t="str">
        <f>IFERROR(__xludf.DUMMYFUNCTION("""COMPUTED_VALUE"""),"IPR Strategy for startups and MSMEs ")</f>
        <v>IPR Strategy for startups and MSMEs </v>
      </c>
      <c r="F5" s="21">
        <f>IFERROR(__xludf.DUMMYFUNCTION("""COMPUTED_VALUE"""),1.0)</f>
        <v>1</v>
      </c>
      <c r="G5" s="112">
        <f>IFERROR(__xludf.DUMMYFUNCTION("""COMPUTED_VALUE"""),44254.0)</f>
        <v>44254</v>
      </c>
      <c r="H5" s="112">
        <f>IFERROR(__xludf.DUMMYFUNCTION("""COMPUTED_VALUE"""),44254.0)</f>
        <v>44254</v>
      </c>
      <c r="I5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5" s="21" t="str">
        <f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</v>
      </c>
      <c r="K5" s="21" t="str">
        <f>IFERROR(__xludf.DUMMYFUNCTION("""COMPUTED_VALUE"""),"National")</f>
        <v>National</v>
      </c>
      <c r="L5" s="21" t="str">
        <f>IFERROR(__xludf.DUMMYFUNCTION("""COMPUTED_VALUE"""),"Free")</f>
        <v>Free</v>
      </c>
      <c r="M5" s="21"/>
      <c r="N5" s="113" t="str">
        <f>IFERROR(__xludf.DUMMYFUNCTION("""COMPUTED_VALUE"""),"https://drive.google.com/open?id=1QmIkUIxHvdzBAcki1wIXRP47a-PU77Kk")</f>
        <v>https://drive.google.com/open?id=1QmIkUIxHvdzBAcki1wIXRP47a-PU77Kk</v>
      </c>
      <c r="O5" s="64" t="str">
        <f>IFERROR(__xludf.DUMMYFUNCTION("""COMPUTED_VALUE"""),"3")</f>
        <v>3</v>
      </c>
      <c r="P5" s="64" t="str">
        <f>IFERROR(__xludf.DUMMYFUNCTION("""COMPUTED_VALUE"""),"S5: Student Workshops/Conf attended")</f>
        <v>S5: Student Workshops/Conf attended</v>
      </c>
      <c r="Q5" s="64" t="str">
        <f>IFERROR(__xludf.DUMMYFUNCTION("""COMPUTED_VALUE"""),"placementcse@mvgrce.edu.in")</f>
        <v>placementcse@mvgrce.edu.in</v>
      </c>
      <c r="R5" s="64"/>
      <c r="S5" s="12"/>
      <c r="T5" s="12"/>
      <c r="U5" s="12"/>
      <c r="V5" s="12"/>
      <c r="W5" s="12"/>
      <c r="X5" s="12"/>
      <c r="Y5" s="12"/>
    </row>
    <row r="6" ht="26.25" customHeight="1">
      <c r="A6" s="21" t="str">
        <f>IFERROR(__xludf.DUMMYFUNCTION("""COMPUTED_VALUE"""),"TADELA PRADEEP ")</f>
        <v>TADELA PRADEEP </v>
      </c>
      <c r="B6" s="21" t="str">
        <f>IFERROR(__xludf.DUMMYFUNCTION("""COMPUTED_VALUE"""),"19331D8404")</f>
        <v>19331D8404</v>
      </c>
      <c r="C6" s="21" t="str">
        <f>IFERROR(__xludf.DUMMYFUNCTION("""COMPUTED_VALUE"""),"2020-2021")</f>
        <v>2020-2021</v>
      </c>
      <c r="D6" s="21" t="str">
        <f>IFERROR(__xludf.DUMMYFUNCTION("""COMPUTED_VALUE"""),"Webinar")</f>
        <v>Webinar</v>
      </c>
      <c r="E6" s="21" t="str">
        <f>IFERROR(__xludf.DUMMYFUNCTION("""COMPUTED_VALUE"""),"IPR Strategy for startups and MSMEs ")</f>
        <v>IPR Strategy for startups and MSMEs </v>
      </c>
      <c r="F6" s="21">
        <f>IFERROR(__xludf.DUMMYFUNCTION("""COMPUTED_VALUE"""),1.0)</f>
        <v>1</v>
      </c>
      <c r="G6" s="112">
        <f>IFERROR(__xludf.DUMMYFUNCTION("""COMPUTED_VALUE"""),44254.0)</f>
        <v>44254</v>
      </c>
      <c r="H6" s="112">
        <f>IFERROR(__xludf.DUMMYFUNCTION("""COMPUTED_VALUE"""),44254.0)</f>
        <v>44254</v>
      </c>
      <c r="I6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6" s="21" t="str">
        <f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v>
      </c>
      <c r="K6" s="21" t="str">
        <f>IFERROR(__xludf.DUMMYFUNCTION("""COMPUTED_VALUE"""),"National")</f>
        <v>National</v>
      </c>
      <c r="L6" s="21" t="str">
        <f>IFERROR(__xludf.DUMMYFUNCTION("""COMPUTED_VALUE"""),"Free")</f>
        <v>Free</v>
      </c>
      <c r="M6" s="21"/>
      <c r="N6" s="113" t="str">
        <f>IFERROR(__xludf.DUMMYFUNCTION("""COMPUTED_VALUE"""),"https://drive.google.com/open?id=1Pe0T8pWf12QdeQ2l38yTmPICsIyeZbQy")</f>
        <v>https://drive.google.com/open?id=1Pe0T8pWf12QdeQ2l38yTmPICsIyeZbQy</v>
      </c>
      <c r="O6" s="64" t="str">
        <f>IFERROR(__xludf.DUMMYFUNCTION("""COMPUTED_VALUE"""),"3")</f>
        <v>3</v>
      </c>
      <c r="P6" s="64" t="str">
        <f>IFERROR(__xludf.DUMMYFUNCTION("""COMPUTED_VALUE"""),"S5: Student Workshops/Conf attended")</f>
        <v>S5: Student Workshops/Conf attended</v>
      </c>
      <c r="Q6" s="64" t="str">
        <f>IFERROR(__xludf.DUMMYFUNCTION("""COMPUTED_VALUE"""),"placementcse@mvgrce.edu.in")</f>
        <v>placementcse@mvgrce.edu.in</v>
      </c>
      <c r="R6" s="64"/>
      <c r="S6" s="12"/>
      <c r="T6" s="12"/>
      <c r="U6" s="12"/>
      <c r="V6" s="12"/>
      <c r="W6" s="12"/>
      <c r="X6" s="12"/>
      <c r="Y6" s="12"/>
    </row>
    <row r="7" ht="26.25" customHeight="1">
      <c r="A7" s="21" t="str">
        <f>IFERROR(__xludf.DUMMYFUNCTION("""COMPUTED_VALUE"""),"UPPALAPATI BHARATHI")</f>
        <v>UPPALAPATI BHARATHI</v>
      </c>
      <c r="B7" s="21" t="str">
        <f>IFERROR(__xludf.DUMMYFUNCTION("""COMPUTED_VALUE"""),"19331D8405")</f>
        <v>19331D8405</v>
      </c>
      <c r="C7" s="21" t="str">
        <f>IFERROR(__xludf.DUMMYFUNCTION("""COMPUTED_VALUE"""),"2020-2021")</f>
        <v>2020-2021</v>
      </c>
      <c r="D7" s="21" t="str">
        <f>IFERROR(__xludf.DUMMYFUNCTION("""COMPUTED_VALUE"""),"Webinar")</f>
        <v>Webinar</v>
      </c>
      <c r="E7" s="21" t="str">
        <f>IFERROR(__xludf.DUMMYFUNCTION("""COMPUTED_VALUE"""),"IPR Strategy for startups and MSMEs ")</f>
        <v>IPR Strategy for startups and MSMEs </v>
      </c>
      <c r="F7" s="21">
        <f>IFERROR(__xludf.DUMMYFUNCTION("""COMPUTED_VALUE"""),1.0)</f>
        <v>1</v>
      </c>
      <c r="G7" s="112">
        <f>IFERROR(__xludf.DUMMYFUNCTION("""COMPUTED_VALUE"""),44254.0)</f>
        <v>44254</v>
      </c>
      <c r="H7" s="112">
        <f>IFERROR(__xludf.DUMMYFUNCTION("""COMPUTED_VALUE"""),44254.0)</f>
        <v>44254</v>
      </c>
      <c r="I7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7" s="21" t="str">
        <f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</v>
      </c>
      <c r="K7" s="21" t="str">
        <f>IFERROR(__xludf.DUMMYFUNCTION("""COMPUTED_VALUE"""),"National")</f>
        <v>National</v>
      </c>
      <c r="L7" s="21" t="str">
        <f>IFERROR(__xludf.DUMMYFUNCTION("""COMPUTED_VALUE"""),"Free")</f>
        <v>Free</v>
      </c>
      <c r="M7" s="21"/>
      <c r="N7" s="113" t="str">
        <f>IFERROR(__xludf.DUMMYFUNCTION("""COMPUTED_VALUE"""),"https://drive.google.com/open?id=1W3oS3s45iTQmlMEJQi1z29zqvH6WU2Oe")</f>
        <v>https://drive.google.com/open?id=1W3oS3s45iTQmlMEJQi1z29zqvH6WU2Oe</v>
      </c>
      <c r="O7" s="64" t="str">
        <f>IFERROR(__xludf.DUMMYFUNCTION("""COMPUTED_VALUE"""),"3")</f>
        <v>3</v>
      </c>
      <c r="P7" s="64" t="str">
        <f>IFERROR(__xludf.DUMMYFUNCTION("""COMPUTED_VALUE"""),"S5: Student Workshops/Conf attended")</f>
        <v>S5: Student Workshops/Conf attended</v>
      </c>
      <c r="Q7" s="64" t="str">
        <f>IFERROR(__xludf.DUMMYFUNCTION("""COMPUTED_VALUE"""),"placementcse@mvgrce.edu.in")</f>
        <v>placementcse@mvgrce.edu.in</v>
      </c>
      <c r="R7" s="64"/>
      <c r="S7" s="12"/>
      <c r="T7" s="12"/>
      <c r="U7" s="12"/>
      <c r="V7" s="12"/>
      <c r="W7" s="12"/>
      <c r="X7" s="12"/>
      <c r="Y7" s="12"/>
    </row>
    <row r="8" ht="26.25" customHeight="1">
      <c r="A8" s="21" t="str">
        <f>IFERROR(__xludf.DUMMYFUNCTION("""COMPUTED_VALUE"""),"BHUPATHIRAJU S S SOWJANYA LAKSHMI")</f>
        <v>BHUPATHIRAJU S S SOWJANYA LAKSHMI</v>
      </c>
      <c r="B8" s="21" t="str">
        <f>IFERROR(__xludf.DUMMYFUNCTION("""COMPUTED_VALUE"""),"19331D8401")</f>
        <v>19331D8401</v>
      </c>
      <c r="C8" s="21" t="str">
        <f>IFERROR(__xludf.DUMMYFUNCTION("""COMPUTED_VALUE"""),"2020-2021")</f>
        <v>2020-2021</v>
      </c>
      <c r="D8" s="21" t="str">
        <f>IFERROR(__xludf.DUMMYFUNCTION("""COMPUTED_VALUE"""),"Conference")</f>
        <v>Conference</v>
      </c>
      <c r="E8" s="21" t="str">
        <f>IFERROR(__xludf.DUMMYFUNCTION("""COMPUTED_VALUE"""),"Intellectual Property Rights (IPRs)-Trademarks and Copyrights ")</f>
        <v>Intellectual Property Rights (IPRs)-Trademarks and Copyrights </v>
      </c>
      <c r="F8" s="21">
        <f>IFERROR(__xludf.DUMMYFUNCTION("""COMPUTED_VALUE"""),1.0)</f>
        <v>1</v>
      </c>
      <c r="G8" s="112">
        <f>IFERROR(__xludf.DUMMYFUNCTION("""COMPUTED_VALUE"""),44267.0)</f>
        <v>44267</v>
      </c>
      <c r="H8" s="112">
        <f>IFERROR(__xludf.DUMMYFUNCTION("""COMPUTED_VALUE"""),44267.0)</f>
        <v>44267</v>
      </c>
      <c r="I8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8" s="21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8" s="21" t="str">
        <f>IFERROR(__xludf.DUMMYFUNCTION("""COMPUTED_VALUE"""),"National")</f>
        <v>National</v>
      </c>
      <c r="L8" s="21" t="str">
        <f>IFERROR(__xludf.DUMMYFUNCTION("""COMPUTED_VALUE"""),"Free")</f>
        <v>Free</v>
      </c>
      <c r="M8" s="21">
        <f>IFERROR(__xludf.DUMMYFUNCTION("""COMPUTED_VALUE"""),0.0)</f>
        <v>0</v>
      </c>
      <c r="N8" s="113" t="str">
        <f>IFERROR(__xludf.DUMMYFUNCTION("""COMPUTED_VALUE"""),"https://drive.google.com/open?id=1RgZ80kmSdlvQtzc3UJScqGgKGkzKnbfI")</f>
        <v>https://drive.google.com/open?id=1RgZ80kmSdlvQtzc3UJScqGgKGkzKnbfI</v>
      </c>
      <c r="O8" s="64" t="str">
        <f>IFERROR(__xludf.DUMMYFUNCTION("""COMPUTED_VALUE"""),"3")</f>
        <v>3</v>
      </c>
      <c r="P8" s="64" t="str">
        <f>IFERROR(__xludf.DUMMYFUNCTION("""COMPUTED_VALUE"""),"S5: Student Workshops/Conf attended")</f>
        <v>S5: Student Workshops/Conf attended</v>
      </c>
      <c r="Q8" s="64" t="str">
        <f>IFERROR(__xludf.DUMMYFUNCTION("""COMPUTED_VALUE"""),"narendrakumar@mvgrce.edu.in")</f>
        <v>narendrakumar@mvgrce.edu.in</v>
      </c>
      <c r="R8" s="64"/>
      <c r="S8" s="12"/>
      <c r="T8" s="12"/>
      <c r="U8" s="12"/>
      <c r="V8" s="12"/>
      <c r="W8" s="12"/>
      <c r="X8" s="12"/>
      <c r="Y8" s="12"/>
    </row>
    <row r="9" ht="26.25" customHeight="1">
      <c r="A9" s="21" t="str">
        <f>IFERROR(__xludf.DUMMYFUNCTION("""COMPUTED_VALUE"""),"CHENDA ARUN HYDE")</f>
        <v>CHENDA ARUN HYDE</v>
      </c>
      <c r="B9" s="21" t="str">
        <f>IFERROR(__xludf.DUMMYFUNCTION("""COMPUTED_VALUE"""),"19331D8402")</f>
        <v>19331D8402</v>
      </c>
      <c r="C9" s="21" t="str">
        <f>IFERROR(__xludf.DUMMYFUNCTION("""COMPUTED_VALUE"""),"2020-2021")</f>
        <v>2020-2021</v>
      </c>
      <c r="D9" s="21" t="str">
        <f>IFERROR(__xludf.DUMMYFUNCTION("""COMPUTED_VALUE"""),"Webinar")</f>
        <v>Webinar</v>
      </c>
      <c r="E9" s="21" t="str">
        <f>IFERROR(__xludf.DUMMYFUNCTION("""COMPUTED_VALUE"""),"Intellectual Property Rights (IPRs)-Trademarks and Copyrights ")</f>
        <v>Intellectual Property Rights (IPRs)-Trademarks and Copyrights </v>
      </c>
      <c r="F9" s="21">
        <f>IFERROR(__xludf.DUMMYFUNCTION("""COMPUTED_VALUE"""),1.0)</f>
        <v>1</v>
      </c>
      <c r="G9" s="112">
        <f>IFERROR(__xludf.DUMMYFUNCTION("""COMPUTED_VALUE"""),44267.0)</f>
        <v>44267</v>
      </c>
      <c r="H9" s="112">
        <f>IFERROR(__xludf.DUMMYFUNCTION("""COMPUTED_VALUE"""),44267.0)</f>
        <v>44267</v>
      </c>
      <c r="I9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9" s="21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9" s="21" t="str">
        <f>IFERROR(__xludf.DUMMYFUNCTION("""COMPUTED_VALUE"""),"National")</f>
        <v>National</v>
      </c>
      <c r="L9" s="21" t="str">
        <f>IFERROR(__xludf.DUMMYFUNCTION("""COMPUTED_VALUE"""),"Free")</f>
        <v>Free</v>
      </c>
      <c r="M9" s="21">
        <f>IFERROR(__xludf.DUMMYFUNCTION("""COMPUTED_VALUE"""),0.0)</f>
        <v>0</v>
      </c>
      <c r="N9" s="113" t="str">
        <f>IFERROR(__xludf.DUMMYFUNCTION("""COMPUTED_VALUE"""),"https://drive.google.com/open?id=1dK_D_RDE24bPlmDiUo1YrkdeeNUXFGV-")</f>
        <v>https://drive.google.com/open?id=1dK_D_RDE24bPlmDiUo1YrkdeeNUXFGV-</v>
      </c>
      <c r="O9" s="64" t="str">
        <f>IFERROR(__xludf.DUMMYFUNCTION("""COMPUTED_VALUE"""),"3")</f>
        <v>3</v>
      </c>
      <c r="P9" s="64" t="str">
        <f>IFERROR(__xludf.DUMMYFUNCTION("""COMPUTED_VALUE"""),"S5: Student Workshops/Conf attended")</f>
        <v>S5: Student Workshops/Conf attended</v>
      </c>
      <c r="Q9" s="64" t="str">
        <f>IFERROR(__xludf.DUMMYFUNCTION("""COMPUTED_VALUE"""),"narendrakumar@mvgrce.edu.in")</f>
        <v>narendrakumar@mvgrce.edu.in</v>
      </c>
      <c r="R9" s="64"/>
      <c r="S9" s="12"/>
      <c r="T9" s="12"/>
      <c r="U9" s="12"/>
      <c r="V9" s="12"/>
      <c r="W9" s="12"/>
      <c r="X9" s="12"/>
      <c r="Y9" s="12"/>
    </row>
    <row r="10" ht="26.25" customHeight="1">
      <c r="A10" s="21" t="str">
        <f>IFERROR(__xludf.DUMMYFUNCTION("""COMPUTED_VALUE"""),"LOLLA KIRAN KUMAR")</f>
        <v>LOLLA KIRAN KUMAR</v>
      </c>
      <c r="B10" s="21" t="str">
        <f>IFERROR(__xludf.DUMMYFUNCTION("""COMPUTED_VALUE"""),"19331D8403	")</f>
        <v>19331D8403	</v>
      </c>
      <c r="C10" s="21" t="str">
        <f>IFERROR(__xludf.DUMMYFUNCTION("""COMPUTED_VALUE"""),"2020-2021")</f>
        <v>2020-2021</v>
      </c>
      <c r="D10" s="21" t="str">
        <f>IFERROR(__xludf.DUMMYFUNCTION("""COMPUTED_VALUE"""),"Webinar")</f>
        <v>Webinar</v>
      </c>
      <c r="E10" s="21" t="str">
        <f>IFERROR(__xludf.DUMMYFUNCTION("""COMPUTED_VALUE"""),"Intellectual Property Rights (IPRs)-Trademarks and Copyrights ")</f>
        <v>Intellectual Property Rights (IPRs)-Trademarks and Copyrights </v>
      </c>
      <c r="F10" s="21">
        <f>IFERROR(__xludf.DUMMYFUNCTION("""COMPUTED_VALUE"""),1.0)</f>
        <v>1</v>
      </c>
      <c r="G10" s="112">
        <f>IFERROR(__xludf.DUMMYFUNCTION("""COMPUTED_VALUE"""),44267.0)</f>
        <v>44267</v>
      </c>
      <c r="H10" s="112">
        <f>IFERROR(__xludf.DUMMYFUNCTION("""COMPUTED_VALUE"""),44267.0)</f>
        <v>44267</v>
      </c>
      <c r="I10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10" s="21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10" s="21" t="str">
        <f>IFERROR(__xludf.DUMMYFUNCTION("""COMPUTED_VALUE"""),"National")</f>
        <v>National</v>
      </c>
      <c r="L10" s="21" t="str">
        <f>IFERROR(__xludf.DUMMYFUNCTION("""COMPUTED_VALUE"""),"Free")</f>
        <v>Free</v>
      </c>
      <c r="M10" s="21"/>
      <c r="N10" s="113" t="str">
        <f>IFERROR(__xludf.DUMMYFUNCTION("""COMPUTED_VALUE"""),"https://drive.google.com/open?id=1TYqCMYsPfhi8HRht_jC-sxycUMe9HGFz")</f>
        <v>https://drive.google.com/open?id=1TYqCMYsPfhi8HRht_jC-sxycUMe9HGFz</v>
      </c>
      <c r="O10" s="64" t="str">
        <f>IFERROR(__xludf.DUMMYFUNCTION("""COMPUTED_VALUE"""),"3")</f>
        <v>3</v>
      </c>
      <c r="P10" s="64" t="str">
        <f>IFERROR(__xludf.DUMMYFUNCTION("""COMPUTED_VALUE"""),"S5: Student Workshops/Conf attended")</f>
        <v>S5: Student Workshops/Conf attended</v>
      </c>
      <c r="Q10" s="64" t="str">
        <f>IFERROR(__xludf.DUMMYFUNCTION("""COMPUTED_VALUE"""),"narendrakumar@mvgrce.edu.in")</f>
        <v>narendrakumar@mvgrce.edu.in</v>
      </c>
      <c r="R10" s="64"/>
      <c r="S10" s="12"/>
      <c r="T10" s="12"/>
      <c r="U10" s="12"/>
      <c r="V10" s="12"/>
      <c r="W10" s="12"/>
      <c r="X10" s="12"/>
      <c r="Y10" s="12"/>
    </row>
    <row r="11" ht="26.25" customHeight="1">
      <c r="A11" s="21" t="str">
        <f>IFERROR(__xludf.DUMMYFUNCTION("""COMPUTED_VALUE"""),"TADELA PRADEEP ")</f>
        <v>TADELA PRADEEP </v>
      </c>
      <c r="B11" s="21" t="str">
        <f>IFERROR(__xludf.DUMMYFUNCTION("""COMPUTED_VALUE"""),"19331D8404	")</f>
        <v>19331D8404	</v>
      </c>
      <c r="C11" s="21" t="str">
        <f>IFERROR(__xludf.DUMMYFUNCTION("""COMPUTED_VALUE"""),"2020-2021")</f>
        <v>2020-2021</v>
      </c>
      <c r="D11" s="21" t="str">
        <f>IFERROR(__xludf.DUMMYFUNCTION("""COMPUTED_VALUE"""),"Webinar")</f>
        <v>Webinar</v>
      </c>
      <c r="E11" s="21" t="str">
        <f>IFERROR(__xludf.DUMMYFUNCTION("""COMPUTED_VALUE"""),"Intellectual Property Rights (IPRs)-Trademarks and Copyrights")</f>
        <v>Intellectual Property Rights (IPRs)-Trademarks and Copyrights</v>
      </c>
      <c r="F11" s="21">
        <f>IFERROR(__xludf.DUMMYFUNCTION("""COMPUTED_VALUE"""),1.0)</f>
        <v>1</v>
      </c>
      <c r="G11" s="112">
        <f>IFERROR(__xludf.DUMMYFUNCTION("""COMPUTED_VALUE"""),44267.0)</f>
        <v>44267</v>
      </c>
      <c r="H11" s="112">
        <f>IFERROR(__xludf.DUMMYFUNCTION("""COMPUTED_VALUE"""),44267.0)</f>
        <v>44267</v>
      </c>
      <c r="I11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11" s="21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v>
      </c>
      <c r="K11" s="21" t="str">
        <f>IFERROR(__xludf.DUMMYFUNCTION("""COMPUTED_VALUE"""),"National")</f>
        <v>National</v>
      </c>
      <c r="L11" s="21" t="str">
        <f>IFERROR(__xludf.DUMMYFUNCTION("""COMPUTED_VALUE"""),"Free")</f>
        <v>Free</v>
      </c>
      <c r="M11" s="21">
        <f>IFERROR(__xludf.DUMMYFUNCTION("""COMPUTED_VALUE"""),0.0)</f>
        <v>0</v>
      </c>
      <c r="N11" s="113" t="str">
        <f>IFERROR(__xludf.DUMMYFUNCTION("""COMPUTED_VALUE"""),"https://drive.google.com/open?id=1uuWNhUbL1MBPVA0Q1VgPjVpSFZOEDzao")</f>
        <v>https://drive.google.com/open?id=1uuWNhUbL1MBPVA0Q1VgPjVpSFZOEDzao</v>
      </c>
      <c r="O11" s="64" t="str">
        <f>IFERROR(__xludf.DUMMYFUNCTION("""COMPUTED_VALUE"""),"3")</f>
        <v>3</v>
      </c>
      <c r="P11" s="64" t="str">
        <f>IFERROR(__xludf.DUMMYFUNCTION("""COMPUTED_VALUE"""),"S5: Student Workshops/Conf attended")</f>
        <v>S5: Student Workshops/Conf attended</v>
      </c>
      <c r="Q11" s="64" t="str">
        <f>IFERROR(__xludf.DUMMYFUNCTION("""COMPUTED_VALUE"""),"narendrakumar@mvgrce.edu.in")</f>
        <v>narendrakumar@mvgrce.edu.in</v>
      </c>
      <c r="R11" s="64"/>
      <c r="S11" s="12"/>
      <c r="T11" s="12"/>
      <c r="U11" s="12"/>
      <c r="V11" s="12"/>
      <c r="W11" s="12"/>
      <c r="X11" s="12"/>
      <c r="Y11" s="12"/>
    </row>
    <row r="12" ht="26.25" customHeight="1">
      <c r="A12" s="21" t="str">
        <f>IFERROR(__xludf.DUMMYFUNCTION("""COMPUTED_VALUE"""),"UPPALAPATI BHARATHI")</f>
        <v>UPPALAPATI BHARATHI</v>
      </c>
      <c r="B12" s="21" t="str">
        <f>IFERROR(__xludf.DUMMYFUNCTION("""COMPUTED_VALUE"""),"19331D8405	")</f>
        <v>19331D8405	</v>
      </c>
      <c r="C12" s="21" t="str">
        <f>IFERROR(__xludf.DUMMYFUNCTION("""COMPUTED_VALUE"""),"2020-2021")</f>
        <v>2020-2021</v>
      </c>
      <c r="D12" s="21" t="str">
        <f>IFERROR(__xludf.DUMMYFUNCTION("""COMPUTED_VALUE"""),"Webinar")</f>
        <v>Webinar</v>
      </c>
      <c r="E12" s="21" t="str">
        <f>IFERROR(__xludf.DUMMYFUNCTION("""COMPUTED_VALUE"""),"Intellectual Property Rights (IPRs)-Trademarks and Copyrights ")</f>
        <v>Intellectual Property Rights (IPRs)-Trademarks and Copyrights </v>
      </c>
      <c r="F12" s="21">
        <f>IFERROR(__xludf.DUMMYFUNCTION("""COMPUTED_VALUE"""),1.0)</f>
        <v>1</v>
      </c>
      <c r="G12" s="112">
        <f>IFERROR(__xludf.DUMMYFUNCTION("""COMPUTED_VALUE"""),44267.0)</f>
        <v>44267</v>
      </c>
      <c r="H12" s="112">
        <f>IFERROR(__xludf.DUMMYFUNCTION("""COMPUTED_VALUE"""),44267.0)</f>
        <v>44267</v>
      </c>
      <c r="I12" s="21" t="str">
        <f>IFERROR(__xludf.DUMMYFUNCTION("""COMPUTED_VALUE"""),"MSME- Development Institute, Visakhapatnam &amp; MVGR College Of Engineering")</f>
        <v>MSME- Development Institute, Visakhapatnam &amp; MVGR College Of Engineering</v>
      </c>
      <c r="J12" s="21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</v>
      </c>
      <c r="K12" s="21" t="str">
        <f>IFERROR(__xludf.DUMMYFUNCTION("""COMPUTED_VALUE"""),"National")</f>
        <v>National</v>
      </c>
      <c r="L12" s="21" t="str">
        <f>IFERROR(__xludf.DUMMYFUNCTION("""COMPUTED_VALUE"""),"Free")</f>
        <v>Free</v>
      </c>
      <c r="M12" s="21">
        <f>IFERROR(__xludf.DUMMYFUNCTION("""COMPUTED_VALUE"""),0.0)</f>
        <v>0</v>
      </c>
      <c r="N12" s="113" t="str">
        <f>IFERROR(__xludf.DUMMYFUNCTION("""COMPUTED_VALUE"""),"https://drive.google.com/open?id=1uAFAwt3dYk4mRC_UPUBn5AW5Zxo56IkM")</f>
        <v>https://drive.google.com/open?id=1uAFAwt3dYk4mRC_UPUBn5AW5Zxo56IkM</v>
      </c>
      <c r="O12" s="64" t="str">
        <f>IFERROR(__xludf.DUMMYFUNCTION("""COMPUTED_VALUE"""),"3")</f>
        <v>3</v>
      </c>
      <c r="P12" s="64" t="str">
        <f>IFERROR(__xludf.DUMMYFUNCTION("""COMPUTED_VALUE"""),"S5: Student Workshops/Conf attended")</f>
        <v>S5: Student Workshops/Conf attended</v>
      </c>
      <c r="Q12" s="64" t="str">
        <f>IFERROR(__xludf.DUMMYFUNCTION("""COMPUTED_VALUE"""),"narendrakumar@mvgrce.edu.in")</f>
        <v>narendrakumar@mvgrce.edu.in</v>
      </c>
      <c r="R12" s="64"/>
      <c r="S12" s="12"/>
      <c r="T12" s="12"/>
      <c r="U12" s="12"/>
      <c r="V12" s="12"/>
      <c r="W12" s="12"/>
      <c r="X12" s="12"/>
      <c r="Y12" s="12"/>
    </row>
    <row r="13" ht="26.25" customHeight="1">
      <c r="A13" s="21" t="str">
        <f>IFERROR(__xludf.DUMMYFUNCTION("""COMPUTED_VALUE"""),"11 students")</f>
        <v>11 students</v>
      </c>
      <c r="B13" s="21" t="str">
        <f>IFERROR(__xludf.DUMMYFUNCTION("""COMPUTED_VALUE"""),"11 students")</f>
        <v>11 students</v>
      </c>
      <c r="C13" s="21" t="str">
        <f>IFERROR(__xludf.DUMMYFUNCTION("""COMPUTED_VALUE"""),"2018-2019")</f>
        <v>2018-2019</v>
      </c>
      <c r="D13" s="21" t="str">
        <f>IFERROR(__xludf.DUMMYFUNCTION("""COMPUTED_VALUE"""),"Conference")</f>
        <v>Conference</v>
      </c>
      <c r="E13" s="21" t="str">
        <f>IFERROR(__xludf.DUMMYFUNCTION("""COMPUTED_VALUE""")," Swecha AP 3rd State Conference")</f>
        <v> Swecha AP 3rd State Conference</v>
      </c>
      <c r="F13" s="21">
        <f>IFERROR(__xludf.DUMMYFUNCTION("""COMPUTED_VALUE"""),3.0)</f>
        <v>3</v>
      </c>
      <c r="G13" s="112">
        <f>IFERROR(__xludf.DUMMYFUNCTION("""COMPUTED_VALUE"""),44540.0)</f>
        <v>44540</v>
      </c>
      <c r="H13" s="112">
        <f>IFERROR(__xludf.DUMMYFUNCTION("""COMPUTED_VALUE"""),44542.0)</f>
        <v>44542</v>
      </c>
      <c r="I13" s="21" t="str">
        <f>IFERROR(__xludf.DUMMYFUNCTION("""COMPUTED_VALUE""")," Swecha")</f>
        <v> Swecha</v>
      </c>
      <c r="J13" s="21" t="str">
        <f>IFERROR(__xludf.DUMMYFUNCTION("""COMPUTED_VALUE"""),"Sripath Roy
General Secretary
Swecha AP")</f>
        <v>Sripath Roy
General Secretary
Swecha AP</v>
      </c>
      <c r="K13" s="21" t="str">
        <f>IFERROR(__xludf.DUMMYFUNCTION("""COMPUTED_VALUE"""),"State")</f>
        <v>State</v>
      </c>
      <c r="L13" s="21" t="str">
        <f>IFERROR(__xludf.DUMMYFUNCTION("""COMPUTED_VALUE"""),"Free")</f>
        <v>Free</v>
      </c>
      <c r="M13" s="21"/>
      <c r="N13" s="113" t="str">
        <f>IFERROR(__xludf.DUMMYFUNCTION("""COMPUTED_VALUE"""),"https://drive.google.com/open?id=18nREiU1AqlhbNSEtT3q_qfWZ3kD-lLE5")</f>
        <v>https://drive.google.com/open?id=18nREiU1AqlhbNSEtT3q_qfWZ3kD-lLE5</v>
      </c>
      <c r="O13" s="64" t="str">
        <f>IFERROR(__xludf.DUMMYFUNCTION("""COMPUTED_VALUE"""),"2018-2022")</f>
        <v>2018-2022</v>
      </c>
      <c r="P13" s="64" t="str">
        <f>IFERROR(__xludf.DUMMYFUNCTION("""COMPUTED_VALUE"""),"S5: Student Workshops/Conf attended")</f>
        <v>S5: Student Workshops/Conf attended</v>
      </c>
      <c r="Q13" s="64" t="str">
        <f>IFERROR(__xludf.DUMMYFUNCTION("""COMPUTED_VALUE"""),"mvamsi@mvgrce.edu.in")</f>
        <v>mvamsi@mvgrce.edu.in</v>
      </c>
      <c r="R13" s="64" t="str">
        <f>IFERROR(__xludf.DUMMYFUNCTION("""COMPUTED_VALUE"""),"SEM-7")</f>
        <v>SEM-7</v>
      </c>
      <c r="S13" s="12"/>
      <c r="T13" s="12"/>
      <c r="U13" s="12"/>
      <c r="V13" s="12"/>
      <c r="W13" s="12"/>
      <c r="X13" s="12"/>
      <c r="Y13" s="12"/>
    </row>
    <row r="14" ht="26.25" customHeight="1">
      <c r="A14" s="109" t="str">
        <f>IFERROR(__xludf.DUMMYFUNCTION("""COMPUTED_VALUE"""),"Boddapati Rajesh")</f>
        <v>Boddapati Rajesh</v>
      </c>
      <c r="B14" s="109" t="str">
        <f>IFERROR(__xludf.DUMMYFUNCTION("""COMPUTED_VALUE"""),"18331A0515")</f>
        <v>18331A0515</v>
      </c>
      <c r="C14" s="109" t="str">
        <f>IFERROR(__xludf.DUMMYFUNCTION("""COMPUTED_VALUE"""),"2021-2022")</f>
        <v>2021-2022</v>
      </c>
      <c r="D14" s="109" t="str">
        <f>IFERROR(__xludf.DUMMYFUNCTION("""COMPUTED_VALUE"""),"Webinar")</f>
        <v>Webinar</v>
      </c>
      <c r="E14" s="109" t="str">
        <f>IFERROR(__xludf.DUMMYFUNCTION("""COMPUTED_VALUE"""),"How to get placement in Multinational Companies")</f>
        <v>How to get placement in Multinational Companies</v>
      </c>
      <c r="F14" s="109">
        <f>IFERROR(__xludf.DUMMYFUNCTION("""COMPUTED_VALUE"""),1.0)</f>
        <v>1</v>
      </c>
      <c r="G14" s="110">
        <f>IFERROR(__xludf.DUMMYFUNCTION("""COMPUTED_VALUE"""),44516.0)</f>
        <v>44516</v>
      </c>
      <c r="H14" s="110">
        <f>IFERROR(__xludf.DUMMYFUNCTION("""COMPUTED_VALUE"""),44516.0)</f>
        <v>44516</v>
      </c>
      <c r="I14" s="109" t="str">
        <f>IFERROR(__xludf.DUMMYFUNCTION("""COMPUTED_VALUE"""),"IIT madras")</f>
        <v>IIT madras</v>
      </c>
      <c r="J14" s="109" t="str">
        <f>IFERROR(__xludf.DUMMYFUNCTION("""COMPUTED_VALUE"""),"IIT madras training department")</f>
        <v>IIT madras training department</v>
      </c>
      <c r="K14" s="109" t="str">
        <f>IFERROR(__xludf.DUMMYFUNCTION("""COMPUTED_VALUE"""),"International")</f>
        <v>International</v>
      </c>
      <c r="L14" s="109" t="str">
        <f>IFERROR(__xludf.DUMMYFUNCTION("""COMPUTED_VALUE"""),"Free")</f>
        <v>Free</v>
      </c>
      <c r="M14" s="109"/>
      <c r="N14" s="111" t="str">
        <f>IFERROR(__xludf.DUMMYFUNCTION("""COMPUTED_VALUE"""),"https://drive.google.com/open?id=1a0rY2N1aRx84OJCd0TO_zTJMfUd5I30t")</f>
        <v>https://drive.google.com/open?id=1a0rY2N1aRx84OJCd0TO_zTJMfUd5I30t</v>
      </c>
      <c r="O14" s="71" t="str">
        <f>IFERROR(__xludf.DUMMYFUNCTION("""COMPUTED_VALUE"""),"2018-2022")</f>
        <v>2018-2022</v>
      </c>
      <c r="P14" s="71" t="str">
        <f>IFERROR(__xludf.DUMMYFUNCTION("""COMPUTED_VALUE"""),"S5: Student Workshops/Conf attended")</f>
        <v>S5: Student Workshops/Conf attended</v>
      </c>
      <c r="Q14" s="71" t="str">
        <f>IFERROR(__xludf.DUMMYFUNCTION("""COMPUTED_VALUE"""),"rajeshboddapati37@gmail.com")</f>
        <v>rajeshboddapati37@gmail.com</v>
      </c>
      <c r="R14" s="71" t="str">
        <f>IFERROR(__xludf.DUMMYFUNCTION("""COMPUTED_VALUE"""),"SEM-7")</f>
        <v>SEM-7</v>
      </c>
      <c r="S14" s="74"/>
      <c r="T14" s="74"/>
      <c r="U14" s="74"/>
      <c r="V14" s="74"/>
      <c r="W14" s="74"/>
      <c r="X14" s="74"/>
      <c r="Y14" s="74"/>
    </row>
    <row r="15" ht="26.25" customHeight="1">
      <c r="A15" s="109" t="str">
        <f>IFERROR(__xludf.DUMMYFUNCTION("""COMPUTED_VALUE"""),"Boddapati Rajesh")</f>
        <v>Boddapati Rajesh</v>
      </c>
      <c r="B15" s="109" t="str">
        <f>IFERROR(__xludf.DUMMYFUNCTION("""COMPUTED_VALUE"""),"18331A0515")</f>
        <v>18331A0515</v>
      </c>
      <c r="C15" s="109" t="str">
        <f>IFERROR(__xludf.DUMMYFUNCTION("""COMPUTED_VALUE"""),"2021-2022")</f>
        <v>2021-2022</v>
      </c>
      <c r="D15" s="109" t="str">
        <f>IFERROR(__xludf.DUMMYFUNCTION("""COMPUTED_VALUE"""),"Webinar")</f>
        <v>Webinar</v>
      </c>
      <c r="E15" s="109" t="str">
        <f>IFERROR(__xludf.DUMMYFUNCTION("""COMPUTED_VALUE"""),"Career in Emerging Technologies – Big Data, Cloud Computing, AI/ML")</f>
        <v>Career in Emerging Technologies – Big Data, Cloud Computing, AI/ML</v>
      </c>
      <c r="F15" s="109">
        <f>IFERROR(__xludf.DUMMYFUNCTION("""COMPUTED_VALUE"""),1.0)</f>
        <v>1</v>
      </c>
      <c r="G15" s="110">
        <f>IFERROR(__xludf.DUMMYFUNCTION("""COMPUTED_VALUE"""),44637.0)</f>
        <v>44637</v>
      </c>
      <c r="H15" s="110">
        <f>IFERROR(__xludf.DUMMYFUNCTION("""COMPUTED_VALUE"""),44637.0)</f>
        <v>44637</v>
      </c>
      <c r="I15" s="109" t="str">
        <f>IFERROR(__xludf.DUMMYFUNCTION("""COMPUTED_VALUE"""),"TCS Moderator")</f>
        <v>TCS Moderator</v>
      </c>
      <c r="J15" s="109" t="str">
        <f>IFERROR(__xludf.DUMMYFUNCTION("""COMPUTED_VALUE"""),"Debashish khan")</f>
        <v>Debashish khan</v>
      </c>
      <c r="K15" s="109" t="str">
        <f>IFERROR(__xludf.DUMMYFUNCTION("""COMPUTED_VALUE"""),"National")</f>
        <v>National</v>
      </c>
      <c r="L15" s="109" t="str">
        <f>IFERROR(__xludf.DUMMYFUNCTION("""COMPUTED_VALUE"""),"Free")</f>
        <v>Free</v>
      </c>
      <c r="M15" s="109"/>
      <c r="N15" s="111" t="str">
        <f>IFERROR(__xludf.DUMMYFUNCTION("""COMPUTED_VALUE"""),"https://drive.google.com/open?id=1t2RW8Ou2_Z21Ub-FmXX3n8O8MdXYovhZ")</f>
        <v>https://drive.google.com/open?id=1t2RW8Ou2_Z21Ub-FmXX3n8O8MdXYovhZ</v>
      </c>
      <c r="O15" s="71" t="str">
        <f>IFERROR(__xludf.DUMMYFUNCTION("""COMPUTED_VALUE"""),"2018-2022")</f>
        <v>2018-2022</v>
      </c>
      <c r="P15" s="71" t="str">
        <f>IFERROR(__xludf.DUMMYFUNCTION("""COMPUTED_VALUE"""),"S5: Student Workshops/Conf attended")</f>
        <v>S5: Student Workshops/Conf attended</v>
      </c>
      <c r="Q15" s="71" t="str">
        <f>IFERROR(__xludf.DUMMYFUNCTION("""COMPUTED_VALUE"""),"rajeshboddapati37@gmail.com")</f>
        <v>rajeshboddapati37@gmail.com</v>
      </c>
      <c r="R15" s="71" t="str">
        <f>IFERROR(__xludf.DUMMYFUNCTION("""COMPUTED_VALUE"""),"SEM-8")</f>
        <v>SEM-8</v>
      </c>
      <c r="S15" s="74"/>
      <c r="T15" s="74"/>
      <c r="U15" s="74"/>
      <c r="V15" s="74"/>
      <c r="W15" s="74"/>
      <c r="X15" s="74"/>
      <c r="Y15" s="74"/>
    </row>
    <row r="16" ht="26.25" customHeight="1">
      <c r="A16" s="71" t="str">
        <f>IFERROR(__xludf.DUMMYFUNCTION("""COMPUTED_VALUE"""),"yashwanth boggarapu")</f>
        <v>yashwanth boggarapu</v>
      </c>
      <c r="B16" s="71" t="str">
        <f>IFERROR(__xludf.DUMMYFUNCTION("""COMPUTED_VALUE"""),"18331A0517")</f>
        <v>18331A0517</v>
      </c>
      <c r="C16" s="71" t="str">
        <f>IFERROR(__xludf.DUMMYFUNCTION("""COMPUTED_VALUE"""),"2020-2021")</f>
        <v>2020-2021</v>
      </c>
      <c r="D16" s="71" t="str">
        <f>IFERROR(__xludf.DUMMYFUNCTION("""COMPUTED_VALUE"""),"Webinar")</f>
        <v>Webinar</v>
      </c>
      <c r="E16" s="71" t="str">
        <f>IFERROR(__xludf.DUMMYFUNCTION("""COMPUTED_VALUE"""),"Intellectual Property Rights (IPRs)-Trademarks and Copyrights ")</f>
        <v>Intellectual Property Rights (IPRs)-Trademarks and Copyrights </v>
      </c>
      <c r="F16" s="71">
        <f>IFERROR(__xludf.DUMMYFUNCTION("""COMPUTED_VALUE"""),1.0)</f>
        <v>1</v>
      </c>
      <c r="G16" s="72">
        <f>IFERROR(__xludf.DUMMYFUNCTION("""COMPUTED_VALUE"""),44533.0)</f>
        <v>44533</v>
      </c>
      <c r="H16" s="72">
        <f>IFERROR(__xludf.DUMMYFUNCTION("""COMPUTED_VALUE"""),44533.0)</f>
        <v>44533</v>
      </c>
      <c r="I16" s="71" t="str">
        <f>IFERROR(__xludf.DUMMYFUNCTION("""COMPUTED_VALUE"""),"MSME- Development Institute, Visakhapatnam &amp; MVGR College Of Engineering")</f>
        <v>MSME- Development Institute, Visakhapatnam &amp; MVGR College Of Engineering</v>
      </c>
      <c r="J16" s="71" t="str">
        <f>IFERROR(__xludf.DUMMYFUNCTION("""COMPUTED_VALUE"""),"1.	Dr. Dayanada Murthy C P director,Academic Affairs and Research,DSNLU
2.	Dr. B.K Sahu,Regional Manager and Officer Incharge IPFC&amp; TISC,NRDC,GOVT OF INDIA.
3.	Shri. Ravi Gadde,Joint Director,MSME Development Institute,Visakhapatnam.
4.	G.V.R. Naidu,Asst."&amp;" Director, MSME Development Institute,Visakhapatnam.
5.	Shri. Satish Kumar,Asst.DirectorIPR Cell,O/o DC(MSME),New Delhi.
6.	Dr.R.Ramesh,Dean R&amp;D,MVGR College of Engineering,Vizianagaram.
")</f>
        <v>1.	Dr. Dayanada Murthy C P director,Academic Affairs and Research,DSNLU
2.	Dr. B.K Sahu,Regional Manager and Officer Incharge IPFC&amp; TISC,NRDC,GOVT OF INDIA.
3.	Shri. Ravi Gadde,Joint Director,MSME Development Institute,Visakhapatnam.
4.	G.V.R. Naidu,Asst. Director, MSME Development Institute,Visakhapatnam.
5.	Shri. Satish Kumar,Asst.DirectorIPR Cell,O/o DC(MSME),New Delhi.
6.	Dr.R.Ramesh,Dean R&amp;D,MVGR College of Engineering,Vizianagaram.
</v>
      </c>
      <c r="K16" s="71" t="str">
        <f>IFERROR(__xludf.DUMMYFUNCTION("""COMPUTED_VALUE"""),"National")</f>
        <v>National</v>
      </c>
      <c r="L16" s="71" t="str">
        <f>IFERROR(__xludf.DUMMYFUNCTION("""COMPUTED_VALUE"""),"Free")</f>
        <v>Free</v>
      </c>
      <c r="M16" s="71"/>
      <c r="N16" s="73" t="str">
        <f>IFERROR(__xludf.DUMMYFUNCTION("""COMPUTED_VALUE"""),"https://drive.google.com/open?id=1cXf0pIBBC1kOVLsyX-_DetYOgp09YzA_")</f>
        <v>https://drive.google.com/open?id=1cXf0pIBBC1kOVLsyX-_DetYOgp09YzA_</v>
      </c>
      <c r="O16" s="71" t="str">
        <f>IFERROR(__xludf.DUMMYFUNCTION("""COMPUTED_VALUE"""),"2018-2022")</f>
        <v>2018-2022</v>
      </c>
      <c r="P16" s="71" t="str">
        <f>IFERROR(__xludf.DUMMYFUNCTION("""COMPUTED_VALUE"""),"S5: Student Workshops/Conf attended")</f>
        <v>S5: Student Workshops/Conf attended</v>
      </c>
      <c r="Q16" s="71" t="str">
        <f>IFERROR(__xludf.DUMMYFUNCTION("""COMPUTED_VALUE"""),"yashwanthboggarapu2000@gmail.com")</f>
        <v>yashwanthboggarapu2000@gmail.com</v>
      </c>
      <c r="R16" s="71" t="str">
        <f>IFERROR(__xludf.DUMMYFUNCTION("""COMPUTED_VALUE"""),"SEM-7")</f>
        <v>SEM-7</v>
      </c>
      <c r="S16" s="74"/>
      <c r="T16" s="74"/>
      <c r="U16" s="74"/>
      <c r="V16" s="74"/>
      <c r="W16" s="74"/>
      <c r="X16" s="74"/>
      <c r="Y16" s="74"/>
    </row>
    <row r="17" ht="26.25" customHeight="1">
      <c r="A17" s="71" t="str">
        <f>IFERROR(__xludf.DUMMYFUNCTION("""COMPUTED_VALUE"""),"Venkata Jaswanth Potnuru")</f>
        <v>Venkata Jaswanth Potnuru</v>
      </c>
      <c r="B17" s="71" t="str">
        <f>IFERROR(__xludf.DUMMYFUNCTION("""COMPUTED_VALUE"""),"19335A0513")</f>
        <v>19335A0513</v>
      </c>
      <c r="C17" s="71" t="str">
        <f>IFERROR(__xludf.DUMMYFUNCTION("""COMPUTED_VALUE"""),"2020-2021")</f>
        <v>2020-2021</v>
      </c>
      <c r="D17" s="71" t="str">
        <f>IFERROR(__xludf.DUMMYFUNCTION("""COMPUTED_VALUE"""),"Webinar")</f>
        <v>Webinar</v>
      </c>
      <c r="E17" s="71" t="str">
        <f>IFERROR(__xludf.DUMMYFUNCTION("""COMPUTED_VALUE"""),"DATA ANALYST: The Booming  Technology In IT")</f>
        <v>DATA ANALYST: The Booming  Technology In IT</v>
      </c>
      <c r="F17" s="71">
        <f>IFERROR(__xludf.DUMMYFUNCTION("""COMPUTED_VALUE"""),1.0)</f>
        <v>1</v>
      </c>
      <c r="G17" s="72">
        <f>IFERROR(__xludf.DUMMYFUNCTION("""COMPUTED_VALUE"""),44017.0)</f>
        <v>44017</v>
      </c>
      <c r="H17" s="72">
        <f>IFERROR(__xludf.DUMMYFUNCTION("""COMPUTED_VALUE"""),44017.0)</f>
        <v>44017</v>
      </c>
      <c r="I17" s="71" t="str">
        <f>IFERROR(__xludf.DUMMYFUNCTION("""COMPUTED_VALUE"""),"National Skill Development Corporation")</f>
        <v>National Skill Development Corporation</v>
      </c>
      <c r="J17" s="71" t="str">
        <f>IFERROR(__xludf.DUMMYFUNCTION("""COMPUTED_VALUE"""),"EXCELR SOLUTIONS")</f>
        <v>EXCELR SOLUTIONS</v>
      </c>
      <c r="K17" s="71" t="str">
        <f>IFERROR(__xludf.DUMMYFUNCTION("""COMPUTED_VALUE"""),"National")</f>
        <v>National</v>
      </c>
      <c r="L17" s="71" t="str">
        <f>IFERROR(__xludf.DUMMYFUNCTION("""COMPUTED_VALUE"""),"Free")</f>
        <v>Free</v>
      </c>
      <c r="M17" s="71"/>
      <c r="N17" s="73" t="str">
        <f>IFERROR(__xludf.DUMMYFUNCTION("""COMPUTED_VALUE"""),"https://drive.google.com/open?id=1DJ2JnCvQr30lA7e1yMtsehGcovvjzUil")</f>
        <v>https://drive.google.com/open?id=1DJ2JnCvQr30lA7e1yMtsehGcovvjzUil</v>
      </c>
      <c r="O17" s="71" t="str">
        <f>IFERROR(__xludf.DUMMYFUNCTION("""COMPUTED_VALUE"""),"2018-2022")</f>
        <v>2018-2022</v>
      </c>
      <c r="P17" s="71" t="str">
        <f>IFERROR(__xludf.DUMMYFUNCTION("""COMPUTED_VALUE"""),"S5: Student Workshops/Conf attended")</f>
        <v>S5: Student Workshops/Conf attended</v>
      </c>
      <c r="Q17" s="71" t="str">
        <f>IFERROR(__xludf.DUMMYFUNCTION("""COMPUTED_VALUE"""),"venkatajaswanth10@gmail.com")</f>
        <v>venkatajaswanth10@gmail.com</v>
      </c>
      <c r="R17" s="71" t="str">
        <f>IFERROR(__xludf.DUMMYFUNCTION("""COMPUTED_VALUE"""),"SEM-4")</f>
        <v>SEM-4</v>
      </c>
      <c r="S17" s="74"/>
      <c r="T17" s="74"/>
      <c r="U17" s="74"/>
      <c r="V17" s="74"/>
      <c r="W17" s="74"/>
      <c r="X17" s="74"/>
      <c r="Y17" s="74"/>
    </row>
    <row r="18" ht="26.25" customHeight="1">
      <c r="A18" s="71" t="str">
        <f>IFERROR(__xludf.DUMMYFUNCTION("""COMPUTED_VALUE"""),"ganta manoj kumar")</f>
        <v>ganta manoj kumar</v>
      </c>
      <c r="B18" s="71" t="str">
        <f>IFERROR(__xludf.DUMMYFUNCTION("""COMPUTED_VALUE"""),"18331A0542")</f>
        <v>18331A0542</v>
      </c>
      <c r="C18" s="71" t="str">
        <f>IFERROR(__xludf.DUMMYFUNCTION("""COMPUTED_VALUE"""),"2021-2022")</f>
        <v>2021-2022</v>
      </c>
      <c r="D18" s="71" t="str">
        <f>IFERROR(__xludf.DUMMYFUNCTION("""COMPUTED_VALUE"""),"Webinar")</f>
        <v>Webinar</v>
      </c>
      <c r="E18" s="71" t="str">
        <f>IFERROR(__xludf.DUMMYFUNCTION("""COMPUTED_VALUE"""),"IP Awareness/Training program")</f>
        <v>IP Awareness/Training program</v>
      </c>
      <c r="F18" s="71">
        <f>IFERROR(__xludf.DUMMYFUNCTION("""COMPUTED_VALUE"""),1.0)</f>
        <v>1</v>
      </c>
      <c r="G18" s="72">
        <f>IFERROR(__xludf.DUMMYFUNCTION("""COMPUTED_VALUE"""),44567.0)</f>
        <v>44567</v>
      </c>
      <c r="H18" s="72">
        <f>IFERROR(__xludf.DUMMYFUNCTION("""COMPUTED_VALUE"""),44567.0)</f>
        <v>44567</v>
      </c>
      <c r="I18" s="71" t="str">
        <f>IFERROR(__xludf.DUMMYFUNCTION("""COMPUTED_VALUE"""),"Intellectual Property Office")</f>
        <v>Intellectual Property Office</v>
      </c>
      <c r="J18" s="71" t="str">
        <f>IFERROR(__xludf.DUMMYFUNCTION("""COMPUTED_VALUE"""),"M vamsiKrishna")</f>
        <v>M vamsiKrishna</v>
      </c>
      <c r="K18" s="71" t="str">
        <f>IFERROR(__xludf.DUMMYFUNCTION("""COMPUTED_VALUE"""),"National")</f>
        <v>National</v>
      </c>
      <c r="L18" s="71" t="str">
        <f>IFERROR(__xludf.DUMMYFUNCTION("""COMPUTED_VALUE"""),"Free")</f>
        <v>Free</v>
      </c>
      <c r="M18" s="71"/>
      <c r="N18" s="73" t="str">
        <f>IFERROR(__xludf.DUMMYFUNCTION("""COMPUTED_VALUE"""),"https://drive.google.com/open?id=1bymUP6eHfxlufPNEm_LBn01j8OdUH3ZD")</f>
        <v>https://drive.google.com/open?id=1bymUP6eHfxlufPNEm_LBn01j8OdUH3ZD</v>
      </c>
      <c r="O18" s="71" t="str">
        <f>IFERROR(__xludf.DUMMYFUNCTION("""COMPUTED_VALUE"""),"2018-2022")</f>
        <v>2018-2022</v>
      </c>
      <c r="P18" s="71" t="str">
        <f>IFERROR(__xludf.DUMMYFUNCTION("""COMPUTED_VALUE"""),"S5: Student Workshops/Conf attended")</f>
        <v>S5: Student Workshops/Conf attended</v>
      </c>
      <c r="Q18" s="71" t="str">
        <f>IFERROR(__xludf.DUMMYFUNCTION("""COMPUTED_VALUE"""),"gmanoj2k08@gmail.com")</f>
        <v>gmanoj2k08@gmail.com</v>
      </c>
      <c r="R18" s="71" t="str">
        <f>IFERROR(__xludf.DUMMYFUNCTION("""COMPUTED_VALUE"""),"SEM-7")</f>
        <v>SEM-7</v>
      </c>
      <c r="S18" s="74"/>
      <c r="T18" s="74"/>
      <c r="U18" s="74"/>
      <c r="V18" s="74"/>
      <c r="W18" s="74"/>
      <c r="X18" s="74"/>
      <c r="Y18" s="74"/>
    </row>
    <row r="19" ht="26.25" customHeight="1">
      <c r="A19" s="64" t="str">
        <f>IFERROR(__xludf.DUMMYFUNCTION("""COMPUTED_VALUE"""),"Jayanth Naidu Kundrapu")</f>
        <v>Jayanth Naidu Kundrapu</v>
      </c>
      <c r="B19" s="64" t="str">
        <f>IFERROR(__xludf.DUMMYFUNCTION("""COMPUTED_VALUE"""),"18331A0582")</f>
        <v>18331A0582</v>
      </c>
      <c r="C19" s="64" t="str">
        <f>IFERROR(__xludf.DUMMYFUNCTION("""COMPUTED_VALUE"""),"2018-2019")</f>
        <v>2018-2019</v>
      </c>
      <c r="D19" s="64" t="str">
        <f>IFERROR(__xludf.DUMMYFUNCTION("""COMPUTED_VALUE"""),"Conference")</f>
        <v>Conference</v>
      </c>
      <c r="E19" s="64" t="str">
        <f>IFERROR(__xludf.DUMMYFUNCTION("""COMPUTED_VALUE"""),"5th international5th International Conference on Cognitive Science and Artificial Intelligence")</f>
        <v>5th international5th International Conference on Cognitive Science and Artificial Intelligence</v>
      </c>
      <c r="F19" s="64">
        <f>IFERROR(__xludf.DUMMYFUNCTION("""COMPUTED_VALUE"""),2.0)</f>
        <v>2</v>
      </c>
      <c r="G19" s="114">
        <f>IFERROR(__xludf.DUMMYFUNCTION("""COMPUTED_VALUE"""),43462.0)</f>
        <v>43462</v>
      </c>
      <c r="H19" s="114">
        <f>IFERROR(__xludf.DUMMYFUNCTION("""COMPUTED_VALUE"""),43463.0)</f>
        <v>43463</v>
      </c>
      <c r="I19" s="64" t="str">
        <f>IFERROR(__xludf.DUMMYFUNCTION("""COMPUTED_VALUE"""),"Institute of Bioinformatics and Computational Biology")</f>
        <v>Institute of Bioinformatics and Computational Biology</v>
      </c>
      <c r="J19" s="64" t="str">
        <f>IFERROR(__xludf.DUMMYFUNCTION("""COMPUTED_VALUE"""),"Dr. P Satheesh, Dr. Ch Divakar, Prof. Allam Appa Rao")</f>
        <v>Dr. P Satheesh, Dr. Ch Divakar, Prof. Allam Appa Rao</v>
      </c>
      <c r="K19" s="64" t="str">
        <f>IFERROR(__xludf.DUMMYFUNCTION("""COMPUTED_VALUE"""),"International")</f>
        <v>International</v>
      </c>
      <c r="L19" s="64" t="str">
        <f>IFERROR(__xludf.DUMMYFUNCTION("""COMPUTED_VALUE"""),"Free")</f>
        <v>Free</v>
      </c>
      <c r="M19" s="64"/>
      <c r="N19" s="115" t="str">
        <f>IFERROR(__xludf.DUMMYFUNCTION("""COMPUTED_VALUE"""),"https://drive.google.com/open?id=1L1Qo1Mxhgikalx904HBgg4GAs8INbe9I")</f>
        <v>https://drive.google.com/open?id=1L1Qo1Mxhgikalx904HBgg4GAs8INbe9I</v>
      </c>
      <c r="O19" s="64" t="str">
        <f>IFERROR(__xludf.DUMMYFUNCTION("""COMPUTED_VALUE"""),"2018-2022")</f>
        <v>2018-2022</v>
      </c>
      <c r="P19" s="64" t="str">
        <f>IFERROR(__xludf.DUMMYFUNCTION("""COMPUTED_VALUE"""),"S5: Student Workshops/Conf attended")</f>
        <v>S5: Student Workshops/Conf attended</v>
      </c>
      <c r="Q19" s="64" t="str">
        <f>IFERROR(__xludf.DUMMYFUNCTION("""COMPUTED_VALUE"""),"jayanth.kundrapu013@gmail.com")</f>
        <v>jayanth.kundrapu013@gmail.com</v>
      </c>
      <c r="R19" s="64" t="str">
        <f>IFERROR(__xludf.DUMMYFUNCTION("""COMPUTED_VALUE"""),"SEM-8")</f>
        <v>SEM-8</v>
      </c>
      <c r="S19" s="12"/>
      <c r="T19" s="12"/>
      <c r="U19" s="12"/>
      <c r="V19" s="12"/>
      <c r="W19" s="12"/>
      <c r="X19" s="12"/>
      <c r="Y19" s="12"/>
    </row>
    <row r="20" ht="26.25" customHeight="1">
      <c r="A20" s="64" t="str">
        <f>IFERROR(__xludf.DUMMYFUNCTION("""COMPUTED_VALUE"""),"VUGGINA VEERA VENKATA SATYA VARAHA AYYAPPA")</f>
        <v>VUGGINA VEERA VENKATA SATYA VARAHA AYYAPPA</v>
      </c>
      <c r="B20" s="64" t="str">
        <f>IFERROR(__xludf.DUMMYFUNCTION("""COMPUTED_VALUE"""),"19335A0518")</f>
        <v>19335A0518</v>
      </c>
      <c r="C20" s="64" t="str">
        <f>IFERROR(__xludf.DUMMYFUNCTION("""COMPUTED_VALUE"""),"2021-2022")</f>
        <v>2021-2022</v>
      </c>
      <c r="D20" s="64" t="str">
        <f>IFERROR(__xludf.DUMMYFUNCTION("""COMPUTED_VALUE"""),"Webinar")</f>
        <v>Webinar</v>
      </c>
      <c r="E20" s="64" t="str">
        <f>IFERROR(__xludf.DUMMYFUNCTION("""COMPUTED_VALUE"""),"Intellectual Property Rights (IPRs)-Trademarks and Copyrights ")</f>
        <v>Intellectual Property Rights (IPRs)-Trademarks and Copyrights </v>
      </c>
      <c r="F20" s="64">
        <f>IFERROR(__xludf.DUMMYFUNCTION("""COMPUTED_VALUE"""),1.0)</f>
        <v>1</v>
      </c>
      <c r="G20" s="114">
        <f>IFERROR(__xludf.DUMMYFUNCTION("""COMPUTED_VALUE"""),44619.0)</f>
        <v>44619</v>
      </c>
      <c r="H20" s="114">
        <f>IFERROR(__xludf.DUMMYFUNCTION("""COMPUTED_VALUE"""),44619.0)</f>
        <v>44619</v>
      </c>
      <c r="I20" s="64" t="str">
        <f>IFERROR(__xludf.DUMMYFUNCTION("""COMPUTED_VALUE"""),"MSME- Development Institute, Visakhapatnam &amp; MVGR College Of Engineering")</f>
        <v>MSME- Development Institute, Visakhapatnam &amp; MVGR College Of Engineering</v>
      </c>
      <c r="J20" s="64" t="str">
        <f>IFERROR(__xludf.DUMMYFUNCTION("""COMPUTED_VALUE"""),"1.	Dr. H.Purushotham,DPIIT-IPR Chair,Andhra University EX-CMD,NRDC.
2.	Dr. S.K kar Head(marketing and consultancy),MSMETC,Bhubaneshwar.
3.	Shri. Ravi Gadde,Joint Director,MSME Development Institute,Visakhapatnam.
4.	Shri. G.V.R. Naidu,Asst. Director, MSME"&amp;" Development Institute,Visakhapatnam.
5.	Shri. Satish Kumar,Asst.DirectorIPR Cell,O/o DC(MSME),New Delhi.
6.	Dr.R.Ramesh,Dean R&amp;D,MVGR College of Engineering,Vizianagaram.
")</f>
        <v>1.	Dr. H.Purushotham,DPIIT-IPR Chair,Andhra University EX-CMD,NRDC.
2.	Dr. S.K kar Head(marketing and consultancy),MSMETC,Bhubaneshwar.
3.	Shri. Ravi Gadde,Joint Director,MSME Development Institute,Visakhapatnam.
4.	Shri. G.V.R. Naidu,Asst. Director, MSME Development Institute,Visakhapatnam.
5.	Shri. Satish Kumar,Asst.DirectorIPR Cell,O/o DC(MSME),New Delhi.
6.	Dr.R.Ramesh,Dean R&amp;D,MVGR College of Engineering,Vizianagaram.
</v>
      </c>
      <c r="K20" s="64" t="str">
        <f>IFERROR(__xludf.DUMMYFUNCTION("""COMPUTED_VALUE"""),"National")</f>
        <v>National</v>
      </c>
      <c r="L20" s="64" t="str">
        <f>IFERROR(__xludf.DUMMYFUNCTION("""COMPUTED_VALUE"""),"Free")</f>
        <v>Free</v>
      </c>
      <c r="M20" s="64"/>
      <c r="N20" s="115" t="str">
        <f>IFERROR(__xludf.DUMMYFUNCTION("""COMPUTED_VALUE"""),"https://drive.google.com/open?id=1rWOtnSib5pNevDKPrBsgqUJemwthqMRE")</f>
        <v>https://drive.google.com/open?id=1rWOtnSib5pNevDKPrBsgqUJemwthqMRE</v>
      </c>
      <c r="O20" s="64" t="str">
        <f>IFERROR(__xludf.DUMMYFUNCTION("""COMPUTED_VALUE"""),"2018-2022")</f>
        <v>2018-2022</v>
      </c>
      <c r="P20" s="64" t="str">
        <f>IFERROR(__xludf.DUMMYFUNCTION("""COMPUTED_VALUE"""),"S5: Student Workshops/Conf attended")</f>
        <v>S5: Student Workshops/Conf attended</v>
      </c>
      <c r="Q20" s="64" t="str">
        <f>IFERROR(__xludf.DUMMYFUNCTION("""COMPUTED_VALUE"""),"ayyappa.vuggina01@gmail.com")</f>
        <v>ayyappa.vuggina01@gmail.com</v>
      </c>
      <c r="R20" s="64" t="str">
        <f>IFERROR(__xludf.DUMMYFUNCTION("""COMPUTED_VALUE"""),"SEM-8")</f>
        <v>SEM-8</v>
      </c>
      <c r="S20" s="12"/>
      <c r="T20" s="12"/>
      <c r="U20" s="12"/>
      <c r="V20" s="12"/>
      <c r="W20" s="12"/>
      <c r="X20" s="12"/>
      <c r="Y20" s="12"/>
    </row>
    <row r="21" ht="26.25" customHeight="1">
      <c r="A21" s="71" t="str">
        <f>IFERROR(__xludf.DUMMYFUNCTION("""COMPUTED_VALUE"""),"Venkata Jaswanth Potnuru")</f>
        <v>Venkata Jaswanth Potnuru</v>
      </c>
      <c r="B21" s="71" t="str">
        <f>IFERROR(__xludf.DUMMYFUNCTION("""COMPUTED_VALUE"""),"19335A0513")</f>
        <v>19335A0513</v>
      </c>
      <c r="C21" s="71" t="str">
        <f>IFERROR(__xludf.DUMMYFUNCTION("""COMPUTED_VALUE"""),"2020-2021")</f>
        <v>2020-2021</v>
      </c>
      <c r="D21" s="71" t="str">
        <f>IFERROR(__xludf.DUMMYFUNCTION("""COMPUTED_VALUE"""),"Webinar")</f>
        <v>Webinar</v>
      </c>
      <c r="E21" s="71" t="str">
        <f>IFERROR(__xludf.DUMMYFUNCTION("""COMPUTED_VALUE"""),"Cyber Security")</f>
        <v>Cyber Security</v>
      </c>
      <c r="F21" s="71">
        <f>IFERROR(__xludf.DUMMYFUNCTION("""COMPUTED_VALUE"""),1.0)</f>
        <v>1</v>
      </c>
      <c r="G21" s="72">
        <f>IFERROR(__xludf.DUMMYFUNCTION("""COMPUTED_VALUE"""),44020.0)</f>
        <v>44020</v>
      </c>
      <c r="H21" s="72">
        <f>IFERROR(__xludf.DUMMYFUNCTION("""COMPUTED_VALUE"""),44020.0)</f>
        <v>44020</v>
      </c>
      <c r="I21" s="71" t="str">
        <f>IFERROR(__xludf.DUMMYFUNCTION("""COMPUTED_VALUE"""),"Andhra Pradesh State Skill Development Corporation(APSSDC)")</f>
        <v>Andhra Pradesh State Skill Development Corporation(APSSDC)</v>
      </c>
      <c r="J21" s="71" t="str">
        <f>IFERROR(__xludf.DUMMYFUNCTION("""COMPUTED_VALUE"""),"Dr. Rajesh Nimmagadda")</f>
        <v>Dr. Rajesh Nimmagadda</v>
      </c>
      <c r="K21" s="71" t="str">
        <f>IFERROR(__xludf.DUMMYFUNCTION("""COMPUTED_VALUE"""),"State")</f>
        <v>State</v>
      </c>
      <c r="L21" s="71" t="str">
        <f>IFERROR(__xludf.DUMMYFUNCTION("""COMPUTED_VALUE"""),"Free")</f>
        <v>Free</v>
      </c>
      <c r="M21" s="71"/>
      <c r="N21" s="73" t="str">
        <f>IFERROR(__xludf.DUMMYFUNCTION("""COMPUTED_VALUE"""),"https://drive.google.com/open?id=1k-RdzvCgtdevHdpknc1frcI8zeceBy31")</f>
        <v>https://drive.google.com/open?id=1k-RdzvCgtdevHdpknc1frcI8zeceBy31</v>
      </c>
      <c r="O21" s="71" t="str">
        <f>IFERROR(__xludf.DUMMYFUNCTION("""COMPUTED_VALUE"""),"2018-2022")</f>
        <v>2018-2022</v>
      </c>
      <c r="P21" s="71" t="str">
        <f>IFERROR(__xludf.DUMMYFUNCTION("""COMPUTED_VALUE"""),"S5: Student Workshops/Conf attended")</f>
        <v>S5: Student Workshops/Conf attended</v>
      </c>
      <c r="Q21" s="71" t="str">
        <f>IFERROR(__xludf.DUMMYFUNCTION("""COMPUTED_VALUE"""),"venkatajaswanth10@gmail.com")</f>
        <v>venkatajaswanth10@gmail.com</v>
      </c>
      <c r="R21" s="71" t="str">
        <f>IFERROR(__xludf.DUMMYFUNCTION("""COMPUTED_VALUE"""),"SEM-5")</f>
        <v>SEM-5</v>
      </c>
      <c r="S21" s="74"/>
      <c r="T21" s="74"/>
      <c r="U21" s="74"/>
      <c r="V21" s="74"/>
      <c r="W21" s="74"/>
      <c r="X21" s="74"/>
      <c r="Y21" s="74"/>
    </row>
    <row r="22" ht="26.25" customHeight="1">
      <c r="A22" s="71" t="str">
        <f>IFERROR(__xludf.DUMMYFUNCTION("""COMPUTED_VALUE"""),"Venkata Jaswanth Potnuru")</f>
        <v>Venkata Jaswanth Potnuru</v>
      </c>
      <c r="B22" s="71" t="str">
        <f>IFERROR(__xludf.DUMMYFUNCTION("""COMPUTED_VALUE"""),"19335A0513")</f>
        <v>19335A0513</v>
      </c>
      <c r="C22" s="71" t="str">
        <f>IFERROR(__xludf.DUMMYFUNCTION("""COMPUTED_VALUE"""),"2020-2021")</f>
        <v>2020-2021</v>
      </c>
      <c r="D22" s="71" t="str">
        <f>IFERROR(__xludf.DUMMYFUNCTION("""COMPUTED_VALUE"""),"Webinar")</f>
        <v>Webinar</v>
      </c>
      <c r="E22" s="71" t="str">
        <f>IFERROR(__xludf.DUMMYFUNCTION("""COMPUTED_VALUE"""),"Antennas")</f>
        <v>Antennas</v>
      </c>
      <c r="F22" s="71">
        <f>IFERROR(__xludf.DUMMYFUNCTION("""COMPUTED_VALUE"""),1.0)</f>
        <v>1</v>
      </c>
      <c r="G22" s="72">
        <f>IFERROR(__xludf.DUMMYFUNCTION("""COMPUTED_VALUE"""),44024.0)</f>
        <v>44024</v>
      </c>
      <c r="H22" s="72">
        <f>IFERROR(__xludf.DUMMYFUNCTION("""COMPUTED_VALUE"""),44024.0)</f>
        <v>44024</v>
      </c>
      <c r="I22" s="71" t="str">
        <f>IFERROR(__xludf.DUMMYFUNCTION("""COMPUTED_VALUE""")," Andhra Pradesh State Skill Development Corporation(APSSDC)")</f>
        <v> Andhra Pradesh State Skill Development Corporation(APSSDC)</v>
      </c>
      <c r="J22" s="71" t="str">
        <f>IFERROR(__xludf.DUMMYFUNCTION("""COMPUTED_VALUE"""),"Dr. Kiran Kumar Nallamekala")</f>
        <v>Dr. Kiran Kumar Nallamekala</v>
      </c>
      <c r="K22" s="71" t="str">
        <f>IFERROR(__xludf.DUMMYFUNCTION("""COMPUTED_VALUE"""),"State")</f>
        <v>State</v>
      </c>
      <c r="L22" s="71" t="str">
        <f>IFERROR(__xludf.DUMMYFUNCTION("""COMPUTED_VALUE"""),"Free")</f>
        <v>Free</v>
      </c>
      <c r="M22" s="71"/>
      <c r="N22" s="73" t="str">
        <f>IFERROR(__xludf.DUMMYFUNCTION("""COMPUTED_VALUE"""),"https://drive.google.com/open?id=1u9whwEgeafFtxo1K4e69WtfCHd4-5x7u")</f>
        <v>https://drive.google.com/open?id=1u9whwEgeafFtxo1K4e69WtfCHd4-5x7u</v>
      </c>
      <c r="O22" s="71" t="str">
        <f>IFERROR(__xludf.DUMMYFUNCTION("""COMPUTED_VALUE"""),"2018-2022")</f>
        <v>2018-2022</v>
      </c>
      <c r="P22" s="71" t="str">
        <f>IFERROR(__xludf.DUMMYFUNCTION("""COMPUTED_VALUE"""),"S5: Student Workshops/Conf attended")</f>
        <v>S5: Student Workshops/Conf attended</v>
      </c>
      <c r="Q22" s="71" t="str">
        <f>IFERROR(__xludf.DUMMYFUNCTION("""COMPUTED_VALUE"""),"venkatajaswanth10@gmail.com")</f>
        <v>venkatajaswanth10@gmail.com</v>
      </c>
      <c r="R22" s="71" t="str">
        <f>IFERROR(__xludf.DUMMYFUNCTION("""COMPUTED_VALUE"""),"SEM-5")</f>
        <v>SEM-5</v>
      </c>
      <c r="S22" s="74"/>
      <c r="T22" s="74"/>
      <c r="U22" s="74"/>
      <c r="V22" s="74"/>
      <c r="W22" s="74"/>
      <c r="X22" s="74"/>
      <c r="Y22" s="74"/>
    </row>
    <row r="23" ht="26.25" customHeight="1">
      <c r="A23" s="64" t="str">
        <f>IFERROR(__xludf.DUMMYFUNCTION("""COMPUTED_VALUE"""),"Pooja Madhurima Salapu")</f>
        <v>Pooja Madhurima Salapu</v>
      </c>
      <c r="B23" s="64" t="str">
        <f>IFERROR(__xludf.DUMMYFUNCTION("""COMPUTED_VALUE"""),"18331A05D5")</f>
        <v>18331A05D5</v>
      </c>
      <c r="C23" s="64" t="str">
        <f>IFERROR(__xludf.DUMMYFUNCTION("""COMPUTED_VALUE"""),"2019-2020")</f>
        <v>2019-2020</v>
      </c>
      <c r="D23" s="64" t="str">
        <f>IFERROR(__xludf.DUMMYFUNCTION("""COMPUTED_VALUE"""),"Webinar")</f>
        <v>Webinar</v>
      </c>
      <c r="E23" s="64" t="str">
        <f>IFERROR(__xludf.DUMMYFUNCTION("""COMPUTED_VALUE"""),"Trending technologies by EXCELR APSSDC")</f>
        <v>Trending technologies by EXCELR APSSDC</v>
      </c>
      <c r="F23" s="64">
        <f>IFERROR(__xludf.DUMMYFUNCTION("""COMPUTED_VALUE"""),30.0)</f>
        <v>30</v>
      </c>
      <c r="G23" s="114">
        <f>IFERROR(__xludf.DUMMYFUNCTION("""COMPUTED_VALUE"""),44075.0)</f>
        <v>44075</v>
      </c>
      <c r="H23" s="114">
        <f>IFERROR(__xludf.DUMMYFUNCTION("""COMPUTED_VALUE"""),44105.0)</f>
        <v>44105</v>
      </c>
      <c r="I23" s="64" t="str">
        <f>IFERROR(__xludf.DUMMYFUNCTION("""COMPUTED_VALUE"""),"APSSDC EXCELR")</f>
        <v>APSSDC EXCELR</v>
      </c>
      <c r="J23" s="64" t="str">
        <f>IFERROR(__xludf.DUMMYFUNCTION("""COMPUTED_VALUE"""),"NA")</f>
        <v>NA</v>
      </c>
      <c r="K23" s="64" t="str">
        <f>IFERROR(__xludf.DUMMYFUNCTION("""COMPUTED_VALUE"""),"State")</f>
        <v>State</v>
      </c>
      <c r="L23" s="64" t="str">
        <f>IFERROR(__xludf.DUMMYFUNCTION("""COMPUTED_VALUE"""),"Free")</f>
        <v>Free</v>
      </c>
      <c r="M23" s="64">
        <f>IFERROR(__xludf.DUMMYFUNCTION("""COMPUTED_VALUE"""),0.0)</f>
        <v>0</v>
      </c>
      <c r="N23" s="115" t="str">
        <f>IFERROR(__xludf.DUMMYFUNCTION("""COMPUTED_VALUE"""),"https://drive.google.com/open?id=1Y9_qqWpPAcz7k69iFzE4GAdFFfx03ljx")</f>
        <v>https://drive.google.com/open?id=1Y9_qqWpPAcz7k69iFzE4GAdFFfx03ljx</v>
      </c>
      <c r="O23" s="64" t="str">
        <f>IFERROR(__xludf.DUMMYFUNCTION("""COMPUTED_VALUE"""),"2018-2022")</f>
        <v>2018-2022</v>
      </c>
      <c r="P23" s="64" t="str">
        <f>IFERROR(__xludf.DUMMYFUNCTION("""COMPUTED_VALUE"""),"S5: Student Workshops/Conf attended")</f>
        <v>S5: Student Workshops/Conf attended</v>
      </c>
      <c r="Q23" s="64" t="str">
        <f>IFERROR(__xludf.DUMMYFUNCTION("""COMPUTED_VALUE"""),"poojasalapu@gmail.com")</f>
        <v>poojasalapu@gmail.com</v>
      </c>
      <c r="R23" s="64" t="str">
        <f>IFERROR(__xludf.DUMMYFUNCTION("""COMPUTED_VALUE"""),"SEM-4")</f>
        <v>SEM-4</v>
      </c>
      <c r="S23" s="12"/>
      <c r="T23" s="12"/>
      <c r="U23" s="12"/>
      <c r="V23" s="12"/>
      <c r="W23" s="12"/>
      <c r="X23" s="12"/>
      <c r="Y23" s="12"/>
    </row>
    <row r="24" ht="26.25" customHeight="1">
      <c r="A24" s="64" t="str">
        <f>IFERROR(__xludf.DUMMYFUNCTION("""COMPUTED_VALUE"""),"Pooja Madhurima Salapu")</f>
        <v>Pooja Madhurima Salapu</v>
      </c>
      <c r="B24" s="64" t="str">
        <f>IFERROR(__xludf.DUMMYFUNCTION("""COMPUTED_VALUE"""),"18331A05D5")</f>
        <v>18331A05D5</v>
      </c>
      <c r="C24" s="64" t="str">
        <f>IFERROR(__xludf.DUMMYFUNCTION("""COMPUTED_VALUE"""),"2021-2022")</f>
        <v>2021-2022</v>
      </c>
      <c r="D24" s="64" t="str">
        <f>IFERROR(__xludf.DUMMYFUNCTION("""COMPUTED_VALUE"""),"Webinar")</f>
        <v>Webinar</v>
      </c>
      <c r="E24" s="64" t="str">
        <f>IFERROR(__xludf.DUMMYFUNCTION("""COMPUTED_VALUE"""),"National intellectual property awareness mission")</f>
        <v>National intellectual property awareness mission</v>
      </c>
      <c r="F24" s="64">
        <f>IFERROR(__xludf.DUMMYFUNCTION("""COMPUTED_VALUE"""),1.0)</f>
        <v>1</v>
      </c>
      <c r="G24" s="114">
        <f>IFERROR(__xludf.DUMMYFUNCTION("""COMPUTED_VALUE"""),44567.0)</f>
        <v>44567</v>
      </c>
      <c r="H24" s="114">
        <f>IFERROR(__xludf.DUMMYFUNCTION("""COMPUTED_VALUE"""),44567.0)</f>
        <v>44567</v>
      </c>
      <c r="I24" s="64" t="str">
        <f>IFERROR(__xludf.DUMMYFUNCTION("""COMPUTED_VALUE"""),"NIPAM")</f>
        <v>NIPAM</v>
      </c>
      <c r="J24" s="64" t="str">
        <f>IFERROR(__xludf.DUMMYFUNCTION("""COMPUTED_VALUE"""),"NIPAM")</f>
        <v>NIPAM</v>
      </c>
      <c r="K24" s="64" t="str">
        <f>IFERROR(__xludf.DUMMYFUNCTION("""COMPUTED_VALUE"""),"National")</f>
        <v>National</v>
      </c>
      <c r="L24" s="64" t="str">
        <f>IFERROR(__xludf.DUMMYFUNCTION("""COMPUTED_VALUE"""),"Free")</f>
        <v>Free</v>
      </c>
      <c r="M24" s="64">
        <f>IFERROR(__xludf.DUMMYFUNCTION("""COMPUTED_VALUE"""),0.0)</f>
        <v>0</v>
      </c>
      <c r="N24" s="115" t="str">
        <f>IFERROR(__xludf.DUMMYFUNCTION("""COMPUTED_VALUE"""),"https://drive.google.com/open?id=1f68sWt-5rGKluE20-P2Im7xMMD-04opV")</f>
        <v>https://drive.google.com/open?id=1f68sWt-5rGKluE20-P2Im7xMMD-04opV</v>
      </c>
      <c r="O24" s="64" t="str">
        <f>IFERROR(__xludf.DUMMYFUNCTION("""COMPUTED_VALUE"""),"2018-2022")</f>
        <v>2018-2022</v>
      </c>
      <c r="P24" s="64" t="str">
        <f>IFERROR(__xludf.DUMMYFUNCTION("""COMPUTED_VALUE"""),"S5: Student Workshops/Conf attended")</f>
        <v>S5: Student Workshops/Conf attended</v>
      </c>
      <c r="Q24" s="64" t="str">
        <f>IFERROR(__xludf.DUMMYFUNCTION("""COMPUTED_VALUE"""),"poojasalapu@gmail.com")</f>
        <v>poojasalapu@gmail.com</v>
      </c>
      <c r="R24" s="64" t="str">
        <f>IFERROR(__xludf.DUMMYFUNCTION("""COMPUTED_VALUE"""),"SEM-7")</f>
        <v>SEM-7</v>
      </c>
      <c r="S24" s="12"/>
      <c r="T24" s="12"/>
      <c r="U24" s="12"/>
      <c r="V24" s="12"/>
      <c r="W24" s="12"/>
      <c r="X24" s="12"/>
      <c r="Y24" s="12"/>
    </row>
    <row r="25" ht="26.25" customHeight="1">
      <c r="A25" s="71" t="str">
        <f>IFERROR(__xludf.DUMMYFUNCTION("""COMPUTED_VALUE"""),"GANTA  GAYATRI")</f>
        <v>GANTA  GAYATRI</v>
      </c>
      <c r="B25" s="71" t="str">
        <f>IFERROR(__xludf.DUMMYFUNCTION("""COMPUTED_VALUE"""),"18331A0541")</f>
        <v>18331A0541</v>
      </c>
      <c r="C25" s="71" t="str">
        <f>IFERROR(__xludf.DUMMYFUNCTION("""COMPUTED_VALUE"""),"2019-2020")</f>
        <v>2019-2020</v>
      </c>
      <c r="D25" s="71" t="str">
        <f>IFERROR(__xludf.DUMMYFUNCTION("""COMPUTED_VALUE"""),"Conference")</f>
        <v>Conference</v>
      </c>
      <c r="E25" s="71" t="str">
        <f>IFERROR(__xludf.DUMMYFUNCTION("""COMPUTED_VALUE"""),"SWECHA FREEDOM FEST")</f>
        <v>SWECHA FREEDOM FEST</v>
      </c>
      <c r="F25" s="71">
        <f>IFERROR(__xludf.DUMMYFUNCTION("""COMPUTED_VALUE"""),2.0)</f>
        <v>2</v>
      </c>
      <c r="G25" s="72">
        <f>IFERROR(__xludf.DUMMYFUNCTION("""COMPUTED_VALUE"""),43505.0)</f>
        <v>43505</v>
      </c>
      <c r="H25" s="72">
        <f>IFERROR(__xludf.DUMMYFUNCTION("""COMPUTED_VALUE"""),43506.0)</f>
        <v>43506</v>
      </c>
      <c r="I25" s="71" t="str">
        <f>IFERROR(__xludf.DUMMYFUNCTION("""COMPUTED_VALUE"""),"SWECHA")</f>
        <v>SWECHA</v>
      </c>
      <c r="J25" s="71" t="str">
        <f>IFERROR(__xludf.DUMMYFUNCTION("""COMPUTED_VALUE"""),"Vamsi Krishna")</f>
        <v>Vamsi Krishna</v>
      </c>
      <c r="K25" s="71" t="str">
        <f>IFERROR(__xludf.DUMMYFUNCTION("""COMPUTED_VALUE"""),"State")</f>
        <v>State</v>
      </c>
      <c r="L25" s="71" t="str">
        <f>IFERROR(__xludf.DUMMYFUNCTION("""COMPUTED_VALUE"""),"Paid")</f>
        <v>Paid</v>
      </c>
      <c r="M25" s="71">
        <f>IFERROR(__xludf.DUMMYFUNCTION("""COMPUTED_VALUE"""),200.0)</f>
        <v>200</v>
      </c>
      <c r="N25" s="73" t="str">
        <f>IFERROR(__xludf.DUMMYFUNCTION("""COMPUTED_VALUE"""),"https://drive.google.com/open?id=13LkRJTs4XF0_4gVHPtBDYYbiBl1B3cT3")</f>
        <v>https://drive.google.com/open?id=13LkRJTs4XF0_4gVHPtBDYYbiBl1B3cT3</v>
      </c>
      <c r="O25" s="71" t="str">
        <f>IFERROR(__xludf.DUMMYFUNCTION("""COMPUTED_VALUE"""),"2018-2022")</f>
        <v>2018-2022</v>
      </c>
      <c r="P25" s="71" t="str">
        <f>IFERROR(__xludf.DUMMYFUNCTION("""COMPUTED_VALUE"""),"S5: Student Workshops/Conf attended")</f>
        <v>S5: Student Workshops/Conf attended</v>
      </c>
      <c r="Q25" s="71" t="str">
        <f>IFERROR(__xludf.DUMMYFUNCTION("""COMPUTED_VALUE"""),"gantagayatri490@gmail.com")</f>
        <v>gantagayatri490@gmail.com</v>
      </c>
      <c r="R25" s="71" t="str">
        <f>IFERROR(__xludf.DUMMYFUNCTION("""COMPUTED_VALUE"""),"SEM-2")</f>
        <v>SEM-2</v>
      </c>
      <c r="S25" s="74"/>
      <c r="T25" s="74"/>
      <c r="U25" s="74"/>
      <c r="V25" s="74"/>
      <c r="W25" s="74"/>
      <c r="X25" s="74"/>
      <c r="Y25" s="74"/>
    </row>
    <row r="26" ht="26.25" customHeight="1">
      <c r="A26" s="71" t="str">
        <f>IFERROR(__xludf.DUMMYFUNCTION("""COMPUTED_VALUE"""),"V Sowdamini")</f>
        <v>V Sowdamini</v>
      </c>
      <c r="B26" s="71" t="str">
        <f>IFERROR(__xludf.DUMMYFUNCTION("""COMPUTED_VALUE"""),"19335A0517")</f>
        <v>19335A0517</v>
      </c>
      <c r="C26" s="71" t="str">
        <f>IFERROR(__xludf.DUMMYFUNCTION("""COMPUTED_VALUE"""),"2021-2022")</f>
        <v>2021-2022</v>
      </c>
      <c r="D26" s="71" t="str">
        <f>IFERROR(__xludf.DUMMYFUNCTION("""COMPUTED_VALUE"""),"Webinar")</f>
        <v>Webinar</v>
      </c>
      <c r="E26" s="71" t="str">
        <f>IFERROR(__xludf.DUMMYFUNCTION("""COMPUTED_VALUE"""),"IP Awareness/Training program ")</f>
        <v>IP Awareness/Training program </v>
      </c>
      <c r="F26" s="71">
        <f>IFERROR(__xludf.DUMMYFUNCTION("""COMPUTED_VALUE"""),1.0)</f>
        <v>1</v>
      </c>
      <c r="G26" s="72">
        <f>IFERROR(__xludf.DUMMYFUNCTION("""COMPUTED_VALUE"""),44572.0)</f>
        <v>44572</v>
      </c>
      <c r="H26" s="72">
        <f>IFERROR(__xludf.DUMMYFUNCTION("""COMPUTED_VALUE"""),44572.0)</f>
        <v>44572</v>
      </c>
      <c r="I26" s="71" t="str">
        <f>IFERROR(__xludf.DUMMYFUNCTION("""COMPUTED_VALUE"""),"Intellectual property office india")</f>
        <v>Intellectual property office india</v>
      </c>
      <c r="J26" s="71" t="str">
        <f>IFERROR(__xludf.DUMMYFUNCTION("""COMPUTED_VALUE"""),"M VAMSI krishna")</f>
        <v>M VAMSI krishna</v>
      </c>
      <c r="K26" s="71" t="str">
        <f>IFERROR(__xludf.DUMMYFUNCTION("""COMPUTED_VALUE"""),"National")</f>
        <v>National</v>
      </c>
      <c r="L26" s="71" t="str">
        <f>IFERROR(__xludf.DUMMYFUNCTION("""COMPUTED_VALUE"""),"Free")</f>
        <v>Free</v>
      </c>
      <c r="M26" s="71"/>
      <c r="N26" s="73" t="str">
        <f>IFERROR(__xludf.DUMMYFUNCTION("""COMPUTED_VALUE"""),"https://drive.google.com/open?id=1MN72QEOBlsJEpBytw8ieoI5Y1fdvvO8B")</f>
        <v>https://drive.google.com/open?id=1MN72QEOBlsJEpBytw8ieoI5Y1fdvvO8B</v>
      </c>
      <c r="O26" s="71" t="str">
        <f>IFERROR(__xludf.DUMMYFUNCTION("""COMPUTED_VALUE"""),"2018-2022")</f>
        <v>2018-2022</v>
      </c>
      <c r="P26" s="71" t="str">
        <f>IFERROR(__xludf.DUMMYFUNCTION("""COMPUTED_VALUE"""),"S5: Student Workshops/Conf attended")</f>
        <v>S5: Student Workshops/Conf attended</v>
      </c>
      <c r="Q26" s="71" t="str">
        <f>IFERROR(__xludf.DUMMYFUNCTION("""COMPUTED_VALUE"""),"sowdaminivanamali5931@gmail.com")</f>
        <v>sowdaminivanamali5931@gmail.com</v>
      </c>
      <c r="R26" s="71" t="str">
        <f>IFERROR(__xludf.DUMMYFUNCTION("""COMPUTED_VALUE"""),"SEM-7")</f>
        <v>SEM-7</v>
      </c>
      <c r="S26" s="74"/>
      <c r="T26" s="74"/>
      <c r="U26" s="74"/>
      <c r="V26" s="74"/>
      <c r="W26" s="74"/>
      <c r="X26" s="74"/>
      <c r="Y26" s="74"/>
    </row>
    <row r="27" ht="26.25" customHeight="1">
      <c r="A27" s="71" t="str">
        <f>IFERROR(__xludf.DUMMYFUNCTION("""COMPUTED_VALUE"""),"V Sowdamini")</f>
        <v>V Sowdamini</v>
      </c>
      <c r="B27" s="71" t="str">
        <f>IFERROR(__xludf.DUMMYFUNCTION("""COMPUTED_VALUE"""),"19335A0517")</f>
        <v>19335A0517</v>
      </c>
      <c r="C27" s="71" t="str">
        <f>IFERROR(__xludf.DUMMYFUNCTION("""COMPUTED_VALUE"""),"2020-2021")</f>
        <v>2020-2021</v>
      </c>
      <c r="D27" s="71" t="str">
        <f>IFERROR(__xludf.DUMMYFUNCTION("""COMPUTED_VALUE"""),"Webinar")</f>
        <v>Webinar</v>
      </c>
      <c r="E27" s="71" t="str">
        <f>IFERROR(__xludf.DUMMYFUNCTION("""COMPUTED_VALUE"""),"Foundations of artificial intelligence and machine learning")</f>
        <v>Foundations of artificial intelligence and machine learning</v>
      </c>
      <c r="F27" s="71">
        <f>IFERROR(__xludf.DUMMYFUNCTION("""COMPUTED_VALUE"""),1.0)</f>
        <v>1</v>
      </c>
      <c r="G27" s="72">
        <f>IFERROR(__xludf.DUMMYFUNCTION("""COMPUTED_VALUE"""),44375.0)</f>
        <v>44375</v>
      </c>
      <c r="H27" s="72">
        <f>IFERROR(__xludf.DUMMYFUNCTION("""COMPUTED_VALUE"""),44405.0)</f>
        <v>44405</v>
      </c>
      <c r="I27" s="71" t="str">
        <f>IFERROR(__xludf.DUMMYFUNCTION("""COMPUTED_VALUE"""),"Anucet Ieee subsection")</f>
        <v>Anucet Ieee subsection</v>
      </c>
      <c r="J27" s="71" t="str">
        <f>IFERROR(__xludf.DUMMYFUNCTION("""COMPUTED_VALUE"""),"K Chaitanya")</f>
        <v>K Chaitanya</v>
      </c>
      <c r="K27" s="71" t="str">
        <f>IFERROR(__xludf.DUMMYFUNCTION("""COMPUTED_VALUE"""),"State")</f>
        <v>State</v>
      </c>
      <c r="L27" s="71" t="str">
        <f>IFERROR(__xludf.DUMMYFUNCTION("""COMPUTED_VALUE"""),"Free")</f>
        <v>Free</v>
      </c>
      <c r="M27" s="71"/>
      <c r="N27" s="73" t="str">
        <f>IFERROR(__xludf.DUMMYFUNCTION("""COMPUTED_VALUE"""),"https://drive.google.com/open?id=1mmZ91l860Gob8yBSsKcYE-clugg18T9H")</f>
        <v>https://drive.google.com/open?id=1mmZ91l860Gob8yBSsKcYE-clugg18T9H</v>
      </c>
      <c r="O27" s="71" t="str">
        <f>IFERROR(__xludf.DUMMYFUNCTION("""COMPUTED_VALUE"""),"2018-2022")</f>
        <v>2018-2022</v>
      </c>
      <c r="P27" s="71" t="str">
        <f>IFERROR(__xludf.DUMMYFUNCTION("""COMPUTED_VALUE"""),"S5: Student Workshops/Conf attended")</f>
        <v>S5: Student Workshops/Conf attended</v>
      </c>
      <c r="Q27" s="71" t="str">
        <f>IFERROR(__xludf.DUMMYFUNCTION("""COMPUTED_VALUE"""),"sowdaminivanamali5931@gmail.com")</f>
        <v>sowdaminivanamali5931@gmail.com</v>
      </c>
      <c r="R27" s="71" t="str">
        <f>IFERROR(__xludf.DUMMYFUNCTION("""COMPUTED_VALUE"""),"SEM-6")</f>
        <v>SEM-6</v>
      </c>
      <c r="S27" s="74"/>
      <c r="T27" s="74"/>
      <c r="U27" s="74"/>
      <c r="V27" s="74"/>
      <c r="W27" s="74"/>
      <c r="X27" s="74"/>
      <c r="Y27" s="74"/>
    </row>
    <row r="28" ht="26.25" customHeight="1">
      <c r="A28" s="71" t="str">
        <f>IFERROR(__xludf.DUMMYFUNCTION("""COMPUTED_VALUE"""),"Syed ali zulfekar")</f>
        <v>Syed ali zulfekar</v>
      </c>
      <c r="B28" s="71" t="str">
        <f>IFERROR(__xludf.DUMMYFUNCTION("""COMPUTED_VALUE"""),"18331A05E9")</f>
        <v>18331A05E9</v>
      </c>
      <c r="C28" s="71" t="str">
        <f>IFERROR(__xludf.DUMMYFUNCTION("""COMPUTED_VALUE"""),"2019-2020")</f>
        <v>2019-2020</v>
      </c>
      <c r="D28" s="71" t="str">
        <f>IFERROR(__xludf.DUMMYFUNCTION("""COMPUTED_VALUE"""),"Seminar")</f>
        <v>Seminar</v>
      </c>
      <c r="E28" s="71" t="str">
        <f>IFERROR(__xludf.DUMMYFUNCTION("""COMPUTED_VALUE"""),"Ethical hacking")</f>
        <v>Ethical hacking</v>
      </c>
      <c r="F28" s="71">
        <f>IFERROR(__xludf.DUMMYFUNCTION("""COMPUTED_VALUE"""),2.0)</f>
        <v>2</v>
      </c>
      <c r="G28" s="72">
        <f>IFERROR(__xludf.DUMMYFUNCTION("""COMPUTED_VALUE"""),43518.0)</f>
        <v>43518</v>
      </c>
      <c r="H28" s="72">
        <f>IFERROR(__xludf.DUMMYFUNCTION("""COMPUTED_VALUE"""),43520.0)</f>
        <v>43520</v>
      </c>
      <c r="I28" s="71" t="str">
        <f>IFERROR(__xludf.DUMMYFUNCTION("""COMPUTED_VALUE"""),"azure skynet")</f>
        <v>azure skynet</v>
      </c>
      <c r="J28" s="71" t="str">
        <f>IFERROR(__xludf.DUMMYFUNCTION("""COMPUTED_VALUE"""),"Manish bhardwaj")</f>
        <v>Manish bhardwaj</v>
      </c>
      <c r="K28" s="71" t="str">
        <f>IFERROR(__xludf.DUMMYFUNCTION("""COMPUTED_VALUE"""),"National")</f>
        <v>National</v>
      </c>
      <c r="L28" s="71" t="str">
        <f>IFERROR(__xludf.DUMMYFUNCTION("""COMPUTED_VALUE"""),"Paid")</f>
        <v>Paid</v>
      </c>
      <c r="M28" s="71">
        <f>IFERROR(__xludf.DUMMYFUNCTION("""COMPUTED_VALUE"""),0.0)</f>
        <v>0</v>
      </c>
      <c r="N28" s="73" t="str">
        <f>IFERROR(__xludf.DUMMYFUNCTION("""COMPUTED_VALUE"""),"https://drive.google.com/open?id=1ERDbRT7AXsv2WVl9XVABo_pFFLRjA9xp")</f>
        <v>https://drive.google.com/open?id=1ERDbRT7AXsv2WVl9XVABo_pFFLRjA9xp</v>
      </c>
      <c r="O28" s="71" t="str">
        <f>IFERROR(__xludf.DUMMYFUNCTION("""COMPUTED_VALUE"""),"2018-2022")</f>
        <v>2018-2022</v>
      </c>
      <c r="P28" s="71" t="str">
        <f>IFERROR(__xludf.DUMMYFUNCTION("""COMPUTED_VALUE"""),"S5: Student Workshops/Conf attended")</f>
        <v>S5: Student Workshops/Conf attended</v>
      </c>
      <c r="Q28" s="71" t="str">
        <f>IFERROR(__xludf.DUMMYFUNCTION("""COMPUTED_VALUE"""),"tillu812@gmail.com")</f>
        <v>tillu812@gmail.com</v>
      </c>
      <c r="R28" s="71" t="str">
        <f>IFERROR(__xludf.DUMMYFUNCTION("""COMPUTED_VALUE"""),"SEM-8")</f>
        <v>SEM-8</v>
      </c>
      <c r="S28" s="74"/>
      <c r="T28" s="74"/>
      <c r="U28" s="74"/>
      <c r="V28" s="74"/>
      <c r="W28" s="74"/>
      <c r="X28" s="74"/>
      <c r="Y28" s="74"/>
    </row>
    <row r="29" ht="26.25" customHeight="1">
      <c r="A29" s="71" t="str">
        <f>IFERROR(__xludf.DUMMYFUNCTION("""COMPUTED_VALUE"""),"Sruthi")</f>
        <v>Sruthi</v>
      </c>
      <c r="B29" s="71" t="str">
        <f>IFERROR(__xludf.DUMMYFUNCTION("""COMPUTED_VALUE"""),"18331A05C5")</f>
        <v>18331A05C5</v>
      </c>
      <c r="C29" s="71" t="str">
        <f>IFERROR(__xludf.DUMMYFUNCTION("""COMPUTED_VALUE"""),"2018-2019")</f>
        <v>2018-2019</v>
      </c>
      <c r="D29" s="71" t="str">
        <f>IFERROR(__xludf.DUMMYFUNCTION("""COMPUTED_VALUE"""),"Seminar")</f>
        <v>Seminar</v>
      </c>
      <c r="E29" s="71" t="str">
        <f>IFERROR(__xludf.DUMMYFUNCTION("""COMPUTED_VALUE"""),"DATA SCIENCE TECHNOLOGIES")</f>
        <v>DATA SCIENCE TECHNOLOGIES</v>
      </c>
      <c r="F29" s="71">
        <f>IFERROR(__xludf.DUMMYFUNCTION("""COMPUTED_VALUE"""),2.0)</f>
        <v>2</v>
      </c>
      <c r="G29" s="72">
        <f>IFERROR(__xludf.DUMMYFUNCTION("""COMPUTED_VALUE"""),43694.0)</f>
        <v>43694</v>
      </c>
      <c r="H29" s="72">
        <f>IFERROR(__xludf.DUMMYFUNCTION("""COMPUTED_VALUE"""),43695.0)</f>
        <v>43695</v>
      </c>
      <c r="I29" s="71" t="str">
        <f>IFERROR(__xludf.DUMMYFUNCTION("""COMPUTED_VALUE"""),"KYRION TECHNOLOGIES")</f>
        <v>KYRION TECHNOLOGIES</v>
      </c>
      <c r="J29" s="71" t="str">
        <f>IFERROR(__xludf.DUMMYFUNCTION("""COMPUTED_VALUE"""),"IITH")</f>
        <v>IITH</v>
      </c>
      <c r="K29" s="71" t="str">
        <f>IFERROR(__xludf.DUMMYFUNCTION("""COMPUTED_VALUE"""),"National")</f>
        <v>National</v>
      </c>
      <c r="L29" s="71" t="str">
        <f>IFERROR(__xludf.DUMMYFUNCTION("""COMPUTED_VALUE"""),"Paid")</f>
        <v>Paid</v>
      </c>
      <c r="M29" s="71">
        <f>IFERROR(__xludf.DUMMYFUNCTION("""COMPUTED_VALUE"""),0.0)</f>
        <v>0</v>
      </c>
      <c r="N29" s="73" t="str">
        <f>IFERROR(__xludf.DUMMYFUNCTION("""COMPUTED_VALUE"""),"https://drive.google.com/open?id=1lwSOwIwTVqpRGpHUzE0w7n6RB76vPn-L")</f>
        <v>https://drive.google.com/open?id=1lwSOwIwTVqpRGpHUzE0w7n6RB76vPn-L</v>
      </c>
      <c r="O29" s="71" t="str">
        <f>IFERROR(__xludf.DUMMYFUNCTION("""COMPUTED_VALUE"""),"2018-2022")</f>
        <v>2018-2022</v>
      </c>
      <c r="P29" s="71" t="str">
        <f>IFERROR(__xludf.DUMMYFUNCTION("""COMPUTED_VALUE"""),"S5: Student Workshops/Conf attended")</f>
        <v>S5: Student Workshops/Conf attended</v>
      </c>
      <c r="Q29" s="71" t="str">
        <f>IFERROR(__xludf.DUMMYFUNCTION("""COMPUTED_VALUE"""),"sruthirokalla369@gmail.com")</f>
        <v>sruthirokalla369@gmail.com</v>
      </c>
      <c r="R29" s="71" t="str">
        <f>IFERROR(__xludf.DUMMYFUNCTION("""COMPUTED_VALUE"""),"SEM-8")</f>
        <v>SEM-8</v>
      </c>
      <c r="S29" s="74"/>
      <c r="T29" s="74"/>
      <c r="U29" s="74"/>
      <c r="V29" s="74"/>
      <c r="W29" s="74"/>
      <c r="X29" s="74"/>
      <c r="Y29" s="74"/>
    </row>
    <row r="30" ht="26.25" customHeight="1">
      <c r="A30" s="71" t="str">
        <f>IFERROR(__xludf.DUMMYFUNCTION("""COMPUTED_VALUE"""),"sruthi")</f>
        <v>sruthi</v>
      </c>
      <c r="B30" s="71" t="str">
        <f>IFERROR(__xludf.DUMMYFUNCTION("""COMPUTED_VALUE"""),"18331A05C5")</f>
        <v>18331A05C5</v>
      </c>
      <c r="C30" s="71" t="str">
        <f>IFERROR(__xludf.DUMMYFUNCTION("""COMPUTED_VALUE"""),"2019-2020")</f>
        <v>2019-2020</v>
      </c>
      <c r="D30" s="71" t="str">
        <f>IFERROR(__xludf.DUMMYFUNCTION("""COMPUTED_VALUE"""),"Seminar")</f>
        <v>Seminar</v>
      </c>
      <c r="E30" s="71" t="str">
        <f>IFERROR(__xludf.DUMMYFUNCTION("""COMPUTED_VALUE"""),"SWECHA FEST")</f>
        <v>SWECHA FEST</v>
      </c>
      <c r="F30" s="71">
        <f>IFERROR(__xludf.DUMMYFUNCTION("""COMPUTED_VALUE"""),2.0)</f>
        <v>2</v>
      </c>
      <c r="G30" s="72">
        <f>IFERROR(__xludf.DUMMYFUNCTION("""COMPUTED_VALUE"""),43505.0)</f>
        <v>43505</v>
      </c>
      <c r="H30" s="72">
        <f>IFERROR(__xludf.DUMMYFUNCTION("""COMPUTED_VALUE"""),43506.0)</f>
        <v>43506</v>
      </c>
      <c r="I30" s="71" t="str">
        <f>IFERROR(__xludf.DUMMYFUNCTION("""COMPUTED_VALUE"""),"SWECHA")</f>
        <v>SWECHA</v>
      </c>
      <c r="J30" s="71" t="str">
        <f>IFERROR(__xludf.DUMMYFUNCTION("""COMPUTED_VALUE"""),"VAMSI KRISHNA M")</f>
        <v>VAMSI KRISHNA M</v>
      </c>
      <c r="K30" s="71" t="str">
        <f>IFERROR(__xludf.DUMMYFUNCTION("""COMPUTED_VALUE"""),"State")</f>
        <v>State</v>
      </c>
      <c r="L30" s="71" t="str">
        <f>IFERROR(__xludf.DUMMYFUNCTION("""COMPUTED_VALUE"""),"Free")</f>
        <v>Free</v>
      </c>
      <c r="M30" s="71"/>
      <c r="N30" s="73" t="str">
        <f>IFERROR(__xludf.DUMMYFUNCTION("""COMPUTED_VALUE"""),"https://drive.google.com/open?id=1YJN4rRyY1B01XvUq4hn70_L_LIvcg3Kv")</f>
        <v>https://drive.google.com/open?id=1YJN4rRyY1B01XvUq4hn70_L_LIvcg3Kv</v>
      </c>
      <c r="O30" s="71" t="str">
        <f>IFERROR(__xludf.DUMMYFUNCTION("""COMPUTED_VALUE"""),"2018-2022")</f>
        <v>2018-2022</v>
      </c>
      <c r="P30" s="71" t="str">
        <f>IFERROR(__xludf.DUMMYFUNCTION("""COMPUTED_VALUE"""),"S5: Student Workshops/Conf attended")</f>
        <v>S5: Student Workshops/Conf attended</v>
      </c>
      <c r="Q30" s="71" t="str">
        <f>IFERROR(__xludf.DUMMYFUNCTION("""COMPUTED_VALUE"""),"sruthirokalla369@gmail.com")</f>
        <v>sruthirokalla369@gmail.com</v>
      </c>
      <c r="R30" s="71" t="str">
        <f>IFERROR(__xludf.DUMMYFUNCTION("""COMPUTED_VALUE"""),"SEM-2")</f>
        <v>SEM-2</v>
      </c>
      <c r="S30" s="74"/>
      <c r="T30" s="74"/>
      <c r="U30" s="74"/>
      <c r="V30" s="74"/>
      <c r="W30" s="74"/>
      <c r="X30" s="74"/>
      <c r="Y30" s="74"/>
    </row>
    <row r="31" ht="26.25" customHeight="1">
      <c r="A31" s="71" t="str">
        <f>IFERROR(__xludf.DUMMYFUNCTION("""COMPUTED_VALUE"""),"Yuvaraj Chowdary Ratnala")</f>
        <v>Yuvaraj Chowdary Ratnala</v>
      </c>
      <c r="B31" s="71" t="str">
        <f>IFERROR(__xludf.DUMMYFUNCTION("""COMPUTED_VALUE"""),"18331A05C3")</f>
        <v>18331A05C3</v>
      </c>
      <c r="C31" s="71" t="str">
        <f>IFERROR(__xludf.DUMMYFUNCTION("""COMPUTED_VALUE"""),"2018-2019")</f>
        <v>2018-2019</v>
      </c>
      <c r="D31" s="71" t="str">
        <f>IFERROR(__xludf.DUMMYFUNCTION("""COMPUTED_VALUE"""),"Conference")</f>
        <v>Conference</v>
      </c>
      <c r="E31" s="71" t="str">
        <f>IFERROR(__xludf.DUMMYFUNCTION("""COMPUTED_VALUE"""),"Swecha Freedom Fest")</f>
        <v>Swecha Freedom Fest</v>
      </c>
      <c r="F31" s="71">
        <f>IFERROR(__xludf.DUMMYFUNCTION("""COMPUTED_VALUE"""),2.0)</f>
        <v>2</v>
      </c>
      <c r="G31" s="72">
        <f>IFERROR(__xludf.DUMMYFUNCTION("""COMPUTED_VALUE"""),43505.0)</f>
        <v>43505</v>
      </c>
      <c r="H31" s="72">
        <f>IFERROR(__xludf.DUMMYFUNCTION("""COMPUTED_VALUE"""),43506.0)</f>
        <v>43506</v>
      </c>
      <c r="I31" s="71" t="str">
        <f>IFERROR(__xludf.DUMMYFUNCTION("""COMPUTED_VALUE"""),"MVGR GLUG")</f>
        <v>MVGR GLUG</v>
      </c>
      <c r="J31" s="71" t="str">
        <f>IFERROR(__xludf.DUMMYFUNCTION("""COMPUTED_VALUE"""),"Mr. M. Vamsi Krishna")</f>
        <v>Mr. M. Vamsi Krishna</v>
      </c>
      <c r="K31" s="71" t="str">
        <f>IFERROR(__xludf.DUMMYFUNCTION("""COMPUTED_VALUE"""),"State")</f>
        <v>State</v>
      </c>
      <c r="L31" s="71" t="str">
        <f>IFERROR(__xludf.DUMMYFUNCTION("""COMPUTED_VALUE"""),"Paid")</f>
        <v>Paid</v>
      </c>
      <c r="M31" s="71"/>
      <c r="N31" s="73" t="str">
        <f>IFERROR(__xludf.DUMMYFUNCTION("""COMPUTED_VALUE"""),"https://drive.google.com/open?id=1_AmuudImeuAke-60a-pwhO2xVaxGX9rn")</f>
        <v>https://drive.google.com/open?id=1_AmuudImeuAke-60a-pwhO2xVaxGX9rn</v>
      </c>
      <c r="O31" s="71" t="str">
        <f>IFERROR(__xludf.DUMMYFUNCTION("""COMPUTED_VALUE"""),"2018-2022")</f>
        <v>2018-2022</v>
      </c>
      <c r="P31" s="71" t="str">
        <f>IFERROR(__xludf.DUMMYFUNCTION("""COMPUTED_VALUE"""),"S5: Student Workshops/Conf attended")</f>
        <v>S5: Student Workshops/Conf attended</v>
      </c>
      <c r="Q31" s="71" t="str">
        <f>IFERROR(__xludf.DUMMYFUNCTION("""COMPUTED_VALUE"""),"18331A05C3@mvgrce.edu.in")</f>
        <v>18331A05C3@mvgrce.edu.in</v>
      </c>
      <c r="R31" s="71" t="str">
        <f>IFERROR(__xludf.DUMMYFUNCTION("""COMPUTED_VALUE"""),"SEM-8")</f>
        <v>SEM-8</v>
      </c>
      <c r="S31" s="74"/>
      <c r="T31" s="74"/>
      <c r="U31" s="74"/>
      <c r="V31" s="74"/>
      <c r="W31" s="74"/>
      <c r="X31" s="74"/>
      <c r="Y31" s="74"/>
    </row>
    <row r="32" ht="26.25" customHeight="1">
      <c r="A32" s="71" t="str">
        <f>IFERROR(__xludf.DUMMYFUNCTION("""COMPUTED_VALUE"""),"METTA VAMSI PRANAV")</f>
        <v>METTA VAMSI PRANAV</v>
      </c>
      <c r="B32" s="71" t="str">
        <f>IFERROR(__xludf.DUMMYFUNCTION("""COMPUTED_VALUE"""),"18331A0598")</f>
        <v>18331A0598</v>
      </c>
      <c r="C32" s="71" t="str">
        <f>IFERROR(__xludf.DUMMYFUNCTION("""COMPUTED_VALUE"""),"2021-2022")</f>
        <v>2021-2022</v>
      </c>
      <c r="D32" s="71" t="str">
        <f>IFERROR(__xludf.DUMMYFUNCTION("""COMPUTED_VALUE"""),"Seminar")</f>
        <v>Seminar</v>
      </c>
      <c r="E32" s="71" t="str">
        <f>IFERROR(__xludf.DUMMYFUNCTION("""COMPUTED_VALUE"""),"Intellectual Property Rights (IPRs)-Trademarks and Copyrights ")</f>
        <v>Intellectual Property Rights (IPRs)-Trademarks and Copyrights </v>
      </c>
      <c r="F32" s="71">
        <f>IFERROR(__xludf.DUMMYFUNCTION("""COMPUTED_VALUE"""),1.0)</f>
        <v>1</v>
      </c>
      <c r="G32" s="72">
        <f>IFERROR(__xludf.DUMMYFUNCTION("""COMPUTED_VALUE"""),44567.0)</f>
        <v>44567</v>
      </c>
      <c r="H32" s="72">
        <f>IFERROR(__xludf.DUMMYFUNCTION("""COMPUTED_VALUE"""),44567.0)</f>
        <v>44567</v>
      </c>
      <c r="I32" s="71" t="str">
        <f>IFERROR(__xludf.DUMMYFUNCTION("""COMPUTED_VALUE"""),"Intellectual Property Office, India")</f>
        <v>Intellectual Property Office, India</v>
      </c>
      <c r="J32" s="71" t="str">
        <f>IFERROR(__xludf.DUMMYFUNCTION("""COMPUTED_VALUE"""),"M.Vamsi Krishna")</f>
        <v>M.Vamsi Krishna</v>
      </c>
      <c r="K32" s="71" t="str">
        <f>IFERROR(__xludf.DUMMYFUNCTION("""COMPUTED_VALUE"""),"National")</f>
        <v>National</v>
      </c>
      <c r="L32" s="71" t="str">
        <f>IFERROR(__xludf.DUMMYFUNCTION("""COMPUTED_VALUE"""),"Free")</f>
        <v>Free</v>
      </c>
      <c r="M32" s="71"/>
      <c r="N32" s="73" t="str">
        <f>IFERROR(__xludf.DUMMYFUNCTION("""COMPUTED_VALUE"""),"https://drive.google.com/open?id=1v5U4mH5Q8y5JkinMsVnRQk6Qam2Nz3kX")</f>
        <v>https://drive.google.com/open?id=1v5U4mH5Q8y5JkinMsVnRQk6Qam2Nz3kX</v>
      </c>
      <c r="O32" s="71" t="str">
        <f>IFERROR(__xludf.DUMMYFUNCTION("""COMPUTED_VALUE"""),"2018-2022")</f>
        <v>2018-2022</v>
      </c>
      <c r="P32" s="71" t="str">
        <f>IFERROR(__xludf.DUMMYFUNCTION("""COMPUTED_VALUE"""),"S5: Student Workshops/Conf attended")</f>
        <v>S5: Student Workshops/Conf attended</v>
      </c>
      <c r="Q32" s="71" t="str">
        <f>IFERROR(__xludf.DUMMYFUNCTION("""COMPUTED_VALUE"""),"vamsipranav9948@gmail.com")</f>
        <v>vamsipranav9948@gmail.com</v>
      </c>
      <c r="R32" s="71" t="str">
        <f>IFERROR(__xludf.DUMMYFUNCTION("""COMPUTED_VALUE"""),"SEM-7")</f>
        <v>SEM-7</v>
      </c>
      <c r="S32" s="74"/>
      <c r="T32" s="74"/>
      <c r="U32" s="74"/>
      <c r="V32" s="74"/>
      <c r="W32" s="74"/>
      <c r="X32" s="74"/>
      <c r="Y32" s="74"/>
    </row>
    <row r="33" ht="26.25" customHeight="1">
      <c r="A33" s="71" t="str">
        <f>IFERROR(__xludf.DUMMYFUNCTION("""COMPUTED_VALUE"""),"Yuvaraj Chowdary Ratnala")</f>
        <v>Yuvaraj Chowdary Ratnala</v>
      </c>
      <c r="B33" s="71" t="str">
        <f>IFERROR(__xludf.DUMMYFUNCTION("""COMPUTED_VALUE"""),"18331A05C3")</f>
        <v>18331A05C3</v>
      </c>
      <c r="C33" s="71" t="str">
        <f>IFERROR(__xludf.DUMMYFUNCTION("""COMPUTED_VALUE"""),"2018-2019")</f>
        <v>2018-2019</v>
      </c>
      <c r="D33" s="71" t="str">
        <f>IFERROR(__xludf.DUMMYFUNCTION("""COMPUTED_VALUE"""),"Conference")</f>
        <v>Conference</v>
      </c>
      <c r="E33" s="71" t="str">
        <f>IFERROR(__xludf.DUMMYFUNCTION("""COMPUTED_VALUE"""),"Summer Camp")</f>
        <v>Summer Camp</v>
      </c>
      <c r="F33" s="71">
        <f>IFERROR(__xludf.DUMMYFUNCTION("""COMPUTED_VALUE"""),15.0)</f>
        <v>15</v>
      </c>
      <c r="G33" s="72">
        <f>IFERROR(__xludf.DUMMYFUNCTION("""COMPUTED_VALUE"""),43598.0)</f>
        <v>43598</v>
      </c>
      <c r="H33" s="72">
        <f>IFERROR(__xludf.DUMMYFUNCTION("""COMPUTED_VALUE"""),43612.0)</f>
        <v>43612</v>
      </c>
      <c r="I33" s="71" t="str">
        <f>IFERROR(__xludf.DUMMYFUNCTION("""COMPUTED_VALUE"""),"Swecha")</f>
        <v>Swecha</v>
      </c>
      <c r="J33" s="71" t="str">
        <f>IFERROR(__xludf.DUMMYFUNCTION("""COMPUTED_VALUE"""),"Mr. M Vamsi Krishna")</f>
        <v>Mr. M Vamsi Krishna</v>
      </c>
      <c r="K33" s="71" t="str">
        <f>IFERROR(__xludf.DUMMYFUNCTION("""COMPUTED_VALUE"""),"State")</f>
        <v>State</v>
      </c>
      <c r="L33" s="71" t="str">
        <f>IFERROR(__xludf.DUMMYFUNCTION("""COMPUTED_VALUE"""),"Paid")</f>
        <v>Paid</v>
      </c>
      <c r="M33" s="71"/>
      <c r="N33" s="73" t="str">
        <f>IFERROR(__xludf.DUMMYFUNCTION("""COMPUTED_VALUE"""),"https://drive.google.com/open?id=1dMNxi_Or7UhKxJPL3YEinENFdowglzpI")</f>
        <v>https://drive.google.com/open?id=1dMNxi_Or7UhKxJPL3YEinENFdowglzpI</v>
      </c>
      <c r="O33" s="71" t="str">
        <f>IFERROR(__xludf.DUMMYFUNCTION("""COMPUTED_VALUE"""),"2018-2022")</f>
        <v>2018-2022</v>
      </c>
      <c r="P33" s="71" t="str">
        <f>IFERROR(__xludf.DUMMYFUNCTION("""COMPUTED_VALUE"""),"S5: Student Workshops/Conf attended")</f>
        <v>S5: Student Workshops/Conf attended</v>
      </c>
      <c r="Q33" s="71" t="str">
        <f>IFERROR(__xludf.DUMMYFUNCTION("""COMPUTED_VALUE"""),"18331A05C3@mvgrce.edu.in")</f>
        <v>18331A05C3@mvgrce.edu.in</v>
      </c>
      <c r="R33" s="71" t="str">
        <f>IFERROR(__xludf.DUMMYFUNCTION("""COMPUTED_VALUE"""),"SEM-8")</f>
        <v>SEM-8</v>
      </c>
      <c r="S33" s="74"/>
      <c r="T33" s="74"/>
      <c r="U33" s="74"/>
      <c r="V33" s="74"/>
      <c r="W33" s="74"/>
      <c r="X33" s="74"/>
      <c r="Y33" s="74"/>
    </row>
    <row r="34" ht="26.25" customHeight="1">
      <c r="A34" s="64" t="str">
        <f>IFERROR(__xludf.DUMMYFUNCTION("""COMPUTED_VALUE"""),"Yuvaraj Chowdary Ratnala")</f>
        <v>Yuvaraj Chowdary Ratnala</v>
      </c>
      <c r="B34" s="64" t="str">
        <f>IFERROR(__xludf.DUMMYFUNCTION("""COMPUTED_VALUE"""),"18331A05C33")</f>
        <v>18331A05C33</v>
      </c>
      <c r="C34" s="64" t="str">
        <f>IFERROR(__xludf.DUMMYFUNCTION("""COMPUTED_VALUE"""),"2019-2020")</f>
        <v>2019-2020</v>
      </c>
      <c r="D34" s="64" t="str">
        <f>IFERROR(__xludf.DUMMYFUNCTION("""COMPUTED_VALUE"""),"Seminar")</f>
        <v>Seminar</v>
      </c>
      <c r="E34" s="64" t="str">
        <f>IFERROR(__xludf.DUMMYFUNCTION("""COMPUTED_VALUE"""),"Maths Day")</f>
        <v>Maths Day</v>
      </c>
      <c r="F34" s="64">
        <f>IFERROR(__xludf.DUMMYFUNCTION("""COMPUTED_VALUE"""),2.0)</f>
        <v>2</v>
      </c>
      <c r="G34" s="114">
        <f>IFERROR(__xludf.DUMMYFUNCTION("""COMPUTED_VALUE"""),43817.0)</f>
        <v>43817</v>
      </c>
      <c r="H34" s="114">
        <f>IFERROR(__xludf.DUMMYFUNCTION("""COMPUTED_VALUE"""),43819.0)</f>
        <v>43819</v>
      </c>
      <c r="I34" s="64" t="str">
        <f>IFERROR(__xludf.DUMMYFUNCTION("""COMPUTED_VALUE"""),"Department of Mathematics")</f>
        <v>Department of Mathematics</v>
      </c>
      <c r="J34" s="64" t="str">
        <f>IFERROR(__xludf.DUMMYFUNCTION("""COMPUTED_VALUE"""),"Dr. M. Krishna Sastry")</f>
        <v>Dr. M. Krishna Sastry</v>
      </c>
      <c r="K34" s="64" t="str">
        <f>IFERROR(__xludf.DUMMYFUNCTION("""COMPUTED_VALUE"""),"State")</f>
        <v>State</v>
      </c>
      <c r="L34" s="64" t="str">
        <f>IFERROR(__xludf.DUMMYFUNCTION("""COMPUTED_VALUE"""),"Free")</f>
        <v>Free</v>
      </c>
      <c r="M34" s="64"/>
      <c r="N34" s="115" t="str">
        <f>IFERROR(__xludf.DUMMYFUNCTION("""COMPUTED_VALUE"""),"https://drive.google.com/open?id=19Ka6YBVza_JMpDFUmAyufew4waw_D5y0")</f>
        <v>https://drive.google.com/open?id=19Ka6YBVza_JMpDFUmAyufew4waw_D5y0</v>
      </c>
      <c r="O34" s="64" t="str">
        <f>IFERROR(__xludf.DUMMYFUNCTION("""COMPUTED_VALUE"""),"2018-2022")</f>
        <v>2018-2022</v>
      </c>
      <c r="P34" s="64" t="str">
        <f>IFERROR(__xludf.DUMMYFUNCTION("""COMPUTED_VALUE"""),"S5: Student Workshops/Conf attended")</f>
        <v>S5: Student Workshops/Conf attended</v>
      </c>
      <c r="Q34" s="64" t="str">
        <f>IFERROR(__xludf.DUMMYFUNCTION("""COMPUTED_VALUE"""),"18331A05C3@mvgrce.edu.in")</f>
        <v>18331A05C3@mvgrce.edu.in</v>
      </c>
      <c r="R34" s="64" t="str">
        <f>IFERROR(__xludf.DUMMYFUNCTION("""COMPUTED_VALUE"""),"SEM-8")</f>
        <v>SEM-8</v>
      </c>
      <c r="S34" s="12"/>
      <c r="T34" s="12"/>
      <c r="U34" s="12"/>
      <c r="V34" s="12"/>
      <c r="W34" s="12"/>
      <c r="X34" s="12"/>
      <c r="Y34" s="12"/>
    </row>
    <row r="35" ht="26.25" customHeight="1">
      <c r="A35" s="71" t="str">
        <f>IFERROR(__xludf.DUMMYFUNCTION("""COMPUTED_VALUE"""),"Kusuma Patnaik Murahari")</f>
        <v>Kusuma Patnaik Murahari</v>
      </c>
      <c r="B35" s="71" t="str">
        <f>IFERROR(__xludf.DUMMYFUNCTION("""COMPUTED_VALUE"""),"18331A0584")</f>
        <v>18331A0584</v>
      </c>
      <c r="C35" s="71" t="str">
        <f>IFERROR(__xludf.DUMMYFUNCTION("""COMPUTED_VALUE"""),"2021-2022")</f>
        <v>2021-2022</v>
      </c>
      <c r="D35" s="71" t="str">
        <f>IFERROR(__xludf.DUMMYFUNCTION("""COMPUTED_VALUE"""),"Webinar")</f>
        <v>Webinar</v>
      </c>
      <c r="E35" s="71" t="str">
        <f>IFERROR(__xludf.DUMMYFUNCTION("""COMPUTED_VALUE"""),"The Women Rock-IT Program")</f>
        <v>The Women Rock-IT Program</v>
      </c>
      <c r="F35" s="71">
        <f>IFERROR(__xludf.DUMMYFUNCTION("""COMPUTED_VALUE"""),1.0)</f>
        <v>1</v>
      </c>
      <c r="G35" s="72">
        <f>IFERROR(__xludf.DUMMYFUNCTION("""COMPUTED_VALUE"""),44469.0)</f>
        <v>44469</v>
      </c>
      <c r="H35" s="72">
        <f>IFERROR(__xludf.DUMMYFUNCTION("""COMPUTED_VALUE"""),44469.0)</f>
        <v>44469</v>
      </c>
      <c r="I35" s="71" t="str">
        <f>IFERROR(__xludf.DUMMYFUNCTION("""COMPUTED_VALUE"""),"Cisco Networking Academy")</f>
        <v>Cisco Networking Academy</v>
      </c>
      <c r="J35" s="71" t="str">
        <f>IFERROR(__xludf.DUMMYFUNCTION("""COMPUTED_VALUE"""),"Emma Reid")</f>
        <v>Emma Reid</v>
      </c>
      <c r="K35" s="71" t="str">
        <f>IFERROR(__xludf.DUMMYFUNCTION("""COMPUTED_VALUE"""),"International")</f>
        <v>International</v>
      </c>
      <c r="L35" s="71" t="str">
        <f>IFERROR(__xludf.DUMMYFUNCTION("""COMPUTED_VALUE"""),"Free")</f>
        <v>Free</v>
      </c>
      <c r="M35" s="71"/>
      <c r="N35" s="73" t="str">
        <f>IFERROR(__xludf.DUMMYFUNCTION("""COMPUTED_VALUE"""),"https://drive.google.com/open?id=1snuULu0HwVOJ687g5nrp_n5xXeDOBAOD")</f>
        <v>https://drive.google.com/open?id=1snuULu0HwVOJ687g5nrp_n5xXeDOBAOD</v>
      </c>
      <c r="O35" s="71" t="str">
        <f>IFERROR(__xludf.DUMMYFUNCTION("""COMPUTED_VALUE"""),"2018-2022")</f>
        <v>2018-2022</v>
      </c>
      <c r="P35" s="71" t="str">
        <f>IFERROR(__xludf.DUMMYFUNCTION("""COMPUTED_VALUE"""),"S5: Student Workshops/Conf attended")</f>
        <v>S5: Student Workshops/Conf attended</v>
      </c>
      <c r="Q35" s="71" t="str">
        <f>IFERROR(__xludf.DUMMYFUNCTION("""COMPUTED_VALUE"""),"muraharikusum2000@gmail.com")</f>
        <v>muraharikusum2000@gmail.com</v>
      </c>
      <c r="R35" s="71" t="str">
        <f>IFERROR(__xludf.DUMMYFUNCTION("""COMPUTED_VALUE"""),"SEM-8")</f>
        <v>SEM-8</v>
      </c>
      <c r="S35" s="74"/>
      <c r="T35" s="74"/>
      <c r="U35" s="74"/>
      <c r="V35" s="74"/>
      <c r="W35" s="74"/>
      <c r="X35" s="74"/>
      <c r="Y35" s="74"/>
    </row>
    <row r="36" ht="26.25" customHeight="1">
      <c r="A36" s="71" t="str">
        <f>IFERROR(__xludf.DUMMYFUNCTION("""COMPUTED_VALUE"""),"METTA VAMSI PRANAV")</f>
        <v>METTA VAMSI PRANAV</v>
      </c>
      <c r="B36" s="71" t="str">
        <f>IFERROR(__xludf.DUMMYFUNCTION("""COMPUTED_VALUE"""),"18331A0598")</f>
        <v>18331A0598</v>
      </c>
      <c r="C36" s="71" t="str">
        <f>IFERROR(__xludf.DUMMYFUNCTION("""COMPUTED_VALUE"""),"2021-2022")</f>
        <v>2021-2022</v>
      </c>
      <c r="D36" s="71" t="str">
        <f>IFERROR(__xludf.DUMMYFUNCTION("""COMPUTED_VALUE"""),"Webinar")</f>
        <v>Webinar</v>
      </c>
      <c r="E36" s="71" t="str">
        <f>IFERROR(__xludf.DUMMYFUNCTION("""COMPUTED_VALUE"""),"How UBER Saves Your Time?")</f>
        <v>How UBER Saves Your Time?</v>
      </c>
      <c r="F36" s="71">
        <f>IFERROR(__xludf.DUMMYFUNCTION("""COMPUTED_VALUE"""),1.0)</f>
        <v>1</v>
      </c>
      <c r="G36" s="72">
        <f>IFERROR(__xludf.DUMMYFUNCTION("""COMPUTED_VALUE"""),44568.0)</f>
        <v>44568</v>
      </c>
      <c r="H36" s="72">
        <f>IFERROR(__xludf.DUMMYFUNCTION("""COMPUTED_VALUE"""),44568.0)</f>
        <v>44568</v>
      </c>
      <c r="I36" s="71" t="str">
        <f>IFERROR(__xludf.DUMMYFUNCTION("""COMPUTED_VALUE"""),"Tech Learn")</f>
        <v>Tech Learn</v>
      </c>
      <c r="J36" s="71" t="str">
        <f>IFERROR(__xludf.DUMMYFUNCTION("""COMPUTED_VALUE"""),"Kishore Reddy")</f>
        <v>Kishore Reddy</v>
      </c>
      <c r="K36" s="71" t="str">
        <f>IFERROR(__xludf.DUMMYFUNCTION("""COMPUTED_VALUE"""),"National")</f>
        <v>National</v>
      </c>
      <c r="L36" s="71" t="str">
        <f>IFERROR(__xludf.DUMMYFUNCTION("""COMPUTED_VALUE"""),"Free")</f>
        <v>Free</v>
      </c>
      <c r="M36" s="71"/>
      <c r="N36" s="73" t="str">
        <f>IFERROR(__xludf.DUMMYFUNCTION("""COMPUTED_VALUE"""),"https://drive.google.com/open?id=1Wm4MnZKWaOo8kn9bpOgiuXGTJuxbVBfo")</f>
        <v>https://drive.google.com/open?id=1Wm4MnZKWaOo8kn9bpOgiuXGTJuxbVBfo</v>
      </c>
      <c r="O36" s="71" t="str">
        <f>IFERROR(__xludf.DUMMYFUNCTION("""COMPUTED_VALUE"""),"2018-2022")</f>
        <v>2018-2022</v>
      </c>
      <c r="P36" s="71" t="str">
        <f>IFERROR(__xludf.DUMMYFUNCTION("""COMPUTED_VALUE"""),"S5: Student Workshops/Conf attended")</f>
        <v>S5: Student Workshops/Conf attended</v>
      </c>
      <c r="Q36" s="71" t="str">
        <f>IFERROR(__xludf.DUMMYFUNCTION("""COMPUTED_VALUE"""),"vamsipranav9948@gmail.com")</f>
        <v>vamsipranav9948@gmail.com</v>
      </c>
      <c r="R36" s="71" t="str">
        <f>IFERROR(__xludf.DUMMYFUNCTION("""COMPUTED_VALUE"""),"SEM-7")</f>
        <v>SEM-7</v>
      </c>
      <c r="S36" s="74"/>
      <c r="T36" s="74"/>
      <c r="U36" s="74"/>
      <c r="V36" s="74"/>
      <c r="W36" s="74"/>
      <c r="X36" s="74"/>
      <c r="Y36" s="74"/>
    </row>
    <row r="37" ht="26.25" customHeight="1">
      <c r="A37" s="71" t="str">
        <f>IFERROR(__xludf.DUMMYFUNCTION("""COMPUTED_VALUE"""),"METTA VAMSI PRANAV")</f>
        <v>METTA VAMSI PRANAV</v>
      </c>
      <c r="B37" s="71" t="str">
        <f>IFERROR(__xludf.DUMMYFUNCTION("""COMPUTED_VALUE"""),"18331A0598")</f>
        <v>18331A0598</v>
      </c>
      <c r="C37" s="71" t="str">
        <f>IFERROR(__xludf.DUMMYFUNCTION("""COMPUTED_VALUE"""),"2021-2022")</f>
        <v>2021-2022</v>
      </c>
      <c r="D37" s="71" t="str">
        <f>IFERROR(__xludf.DUMMYFUNCTION("""COMPUTED_VALUE"""),"Webinar")</f>
        <v>Webinar</v>
      </c>
      <c r="E37" s="71" t="str">
        <f>IFERROR(__xludf.DUMMYFUNCTION("""COMPUTED_VALUE"""),"Implementation Of AL bot for a two player game(TIC TAC TOE)")</f>
        <v>Implementation Of AL bot for a two player game(TIC TAC TOE)</v>
      </c>
      <c r="F37" s="71">
        <f>IFERROR(__xludf.DUMMYFUNCTION("""COMPUTED_VALUE"""),1.0)</f>
        <v>1</v>
      </c>
      <c r="G37" s="72">
        <f>IFERROR(__xludf.DUMMYFUNCTION("""COMPUTED_VALUE"""),44568.0)</f>
        <v>44568</v>
      </c>
      <c r="H37" s="72">
        <f>IFERROR(__xludf.DUMMYFUNCTION("""COMPUTED_VALUE"""),44568.0)</f>
        <v>44568</v>
      </c>
      <c r="I37" s="71" t="str">
        <f>IFERROR(__xludf.DUMMYFUNCTION("""COMPUTED_VALUE"""),"Tech Learn")</f>
        <v>Tech Learn</v>
      </c>
      <c r="J37" s="71" t="str">
        <f>IFERROR(__xludf.DUMMYFUNCTION("""COMPUTED_VALUE"""),"Kishore Reddy")</f>
        <v>Kishore Reddy</v>
      </c>
      <c r="K37" s="71" t="str">
        <f>IFERROR(__xludf.DUMMYFUNCTION("""COMPUTED_VALUE"""),"National")</f>
        <v>National</v>
      </c>
      <c r="L37" s="71" t="str">
        <f>IFERROR(__xludf.DUMMYFUNCTION("""COMPUTED_VALUE"""),"Free")</f>
        <v>Free</v>
      </c>
      <c r="M37" s="71"/>
      <c r="N37" s="73" t="str">
        <f>IFERROR(__xludf.DUMMYFUNCTION("""COMPUTED_VALUE"""),"https://drive.google.com/open?id=1UW4JMALPhi0QZwc7UJeLomfBEpWwBMSu")</f>
        <v>https://drive.google.com/open?id=1UW4JMALPhi0QZwc7UJeLomfBEpWwBMSu</v>
      </c>
      <c r="O37" s="71" t="str">
        <f>IFERROR(__xludf.DUMMYFUNCTION("""COMPUTED_VALUE"""),"2018-2022")</f>
        <v>2018-2022</v>
      </c>
      <c r="P37" s="71" t="str">
        <f>IFERROR(__xludf.DUMMYFUNCTION("""COMPUTED_VALUE"""),"S5: Student Workshops/Conf attended")</f>
        <v>S5: Student Workshops/Conf attended</v>
      </c>
      <c r="Q37" s="71" t="str">
        <f>IFERROR(__xludf.DUMMYFUNCTION("""COMPUTED_VALUE"""),"vamsipranav9948@gmail.com")</f>
        <v>vamsipranav9948@gmail.com</v>
      </c>
      <c r="R37" s="71" t="str">
        <f>IFERROR(__xludf.DUMMYFUNCTION("""COMPUTED_VALUE"""),"SEM-7")</f>
        <v>SEM-7</v>
      </c>
      <c r="S37" s="74"/>
      <c r="T37" s="74"/>
      <c r="U37" s="74"/>
      <c r="V37" s="74"/>
      <c r="W37" s="74"/>
      <c r="X37" s="74"/>
      <c r="Y37" s="74"/>
    </row>
    <row r="38" ht="26.25" customHeight="1">
      <c r="A38" s="71" t="str">
        <f>IFERROR(__xludf.DUMMYFUNCTION("""COMPUTED_VALUE"""),"METTA VAMSI PRANAV")</f>
        <v>METTA VAMSI PRANAV</v>
      </c>
      <c r="B38" s="71" t="str">
        <f>IFERROR(__xludf.DUMMYFUNCTION("""COMPUTED_VALUE"""),"18331A0598")</f>
        <v>18331A0598</v>
      </c>
      <c r="C38" s="71" t="str">
        <f>IFERROR(__xludf.DUMMYFUNCTION("""COMPUTED_VALUE"""),"2021-2022")</f>
        <v>2021-2022</v>
      </c>
      <c r="D38" s="71" t="str">
        <f>IFERROR(__xludf.DUMMYFUNCTION("""COMPUTED_VALUE"""),"Webinar")</f>
        <v>Webinar</v>
      </c>
      <c r="E38" s="71" t="str">
        <f>IFERROR(__xludf.DUMMYFUNCTION("""COMPUTED_VALUE"""),"How Tesla Self Car Driving Works?")</f>
        <v>How Tesla Self Car Driving Works?</v>
      </c>
      <c r="F38" s="71">
        <f>IFERROR(__xludf.DUMMYFUNCTION("""COMPUTED_VALUE"""),1.0)</f>
        <v>1</v>
      </c>
      <c r="G38" s="72">
        <f>IFERROR(__xludf.DUMMYFUNCTION("""COMPUTED_VALUE"""),44574.0)</f>
        <v>44574</v>
      </c>
      <c r="H38" s="72">
        <f>IFERROR(__xludf.DUMMYFUNCTION("""COMPUTED_VALUE"""),44574.0)</f>
        <v>44574</v>
      </c>
      <c r="I38" s="71" t="str">
        <f>IFERROR(__xludf.DUMMYFUNCTION("""COMPUTED_VALUE"""),"Tech Learn")</f>
        <v>Tech Learn</v>
      </c>
      <c r="J38" s="71" t="str">
        <f>IFERROR(__xludf.DUMMYFUNCTION("""COMPUTED_VALUE"""),"Kishore Reddy")</f>
        <v>Kishore Reddy</v>
      </c>
      <c r="K38" s="71" t="str">
        <f>IFERROR(__xludf.DUMMYFUNCTION("""COMPUTED_VALUE"""),"National")</f>
        <v>National</v>
      </c>
      <c r="L38" s="71" t="str">
        <f>IFERROR(__xludf.DUMMYFUNCTION("""COMPUTED_VALUE"""),"Free")</f>
        <v>Free</v>
      </c>
      <c r="M38" s="71"/>
      <c r="N38" s="73" t="str">
        <f>IFERROR(__xludf.DUMMYFUNCTION("""COMPUTED_VALUE"""),"https://drive.google.com/open?id=1Xa6M5OzsQg1V9f_t8BfVNYGChbG7C8wf")</f>
        <v>https://drive.google.com/open?id=1Xa6M5OzsQg1V9f_t8BfVNYGChbG7C8wf</v>
      </c>
      <c r="O38" s="71" t="str">
        <f>IFERROR(__xludf.DUMMYFUNCTION("""COMPUTED_VALUE"""),"2018-2022")</f>
        <v>2018-2022</v>
      </c>
      <c r="P38" s="71" t="str">
        <f>IFERROR(__xludf.DUMMYFUNCTION("""COMPUTED_VALUE"""),"S5: Student Workshops/Conf attended")</f>
        <v>S5: Student Workshops/Conf attended</v>
      </c>
      <c r="Q38" s="71" t="str">
        <f>IFERROR(__xludf.DUMMYFUNCTION("""COMPUTED_VALUE"""),"vamsipranav9948@gmail.com")</f>
        <v>vamsipranav9948@gmail.com</v>
      </c>
      <c r="R38" s="71" t="str">
        <f>IFERROR(__xludf.DUMMYFUNCTION("""COMPUTED_VALUE"""),"SEM-7")</f>
        <v>SEM-7</v>
      </c>
      <c r="S38" s="74"/>
      <c r="T38" s="74"/>
      <c r="U38" s="74"/>
      <c r="V38" s="74"/>
      <c r="W38" s="74"/>
      <c r="X38" s="74"/>
      <c r="Y38" s="74"/>
    </row>
    <row r="39" ht="26.25" customHeight="1">
      <c r="A39" s="71" t="str">
        <f>IFERROR(__xludf.DUMMYFUNCTION("""COMPUTED_VALUE"""),"METTA VAMSI PRANAV")</f>
        <v>METTA VAMSI PRANAV</v>
      </c>
      <c r="B39" s="71" t="str">
        <f>IFERROR(__xludf.DUMMYFUNCTION("""COMPUTED_VALUE"""),"18331A0598")</f>
        <v>18331A0598</v>
      </c>
      <c r="C39" s="71" t="str">
        <f>IFERROR(__xludf.DUMMYFUNCTION("""COMPUTED_VALUE"""),"2021-2022")</f>
        <v>2021-2022</v>
      </c>
      <c r="D39" s="71" t="str">
        <f>IFERROR(__xludf.DUMMYFUNCTION("""COMPUTED_VALUE"""),"Webinar")</f>
        <v>Webinar</v>
      </c>
      <c r="E39" s="71" t="str">
        <f>IFERROR(__xludf.DUMMYFUNCTION("""COMPUTED_VALUE"""),"Implement Playlist Generator For Spotify")</f>
        <v>Implement Playlist Generator For Spotify</v>
      </c>
      <c r="F39" s="71">
        <f>IFERROR(__xludf.DUMMYFUNCTION("""COMPUTED_VALUE"""),1.0)</f>
        <v>1</v>
      </c>
      <c r="G39" s="72">
        <f>IFERROR(__xludf.DUMMYFUNCTION("""COMPUTED_VALUE"""),44575.0)</f>
        <v>44575</v>
      </c>
      <c r="H39" s="72">
        <f>IFERROR(__xludf.DUMMYFUNCTION("""COMPUTED_VALUE"""),44575.0)</f>
        <v>44575</v>
      </c>
      <c r="I39" s="71" t="str">
        <f>IFERROR(__xludf.DUMMYFUNCTION("""COMPUTED_VALUE"""),"Tech Learn")</f>
        <v>Tech Learn</v>
      </c>
      <c r="J39" s="71" t="str">
        <f>IFERROR(__xludf.DUMMYFUNCTION("""COMPUTED_VALUE"""),"Kishore Reddy")</f>
        <v>Kishore Reddy</v>
      </c>
      <c r="K39" s="71" t="str">
        <f>IFERROR(__xludf.DUMMYFUNCTION("""COMPUTED_VALUE"""),"National")</f>
        <v>National</v>
      </c>
      <c r="L39" s="71" t="str">
        <f>IFERROR(__xludf.DUMMYFUNCTION("""COMPUTED_VALUE"""),"Free")</f>
        <v>Free</v>
      </c>
      <c r="M39" s="71"/>
      <c r="N39" s="73" t="str">
        <f>IFERROR(__xludf.DUMMYFUNCTION("""COMPUTED_VALUE"""),"https://drive.google.com/open?id=1WASeusBpiMpHwN8Tc4olsQAqUnPt0BGt")</f>
        <v>https://drive.google.com/open?id=1WASeusBpiMpHwN8Tc4olsQAqUnPt0BGt</v>
      </c>
      <c r="O39" s="71" t="str">
        <f>IFERROR(__xludf.DUMMYFUNCTION("""COMPUTED_VALUE"""),"2018-2022")</f>
        <v>2018-2022</v>
      </c>
      <c r="P39" s="71" t="str">
        <f>IFERROR(__xludf.DUMMYFUNCTION("""COMPUTED_VALUE"""),"S5: Student Workshops/Conf attended")</f>
        <v>S5: Student Workshops/Conf attended</v>
      </c>
      <c r="Q39" s="71" t="str">
        <f>IFERROR(__xludf.DUMMYFUNCTION("""COMPUTED_VALUE"""),"vamsipranav9948@gmail.com")</f>
        <v>vamsipranav9948@gmail.com</v>
      </c>
      <c r="R39" s="71" t="str">
        <f>IFERROR(__xludf.DUMMYFUNCTION("""COMPUTED_VALUE"""),"SEM-7")</f>
        <v>SEM-7</v>
      </c>
      <c r="S39" s="74"/>
      <c r="T39" s="74"/>
      <c r="U39" s="74"/>
      <c r="V39" s="74"/>
      <c r="W39" s="74"/>
      <c r="X39" s="74"/>
      <c r="Y39" s="74"/>
    </row>
    <row r="40" ht="26.25" customHeight="1">
      <c r="A40" s="71" t="str">
        <f>IFERROR(__xludf.DUMMYFUNCTION("""COMPUTED_VALUE"""),"METTA VAMSI PRANAV")</f>
        <v>METTA VAMSI PRANAV</v>
      </c>
      <c r="B40" s="71" t="str">
        <f>IFERROR(__xludf.DUMMYFUNCTION("""COMPUTED_VALUE"""),"18331A0598")</f>
        <v>18331A0598</v>
      </c>
      <c r="C40" s="71" t="str">
        <f>IFERROR(__xludf.DUMMYFUNCTION("""COMPUTED_VALUE"""),"2021-2022")</f>
        <v>2021-2022</v>
      </c>
      <c r="D40" s="71" t="str">
        <f>IFERROR(__xludf.DUMMYFUNCTION("""COMPUTED_VALUE"""),"Webinar")</f>
        <v>Webinar</v>
      </c>
      <c r="E40" s="71" t="str">
        <f>IFERROR(__xludf.DUMMYFUNCTION("""COMPUTED_VALUE"""),"Implementing Social Media Login Using Facebook API")</f>
        <v>Implementing Social Media Login Using Facebook API</v>
      </c>
      <c r="F40" s="71">
        <f>IFERROR(__xludf.DUMMYFUNCTION("""COMPUTED_VALUE"""),1.0)</f>
        <v>1</v>
      </c>
      <c r="G40" s="72">
        <f>IFERROR(__xludf.DUMMYFUNCTION("""COMPUTED_VALUE"""),44569.0)</f>
        <v>44569</v>
      </c>
      <c r="H40" s="72">
        <f>IFERROR(__xludf.DUMMYFUNCTION("""COMPUTED_VALUE"""),44569.0)</f>
        <v>44569</v>
      </c>
      <c r="I40" s="71" t="str">
        <f>IFERROR(__xludf.DUMMYFUNCTION("""COMPUTED_VALUE"""),"Tech Learn")</f>
        <v>Tech Learn</v>
      </c>
      <c r="J40" s="71" t="str">
        <f>IFERROR(__xludf.DUMMYFUNCTION("""COMPUTED_VALUE"""),"Kishore Reddy")</f>
        <v>Kishore Reddy</v>
      </c>
      <c r="K40" s="71" t="str">
        <f>IFERROR(__xludf.DUMMYFUNCTION("""COMPUTED_VALUE"""),"National")</f>
        <v>National</v>
      </c>
      <c r="L40" s="71" t="str">
        <f>IFERROR(__xludf.DUMMYFUNCTION("""COMPUTED_VALUE"""),"Free")</f>
        <v>Free</v>
      </c>
      <c r="M40" s="71"/>
      <c r="N40" s="73" t="str">
        <f>IFERROR(__xludf.DUMMYFUNCTION("""COMPUTED_VALUE"""),"https://drive.google.com/open?id=1-5ulWFAkRwnJeAKm0eIUioBG-oDd3-t6")</f>
        <v>https://drive.google.com/open?id=1-5ulWFAkRwnJeAKm0eIUioBG-oDd3-t6</v>
      </c>
      <c r="O40" s="71" t="str">
        <f>IFERROR(__xludf.DUMMYFUNCTION("""COMPUTED_VALUE"""),"2018-2022")</f>
        <v>2018-2022</v>
      </c>
      <c r="P40" s="71" t="str">
        <f>IFERROR(__xludf.DUMMYFUNCTION("""COMPUTED_VALUE"""),"S5: Student Workshops/Conf attended")</f>
        <v>S5: Student Workshops/Conf attended</v>
      </c>
      <c r="Q40" s="71" t="str">
        <f>IFERROR(__xludf.DUMMYFUNCTION("""COMPUTED_VALUE"""),"vamsipranav9948@gmail.com")</f>
        <v>vamsipranav9948@gmail.com</v>
      </c>
      <c r="R40" s="71" t="str">
        <f>IFERROR(__xludf.DUMMYFUNCTION("""COMPUTED_VALUE"""),"SEM-7")</f>
        <v>SEM-7</v>
      </c>
      <c r="S40" s="74"/>
      <c r="T40" s="74"/>
      <c r="U40" s="74"/>
      <c r="V40" s="74"/>
      <c r="W40" s="74"/>
      <c r="X40" s="74"/>
      <c r="Y40" s="74"/>
    </row>
    <row r="41" ht="26.25" customHeight="1">
      <c r="A41" s="71" t="str">
        <f>IFERROR(__xludf.DUMMYFUNCTION("""COMPUTED_VALUE"""),"METTA VAMSI PRANAV")</f>
        <v>METTA VAMSI PRANAV</v>
      </c>
      <c r="B41" s="71" t="str">
        <f>IFERROR(__xludf.DUMMYFUNCTION("""COMPUTED_VALUE"""),"18331A0598")</f>
        <v>18331A0598</v>
      </c>
      <c r="C41" s="71" t="str">
        <f>IFERROR(__xludf.DUMMYFUNCTION("""COMPUTED_VALUE"""),"2021-2022")</f>
        <v>2021-2022</v>
      </c>
      <c r="D41" s="71" t="str">
        <f>IFERROR(__xludf.DUMMYFUNCTION("""COMPUTED_VALUE"""),"Webinar")</f>
        <v>Webinar</v>
      </c>
      <c r="E41" s="71" t="str">
        <f>IFERROR(__xludf.DUMMYFUNCTION("""COMPUTED_VALUE"""),"Create Your Portfolio Using Angular and Material UI")</f>
        <v>Create Your Portfolio Using Angular and Material UI</v>
      </c>
      <c r="F41" s="71">
        <f>IFERROR(__xludf.DUMMYFUNCTION("""COMPUTED_VALUE"""),1.0)</f>
        <v>1</v>
      </c>
      <c r="G41" s="72">
        <f>IFERROR(__xludf.DUMMYFUNCTION("""COMPUTED_VALUE"""),44576.0)</f>
        <v>44576</v>
      </c>
      <c r="H41" s="72">
        <f>IFERROR(__xludf.DUMMYFUNCTION("""COMPUTED_VALUE"""),44576.0)</f>
        <v>44576</v>
      </c>
      <c r="I41" s="71" t="str">
        <f>IFERROR(__xludf.DUMMYFUNCTION("""COMPUTED_VALUE"""),"Tech Learn")</f>
        <v>Tech Learn</v>
      </c>
      <c r="J41" s="71" t="str">
        <f>IFERROR(__xludf.DUMMYFUNCTION("""COMPUTED_VALUE"""),"Kishore Reddy")</f>
        <v>Kishore Reddy</v>
      </c>
      <c r="K41" s="71" t="str">
        <f>IFERROR(__xludf.DUMMYFUNCTION("""COMPUTED_VALUE"""),"National")</f>
        <v>National</v>
      </c>
      <c r="L41" s="71" t="str">
        <f>IFERROR(__xludf.DUMMYFUNCTION("""COMPUTED_VALUE"""),"Free")</f>
        <v>Free</v>
      </c>
      <c r="M41" s="71"/>
      <c r="N41" s="73" t="str">
        <f>IFERROR(__xludf.DUMMYFUNCTION("""COMPUTED_VALUE"""),"https://drive.google.com/open?id=1zvZKnreh3OXHMk5VhsXTjp2KaWv929to")</f>
        <v>https://drive.google.com/open?id=1zvZKnreh3OXHMk5VhsXTjp2KaWv929to</v>
      </c>
      <c r="O41" s="71" t="str">
        <f>IFERROR(__xludf.DUMMYFUNCTION("""COMPUTED_VALUE"""),"2018-2022")</f>
        <v>2018-2022</v>
      </c>
      <c r="P41" s="71" t="str">
        <f>IFERROR(__xludf.DUMMYFUNCTION("""COMPUTED_VALUE"""),"S5: Student Workshops/Conf attended")</f>
        <v>S5: Student Workshops/Conf attended</v>
      </c>
      <c r="Q41" s="71" t="str">
        <f>IFERROR(__xludf.DUMMYFUNCTION("""COMPUTED_VALUE"""),"vamsipranav9948@gmail.com")</f>
        <v>vamsipranav9948@gmail.com</v>
      </c>
      <c r="R41" s="71" t="str">
        <f>IFERROR(__xludf.DUMMYFUNCTION("""COMPUTED_VALUE"""),"SEM-7")</f>
        <v>SEM-7</v>
      </c>
      <c r="S41" s="74"/>
      <c r="T41" s="74"/>
      <c r="U41" s="74"/>
      <c r="V41" s="74"/>
      <c r="W41" s="74"/>
      <c r="X41" s="74"/>
      <c r="Y41" s="74"/>
    </row>
    <row r="42" ht="26.25" customHeight="1">
      <c r="A42" s="64" t="str">
        <f>IFERROR(__xludf.DUMMYFUNCTION("""COMPUTED_VALUE"""),"Ch Yashwanth")</f>
        <v>Ch Yashwanth</v>
      </c>
      <c r="B42" s="64" t="str">
        <f>IFERROR(__xludf.DUMMYFUNCTION("""COMPUTED_VALUE"""),"21331A0530")</f>
        <v>21331A0530</v>
      </c>
      <c r="C42" s="64" t="str">
        <f>IFERROR(__xludf.DUMMYFUNCTION("""COMPUTED_VALUE"""),"2021-2022")</f>
        <v>2021-2022</v>
      </c>
      <c r="D42" s="64" t="str">
        <f>IFERROR(__xludf.DUMMYFUNCTION("""COMPUTED_VALUE"""),"Webinar")</f>
        <v>Webinar</v>
      </c>
      <c r="E42" s="64" t="str">
        <f>IFERROR(__xludf.DUMMYFUNCTION("""COMPUTED_VALUE"""),"MEDICAL IMAGE &amp; SIGNAL PROCESSING USING PYTHON MIS2P'22")</f>
        <v>MEDICAL IMAGE &amp; SIGNAL PROCESSING USING PYTHON MIS2P'22</v>
      </c>
      <c r="F42" s="64">
        <f>IFERROR(__xludf.DUMMYFUNCTION("""COMPUTED_VALUE"""),6.0)</f>
        <v>6</v>
      </c>
      <c r="G42" s="114">
        <f>IFERROR(__xludf.DUMMYFUNCTION("""COMPUTED_VALUE"""),44627.0)</f>
        <v>44627</v>
      </c>
      <c r="H42" s="114">
        <f>IFERROR(__xludf.DUMMYFUNCTION("""COMPUTED_VALUE"""),44632.0)</f>
        <v>44632</v>
      </c>
      <c r="I42" s="64" t="str">
        <f>IFERROR(__xludf.DUMMYFUNCTION("""COMPUTED_VALUE"""),"IEEE VIZAG BAY SECTION")</f>
        <v>IEEE VIZAG BAY SECTION</v>
      </c>
      <c r="J42" s="64" t="str">
        <f>IFERROR(__xludf.DUMMYFUNCTION("""COMPUTED_VALUE"""),"Dr. M V S S Nagendranath")</f>
        <v>Dr. M V S S Nagendranath</v>
      </c>
      <c r="K42" s="64" t="str">
        <f>IFERROR(__xludf.DUMMYFUNCTION("""COMPUTED_VALUE"""),"National")</f>
        <v>National</v>
      </c>
      <c r="L42" s="64" t="str">
        <f>IFERROR(__xludf.DUMMYFUNCTION("""COMPUTED_VALUE"""),"Paid")</f>
        <v>Paid</v>
      </c>
      <c r="M42" s="64">
        <f>IFERROR(__xludf.DUMMYFUNCTION("""COMPUTED_VALUE"""),0.0)</f>
        <v>0</v>
      </c>
      <c r="N42" s="115" t="str">
        <f>IFERROR(__xludf.DUMMYFUNCTION("""COMPUTED_VALUE"""),"https://drive.google.com/open?id=1QnUhsVy-V9By4eiuivhfai7KsnOFOEpg")</f>
        <v>https://drive.google.com/open?id=1QnUhsVy-V9By4eiuivhfai7KsnOFOEpg</v>
      </c>
      <c r="O42" s="64" t="str">
        <f>IFERROR(__xludf.DUMMYFUNCTION("""COMPUTED_VALUE"""),"2021-2025")</f>
        <v>2021-2025</v>
      </c>
      <c r="P42" s="64" t="str">
        <f>IFERROR(__xludf.DUMMYFUNCTION("""COMPUTED_VALUE"""),"S5: Student Workshops/Conf attended")</f>
        <v>S5: Student Workshops/Conf attended</v>
      </c>
      <c r="Q42" s="64" t="str">
        <f>IFERROR(__xludf.DUMMYFUNCTION("""COMPUTED_VALUE"""),"nissirao7@gmail.com")</f>
        <v>nissirao7@gmail.com</v>
      </c>
      <c r="R42" s="64" t="str">
        <f>IFERROR(__xludf.DUMMYFUNCTION("""COMPUTED_VALUE"""),"SEM-1")</f>
        <v>SEM-1</v>
      </c>
      <c r="S42" s="12"/>
      <c r="T42" s="12"/>
      <c r="U42" s="12"/>
      <c r="V42" s="12"/>
      <c r="W42" s="12"/>
      <c r="X42" s="12"/>
      <c r="Y42" s="12"/>
    </row>
    <row r="43" ht="26.25" customHeight="1">
      <c r="A43" s="64" t="str">
        <f>IFERROR(__xludf.DUMMYFUNCTION("""COMPUTED_VALUE"""),"CHINNI HEMANTH KUMAR")</f>
        <v>CHINNI HEMANTH KUMAR</v>
      </c>
      <c r="B43" s="64" t="str">
        <f>IFERROR(__xludf.DUMMYFUNCTION("""COMPUTED_VALUE"""),"21331A0529")</f>
        <v>21331A0529</v>
      </c>
      <c r="C43" s="64" t="str">
        <f>IFERROR(__xludf.DUMMYFUNCTION("""COMPUTED_VALUE"""),"2021-2022")</f>
        <v>2021-2022</v>
      </c>
      <c r="D43" s="64" t="str">
        <f>IFERROR(__xludf.DUMMYFUNCTION("""COMPUTED_VALUE"""),"Webinar")</f>
        <v>Webinar</v>
      </c>
      <c r="E43" s="64" t="str">
        <f>IFERROR(__xludf.DUMMYFUNCTION("""COMPUTED_VALUE"""),"MEDICAL IMAGE &amp; SIGNAL PROCESSING USING PYTHON MIS2P'22")</f>
        <v>MEDICAL IMAGE &amp; SIGNAL PROCESSING USING PYTHON MIS2P'22</v>
      </c>
      <c r="F43" s="64">
        <f>IFERROR(__xludf.DUMMYFUNCTION("""COMPUTED_VALUE"""),6.0)</f>
        <v>6</v>
      </c>
      <c r="G43" s="114">
        <f>IFERROR(__xludf.DUMMYFUNCTION("""COMPUTED_VALUE"""),44627.0)</f>
        <v>44627</v>
      </c>
      <c r="H43" s="114">
        <f>IFERROR(__xludf.DUMMYFUNCTION("""COMPUTED_VALUE"""),44632.0)</f>
        <v>44632</v>
      </c>
      <c r="I43" s="64" t="str">
        <f>IFERROR(__xludf.DUMMYFUNCTION("""COMPUTED_VALUE"""),"IEEE, VIZAG BAY SECTION")</f>
        <v>IEEE, VIZAG BAY SECTION</v>
      </c>
      <c r="J43" s="64" t="str">
        <f>IFERROR(__xludf.DUMMYFUNCTION("""COMPUTED_VALUE"""),"Dr. M v s s nagendranath")</f>
        <v>Dr. M v s s nagendranath</v>
      </c>
      <c r="K43" s="64" t="str">
        <f>IFERROR(__xludf.DUMMYFUNCTION("""COMPUTED_VALUE"""),"National")</f>
        <v>National</v>
      </c>
      <c r="L43" s="64" t="str">
        <f>IFERROR(__xludf.DUMMYFUNCTION("""COMPUTED_VALUE"""),"Paid")</f>
        <v>Paid</v>
      </c>
      <c r="M43" s="64">
        <f>IFERROR(__xludf.DUMMYFUNCTION("""COMPUTED_VALUE"""),0.0)</f>
        <v>0</v>
      </c>
      <c r="N43" s="115" t="str">
        <f>IFERROR(__xludf.DUMMYFUNCTION("""COMPUTED_VALUE"""),"https://drive.google.com/open?id=1lxAJST8TXOy3XcL_6b_yYdnKszShgTct")</f>
        <v>https://drive.google.com/open?id=1lxAJST8TXOy3XcL_6b_yYdnKszShgTct</v>
      </c>
      <c r="O43" s="64" t="str">
        <f>IFERROR(__xludf.DUMMYFUNCTION("""COMPUTED_VALUE"""),"2021-2025")</f>
        <v>2021-2025</v>
      </c>
      <c r="P43" s="64" t="str">
        <f>IFERROR(__xludf.DUMMYFUNCTION("""COMPUTED_VALUE"""),"S5: Student Workshops/Conf attended")</f>
        <v>S5: Student Workshops/Conf attended</v>
      </c>
      <c r="Q43" s="64" t="str">
        <f>IFERROR(__xludf.DUMMYFUNCTION("""COMPUTED_VALUE"""),"Chinnihemanth89@gmail.com")</f>
        <v>Chinnihemanth89@gmail.com</v>
      </c>
      <c r="R43" s="64" t="str">
        <f>IFERROR(__xludf.DUMMYFUNCTION("""COMPUTED_VALUE"""),"SEM-1")</f>
        <v>SEM-1</v>
      </c>
      <c r="S43" s="12"/>
      <c r="T43" s="12"/>
      <c r="U43" s="12"/>
      <c r="V43" s="12"/>
      <c r="W43" s="12"/>
      <c r="X43" s="12"/>
      <c r="Y43" s="12"/>
    </row>
    <row r="44" ht="26.25" customHeight="1">
      <c r="A44" s="64" t="str">
        <f>IFERROR(__xludf.DUMMYFUNCTION("""COMPUTED_VALUE"""),"G. Sai Hemanth Kumar")</f>
        <v>G. Sai Hemanth Kumar</v>
      </c>
      <c r="B44" s="64" t="str">
        <f>IFERROR(__xludf.DUMMYFUNCTION("""COMPUTED_VALUE"""),"21331A0557")</f>
        <v>21331A0557</v>
      </c>
      <c r="C44" s="64" t="str">
        <f>IFERROR(__xludf.DUMMYFUNCTION("""COMPUTED_VALUE"""),"2021-2022")</f>
        <v>2021-2022</v>
      </c>
      <c r="D44" s="64" t="str">
        <f>IFERROR(__xludf.DUMMYFUNCTION("""COMPUTED_VALUE"""),"Webinar")</f>
        <v>Webinar</v>
      </c>
      <c r="E44" s="64" t="str">
        <f>IFERROR(__xludf.DUMMYFUNCTION("""COMPUTED_VALUE"""),"MEDICAL IMAGE &amp; SIGNAL PROCESSING USING PYTHON MIS2P'22")</f>
        <v>MEDICAL IMAGE &amp; SIGNAL PROCESSING USING PYTHON MIS2P'22</v>
      </c>
      <c r="F44" s="64">
        <f>IFERROR(__xludf.DUMMYFUNCTION("""COMPUTED_VALUE"""),6.0)</f>
        <v>6</v>
      </c>
      <c r="G44" s="114">
        <f>IFERROR(__xludf.DUMMYFUNCTION("""COMPUTED_VALUE"""),44627.0)</f>
        <v>44627</v>
      </c>
      <c r="H44" s="114">
        <f>IFERROR(__xludf.DUMMYFUNCTION("""COMPUTED_VALUE"""),44632.0)</f>
        <v>44632</v>
      </c>
      <c r="I44" s="64" t="str">
        <f>IFERROR(__xludf.DUMMYFUNCTION("""COMPUTED_VALUE"""),"IEEE VIZAG BAY SECTION")</f>
        <v>IEEE VIZAG BAY SECTION</v>
      </c>
      <c r="J44" s="64" t="str">
        <f>IFERROR(__xludf.DUMMYFUNCTION("""COMPUTED_VALUE"""),"Dr. M V S S Nagendranath")</f>
        <v>Dr. M V S S Nagendranath</v>
      </c>
      <c r="K44" s="64" t="str">
        <f>IFERROR(__xludf.DUMMYFUNCTION("""COMPUTED_VALUE"""),"National")</f>
        <v>National</v>
      </c>
      <c r="L44" s="64" t="str">
        <f>IFERROR(__xludf.DUMMYFUNCTION("""COMPUTED_VALUE"""),"Paid")</f>
        <v>Paid</v>
      </c>
      <c r="M44" s="64">
        <f>IFERROR(__xludf.DUMMYFUNCTION("""COMPUTED_VALUE"""),0.0)</f>
        <v>0</v>
      </c>
      <c r="N44" s="115" t="str">
        <f>IFERROR(__xludf.DUMMYFUNCTION("""COMPUTED_VALUE"""),"https://drive.google.com/open?id=1xgPDjIIWtlF8N_AbDktqiqkbj0DwF7lD")</f>
        <v>https://drive.google.com/open?id=1xgPDjIIWtlF8N_AbDktqiqkbj0DwF7lD</v>
      </c>
      <c r="O44" s="64" t="str">
        <f>IFERROR(__xludf.DUMMYFUNCTION("""COMPUTED_VALUE"""),"2021-2025")</f>
        <v>2021-2025</v>
      </c>
      <c r="P44" s="64" t="str">
        <f>IFERROR(__xludf.DUMMYFUNCTION("""COMPUTED_VALUE"""),"S5: Student Workshops/Conf attended")</f>
        <v>S5: Student Workshops/Conf attended</v>
      </c>
      <c r="Q44" s="64" t="str">
        <f>IFERROR(__xludf.DUMMYFUNCTION("""COMPUTED_VALUE"""),"sainagu9876@gmail.com")</f>
        <v>sainagu9876@gmail.com</v>
      </c>
      <c r="R44" s="64" t="str">
        <f>IFERROR(__xludf.DUMMYFUNCTION("""COMPUTED_VALUE"""),"SEM-1")</f>
        <v>SEM-1</v>
      </c>
      <c r="S44" s="12"/>
      <c r="T44" s="12"/>
      <c r="U44" s="12"/>
      <c r="V44" s="12"/>
      <c r="W44" s="12"/>
      <c r="X44" s="12"/>
      <c r="Y44" s="12"/>
    </row>
    <row r="45" ht="26.25" customHeight="1">
      <c r="A45" s="64" t="str">
        <f>IFERROR(__xludf.DUMMYFUNCTION("""COMPUTED_VALUE"""),"BORRA VENKATA DURGA RAO ")</f>
        <v>BORRA VENKATA DURGA RAO </v>
      </c>
      <c r="B45" s="64" t="str">
        <f>IFERROR(__xludf.DUMMYFUNCTION("""COMPUTED_VALUE"""),"21331A0525")</f>
        <v>21331A0525</v>
      </c>
      <c r="C45" s="64" t="str">
        <f>IFERROR(__xludf.DUMMYFUNCTION("""COMPUTED_VALUE"""),"2021-2022")</f>
        <v>2021-2022</v>
      </c>
      <c r="D45" s="64" t="str">
        <f>IFERROR(__xludf.DUMMYFUNCTION("""COMPUTED_VALUE"""),"Webinar")</f>
        <v>Webinar</v>
      </c>
      <c r="E45" s="64" t="str">
        <f>IFERROR(__xludf.DUMMYFUNCTION("""COMPUTED_VALUE"""),"MEDICAL IMAGE &amp; SIGNAL PROCESSING USING PYTHON MIS2P'22")</f>
        <v>MEDICAL IMAGE &amp; SIGNAL PROCESSING USING PYTHON MIS2P'22</v>
      </c>
      <c r="F45" s="64">
        <f>IFERROR(__xludf.DUMMYFUNCTION("""COMPUTED_VALUE"""),6.0)</f>
        <v>6</v>
      </c>
      <c r="G45" s="114">
        <f>IFERROR(__xludf.DUMMYFUNCTION("""COMPUTED_VALUE"""),44627.0)</f>
        <v>44627</v>
      </c>
      <c r="H45" s="114">
        <f>IFERROR(__xludf.DUMMYFUNCTION("""COMPUTED_VALUE"""),44632.0)</f>
        <v>44632</v>
      </c>
      <c r="I45" s="64" t="str">
        <f>IFERROR(__xludf.DUMMYFUNCTION("""COMPUTED_VALUE"""),"IEEE VIZAG BAY SECTION")</f>
        <v>IEEE VIZAG BAY SECTION</v>
      </c>
      <c r="J45" s="64" t="str">
        <f>IFERROR(__xludf.DUMMYFUNCTION("""COMPUTED_VALUE"""),"Dr. M V S S Nagendranath")</f>
        <v>Dr. M V S S Nagendranath</v>
      </c>
      <c r="K45" s="64" t="str">
        <f>IFERROR(__xludf.DUMMYFUNCTION("""COMPUTED_VALUE"""),"National")</f>
        <v>National</v>
      </c>
      <c r="L45" s="64" t="str">
        <f>IFERROR(__xludf.DUMMYFUNCTION("""COMPUTED_VALUE"""),"Paid")</f>
        <v>Paid</v>
      </c>
      <c r="M45" s="64">
        <f>IFERROR(__xludf.DUMMYFUNCTION("""COMPUTED_VALUE"""),0.0)</f>
        <v>0</v>
      </c>
      <c r="N45" s="115" t="str">
        <f>IFERROR(__xludf.DUMMYFUNCTION("""COMPUTED_VALUE"""),"https://drive.google.com/open?id=1Xw2oJAu2cW0rAc9TPYjclklox-UbSYzd")</f>
        <v>https://drive.google.com/open?id=1Xw2oJAu2cW0rAc9TPYjclklox-UbSYzd</v>
      </c>
      <c r="O45" s="64" t="str">
        <f>IFERROR(__xludf.DUMMYFUNCTION("""COMPUTED_VALUE"""),"2021-2025")</f>
        <v>2021-2025</v>
      </c>
      <c r="P45" s="64" t="str">
        <f>IFERROR(__xludf.DUMMYFUNCTION("""COMPUTED_VALUE"""),"S5: Student Workshops/Conf attended")</f>
        <v>S5: Student Workshops/Conf attended</v>
      </c>
      <c r="Q45" s="64" t="str">
        <f>IFERROR(__xludf.DUMMYFUNCTION("""COMPUTED_VALUE"""),"venkatdurgarao7450@gmail.com")</f>
        <v>venkatdurgarao7450@gmail.com</v>
      </c>
      <c r="R45" s="64" t="str">
        <f>IFERROR(__xludf.DUMMYFUNCTION("""COMPUTED_VALUE"""),"SEM-1")</f>
        <v>SEM-1</v>
      </c>
      <c r="S45" s="12"/>
      <c r="T45" s="12"/>
      <c r="U45" s="12"/>
      <c r="V45" s="12"/>
      <c r="W45" s="12"/>
      <c r="X45" s="12"/>
      <c r="Y45" s="12"/>
    </row>
    <row r="46" ht="26.25" customHeight="1">
      <c r="A46" s="71" t="str">
        <f>IFERROR(__xludf.DUMMYFUNCTION("""COMPUTED_VALUE"""),"Yashwanth Boggarapu")</f>
        <v>Yashwanth Boggarapu</v>
      </c>
      <c r="B46" s="71" t="str">
        <f>IFERROR(__xludf.DUMMYFUNCTION("""COMPUTED_VALUE"""),"18331A0517")</f>
        <v>18331A0517</v>
      </c>
      <c r="C46" s="71" t="str">
        <f>IFERROR(__xludf.DUMMYFUNCTION("""COMPUTED_VALUE"""),"2019-2020")</f>
        <v>2019-2020</v>
      </c>
      <c r="D46" s="71" t="str">
        <f>IFERROR(__xludf.DUMMYFUNCTION("""COMPUTED_VALUE"""),"Webinar")</f>
        <v>Webinar</v>
      </c>
      <c r="E46" s="71" t="str">
        <f>IFERROR(__xludf.DUMMYFUNCTION("""COMPUTED_VALUE"""),"Artificial Intelligence Workshop")</f>
        <v>Artificial Intelligence Workshop</v>
      </c>
      <c r="F46" s="71">
        <f>IFERROR(__xludf.DUMMYFUNCTION("""COMPUTED_VALUE"""),2.0)</f>
        <v>2</v>
      </c>
      <c r="G46" s="72">
        <f>IFERROR(__xludf.DUMMYFUNCTION("""COMPUTED_VALUE"""),43694.0)</f>
        <v>43694</v>
      </c>
      <c r="H46" s="72">
        <f>IFERROR(__xludf.DUMMYFUNCTION("""COMPUTED_VALUE"""),43695.0)</f>
        <v>43695</v>
      </c>
      <c r="I46" s="71" t="str">
        <f>IFERROR(__xludf.DUMMYFUNCTION("""COMPUTED_VALUE"""),"Indian institute of technology, Hyderabad")</f>
        <v>Indian institute of technology, Hyderabad</v>
      </c>
      <c r="J46" s="71" t="str">
        <f>IFERROR(__xludf.DUMMYFUNCTION("""COMPUTED_VALUE"""),"Sujata Mehta")</f>
        <v>Sujata Mehta</v>
      </c>
      <c r="K46" s="71" t="str">
        <f>IFERROR(__xludf.DUMMYFUNCTION("""COMPUTED_VALUE"""),"State")</f>
        <v>State</v>
      </c>
      <c r="L46" s="71" t="str">
        <f>IFERROR(__xludf.DUMMYFUNCTION("""COMPUTED_VALUE"""),"Free")</f>
        <v>Free</v>
      </c>
      <c r="M46" s="71">
        <f>IFERROR(__xludf.DUMMYFUNCTION("""COMPUTED_VALUE"""),0.0)</f>
        <v>0</v>
      </c>
      <c r="N46" s="73" t="str">
        <f>IFERROR(__xludf.DUMMYFUNCTION("""COMPUTED_VALUE"""),"https://drive.google.com/open?id=1DhXoFA1w4UZTLOmDgJtSJ8eYXX20ozee")</f>
        <v>https://drive.google.com/open?id=1DhXoFA1w4UZTLOmDgJtSJ8eYXX20ozee</v>
      </c>
      <c r="O46" s="71" t="str">
        <f>IFERROR(__xludf.DUMMYFUNCTION("""COMPUTED_VALUE"""),"2018-2022")</f>
        <v>2018-2022</v>
      </c>
      <c r="P46" s="71" t="str">
        <f>IFERROR(__xludf.DUMMYFUNCTION("""COMPUTED_VALUE"""),"S5: Student Workshops/Conf attended")</f>
        <v>S5: Student Workshops/Conf attended</v>
      </c>
      <c r="Q46" s="71" t="str">
        <f>IFERROR(__xludf.DUMMYFUNCTION("""COMPUTED_VALUE"""),"yashwanthboggarapu2000@gmail.com")</f>
        <v>yashwanthboggarapu2000@gmail.com</v>
      </c>
      <c r="R46" s="71" t="str">
        <f>IFERROR(__xludf.DUMMYFUNCTION("""COMPUTED_VALUE"""),"SEM-4")</f>
        <v>SEM-4</v>
      </c>
      <c r="S46" s="74"/>
      <c r="T46" s="74"/>
      <c r="U46" s="74"/>
      <c r="V46" s="74"/>
      <c r="W46" s="74"/>
      <c r="X46" s="74"/>
      <c r="Y46" s="74"/>
    </row>
    <row r="47" ht="26.25" customHeight="1">
      <c r="A47" s="71" t="str">
        <f>IFERROR(__xludf.DUMMYFUNCTION("""COMPUTED_VALUE"""),"Sathwick Sadanala ")</f>
        <v>Sathwick Sadanala </v>
      </c>
      <c r="B47" s="71" t="str">
        <f>IFERROR(__xludf.DUMMYFUNCTION("""COMPUTED_VALUE"""),"18331A05C6 ")</f>
        <v>18331A05C6 </v>
      </c>
      <c r="C47" s="71" t="str">
        <f>IFERROR(__xludf.DUMMYFUNCTION("""COMPUTED_VALUE"""),"2019-2020")</f>
        <v>2019-2020</v>
      </c>
      <c r="D47" s="71" t="str">
        <f>IFERROR(__xludf.DUMMYFUNCTION("""COMPUTED_VALUE"""),"Conference")</f>
        <v>Conference</v>
      </c>
      <c r="E47" s="71" t="str">
        <f>IFERROR(__xludf.DUMMYFUNCTION("""COMPUTED_VALUE"""),"Ethical Hacking")</f>
        <v>Ethical Hacking</v>
      </c>
      <c r="F47" s="71">
        <f>IFERROR(__xludf.DUMMYFUNCTION("""COMPUTED_VALUE"""),3.0)</f>
        <v>3</v>
      </c>
      <c r="G47" s="72">
        <f>IFERROR(__xludf.DUMMYFUNCTION("""COMPUTED_VALUE"""),43518.0)</f>
        <v>43518</v>
      </c>
      <c r="H47" s="72">
        <f>IFERROR(__xludf.DUMMYFUNCTION("""COMPUTED_VALUE"""),43520.0)</f>
        <v>43520</v>
      </c>
      <c r="I47" s="71" t="str">
        <f>IFERROR(__xludf.DUMMYFUNCTION("""COMPUTED_VALUE"""),"IIT hyderabad ")</f>
        <v>IIT hyderabad </v>
      </c>
      <c r="J47" s="71" t="str">
        <f>IFERROR(__xludf.DUMMYFUNCTION("""COMPUTED_VALUE"""),"Workshop conducted by Manish Bharadwaj")</f>
        <v>Workshop conducted by Manish Bharadwaj</v>
      </c>
      <c r="K47" s="71" t="str">
        <f>IFERROR(__xludf.DUMMYFUNCTION("""COMPUTED_VALUE"""),"National")</f>
        <v>National</v>
      </c>
      <c r="L47" s="71" t="str">
        <f>IFERROR(__xludf.DUMMYFUNCTION("""COMPUTED_VALUE"""),"Paid")</f>
        <v>Paid</v>
      </c>
      <c r="M47" s="71"/>
      <c r="N47" s="73" t="str">
        <f>IFERROR(__xludf.DUMMYFUNCTION("""COMPUTED_VALUE"""),"https://drive.google.com/open?id=1St4ALTYPjBjD_fwPzqO2wiDh4k_BcGAm")</f>
        <v>https://drive.google.com/open?id=1St4ALTYPjBjD_fwPzqO2wiDh4k_BcGAm</v>
      </c>
      <c r="O47" s="71" t="str">
        <f>IFERROR(__xludf.DUMMYFUNCTION("""COMPUTED_VALUE"""),"2018-2022")</f>
        <v>2018-2022</v>
      </c>
      <c r="P47" s="71" t="str">
        <f>IFERROR(__xludf.DUMMYFUNCTION("""COMPUTED_VALUE"""),"S5: Student Workshops/Conf attended")</f>
        <v>S5: Student Workshops/Conf attended</v>
      </c>
      <c r="Q47" s="71" t="str">
        <f>IFERROR(__xludf.DUMMYFUNCTION("""COMPUTED_VALUE"""),"sadanalasathwick@gmail.com")</f>
        <v>sadanalasathwick@gmail.com</v>
      </c>
      <c r="R47" s="71" t="str">
        <f>IFERROR(__xludf.DUMMYFUNCTION("""COMPUTED_VALUE"""),"SEM-3")</f>
        <v>SEM-3</v>
      </c>
      <c r="S47" s="74"/>
      <c r="T47" s="74"/>
      <c r="U47" s="74"/>
      <c r="V47" s="74"/>
      <c r="W47" s="74"/>
      <c r="X47" s="74"/>
      <c r="Y47" s="74"/>
    </row>
    <row r="48" ht="26.25" customHeight="1">
      <c r="A48" s="71" t="str">
        <f>IFERROR(__xludf.DUMMYFUNCTION("""COMPUTED_VALUE"""),"Kantumutchu Dinesh ")</f>
        <v>Kantumutchu Dinesh </v>
      </c>
      <c r="B48" s="71" t="str">
        <f>IFERROR(__xludf.DUMMYFUNCTION("""COMPUTED_VALUE"""),"18331A0569")</f>
        <v>18331A0569</v>
      </c>
      <c r="C48" s="71" t="str">
        <f>IFERROR(__xludf.DUMMYFUNCTION("""COMPUTED_VALUE"""),"2019-2020")</f>
        <v>2019-2020</v>
      </c>
      <c r="D48" s="71" t="str">
        <f>IFERROR(__xludf.DUMMYFUNCTION("""COMPUTED_VALUE"""),"Seminar")</f>
        <v>Seminar</v>
      </c>
      <c r="E48" s="71" t="str">
        <f>IFERROR(__xludf.DUMMYFUNCTION("""COMPUTED_VALUE"""),"ARTIFICIAL INTELLIGENCE WORKSHOP ")</f>
        <v>ARTIFICIAL INTELLIGENCE WORKSHOP </v>
      </c>
      <c r="F48" s="71">
        <f>IFERROR(__xludf.DUMMYFUNCTION("""COMPUTED_VALUE"""),2.0)</f>
        <v>2</v>
      </c>
      <c r="G48" s="72">
        <f>IFERROR(__xludf.DUMMYFUNCTION("""COMPUTED_VALUE"""),43694.0)</f>
        <v>43694</v>
      </c>
      <c r="H48" s="72">
        <f>IFERROR(__xludf.DUMMYFUNCTION("""COMPUTED_VALUE"""),43695.0)</f>
        <v>43695</v>
      </c>
      <c r="I48" s="71" t="str">
        <f>IFERROR(__xludf.DUMMYFUNCTION("""COMPUTED_VALUE"""),"IIT-HYDERABAD ")</f>
        <v>IIT-HYDERABAD </v>
      </c>
      <c r="J48" s="71" t="str">
        <f>IFERROR(__xludf.DUMMYFUNCTION("""COMPUTED_VALUE"""),"KYRION TECHNOLOGIES ")</f>
        <v>KYRION TECHNOLOGIES </v>
      </c>
      <c r="K48" s="71" t="str">
        <f>IFERROR(__xludf.DUMMYFUNCTION("""COMPUTED_VALUE"""),"National")</f>
        <v>National</v>
      </c>
      <c r="L48" s="71" t="str">
        <f>IFERROR(__xludf.DUMMYFUNCTION("""COMPUTED_VALUE"""),"Paid")</f>
        <v>Paid</v>
      </c>
      <c r="M48" s="71">
        <f>IFERROR(__xludf.DUMMYFUNCTION("""COMPUTED_VALUE"""),0.0)</f>
        <v>0</v>
      </c>
      <c r="N48" s="73" t="str">
        <f>IFERROR(__xludf.DUMMYFUNCTION("""COMPUTED_VALUE"""),"https://drive.google.com/open?id=19Vnr-yfir3mSMfja5hULLq4nv1UtLUFs")</f>
        <v>https://drive.google.com/open?id=19Vnr-yfir3mSMfja5hULLq4nv1UtLUFs</v>
      </c>
      <c r="O48" s="71" t="str">
        <f>IFERROR(__xludf.DUMMYFUNCTION("""COMPUTED_VALUE"""),"2018-2022")</f>
        <v>2018-2022</v>
      </c>
      <c r="P48" s="71" t="str">
        <f>IFERROR(__xludf.DUMMYFUNCTION("""COMPUTED_VALUE"""),"S5: Student Workshops/Conf attended")</f>
        <v>S5: Student Workshops/Conf attended</v>
      </c>
      <c r="Q48" s="71" t="str">
        <f>IFERROR(__xludf.DUMMYFUNCTION("""COMPUTED_VALUE"""),"imdinesh26@gmail.com")</f>
        <v>imdinesh26@gmail.com</v>
      </c>
      <c r="R48" s="71" t="str">
        <f>IFERROR(__xludf.DUMMYFUNCTION("""COMPUTED_VALUE"""),"SEM-8")</f>
        <v>SEM-8</v>
      </c>
      <c r="S48" s="74"/>
      <c r="T48" s="74"/>
      <c r="U48" s="74"/>
      <c r="V48" s="74"/>
      <c r="W48" s="74"/>
      <c r="X48" s="74"/>
      <c r="Y48" s="74"/>
    </row>
    <row r="49" ht="26.25" customHeight="1">
      <c r="A49" s="64" t="str">
        <f>IFERROR(__xludf.DUMMYFUNCTION("""COMPUTED_VALUE"""),"Nukarapu Sai Surya Harshith ")</f>
        <v>Nukarapu Sai Surya Harshith </v>
      </c>
      <c r="B49" s="64" t="str">
        <f>IFERROR(__xludf.DUMMYFUNCTION("""COMPUTED_VALUE"""),"20331A05C8")</f>
        <v>20331A05C8</v>
      </c>
      <c r="C49" s="64" t="str">
        <f>IFERROR(__xludf.DUMMYFUNCTION("""COMPUTED_VALUE"""),"2021-2022")</f>
        <v>2021-2022</v>
      </c>
      <c r="D49" s="64" t="str">
        <f>IFERROR(__xludf.DUMMYFUNCTION("""COMPUTED_VALUE"""),"Workshop")</f>
        <v>Workshop</v>
      </c>
      <c r="E49" s="64" t="str">
        <f>IFERROR(__xludf.DUMMYFUNCTION("""COMPUTED_VALUE"""),"Workshop on data analytics using python")</f>
        <v>Workshop on data analytics using python</v>
      </c>
      <c r="F49" s="64">
        <f>IFERROR(__xludf.DUMMYFUNCTION("""COMPUTED_VALUE"""),2.0)</f>
        <v>2</v>
      </c>
      <c r="G49" s="114">
        <f>IFERROR(__xludf.DUMMYFUNCTION("""COMPUTED_VALUE"""),44645.0)</f>
        <v>44645</v>
      </c>
      <c r="H49" s="114">
        <f>IFERROR(__xludf.DUMMYFUNCTION("""COMPUTED_VALUE"""),44646.0)</f>
        <v>44646</v>
      </c>
      <c r="I49" s="64" t="str">
        <f>IFERROR(__xludf.DUMMYFUNCTION("""COMPUTED_VALUE"""),"JNTUGV - UCEV by Dept. Of CSE")</f>
        <v>JNTUGV - UCEV by Dept. Of CSE</v>
      </c>
      <c r="J49" s="64" t="str">
        <f>IFERROR(__xludf.DUMMYFUNCTION("""COMPUTED_VALUE"""),"Sivaramakrishna.T")</f>
        <v>Sivaramakrishna.T</v>
      </c>
      <c r="K49" s="64" t="str">
        <f>IFERROR(__xludf.DUMMYFUNCTION("""COMPUTED_VALUE"""),"State")</f>
        <v>State</v>
      </c>
      <c r="L49" s="64" t="str">
        <f>IFERROR(__xludf.DUMMYFUNCTION("""COMPUTED_VALUE"""),"Paid")</f>
        <v>Paid</v>
      </c>
      <c r="M49" s="64">
        <f>IFERROR(__xludf.DUMMYFUNCTION("""COMPUTED_VALUE"""),300.0)</f>
        <v>300</v>
      </c>
      <c r="N49" s="115" t="str">
        <f>IFERROR(__xludf.DUMMYFUNCTION("""COMPUTED_VALUE"""),"https://drive.google.com/open?id=1b10yQQiqJa5x-8VGCPcRG_CInB4HWbui")</f>
        <v>https://drive.google.com/open?id=1b10yQQiqJa5x-8VGCPcRG_CInB4HWbui</v>
      </c>
      <c r="O49" s="64" t="str">
        <f>IFERROR(__xludf.DUMMYFUNCTION("""COMPUTED_VALUE"""),"2020-2024")</f>
        <v>2020-2024</v>
      </c>
      <c r="P49" s="64" t="str">
        <f>IFERROR(__xludf.DUMMYFUNCTION("""COMPUTED_VALUE"""),"S5: Student Workshops/Conf attended")</f>
        <v>S5: Student Workshops/Conf attended</v>
      </c>
      <c r="Q49" s="64" t="str">
        <f>IFERROR(__xludf.DUMMYFUNCTION("""COMPUTED_VALUE"""),"harshithnukarapu210@yahoo.com")</f>
        <v>harshithnukarapu210@yahoo.com</v>
      </c>
      <c r="R49" s="64" t="str">
        <f>IFERROR(__xludf.DUMMYFUNCTION("""COMPUTED_VALUE"""),"SEM-4")</f>
        <v>SEM-4</v>
      </c>
      <c r="S49" s="12"/>
      <c r="T49" s="12"/>
      <c r="U49" s="12"/>
      <c r="V49" s="12"/>
      <c r="W49" s="12"/>
      <c r="X49" s="12"/>
      <c r="Y49" s="12"/>
    </row>
    <row r="50" ht="26.25" customHeight="1">
      <c r="A50" s="64" t="str">
        <f>IFERROR(__xludf.DUMMYFUNCTION("""COMPUTED_VALUE"""),"Madabathula Padma Praharshitha")</f>
        <v>Madabathula Padma Praharshitha</v>
      </c>
      <c r="B50" s="64" t="str">
        <f>IFERROR(__xludf.DUMMYFUNCTION("""COMPUTED_VALUE"""),"20331A05A3")</f>
        <v>20331A05A3</v>
      </c>
      <c r="C50" s="64" t="str">
        <f>IFERROR(__xludf.DUMMYFUNCTION("""COMPUTED_VALUE"""),"2021-2022")</f>
        <v>2021-2022</v>
      </c>
      <c r="D50" s="64" t="str">
        <f>IFERROR(__xludf.DUMMYFUNCTION("""COMPUTED_VALUE"""),"Workshop")</f>
        <v>Workshop</v>
      </c>
      <c r="E50" s="64" t="str">
        <f>IFERROR(__xludf.DUMMYFUNCTION("""COMPUTED_VALUE"""),"Workshop on data analytics using python ")</f>
        <v>Workshop on data analytics using python </v>
      </c>
      <c r="F50" s="64">
        <f>IFERROR(__xludf.DUMMYFUNCTION("""COMPUTED_VALUE"""),2.0)</f>
        <v>2</v>
      </c>
      <c r="G50" s="114">
        <f>IFERROR(__xludf.DUMMYFUNCTION("""COMPUTED_VALUE"""),44645.0)</f>
        <v>44645</v>
      </c>
      <c r="H50" s="114">
        <f>IFERROR(__xludf.DUMMYFUNCTION("""COMPUTED_VALUE"""),44646.0)</f>
        <v>44646</v>
      </c>
      <c r="I50" s="64" t="str">
        <f>IFERROR(__xludf.DUMMYFUNCTION("""COMPUTED_VALUE"""),"JNTUGV -UCEV by department of CSE")</f>
        <v>JNTUGV -UCEV by department of CSE</v>
      </c>
      <c r="J50" s="64" t="str">
        <f>IFERROR(__xludf.DUMMYFUNCTION("""COMPUTED_VALUE"""),"SIVARAMAKRISHNA.T")</f>
        <v>SIVARAMAKRISHNA.T</v>
      </c>
      <c r="K50" s="64" t="str">
        <f>IFERROR(__xludf.DUMMYFUNCTION("""COMPUTED_VALUE"""),"State")</f>
        <v>State</v>
      </c>
      <c r="L50" s="64" t="str">
        <f>IFERROR(__xludf.DUMMYFUNCTION("""COMPUTED_VALUE"""),"Paid")</f>
        <v>Paid</v>
      </c>
      <c r="M50" s="64">
        <f>IFERROR(__xludf.DUMMYFUNCTION("""COMPUTED_VALUE"""),300.0)</f>
        <v>300</v>
      </c>
      <c r="N50" s="115" t="str">
        <f>IFERROR(__xludf.DUMMYFUNCTION("""COMPUTED_VALUE"""),"https://drive.google.com/open?id=1tEBdOaI5D-hDwEhnzhVTlujb8AifOd6E")</f>
        <v>https://drive.google.com/open?id=1tEBdOaI5D-hDwEhnzhVTlujb8AifOd6E</v>
      </c>
      <c r="O50" s="64" t="str">
        <f>IFERROR(__xludf.DUMMYFUNCTION("""COMPUTED_VALUE"""),"2020-2024")</f>
        <v>2020-2024</v>
      </c>
      <c r="P50" s="64" t="str">
        <f>IFERROR(__xludf.DUMMYFUNCTION("""COMPUTED_VALUE"""),"S5: Student Workshops/Conf attended")</f>
        <v>S5: Student Workshops/Conf attended</v>
      </c>
      <c r="Q50" s="64" t="str">
        <f>IFERROR(__xludf.DUMMYFUNCTION("""COMPUTED_VALUE"""),"praharshitha210@gmail.com")</f>
        <v>praharshitha210@gmail.com</v>
      </c>
      <c r="R50" s="64" t="str">
        <f>IFERROR(__xludf.DUMMYFUNCTION("""COMPUTED_VALUE"""),"SEM-4")</f>
        <v>SEM-4</v>
      </c>
      <c r="S50" s="12"/>
      <c r="T50" s="12"/>
      <c r="U50" s="12"/>
      <c r="V50" s="12"/>
      <c r="W50" s="12"/>
      <c r="X50" s="12"/>
      <c r="Y50" s="12"/>
    </row>
    <row r="51" ht="26.25" customHeight="1">
      <c r="A51" s="64" t="str">
        <f>IFERROR(__xludf.DUMMYFUNCTION("""COMPUTED_VALUE"""),"Yegireddi sharmila")</f>
        <v>Yegireddi sharmila</v>
      </c>
      <c r="B51" s="64" t="str">
        <f>IFERROR(__xludf.DUMMYFUNCTION("""COMPUTED_VALUE"""),"19335A0519")</f>
        <v>19335A0519</v>
      </c>
      <c r="C51" s="64" t="str">
        <f>IFERROR(__xludf.DUMMYFUNCTION("""COMPUTED_VALUE"""),"2019-2020")</f>
        <v>2019-2020</v>
      </c>
      <c r="D51" s="64" t="str">
        <f>IFERROR(__xludf.DUMMYFUNCTION("""COMPUTED_VALUE"""),"Workshop")</f>
        <v>Workshop</v>
      </c>
      <c r="E51" s="64" t="str">
        <f>IFERROR(__xludf.DUMMYFUNCTION("""COMPUTED_VALUE"""),"Major leak hacking")</f>
        <v>Major leak hacking</v>
      </c>
      <c r="F51" s="64">
        <f>IFERROR(__xludf.DUMMYFUNCTION("""COMPUTED_VALUE"""),3.0)</f>
        <v>3</v>
      </c>
      <c r="G51" s="114">
        <f>IFERROR(__xludf.DUMMYFUNCTION("""COMPUTED_VALUE"""),43689.0)</f>
        <v>43689</v>
      </c>
      <c r="H51" s="114">
        <f>IFERROR(__xludf.DUMMYFUNCTION("""COMPUTED_VALUE"""),43691.0)</f>
        <v>43691</v>
      </c>
      <c r="I51" s="64" t="str">
        <f>IFERROR(__xludf.DUMMYFUNCTION("""COMPUTED_VALUE"""),"GMRIT")</f>
        <v>GMRIT</v>
      </c>
      <c r="J51" s="64" t="str">
        <f>IFERROR(__xludf.DUMMYFUNCTION("""COMPUTED_VALUE"""),"GMRIT")</f>
        <v>GMRIT</v>
      </c>
      <c r="K51" s="64" t="str">
        <f>IFERROR(__xludf.DUMMYFUNCTION("""COMPUTED_VALUE"""),"State")</f>
        <v>State</v>
      </c>
      <c r="L51" s="64" t="str">
        <f>IFERROR(__xludf.DUMMYFUNCTION("""COMPUTED_VALUE"""),"Free")</f>
        <v>Free</v>
      </c>
      <c r="M51" s="64">
        <f>IFERROR(__xludf.DUMMYFUNCTION("""COMPUTED_VALUE"""),0.0)</f>
        <v>0</v>
      </c>
      <c r="N51" s="115" t="str">
        <f>IFERROR(__xludf.DUMMYFUNCTION("""COMPUTED_VALUE"""),"https://drive.google.com/open?id=1KNB5mdpBylr3Sq-X6G2GSjH6Uo6pYECQ")</f>
        <v>https://drive.google.com/open?id=1KNB5mdpBylr3Sq-X6G2GSjH6Uo6pYECQ</v>
      </c>
      <c r="O51" s="64" t="str">
        <f>IFERROR(__xludf.DUMMYFUNCTION("""COMPUTED_VALUE"""),"2018-2022")</f>
        <v>2018-2022</v>
      </c>
      <c r="P51" s="64" t="str">
        <f>IFERROR(__xludf.DUMMYFUNCTION("""COMPUTED_VALUE"""),"S5: Student Workshops/Conf attended")</f>
        <v>S5: Student Workshops/Conf attended</v>
      </c>
      <c r="Q51" s="64" t="str">
        <f>IFERROR(__xludf.DUMMYFUNCTION("""COMPUTED_VALUE"""),"sharmilayegireddi@gmail.com")</f>
        <v>sharmilayegireddi@gmail.com</v>
      </c>
      <c r="R51" s="64" t="str">
        <f>IFERROR(__xludf.DUMMYFUNCTION("""COMPUTED_VALUE"""),"SEM-8")</f>
        <v>SEM-8</v>
      </c>
      <c r="S51" s="12"/>
      <c r="T51" s="12"/>
      <c r="U51" s="12"/>
      <c r="V51" s="12"/>
      <c r="W51" s="12"/>
      <c r="X51" s="12"/>
      <c r="Y51" s="12"/>
    </row>
    <row r="52" ht="26.25" customHeight="1">
      <c r="A52" s="71" t="str">
        <f>IFERROR(__xludf.DUMMYFUNCTION("""COMPUTED_VALUE"""),"K.Neelima")</f>
        <v>K.Neelima</v>
      </c>
      <c r="B52" s="71" t="str">
        <f>IFERROR(__xludf.DUMMYFUNCTION("""COMPUTED_VALUE"""),"19335A0508")</f>
        <v>19335A0508</v>
      </c>
      <c r="C52" s="71" t="str">
        <f>IFERROR(__xludf.DUMMYFUNCTION("""COMPUTED_VALUE"""),"2021-2022")</f>
        <v>2021-2022</v>
      </c>
      <c r="D52" s="71" t="str">
        <f>IFERROR(__xludf.DUMMYFUNCTION("""COMPUTED_VALUE"""),"Seminar")</f>
        <v>Seminar</v>
      </c>
      <c r="E52" s="71" t="str">
        <f>IFERROR(__xludf.DUMMYFUNCTION("""COMPUTED_VALUE"""),"National Intellectul Property Awareness Mision")</f>
        <v>National Intellectul Property Awareness Mision</v>
      </c>
      <c r="F52" s="71">
        <f>IFERROR(__xludf.DUMMYFUNCTION("""COMPUTED_VALUE"""),1.0)</f>
        <v>1</v>
      </c>
      <c r="G52" s="72">
        <f>IFERROR(__xludf.DUMMYFUNCTION("""COMPUTED_VALUE"""),44572.0)</f>
        <v>44572</v>
      </c>
      <c r="H52" s="72">
        <f>IFERROR(__xludf.DUMMYFUNCTION("""COMPUTED_VALUE"""),44572.0)</f>
        <v>44572</v>
      </c>
      <c r="I52" s="71" t="str">
        <f>IFERROR(__xludf.DUMMYFUNCTION("""COMPUTED_VALUE"""),"Intellectual Property Office, India")</f>
        <v>Intellectual Property Office, India</v>
      </c>
      <c r="J52" s="71" t="str">
        <f>IFERROR(__xludf.DUMMYFUNCTION("""COMPUTED_VALUE"""),"M. Vamsi Krishna")</f>
        <v>M. Vamsi Krishna</v>
      </c>
      <c r="K52" s="71" t="str">
        <f>IFERROR(__xludf.DUMMYFUNCTION("""COMPUTED_VALUE"""),"National")</f>
        <v>National</v>
      </c>
      <c r="L52" s="71" t="str">
        <f>IFERROR(__xludf.DUMMYFUNCTION("""COMPUTED_VALUE"""),"Free")</f>
        <v>Free</v>
      </c>
      <c r="M52" s="71"/>
      <c r="N52" s="73" t="str">
        <f>IFERROR(__xludf.DUMMYFUNCTION("""COMPUTED_VALUE"""),"https://drive.google.com/open?id=15KfSnOojoq7cgldAyhisNnYZCXghX_TB")</f>
        <v>https://drive.google.com/open?id=15KfSnOojoq7cgldAyhisNnYZCXghX_TB</v>
      </c>
      <c r="O52" s="71" t="str">
        <f>IFERROR(__xludf.DUMMYFUNCTION("""COMPUTED_VALUE"""),"2018-2022")</f>
        <v>2018-2022</v>
      </c>
      <c r="P52" s="71" t="str">
        <f>IFERROR(__xludf.DUMMYFUNCTION("""COMPUTED_VALUE"""),"S5: Student Workshops/Conf attended")</f>
        <v>S5: Student Workshops/Conf attended</v>
      </c>
      <c r="Q52" s="71" t="str">
        <f>IFERROR(__xludf.DUMMYFUNCTION("""COMPUTED_VALUE"""),"kneelima2001@gmail.com")</f>
        <v>kneelima2001@gmail.com</v>
      </c>
      <c r="R52" s="71" t="str">
        <f>IFERROR(__xludf.DUMMYFUNCTION("""COMPUTED_VALUE"""),"SEM-7")</f>
        <v>SEM-7</v>
      </c>
      <c r="S52" s="74"/>
      <c r="T52" s="74"/>
      <c r="U52" s="74"/>
      <c r="V52" s="74"/>
      <c r="W52" s="74"/>
      <c r="X52" s="74"/>
      <c r="Y52" s="74"/>
    </row>
    <row r="53" ht="26.25" customHeight="1">
      <c r="A53" s="71" t="str">
        <f>IFERROR(__xludf.DUMMYFUNCTION("""COMPUTED_VALUE"""),"Bogapurapu Rahul")</f>
        <v>Bogapurapu Rahul</v>
      </c>
      <c r="B53" s="71" t="str">
        <f>IFERROR(__xludf.DUMMYFUNCTION("""COMPUTED_VALUE"""),"18331A0516")</f>
        <v>18331A0516</v>
      </c>
      <c r="C53" s="71" t="str">
        <f>IFERROR(__xludf.DUMMYFUNCTION("""COMPUTED_VALUE"""),"2021-2022")</f>
        <v>2021-2022</v>
      </c>
      <c r="D53" s="71" t="str">
        <f>IFERROR(__xludf.DUMMYFUNCTION("""COMPUTED_VALUE"""),"Workshop")</f>
        <v>Workshop</v>
      </c>
      <c r="E53" s="71" t="str">
        <f>IFERROR(__xludf.DUMMYFUNCTION("""COMPUTED_VALUE"""),"Swecha Freedom Fest")</f>
        <v>Swecha Freedom Fest</v>
      </c>
      <c r="F53" s="71">
        <f>IFERROR(__xludf.DUMMYFUNCTION("""COMPUTED_VALUE"""),2.0)</f>
        <v>2</v>
      </c>
      <c r="G53" s="72">
        <f>IFERROR(__xludf.DUMMYFUNCTION("""COMPUTED_VALUE"""),43505.0)</f>
        <v>43505</v>
      </c>
      <c r="H53" s="72">
        <f>IFERROR(__xludf.DUMMYFUNCTION("""COMPUTED_VALUE"""),43506.0)</f>
        <v>43506</v>
      </c>
      <c r="I53" s="71" t="str">
        <f>IFERROR(__xludf.DUMMYFUNCTION("""COMPUTED_VALUE"""),"Mvgr college of Engineering")</f>
        <v>Mvgr college of Engineering</v>
      </c>
      <c r="J53" s="71" t="str">
        <f>IFERROR(__xludf.DUMMYFUNCTION("""COMPUTED_VALUE"""),"B vamsi krishna")</f>
        <v>B vamsi krishna</v>
      </c>
      <c r="K53" s="71" t="str">
        <f>IFERROR(__xludf.DUMMYFUNCTION("""COMPUTED_VALUE"""),"State")</f>
        <v>State</v>
      </c>
      <c r="L53" s="71" t="str">
        <f>IFERROR(__xludf.DUMMYFUNCTION("""COMPUTED_VALUE"""),"Paid")</f>
        <v>Paid</v>
      </c>
      <c r="M53" s="71">
        <f>IFERROR(__xludf.DUMMYFUNCTION("""COMPUTED_VALUE"""),300.0)</f>
        <v>300</v>
      </c>
      <c r="N53" s="73" t="str">
        <f>IFERROR(__xludf.DUMMYFUNCTION("""COMPUTED_VALUE"""),"https://drive.google.com/open?id=165gm2cIFcNxj5zaOUv4C6bN2YlDlYYeR")</f>
        <v>https://drive.google.com/open?id=165gm2cIFcNxj5zaOUv4C6bN2YlDlYYeR</v>
      </c>
      <c r="O53" s="71" t="str">
        <f>IFERROR(__xludf.DUMMYFUNCTION("""COMPUTED_VALUE"""),"2018-2022")</f>
        <v>2018-2022</v>
      </c>
      <c r="P53" s="71" t="str">
        <f>IFERROR(__xludf.DUMMYFUNCTION("""COMPUTED_VALUE"""),"S5: Student Workshops/Conf attended")</f>
        <v>S5: Student Workshops/Conf attended</v>
      </c>
      <c r="Q53" s="71" t="str">
        <f>IFERROR(__xludf.DUMMYFUNCTION("""COMPUTED_VALUE"""),"rrahul94772@gmail.com")</f>
        <v>rrahul94772@gmail.com</v>
      </c>
      <c r="R53" s="71" t="str">
        <f>IFERROR(__xludf.DUMMYFUNCTION("""COMPUTED_VALUE"""),"SEM-8")</f>
        <v>SEM-8</v>
      </c>
      <c r="S53" s="74"/>
      <c r="T53" s="74"/>
      <c r="U53" s="74"/>
      <c r="V53" s="74"/>
      <c r="W53" s="74"/>
      <c r="X53" s="74"/>
      <c r="Y53" s="74"/>
    </row>
    <row r="54" ht="26.25" customHeight="1">
      <c r="A54" s="64" t="str">
        <f>IFERROR(__xludf.DUMMYFUNCTION("""COMPUTED_VALUE"""),"Gorle Shri Aiswarya")</f>
        <v>Gorle Shri Aiswarya</v>
      </c>
      <c r="B54" s="64" t="str">
        <f>IFERROR(__xludf.DUMMYFUNCTION("""COMPUTED_VALUE"""),"18331A0549")</f>
        <v>18331A0549</v>
      </c>
      <c r="C54" s="64" t="str">
        <f>IFERROR(__xludf.DUMMYFUNCTION("""COMPUTED_VALUE"""),"2021-2022")</f>
        <v>2021-2022</v>
      </c>
      <c r="D54" s="64" t="str">
        <f>IFERROR(__xludf.DUMMYFUNCTION("""COMPUTED_VALUE"""),"Seminar")</f>
        <v>Seminar</v>
      </c>
      <c r="E54" s="64" t="str">
        <f>IFERROR(__xludf.DUMMYFUNCTION("""COMPUTED_VALUE"""),"Copyright")</f>
        <v>Copyright</v>
      </c>
      <c r="F54" s="64">
        <f>IFERROR(__xludf.DUMMYFUNCTION("""COMPUTED_VALUE"""),1.0)</f>
        <v>1</v>
      </c>
      <c r="G54" s="114">
        <f>IFERROR(__xludf.DUMMYFUNCTION("""COMPUTED_VALUE"""),44292.0)</f>
        <v>44292</v>
      </c>
      <c r="H54" s="114">
        <f>IFERROR(__xludf.DUMMYFUNCTION("""COMPUTED_VALUE"""),44292.0)</f>
        <v>44292</v>
      </c>
      <c r="I54" s="64" t="str">
        <f>IFERROR(__xludf.DUMMYFUNCTION("""COMPUTED_VALUE"""),"Intellectual Property Rights (IPRs)-Trademarks and Copyrights")</f>
        <v>Intellectual Property Rights (IPRs)-Trademarks and Copyrights</v>
      </c>
      <c r="J54" s="64" t="str">
        <f>IFERROR(__xludf.DUMMYFUNCTION("""COMPUTED_VALUE"""),"1. Dr. Dayanada Murthy C P director,Academic Affairs and Research,DSNLU
2. Dr. B.K Sahu,Regional Manager and Officer Incharge IPFC&amp; TISC,NRDC,GOVT OF INDIA.
3. Shri. Ravi Gadde,Joint Director,MSME Development Institute,Visakhapatnam.
4. G.V.R. Naidu,Asst."&amp;" Director, MSME Development Institute,Visakhapatnam.
5. Shri. Satish Kumar,Asst.DirectorIPR Cell,O/o DC(MSME),New Delhi.
6. Dr.R.Ramesh,Dean R&amp;D,MVGR College of Engineering,Vizianagaram")</f>
        <v>1. Dr. Dayanada Murthy C P director,Academic Affairs and Research,DSNLU
2. Dr. B.K Sahu,Regional Manager and Officer Incharge IPFC&amp; TISC,NRDC,GOVT OF INDIA.
3. Shri. Ravi Gadde,Joint Director,MSME Development Institute,Visakhapatnam.
4. G.V.R. Naidu,Asst. Director, MSME Development Institute,Visakhapatnam.
5. Shri. Satish Kumar,Asst.DirectorIPR Cell,O/o DC(MSME),New Delhi.
6. Dr.R.Ramesh,Dean R&amp;D,MVGR College of Engineering,Vizianagaram</v>
      </c>
      <c r="K54" s="64" t="str">
        <f>IFERROR(__xludf.DUMMYFUNCTION("""COMPUTED_VALUE"""),"National")</f>
        <v>National</v>
      </c>
      <c r="L54" s="64" t="str">
        <f>IFERROR(__xludf.DUMMYFUNCTION("""COMPUTED_VALUE"""),"Paid")</f>
        <v>Paid</v>
      </c>
      <c r="M54" s="64">
        <f>IFERROR(__xludf.DUMMYFUNCTION("""COMPUTED_VALUE"""),0.0)</f>
        <v>0</v>
      </c>
      <c r="N54" s="115" t="str">
        <f>IFERROR(__xludf.DUMMYFUNCTION("""COMPUTED_VALUE"""),"https://drive.google.com/open?id=1N7m8oEXhRnGzxG2-xw3itirH2SvkA6r9")</f>
        <v>https://drive.google.com/open?id=1N7m8oEXhRnGzxG2-xw3itirH2SvkA6r9</v>
      </c>
      <c r="O54" s="64" t="str">
        <f>IFERROR(__xludf.DUMMYFUNCTION("""COMPUTED_VALUE"""),"2018-2022")</f>
        <v>2018-2022</v>
      </c>
      <c r="P54" s="64" t="str">
        <f>IFERROR(__xludf.DUMMYFUNCTION("""COMPUTED_VALUE"""),"S5: Student Workshops/Conf attended")</f>
        <v>S5: Student Workshops/Conf attended</v>
      </c>
      <c r="Q54" s="64" t="str">
        <f>IFERROR(__xludf.DUMMYFUNCTION("""COMPUTED_VALUE"""),"aiswarya15112000@gmail.com")</f>
        <v>aiswarya15112000@gmail.com</v>
      </c>
      <c r="R54" s="64" t="str">
        <f>IFERROR(__xludf.DUMMYFUNCTION("""COMPUTED_VALUE"""),"SEM-8")</f>
        <v>SEM-8</v>
      </c>
      <c r="S54" s="12"/>
      <c r="T54" s="12"/>
      <c r="U54" s="12"/>
      <c r="V54" s="12"/>
      <c r="W54" s="12"/>
      <c r="X54" s="12"/>
      <c r="Y54" s="12"/>
    </row>
    <row r="55" ht="26.25" customHeight="1">
      <c r="A55" s="71" t="str">
        <f>IFERROR(__xludf.DUMMYFUNCTION("""COMPUTED_VALUE"""),"Gorle Shri Aiswarya")</f>
        <v>Gorle Shri Aiswarya</v>
      </c>
      <c r="B55" s="71" t="str">
        <f>IFERROR(__xludf.DUMMYFUNCTION("""COMPUTED_VALUE"""),"18331A0549")</f>
        <v>18331A0549</v>
      </c>
      <c r="C55" s="71" t="str">
        <f>IFERROR(__xludf.DUMMYFUNCTION("""COMPUTED_VALUE"""),"2020-2021")</f>
        <v>2020-2021</v>
      </c>
      <c r="D55" s="71" t="str">
        <f>IFERROR(__xludf.DUMMYFUNCTION("""COMPUTED_VALUE"""),"Workshop")</f>
        <v>Workshop</v>
      </c>
      <c r="E55" s="71" t="str">
        <f>IFERROR(__xludf.DUMMYFUNCTION("""COMPUTED_VALUE"""),"Angular Js to develop web apps faster")</f>
        <v>Angular Js to develop web apps faster</v>
      </c>
      <c r="F55" s="71">
        <f>IFERROR(__xludf.DUMMYFUNCTION("""COMPUTED_VALUE"""),1.0)</f>
        <v>1</v>
      </c>
      <c r="G55" s="72">
        <f>IFERROR(__xludf.DUMMYFUNCTION("""COMPUTED_VALUE"""),44008.0)</f>
        <v>44008</v>
      </c>
      <c r="H55" s="72">
        <f>IFERROR(__xludf.DUMMYFUNCTION("""COMPUTED_VALUE"""),44008.0)</f>
        <v>44008</v>
      </c>
      <c r="I55" s="71" t="str">
        <f>IFERROR(__xludf.DUMMYFUNCTION("""COMPUTED_VALUE"""),"BRAIN O VISION")</f>
        <v>BRAIN O VISION</v>
      </c>
      <c r="J55" s="71" t="str">
        <f>IFERROR(__xludf.DUMMYFUNCTION("""COMPUTED_VALUE"""),"1. Dr. Datchana Moorthy Ramu
2. Dr. V. Nagesh
3. Ganesh Nag Doddi")</f>
        <v>1. Dr. Datchana Moorthy Ramu
2. Dr. V. Nagesh
3. Ganesh Nag Doddi</v>
      </c>
      <c r="K55" s="71" t="str">
        <f>IFERROR(__xludf.DUMMYFUNCTION("""COMPUTED_VALUE"""),"International")</f>
        <v>International</v>
      </c>
      <c r="L55" s="71" t="str">
        <f>IFERROR(__xludf.DUMMYFUNCTION("""COMPUTED_VALUE"""),"Free")</f>
        <v>Free</v>
      </c>
      <c r="M55" s="71"/>
      <c r="N55" s="73" t="str">
        <f>IFERROR(__xludf.DUMMYFUNCTION("""COMPUTED_VALUE"""),"https://drive.google.com/open?id=1IrAvW02zQnWaBoFjCxeNvfNtAZnO5_n7")</f>
        <v>https://drive.google.com/open?id=1IrAvW02zQnWaBoFjCxeNvfNtAZnO5_n7</v>
      </c>
      <c r="O55" s="71" t="str">
        <f>IFERROR(__xludf.DUMMYFUNCTION("""COMPUTED_VALUE"""),"2018-2022")</f>
        <v>2018-2022</v>
      </c>
      <c r="P55" s="71" t="str">
        <f>IFERROR(__xludf.DUMMYFUNCTION("""COMPUTED_VALUE"""),"S5: Student Workshops/Conf attended")</f>
        <v>S5: Student Workshops/Conf attended</v>
      </c>
      <c r="Q55" s="71" t="str">
        <f>IFERROR(__xludf.DUMMYFUNCTION("""COMPUTED_VALUE"""),"aiswarya15112000@gmail.com")</f>
        <v>aiswarya15112000@gmail.com</v>
      </c>
      <c r="R55" s="71" t="str">
        <f>IFERROR(__xludf.DUMMYFUNCTION("""COMPUTED_VALUE"""),"SEM-8")</f>
        <v>SEM-8</v>
      </c>
      <c r="S55" s="74"/>
      <c r="T55" s="74"/>
      <c r="U55" s="74"/>
      <c r="V55" s="74"/>
      <c r="W55" s="74"/>
      <c r="X55" s="74"/>
      <c r="Y55" s="74"/>
    </row>
    <row r="56" ht="26.25" customHeight="1">
      <c r="A56" s="71" t="str">
        <f>IFERROR(__xludf.DUMMYFUNCTION("""COMPUTED_VALUE"""),"Gorle Shri Aiswarya")</f>
        <v>Gorle Shri Aiswarya</v>
      </c>
      <c r="B56" s="71" t="str">
        <f>IFERROR(__xludf.DUMMYFUNCTION("""COMPUTED_VALUE"""),"18331A0549")</f>
        <v>18331A0549</v>
      </c>
      <c r="C56" s="71" t="str">
        <f>IFERROR(__xludf.DUMMYFUNCTION("""COMPUTED_VALUE"""),"2021-2022")</f>
        <v>2021-2022</v>
      </c>
      <c r="D56" s="71" t="str">
        <f>IFERROR(__xludf.DUMMYFUNCTION("""COMPUTED_VALUE"""),"Workshop")</f>
        <v>Workshop</v>
      </c>
      <c r="E56" s="71" t="str">
        <f>IFERROR(__xludf.DUMMYFUNCTION("""COMPUTED_VALUE"""),"React Js")</f>
        <v>React Js</v>
      </c>
      <c r="F56" s="71">
        <f>IFERROR(__xludf.DUMMYFUNCTION("""COMPUTED_VALUE"""),5.0)</f>
        <v>5</v>
      </c>
      <c r="G56" s="72">
        <f>IFERROR(__xludf.DUMMYFUNCTION("""COMPUTED_VALUE"""),44379.0)</f>
        <v>44379</v>
      </c>
      <c r="H56" s="72">
        <f>IFERROR(__xludf.DUMMYFUNCTION("""COMPUTED_VALUE"""),44387.0)</f>
        <v>44387</v>
      </c>
      <c r="I56" s="71" t="str">
        <f>IFERROR(__xludf.DUMMYFUNCTION("""COMPUTED_VALUE"""),"BRAIN O VISION")</f>
        <v>BRAIN O VISION</v>
      </c>
      <c r="J56" s="71" t="str">
        <f>IFERROR(__xludf.DUMMYFUNCTION("""COMPUTED_VALUE"""),"Dr. Datachana Murthy
Ganesh Nag Doddi
Dr.S.N.Tirumala Rao
Dr.M.Sreenivasa Kumar")</f>
        <v>Dr. Datachana Murthy
Ganesh Nag Doddi
Dr.S.N.Tirumala Rao
Dr.M.Sreenivasa Kumar</v>
      </c>
      <c r="K56" s="71" t="str">
        <f>IFERROR(__xludf.DUMMYFUNCTION("""COMPUTED_VALUE"""),"National")</f>
        <v>National</v>
      </c>
      <c r="L56" s="71" t="str">
        <f>IFERROR(__xludf.DUMMYFUNCTION("""COMPUTED_VALUE"""),"Free")</f>
        <v>Free</v>
      </c>
      <c r="M56" s="71"/>
      <c r="N56" s="73" t="str">
        <f>IFERROR(__xludf.DUMMYFUNCTION("""COMPUTED_VALUE"""),"https://drive.google.com/open?id=1JTnzJnLZbGd66fe_TL_fryOq94tevmAZ")</f>
        <v>https://drive.google.com/open?id=1JTnzJnLZbGd66fe_TL_fryOq94tevmAZ</v>
      </c>
      <c r="O56" s="71" t="str">
        <f>IFERROR(__xludf.DUMMYFUNCTION("""COMPUTED_VALUE"""),"2018-2022")</f>
        <v>2018-2022</v>
      </c>
      <c r="P56" s="71" t="str">
        <f>IFERROR(__xludf.DUMMYFUNCTION("""COMPUTED_VALUE"""),"S5: Student Workshops/Conf attended")</f>
        <v>S5: Student Workshops/Conf attended</v>
      </c>
      <c r="Q56" s="71" t="str">
        <f>IFERROR(__xludf.DUMMYFUNCTION("""COMPUTED_VALUE"""),"aiswarya15112000@gmail.com")</f>
        <v>aiswarya15112000@gmail.com</v>
      </c>
      <c r="R56" s="71" t="str">
        <f>IFERROR(__xludf.DUMMYFUNCTION("""COMPUTED_VALUE"""),"SEM-8")</f>
        <v>SEM-8</v>
      </c>
      <c r="S56" s="74"/>
      <c r="T56" s="74"/>
      <c r="U56" s="74"/>
      <c r="V56" s="74"/>
      <c r="W56" s="74"/>
      <c r="X56" s="74"/>
      <c r="Y56" s="74"/>
    </row>
    <row r="57" ht="26.25" customHeight="1">
      <c r="A57" s="71" t="str">
        <f>IFERROR(__xludf.DUMMYFUNCTION("""COMPUTED_VALUE"""),"MUKHEE JYOTHSNA")</f>
        <v>MUKHEE JYOTHSNA</v>
      </c>
      <c r="B57" s="71" t="str">
        <f>IFERROR(__xludf.DUMMYFUNCTION("""COMPUTED_VALUE"""),"18331A05A2")</f>
        <v>18331A05A2</v>
      </c>
      <c r="C57" s="71" t="str">
        <f>IFERROR(__xludf.DUMMYFUNCTION("""COMPUTED_VALUE"""),"2021-2022")</f>
        <v>2021-2022</v>
      </c>
      <c r="D57" s="71" t="str">
        <f>IFERROR(__xludf.DUMMYFUNCTION("""COMPUTED_VALUE"""),"Workshop")</f>
        <v>Workshop</v>
      </c>
      <c r="E57" s="71" t="str">
        <f>IFERROR(__xludf.DUMMYFUNCTION("""COMPUTED_VALUE"""),"Machine Learning With Python")</f>
        <v>Machine Learning With Python</v>
      </c>
      <c r="F57" s="71">
        <f>IFERROR(__xludf.DUMMYFUNCTION("""COMPUTED_VALUE"""),20.0)</f>
        <v>20</v>
      </c>
      <c r="G57" s="72">
        <f>IFERROR(__xludf.DUMMYFUNCTION("""COMPUTED_VALUE"""),44354.0)</f>
        <v>44354</v>
      </c>
      <c r="H57" s="72">
        <f>IFERROR(__xludf.DUMMYFUNCTION("""COMPUTED_VALUE"""),44373.0)</f>
        <v>44373</v>
      </c>
      <c r="I57" s="71" t="str">
        <f>IFERROR(__xludf.DUMMYFUNCTION("""COMPUTED_VALUE"""),"APSSDC")</f>
        <v>APSSDC</v>
      </c>
      <c r="J57" s="71" t="str">
        <f>IFERROR(__xludf.DUMMYFUNCTION("""COMPUTED_VALUE"""),"College")</f>
        <v>College</v>
      </c>
      <c r="K57" s="71" t="str">
        <f>IFERROR(__xludf.DUMMYFUNCTION("""COMPUTED_VALUE"""),"State")</f>
        <v>State</v>
      </c>
      <c r="L57" s="71" t="str">
        <f>IFERROR(__xludf.DUMMYFUNCTION("""COMPUTED_VALUE"""),"Paid")</f>
        <v>Paid</v>
      </c>
      <c r="M57" s="71">
        <f>IFERROR(__xludf.DUMMYFUNCTION("""COMPUTED_VALUE"""),200.0)</f>
        <v>200</v>
      </c>
      <c r="N57" s="73" t="str">
        <f>IFERROR(__xludf.DUMMYFUNCTION("""COMPUTED_VALUE"""),"https://drive.google.com/open?id=16x3z72xdhCk6YK9A67W_yXtuyx05bPN1")</f>
        <v>https://drive.google.com/open?id=16x3z72xdhCk6YK9A67W_yXtuyx05bPN1</v>
      </c>
      <c r="O57" s="71" t="str">
        <f>IFERROR(__xludf.DUMMYFUNCTION("""COMPUTED_VALUE"""),"2018-2022")</f>
        <v>2018-2022</v>
      </c>
      <c r="P57" s="71" t="str">
        <f>IFERROR(__xludf.DUMMYFUNCTION("""COMPUTED_VALUE"""),"S5: Student Workshops/Conf attended")</f>
        <v>S5: Student Workshops/Conf attended</v>
      </c>
      <c r="Q57" s="71" t="str">
        <f>IFERROR(__xludf.DUMMYFUNCTION("""COMPUTED_VALUE"""),"jyothsnamukhee03@gmail.com")</f>
        <v>jyothsnamukhee03@gmail.com</v>
      </c>
      <c r="R57" s="71" t="str">
        <f>IFERROR(__xludf.DUMMYFUNCTION("""COMPUTED_VALUE"""),"SEM-8")</f>
        <v>SEM-8</v>
      </c>
      <c r="S57" s="74"/>
      <c r="T57" s="74"/>
      <c r="U57" s="74"/>
      <c r="V57" s="74"/>
      <c r="W57" s="74"/>
      <c r="X57" s="74"/>
      <c r="Y57" s="74"/>
    </row>
    <row r="58" ht="26.25" customHeight="1">
      <c r="A58" s="71" t="str">
        <f>IFERROR(__xludf.DUMMYFUNCTION("""COMPUTED_VALUE"""),"B.Himavarsha")</f>
        <v>B.Himavarsha</v>
      </c>
      <c r="B58" s="71" t="str">
        <f>IFERROR(__xludf.DUMMYFUNCTION("""COMPUTED_VALUE"""),"18331A0509")</f>
        <v>18331A0509</v>
      </c>
      <c r="C58" s="71" t="str">
        <f>IFERROR(__xludf.DUMMYFUNCTION("""COMPUTED_VALUE"""),"2021-2022")</f>
        <v>2021-2022</v>
      </c>
      <c r="D58" s="71" t="str">
        <f>IFERROR(__xludf.DUMMYFUNCTION("""COMPUTED_VALUE"""),"Workshop")</f>
        <v>Workshop</v>
      </c>
      <c r="E58" s="71" t="str">
        <f>IFERROR(__xludf.DUMMYFUNCTION("""COMPUTED_VALUE"""),"WAC workshop")</f>
        <v>WAC workshop</v>
      </c>
      <c r="F58" s="71">
        <f>IFERROR(__xludf.DUMMYFUNCTION("""COMPUTED_VALUE"""),2.0)</f>
        <v>2</v>
      </c>
      <c r="G58" s="72">
        <f>IFERROR(__xludf.DUMMYFUNCTION("""COMPUTED_VALUE"""),43694.0)</f>
        <v>43694</v>
      </c>
      <c r="H58" s="72">
        <f>IFERROR(__xludf.DUMMYFUNCTION("""COMPUTED_VALUE"""),43695.0)</f>
        <v>43695</v>
      </c>
      <c r="I58" s="71" t="str">
        <f>IFERROR(__xludf.DUMMYFUNCTION("""COMPUTED_VALUE"""),"IIT Hyderabad")</f>
        <v>IIT Hyderabad</v>
      </c>
      <c r="J58" s="71" t="str">
        <f>IFERROR(__xludf.DUMMYFUNCTION("""COMPUTED_VALUE"""),"Sujata mehta")</f>
        <v>Sujata mehta</v>
      </c>
      <c r="K58" s="71" t="str">
        <f>IFERROR(__xludf.DUMMYFUNCTION("""COMPUTED_VALUE"""),"State")</f>
        <v>State</v>
      </c>
      <c r="L58" s="71" t="str">
        <f>IFERROR(__xludf.DUMMYFUNCTION("""COMPUTED_VALUE"""),"Free")</f>
        <v>Free</v>
      </c>
      <c r="M58" s="71"/>
      <c r="N58" s="73" t="str">
        <f>IFERROR(__xludf.DUMMYFUNCTION("""COMPUTED_VALUE"""),"https://drive.google.com/open?id=1skgTASfCSWO8hGQPc6u4CIRldHi6rvWf")</f>
        <v>https://drive.google.com/open?id=1skgTASfCSWO8hGQPc6u4CIRldHi6rvWf</v>
      </c>
      <c r="O58" s="71" t="str">
        <f>IFERROR(__xludf.DUMMYFUNCTION("""COMPUTED_VALUE"""),"2018-2022")</f>
        <v>2018-2022</v>
      </c>
      <c r="P58" s="71" t="str">
        <f>IFERROR(__xludf.DUMMYFUNCTION("""COMPUTED_VALUE"""),"S5: Student Workshops/Conf attended")</f>
        <v>S5: Student Workshops/Conf attended</v>
      </c>
      <c r="Q58" s="71" t="str">
        <f>IFERROR(__xludf.DUMMYFUNCTION("""COMPUTED_VALUE"""),"varuhima20@gmail.com")</f>
        <v>varuhima20@gmail.com</v>
      </c>
      <c r="R58" s="71" t="str">
        <f>IFERROR(__xludf.DUMMYFUNCTION("""COMPUTED_VALUE"""),"SEM-8")</f>
        <v>SEM-8</v>
      </c>
      <c r="S58" s="74"/>
      <c r="T58" s="74"/>
      <c r="U58" s="74"/>
      <c r="V58" s="74"/>
      <c r="W58" s="74"/>
      <c r="X58" s="74"/>
      <c r="Y58" s="74"/>
    </row>
    <row r="59" ht="26.25" customHeight="1">
      <c r="A59" s="64" t="str">
        <f>IFERROR(__xludf.DUMMYFUNCTION("""COMPUTED_VALUE"""),"MUKHEE JYOTHSNA")</f>
        <v>MUKHEE JYOTHSNA</v>
      </c>
      <c r="B59" s="64" t="str">
        <f>IFERROR(__xludf.DUMMYFUNCTION("""COMPUTED_VALUE"""),"18331A05A2")</f>
        <v>18331A05A2</v>
      </c>
      <c r="C59" s="64" t="str">
        <f>IFERROR(__xludf.DUMMYFUNCTION("""COMPUTED_VALUE"""),"2021-2022")</f>
        <v>2021-2022</v>
      </c>
      <c r="D59" s="64" t="str">
        <f>IFERROR(__xludf.DUMMYFUNCTION("""COMPUTED_VALUE"""),"Workshop")</f>
        <v>Workshop</v>
      </c>
      <c r="E59" s="64" t="str">
        <f>IFERROR(__xludf.DUMMYFUNCTION("""COMPUTED_VALUE"""),"Implement OOPS using JAVA with Data Structures and Beyond")</f>
        <v>Implement OOPS using JAVA with Data Structures and Beyond</v>
      </c>
      <c r="F59" s="64">
        <f>IFERROR(__xludf.DUMMYFUNCTION("""COMPUTED_VALUE"""),15.0)</f>
        <v>15</v>
      </c>
      <c r="G59" s="114">
        <f>IFERROR(__xludf.DUMMYFUNCTION("""COMPUTED_VALUE"""),44627.0)</f>
        <v>44627</v>
      </c>
      <c r="H59" s="114">
        <f>IFERROR(__xludf.DUMMYFUNCTION("""COMPUTED_VALUE"""),44642.0)</f>
        <v>44642</v>
      </c>
      <c r="I59" s="64" t="str">
        <f>IFERROR(__xludf.DUMMYFUNCTION("""COMPUTED_VALUE"""),"Simplilearn")</f>
        <v>Simplilearn</v>
      </c>
      <c r="J59" s="64" t="str">
        <f>IFERROR(__xludf.DUMMYFUNCTION("""COMPUTED_VALUE"""),"College")</f>
        <v>College</v>
      </c>
      <c r="K59" s="64" t="str">
        <f>IFERROR(__xludf.DUMMYFUNCTION("""COMPUTED_VALUE"""),"National")</f>
        <v>National</v>
      </c>
      <c r="L59" s="64" t="str">
        <f>IFERROR(__xludf.DUMMYFUNCTION("""COMPUTED_VALUE"""),"Free")</f>
        <v>Free</v>
      </c>
      <c r="M59" s="64"/>
      <c r="N59" s="115" t="str">
        <f>IFERROR(__xludf.DUMMYFUNCTION("""COMPUTED_VALUE"""),"https://drive.google.com/open?id=1JKiX_JHVCRcuVNSyJyJaAbmdcYd1jhGE")</f>
        <v>https://drive.google.com/open?id=1JKiX_JHVCRcuVNSyJyJaAbmdcYd1jhGE</v>
      </c>
      <c r="O59" s="64" t="str">
        <f>IFERROR(__xludf.DUMMYFUNCTION("""COMPUTED_VALUE"""),"2018-2022")</f>
        <v>2018-2022</v>
      </c>
      <c r="P59" s="64" t="str">
        <f>IFERROR(__xludf.DUMMYFUNCTION("""COMPUTED_VALUE"""),"S5: Student Workshops/Conf attended")</f>
        <v>S5: Student Workshops/Conf attended</v>
      </c>
      <c r="Q59" s="64" t="str">
        <f>IFERROR(__xludf.DUMMYFUNCTION("""COMPUTED_VALUE"""),"jyothsnamukhee03@gmail.com")</f>
        <v>jyothsnamukhee03@gmail.com</v>
      </c>
      <c r="R59" s="64" t="str">
        <f>IFERROR(__xludf.DUMMYFUNCTION("""COMPUTED_VALUE"""),"SEM-8")</f>
        <v>SEM-8</v>
      </c>
      <c r="S59" s="12"/>
      <c r="T59" s="12"/>
      <c r="U59" s="12"/>
      <c r="V59" s="12"/>
      <c r="W59" s="12"/>
      <c r="X59" s="12"/>
      <c r="Y59" s="12"/>
    </row>
    <row r="60" ht="26.25" customHeight="1">
      <c r="A60" s="71" t="str">
        <f>IFERROR(__xludf.DUMMYFUNCTION("""COMPUTED_VALUE"""),"MUKHEE JYOTHSNA")</f>
        <v>MUKHEE JYOTHSNA</v>
      </c>
      <c r="B60" s="71" t="str">
        <f>IFERROR(__xludf.DUMMYFUNCTION("""COMPUTED_VALUE"""),"18331A05A2")</f>
        <v>18331A05A2</v>
      </c>
      <c r="C60" s="71" t="str">
        <f>IFERROR(__xludf.DUMMYFUNCTION("""COMPUTED_VALUE"""),"2021-2022")</f>
        <v>2021-2022</v>
      </c>
      <c r="D60" s="71" t="str">
        <f>IFERROR(__xludf.DUMMYFUNCTION("""COMPUTED_VALUE"""),"Workshop")</f>
        <v>Workshop</v>
      </c>
      <c r="E60" s="71" t="str">
        <f>IFERROR(__xludf.DUMMYFUNCTION("""COMPUTED_VALUE"""),"Implement OOPS using JAVA with Data Structures and Beyond")</f>
        <v>Implement OOPS using JAVA with Data Structures and Beyond</v>
      </c>
      <c r="F60" s="71">
        <f>IFERROR(__xludf.DUMMYFUNCTION("""COMPUTED_VALUE"""),15.0)</f>
        <v>15</v>
      </c>
      <c r="G60" s="72">
        <f>IFERROR(__xludf.DUMMYFUNCTION("""COMPUTED_VALUE"""),44643.0)</f>
        <v>44643</v>
      </c>
      <c r="H60" s="72">
        <f>IFERROR(__xludf.DUMMYFUNCTION("""COMPUTED_VALUE"""),44657.0)</f>
        <v>44657</v>
      </c>
      <c r="I60" s="71" t="str">
        <f>IFERROR(__xludf.DUMMYFUNCTION("""COMPUTED_VALUE"""),"Simplilearn")</f>
        <v>Simplilearn</v>
      </c>
      <c r="J60" s="71" t="str">
        <f>IFERROR(__xludf.DUMMYFUNCTION("""COMPUTED_VALUE"""),"College")</f>
        <v>College</v>
      </c>
      <c r="K60" s="71" t="str">
        <f>IFERROR(__xludf.DUMMYFUNCTION("""COMPUTED_VALUE"""),"National")</f>
        <v>National</v>
      </c>
      <c r="L60" s="71" t="str">
        <f>IFERROR(__xludf.DUMMYFUNCTION("""COMPUTED_VALUE"""),"Free")</f>
        <v>Free</v>
      </c>
      <c r="M60" s="71"/>
      <c r="N60" s="73" t="str">
        <f>IFERROR(__xludf.DUMMYFUNCTION("""COMPUTED_VALUE"""),"https://drive.google.com/open?id=1-YPdD-Vl_sybYqQmOafz3bTBgBWsgVDU")</f>
        <v>https://drive.google.com/open?id=1-YPdD-Vl_sybYqQmOafz3bTBgBWsgVDU</v>
      </c>
      <c r="O60" s="71" t="str">
        <f>IFERROR(__xludf.DUMMYFUNCTION("""COMPUTED_VALUE"""),"2018-2022")</f>
        <v>2018-2022</v>
      </c>
      <c r="P60" s="71" t="str">
        <f>IFERROR(__xludf.DUMMYFUNCTION("""COMPUTED_VALUE"""),"S5: Student Workshops/Conf attended")</f>
        <v>S5: Student Workshops/Conf attended</v>
      </c>
      <c r="Q60" s="71" t="str">
        <f>IFERROR(__xludf.DUMMYFUNCTION("""COMPUTED_VALUE"""),"jyothsnamukhee03@gmail.com")</f>
        <v>jyothsnamukhee03@gmail.com</v>
      </c>
      <c r="R60" s="71" t="str">
        <f>IFERROR(__xludf.DUMMYFUNCTION("""COMPUTED_VALUE"""),"SEM-8")</f>
        <v>SEM-8</v>
      </c>
      <c r="S60" s="74"/>
      <c r="T60" s="74"/>
      <c r="U60" s="74"/>
      <c r="V60" s="74"/>
      <c r="W60" s="74"/>
      <c r="X60" s="74"/>
      <c r="Y60" s="74"/>
    </row>
    <row r="61" ht="26.25" customHeight="1">
      <c r="A61" s="71" t="str">
        <f>IFERROR(__xludf.DUMMYFUNCTION("""COMPUTED_VALUE"""),"Mallavarapu Tejaswi")</f>
        <v>Mallavarapu Tejaswi</v>
      </c>
      <c r="B61" s="71" t="str">
        <f>IFERROR(__xludf.DUMMYFUNCTION("""COMPUTED_VALUE"""),"18331A0591")</f>
        <v>18331A0591</v>
      </c>
      <c r="C61" s="71" t="str">
        <f>IFERROR(__xludf.DUMMYFUNCTION("""COMPUTED_VALUE"""),"2018-2019")</f>
        <v>2018-2019</v>
      </c>
      <c r="D61" s="71" t="str">
        <f>IFERROR(__xludf.DUMMYFUNCTION("""COMPUTED_VALUE"""),"Workshop")</f>
        <v>Workshop</v>
      </c>
      <c r="E61" s="71" t="str">
        <f>IFERROR(__xludf.DUMMYFUNCTION("""COMPUTED_VALUE"""),"Web Technologies")</f>
        <v>Web Technologies</v>
      </c>
      <c r="F61" s="71">
        <f>IFERROR(__xludf.DUMMYFUNCTION("""COMPUTED_VALUE"""),2.0)</f>
        <v>2</v>
      </c>
      <c r="G61" s="72">
        <f>IFERROR(__xludf.DUMMYFUNCTION("""COMPUTED_VALUE"""),43505.0)</f>
        <v>43505</v>
      </c>
      <c r="H61" s="72">
        <f>IFERROR(__xludf.DUMMYFUNCTION("""COMPUTED_VALUE"""),43506.0)</f>
        <v>43506</v>
      </c>
      <c r="I61" s="71" t="str">
        <f>IFERROR(__xludf.DUMMYFUNCTION("""COMPUTED_VALUE"""),"M.Vamsi krisha")</f>
        <v>M.Vamsi krisha</v>
      </c>
      <c r="J61" s="71" t="str">
        <f>IFERROR(__xludf.DUMMYFUNCTION("""COMPUTED_VALUE"""),"Swecha Freedom Fest")</f>
        <v>Swecha Freedom Fest</v>
      </c>
      <c r="K61" s="71" t="str">
        <f>IFERROR(__xludf.DUMMYFUNCTION("""COMPUTED_VALUE"""),"State")</f>
        <v>State</v>
      </c>
      <c r="L61" s="71" t="str">
        <f>IFERROR(__xludf.DUMMYFUNCTION("""COMPUTED_VALUE"""),"Paid")</f>
        <v>Paid</v>
      </c>
      <c r="M61" s="71">
        <f>IFERROR(__xludf.DUMMYFUNCTION("""COMPUTED_VALUE"""),250.0)</f>
        <v>250</v>
      </c>
      <c r="N61" s="73" t="str">
        <f>IFERROR(__xludf.DUMMYFUNCTION("""COMPUTED_VALUE"""),"https://drive.google.com/open?id=1f7ZdZP0Y8ylvFDgvbt3EbAAAlwQBCWbP")</f>
        <v>https://drive.google.com/open?id=1f7ZdZP0Y8ylvFDgvbt3EbAAAlwQBCWbP</v>
      </c>
      <c r="O61" s="71" t="str">
        <f>IFERROR(__xludf.DUMMYFUNCTION("""COMPUTED_VALUE"""),"2018-2022")</f>
        <v>2018-2022</v>
      </c>
      <c r="P61" s="71" t="str">
        <f>IFERROR(__xludf.DUMMYFUNCTION("""COMPUTED_VALUE"""),"S5: Student Workshops/Conf attended")</f>
        <v>S5: Student Workshops/Conf attended</v>
      </c>
      <c r="Q61" s="71" t="str">
        <f>IFERROR(__xludf.DUMMYFUNCTION("""COMPUTED_VALUE"""),"Mallavarapu.tejaswi@gmail.com")</f>
        <v>Mallavarapu.tejaswi@gmail.com</v>
      </c>
      <c r="R61" s="71" t="str">
        <f>IFERROR(__xludf.DUMMYFUNCTION("""COMPUTED_VALUE"""),"SEM-8")</f>
        <v>SEM-8</v>
      </c>
      <c r="S61" s="74"/>
      <c r="T61" s="74"/>
      <c r="U61" s="74"/>
      <c r="V61" s="74"/>
      <c r="W61" s="74"/>
      <c r="X61" s="74"/>
      <c r="Y61" s="74"/>
    </row>
    <row r="62" ht="26.25" customHeight="1">
      <c r="A62" s="64" t="str">
        <f>IFERROR(__xludf.DUMMYFUNCTION("""COMPUTED_VALUE"""),"pitla chandana")</f>
        <v>pitla chandana</v>
      </c>
      <c r="B62" s="64" t="str">
        <f>IFERROR(__xludf.DUMMYFUNCTION("""COMPUTED_VALUE"""),"18331A05C1")</f>
        <v>18331A05C1</v>
      </c>
      <c r="C62" s="64" t="str">
        <f>IFERROR(__xludf.DUMMYFUNCTION("""COMPUTED_VALUE"""),"2019-2020")</f>
        <v>2019-2020</v>
      </c>
      <c r="D62" s="64" t="str">
        <f>IFERROR(__xludf.DUMMYFUNCTION("""COMPUTED_VALUE"""),"Workshop")</f>
        <v>Workshop</v>
      </c>
      <c r="E62" s="64" t="str">
        <f>IFERROR(__xludf.DUMMYFUNCTION("""COMPUTED_VALUE"""),"Dart Programming Language")</f>
        <v>Dart Programming Language</v>
      </c>
      <c r="F62" s="64">
        <f>IFERROR(__xludf.DUMMYFUNCTION("""COMPUTED_VALUE"""),3.0)</f>
        <v>3</v>
      </c>
      <c r="G62" s="114">
        <f>IFERROR(__xludf.DUMMYFUNCTION("""COMPUTED_VALUE"""),44037.0)</f>
        <v>44037</v>
      </c>
      <c r="H62" s="114">
        <f>IFERROR(__xludf.DUMMYFUNCTION("""COMPUTED_VALUE"""),44039.0)</f>
        <v>44039</v>
      </c>
      <c r="I62" s="64" t="str">
        <f>IFERROR(__xludf.DUMMYFUNCTION("""COMPUTED_VALUE"""),"Mvgr college of engineering")</f>
        <v>Mvgr college of engineering</v>
      </c>
      <c r="J62" s="64" t="str">
        <f>IFERROR(__xludf.DUMMYFUNCTION("""COMPUTED_VALUE"""),"N/A")</f>
        <v>N/A</v>
      </c>
      <c r="K62" s="64" t="str">
        <f>IFERROR(__xludf.DUMMYFUNCTION("""COMPUTED_VALUE"""),"National")</f>
        <v>National</v>
      </c>
      <c r="L62" s="64" t="str">
        <f>IFERROR(__xludf.DUMMYFUNCTION("""COMPUTED_VALUE"""),"Free")</f>
        <v>Free</v>
      </c>
      <c r="M62" s="64"/>
      <c r="N62" s="115" t="str">
        <f>IFERROR(__xludf.DUMMYFUNCTION("""COMPUTED_VALUE"""),"https://drive.google.com/open?id=18qYGJEXtnFFuODV51Xsx6ukkfnK9x7e_")</f>
        <v>https://drive.google.com/open?id=18qYGJEXtnFFuODV51Xsx6ukkfnK9x7e_</v>
      </c>
      <c r="O62" s="64" t="str">
        <f>IFERROR(__xludf.DUMMYFUNCTION("""COMPUTED_VALUE"""),"2018-2022")</f>
        <v>2018-2022</v>
      </c>
      <c r="P62" s="64" t="str">
        <f>IFERROR(__xludf.DUMMYFUNCTION("""COMPUTED_VALUE"""),"S5: Student Workshops/Conf attended")</f>
        <v>S5: Student Workshops/Conf attended</v>
      </c>
      <c r="Q62" s="64" t="str">
        <f>IFERROR(__xludf.DUMMYFUNCTION("""COMPUTED_VALUE"""),"pitlachandana@gmail.com")</f>
        <v>pitlachandana@gmail.com</v>
      </c>
      <c r="R62" s="64" t="str">
        <f>IFERROR(__xludf.DUMMYFUNCTION("""COMPUTED_VALUE"""),"SEM-8")</f>
        <v>SEM-8</v>
      </c>
      <c r="S62" s="12"/>
      <c r="T62" s="12"/>
      <c r="U62" s="12"/>
      <c r="V62" s="12"/>
      <c r="W62" s="12"/>
      <c r="X62" s="12"/>
      <c r="Y62" s="12"/>
    </row>
    <row r="63" ht="26.25" customHeight="1">
      <c r="A63" s="71" t="str">
        <f>IFERROR(__xludf.DUMMYFUNCTION("""COMPUTED_VALUE"""),"Swathi Paluri")</f>
        <v>Swathi Paluri</v>
      </c>
      <c r="B63" s="71" t="str">
        <f>IFERROR(__xludf.DUMMYFUNCTION("""COMPUTED_VALUE"""),"19335A0516")</f>
        <v>19335A0516</v>
      </c>
      <c r="C63" s="71" t="str">
        <f>IFERROR(__xludf.DUMMYFUNCTION("""COMPUTED_VALUE"""),"2021-2022")</f>
        <v>2021-2022</v>
      </c>
      <c r="D63" s="71" t="str">
        <f>IFERROR(__xludf.DUMMYFUNCTION("""COMPUTED_VALUE"""),"Workshop")</f>
        <v>Workshop</v>
      </c>
      <c r="E63" s="71" t="str">
        <f>IFERROR(__xludf.DUMMYFUNCTION("""COMPUTED_VALUE"""),"IP Awareness/Training program")</f>
        <v>IP Awareness/Training program</v>
      </c>
      <c r="F63" s="71">
        <f>IFERROR(__xludf.DUMMYFUNCTION("""COMPUTED_VALUE"""),1.0)</f>
        <v>1</v>
      </c>
      <c r="G63" s="72">
        <f>IFERROR(__xludf.DUMMYFUNCTION("""COMPUTED_VALUE"""),44572.0)</f>
        <v>44572</v>
      </c>
      <c r="H63" s="72">
        <f>IFERROR(__xludf.DUMMYFUNCTION("""COMPUTED_VALUE"""),44572.0)</f>
        <v>44572</v>
      </c>
      <c r="I63" s="71" t="str">
        <f>IFERROR(__xludf.DUMMYFUNCTION("""COMPUTED_VALUE"""),"NIPAM")</f>
        <v>NIPAM</v>
      </c>
      <c r="J63" s="71" t="str">
        <f>IFERROR(__xludf.DUMMYFUNCTION("""COMPUTED_VALUE"""),".")</f>
        <v>.</v>
      </c>
      <c r="K63" s="71" t="str">
        <f>IFERROR(__xludf.DUMMYFUNCTION("""COMPUTED_VALUE"""),"National")</f>
        <v>National</v>
      </c>
      <c r="L63" s="71" t="str">
        <f>IFERROR(__xludf.DUMMYFUNCTION("""COMPUTED_VALUE"""),"Free")</f>
        <v>Free</v>
      </c>
      <c r="M63" s="71"/>
      <c r="N63" s="73" t="str">
        <f>IFERROR(__xludf.DUMMYFUNCTION("""COMPUTED_VALUE"""),"https://drive.google.com/open?id=1ijOUB7VQ2hNHPGHW72G42Z4NKaQLEOd1")</f>
        <v>https://drive.google.com/open?id=1ijOUB7VQ2hNHPGHW72G42Z4NKaQLEOd1</v>
      </c>
      <c r="O63" s="71" t="str">
        <f>IFERROR(__xludf.DUMMYFUNCTION("""COMPUTED_VALUE"""),"2018-2022")</f>
        <v>2018-2022</v>
      </c>
      <c r="P63" s="71" t="str">
        <f>IFERROR(__xludf.DUMMYFUNCTION("""COMPUTED_VALUE"""),"S5: Student Workshops/Conf attended")</f>
        <v>S5: Student Workshops/Conf attended</v>
      </c>
      <c r="Q63" s="71" t="str">
        <f>IFERROR(__xludf.DUMMYFUNCTION("""COMPUTED_VALUE"""),"swathich164@gmail.com")</f>
        <v>swathich164@gmail.com</v>
      </c>
      <c r="R63" s="71" t="str">
        <f>IFERROR(__xludf.DUMMYFUNCTION("""COMPUTED_VALUE"""),"SEM-7")</f>
        <v>SEM-7</v>
      </c>
      <c r="S63" s="74"/>
      <c r="T63" s="74"/>
      <c r="U63" s="74"/>
      <c r="V63" s="74"/>
      <c r="W63" s="74"/>
      <c r="X63" s="74"/>
      <c r="Y63" s="74"/>
    </row>
    <row r="64" ht="26.25" customHeight="1">
      <c r="A64" s="71" t="str">
        <f>IFERROR(__xludf.DUMMYFUNCTION("""COMPUTED_VALUE"""),"Sagi Gayathri")</f>
        <v>Sagi Gayathri</v>
      </c>
      <c r="B64" s="71" t="str">
        <f>IFERROR(__xludf.DUMMYFUNCTION("""COMPUTED_VALUE"""),"18331A05C7")</f>
        <v>18331A05C7</v>
      </c>
      <c r="C64" s="71" t="str">
        <f>IFERROR(__xludf.DUMMYFUNCTION("""COMPUTED_VALUE"""),"2019-2020")</f>
        <v>2019-2020</v>
      </c>
      <c r="D64" s="71" t="str">
        <f>IFERROR(__xludf.DUMMYFUNCTION("""COMPUTED_VALUE"""),"Workshop")</f>
        <v>Workshop</v>
      </c>
      <c r="E64" s="71" t="str">
        <f>IFERROR(__xludf.DUMMYFUNCTION("""COMPUTED_VALUE"""),"Dart Programming")</f>
        <v>Dart Programming</v>
      </c>
      <c r="F64" s="71">
        <f>IFERROR(__xludf.DUMMYFUNCTION("""COMPUTED_VALUE"""),3.0)</f>
        <v>3</v>
      </c>
      <c r="G64" s="72">
        <f>IFERROR(__xludf.DUMMYFUNCTION("""COMPUTED_VALUE"""),44037.0)</f>
        <v>44037</v>
      </c>
      <c r="H64" s="72">
        <f>IFERROR(__xludf.DUMMYFUNCTION("""COMPUTED_VALUE"""),44039.0)</f>
        <v>44039</v>
      </c>
      <c r="I64" s="71" t="str">
        <f>IFERROR(__xludf.DUMMYFUNCTION("""COMPUTED_VALUE"""),"Mvgr college of engineering")</f>
        <v>Mvgr college of engineering</v>
      </c>
      <c r="J64" s="71" t="str">
        <f>IFERROR(__xludf.DUMMYFUNCTION("""COMPUTED_VALUE"""),"N/A")</f>
        <v>N/A</v>
      </c>
      <c r="K64" s="71" t="str">
        <f>IFERROR(__xludf.DUMMYFUNCTION("""COMPUTED_VALUE"""),"National")</f>
        <v>National</v>
      </c>
      <c r="L64" s="71" t="str">
        <f>IFERROR(__xludf.DUMMYFUNCTION("""COMPUTED_VALUE"""),"Free")</f>
        <v>Free</v>
      </c>
      <c r="M64" s="71"/>
      <c r="N64" s="73" t="str">
        <f>IFERROR(__xludf.DUMMYFUNCTION("""COMPUTED_VALUE"""),"https://drive.google.com/open?id=1GYI3beS34UKdwNxyKDCVgA7e5RJ2y8RA")</f>
        <v>https://drive.google.com/open?id=1GYI3beS34UKdwNxyKDCVgA7e5RJ2y8RA</v>
      </c>
      <c r="O64" s="71" t="str">
        <f>IFERROR(__xludf.DUMMYFUNCTION("""COMPUTED_VALUE"""),"2018-2022")</f>
        <v>2018-2022</v>
      </c>
      <c r="P64" s="71" t="str">
        <f>IFERROR(__xludf.DUMMYFUNCTION("""COMPUTED_VALUE"""),"S5: Student Workshops/Conf attended")</f>
        <v>S5: Student Workshops/Conf attended</v>
      </c>
      <c r="Q64" s="71" t="str">
        <f>IFERROR(__xludf.DUMMYFUNCTION("""COMPUTED_VALUE"""),"sagigayathri02@gmail.com")</f>
        <v>sagigayathri02@gmail.com</v>
      </c>
      <c r="R64" s="71" t="str">
        <f>IFERROR(__xludf.DUMMYFUNCTION("""COMPUTED_VALUE"""),"SEM-4")</f>
        <v>SEM-4</v>
      </c>
      <c r="S64" s="74"/>
      <c r="T64" s="74"/>
      <c r="U64" s="74"/>
      <c r="V64" s="74"/>
      <c r="W64" s="74"/>
      <c r="X64" s="74"/>
      <c r="Y64" s="74"/>
    </row>
    <row r="65" ht="26.25" customHeight="1">
      <c r="A65" s="64" t="str">
        <f>IFERROR(__xludf.DUMMYFUNCTION("""COMPUTED_VALUE"""),"Buddharaju Pragna")</f>
        <v>Buddharaju Pragna</v>
      </c>
      <c r="B65" s="64" t="str">
        <f>IFERROR(__xludf.DUMMYFUNCTION("""COMPUTED_VALUE"""),"18331A05H2")</f>
        <v>18331A05H2</v>
      </c>
      <c r="C65" s="64" t="str">
        <f>IFERROR(__xludf.DUMMYFUNCTION("""COMPUTED_VALUE"""),"2019-2020")</f>
        <v>2019-2020</v>
      </c>
      <c r="D65" s="64" t="str">
        <f>IFERROR(__xludf.DUMMYFUNCTION("""COMPUTED_VALUE"""),"Workshop")</f>
        <v>Workshop</v>
      </c>
      <c r="E65" s="64" t="str">
        <f>IFERROR(__xludf.DUMMYFUNCTION("""COMPUTED_VALUE"""),"Dart Programming Language")</f>
        <v>Dart Programming Language</v>
      </c>
      <c r="F65" s="64">
        <f>IFERROR(__xludf.DUMMYFUNCTION("""COMPUTED_VALUE"""),3.0)</f>
        <v>3</v>
      </c>
      <c r="G65" s="114">
        <f>IFERROR(__xludf.DUMMYFUNCTION("""COMPUTED_VALUE"""),44037.0)</f>
        <v>44037</v>
      </c>
      <c r="H65" s="114">
        <f>IFERROR(__xludf.DUMMYFUNCTION("""COMPUTED_VALUE"""),44039.0)</f>
        <v>44039</v>
      </c>
      <c r="I65" s="64" t="str">
        <f>IFERROR(__xludf.DUMMYFUNCTION("""COMPUTED_VALUE"""),"Mvgr college of engineering")</f>
        <v>Mvgr college of engineering</v>
      </c>
      <c r="J65" s="64" t="str">
        <f>IFERROR(__xludf.DUMMYFUNCTION("""COMPUTED_VALUE"""),"N/A")</f>
        <v>N/A</v>
      </c>
      <c r="K65" s="64" t="str">
        <f>IFERROR(__xludf.DUMMYFUNCTION("""COMPUTED_VALUE"""),"National")</f>
        <v>National</v>
      </c>
      <c r="L65" s="64" t="str">
        <f>IFERROR(__xludf.DUMMYFUNCTION("""COMPUTED_VALUE"""),"Free")</f>
        <v>Free</v>
      </c>
      <c r="M65" s="64"/>
      <c r="N65" s="115" t="str">
        <f>IFERROR(__xludf.DUMMYFUNCTION("""COMPUTED_VALUE"""),"https://drive.google.com/open?id=1iOl5zk8jwAhdEaC20sFGrBDFkqGX_xRy")</f>
        <v>https://drive.google.com/open?id=1iOl5zk8jwAhdEaC20sFGrBDFkqGX_xRy</v>
      </c>
      <c r="O65" s="64" t="str">
        <f>IFERROR(__xludf.DUMMYFUNCTION("""COMPUTED_VALUE"""),"2018-2022")</f>
        <v>2018-2022</v>
      </c>
      <c r="P65" s="64" t="str">
        <f>IFERROR(__xludf.DUMMYFUNCTION("""COMPUTED_VALUE"""),"S5: Student Workshops/Conf attended")</f>
        <v>S5: Student Workshops/Conf attended</v>
      </c>
      <c r="Q65" s="64" t="str">
        <f>IFERROR(__xludf.DUMMYFUNCTION("""COMPUTED_VALUE"""),"pragnabuddharaju@gmail.com")</f>
        <v>pragnabuddharaju@gmail.com</v>
      </c>
      <c r="R65" s="64" t="str">
        <f>IFERROR(__xludf.DUMMYFUNCTION("""COMPUTED_VALUE"""),"SEM-4")</f>
        <v>SEM-4</v>
      </c>
      <c r="S65" s="12"/>
      <c r="T65" s="12"/>
      <c r="U65" s="12"/>
      <c r="V65" s="12"/>
      <c r="W65" s="12"/>
      <c r="X65" s="12"/>
      <c r="Y65" s="12"/>
    </row>
    <row r="66" ht="26.25" customHeight="1">
      <c r="A66" s="71" t="str">
        <f>IFERROR(__xludf.DUMMYFUNCTION("""COMPUTED_VALUE"""),"Naveen Kumar Penta")</f>
        <v>Naveen Kumar Penta</v>
      </c>
      <c r="B66" s="71" t="str">
        <f>IFERROR(__xludf.DUMMYFUNCTION("""COMPUTED_VALUE"""),"18331A05B7")</f>
        <v>18331A05B7</v>
      </c>
      <c r="C66" s="71" t="str">
        <f>IFERROR(__xludf.DUMMYFUNCTION("""COMPUTED_VALUE"""),"2018-2019")</f>
        <v>2018-2019</v>
      </c>
      <c r="D66" s="71" t="str">
        <f>IFERROR(__xludf.DUMMYFUNCTION("""COMPUTED_VALUE"""),"Workshop")</f>
        <v>Workshop</v>
      </c>
      <c r="E66" s="71" t="str">
        <f>IFERROR(__xludf.DUMMYFUNCTION("""COMPUTED_VALUE"""),"Swecha Freedom Fest")</f>
        <v>Swecha Freedom Fest</v>
      </c>
      <c r="F66" s="71">
        <f>IFERROR(__xludf.DUMMYFUNCTION("""COMPUTED_VALUE"""),2.0)</f>
        <v>2</v>
      </c>
      <c r="G66" s="72">
        <f>IFERROR(__xludf.DUMMYFUNCTION("""COMPUTED_VALUE"""),43505.0)</f>
        <v>43505</v>
      </c>
      <c r="H66" s="72">
        <f>IFERROR(__xludf.DUMMYFUNCTION("""COMPUTED_VALUE"""),43506.0)</f>
        <v>43506</v>
      </c>
      <c r="I66" s="71" t="str">
        <f>IFERROR(__xludf.DUMMYFUNCTION("""COMPUTED_VALUE"""),"Swecha volunteers")</f>
        <v>Swecha volunteers</v>
      </c>
      <c r="J66" s="71" t="str">
        <f>IFERROR(__xludf.DUMMYFUNCTION("""COMPUTED_VALUE"""),"Vamsi Krishna")</f>
        <v>Vamsi Krishna</v>
      </c>
      <c r="K66" s="71" t="str">
        <f>IFERROR(__xludf.DUMMYFUNCTION("""COMPUTED_VALUE"""),"State")</f>
        <v>State</v>
      </c>
      <c r="L66" s="71" t="str">
        <f>IFERROR(__xludf.DUMMYFUNCTION("""COMPUTED_VALUE"""),"Paid")</f>
        <v>Paid</v>
      </c>
      <c r="M66" s="71">
        <f>IFERROR(__xludf.DUMMYFUNCTION("""COMPUTED_VALUE"""),150.0)</f>
        <v>150</v>
      </c>
      <c r="N66" s="73" t="str">
        <f>IFERROR(__xludf.DUMMYFUNCTION("""COMPUTED_VALUE"""),"https://drive.google.com/open?id=1Q-7YhkSF7m4wLi3K0CVmURJR9q2aTB2J")</f>
        <v>https://drive.google.com/open?id=1Q-7YhkSF7m4wLi3K0CVmURJR9q2aTB2J</v>
      </c>
      <c r="O66" s="71" t="str">
        <f>IFERROR(__xludf.DUMMYFUNCTION("""COMPUTED_VALUE"""),"2018-2022")</f>
        <v>2018-2022</v>
      </c>
      <c r="P66" s="71" t="str">
        <f>IFERROR(__xludf.DUMMYFUNCTION("""COMPUTED_VALUE"""),"S5: Student Workshops/Conf attended")</f>
        <v>S5: Student Workshops/Conf attended</v>
      </c>
      <c r="Q66" s="71" t="str">
        <f>IFERROR(__xludf.DUMMYFUNCTION("""COMPUTED_VALUE"""),"naveenkumarpenta15@gmail.com")</f>
        <v>naveenkumarpenta15@gmail.com</v>
      </c>
      <c r="R66" s="71" t="str">
        <f>IFERROR(__xludf.DUMMYFUNCTION("""COMPUTED_VALUE"""),"SEM-2")</f>
        <v>SEM-2</v>
      </c>
      <c r="S66" s="74"/>
      <c r="T66" s="74"/>
      <c r="U66" s="74"/>
      <c r="V66" s="74"/>
      <c r="W66" s="74"/>
      <c r="X66" s="74"/>
      <c r="Y66" s="74"/>
    </row>
    <row r="67" ht="26.25" customHeight="1">
      <c r="A67" s="64" t="str">
        <f>IFERROR(__xludf.DUMMYFUNCTION("""COMPUTED_VALUE"""),"Naveen Kumar Penta")</f>
        <v>Naveen Kumar Penta</v>
      </c>
      <c r="B67" s="64" t="str">
        <f>IFERROR(__xludf.DUMMYFUNCTION("""COMPUTED_VALUE"""),"18331A05B7")</f>
        <v>18331A05B7</v>
      </c>
      <c r="C67" s="64" t="str">
        <f>IFERROR(__xludf.DUMMYFUNCTION("""COMPUTED_VALUE"""),"2021-2022")</f>
        <v>2021-2022</v>
      </c>
      <c r="D67" s="64" t="str">
        <f>IFERROR(__xludf.DUMMYFUNCTION("""COMPUTED_VALUE"""),"Workshop")</f>
        <v>Workshop</v>
      </c>
      <c r="E67" s="64" t="str">
        <f>IFERROR(__xludf.DUMMYFUNCTION("""COMPUTED_VALUE"""),"GNU/Linux Admin and Programming with python")</f>
        <v>GNU/Linux Admin and Programming with python</v>
      </c>
      <c r="F67" s="64">
        <f>IFERROR(__xludf.DUMMYFUNCTION("""COMPUTED_VALUE"""),2.0)</f>
        <v>2</v>
      </c>
      <c r="G67" s="114">
        <f>IFERROR(__xludf.DUMMYFUNCTION("""COMPUTED_VALUE"""),44513.0)</f>
        <v>44513</v>
      </c>
      <c r="H67" s="114">
        <f>IFERROR(__xludf.DUMMYFUNCTION("""COMPUTED_VALUE"""),44514.0)</f>
        <v>44514</v>
      </c>
      <c r="I67" s="64" t="str">
        <f>IFERROR(__xludf.DUMMYFUNCTION("""COMPUTED_VALUE"""),"Hemanth,Prasanna,Sai kumar")</f>
        <v>Hemanth,Prasanna,Sai kumar</v>
      </c>
      <c r="J67" s="64" t="str">
        <f>IFERROR(__xludf.DUMMYFUNCTION("""COMPUTED_VALUE"""),"Vamsi Krishna")</f>
        <v>Vamsi Krishna</v>
      </c>
      <c r="K67" s="64" t="str">
        <f>IFERROR(__xludf.DUMMYFUNCTION("""COMPUTED_VALUE"""),"State")</f>
        <v>State</v>
      </c>
      <c r="L67" s="64" t="str">
        <f>IFERROR(__xludf.DUMMYFUNCTION("""COMPUTED_VALUE"""),"Paid")</f>
        <v>Paid</v>
      </c>
      <c r="M67" s="64">
        <f>IFERROR(__xludf.DUMMYFUNCTION("""COMPUTED_VALUE"""),200.0)</f>
        <v>200</v>
      </c>
      <c r="N67" s="115" t="str">
        <f>IFERROR(__xludf.DUMMYFUNCTION("""COMPUTED_VALUE"""),"https://drive.google.com/open?id=1nHKEpBmLzwDIC7-hYAYMG2_dJItDviPX")</f>
        <v>https://drive.google.com/open?id=1nHKEpBmLzwDIC7-hYAYMG2_dJItDviPX</v>
      </c>
      <c r="O67" s="64" t="str">
        <f>IFERROR(__xludf.DUMMYFUNCTION("""COMPUTED_VALUE"""),"2018-2022")</f>
        <v>2018-2022</v>
      </c>
      <c r="P67" s="64" t="str">
        <f>IFERROR(__xludf.DUMMYFUNCTION("""COMPUTED_VALUE"""),"S5: Student Workshops/Conf attended")</f>
        <v>S5: Student Workshops/Conf attended</v>
      </c>
      <c r="Q67" s="64" t="str">
        <f>IFERROR(__xludf.DUMMYFUNCTION("""COMPUTED_VALUE"""),"naveenkumarpenta15@gmail.com")</f>
        <v>naveenkumarpenta15@gmail.com</v>
      </c>
      <c r="R67" s="64" t="str">
        <f>IFERROR(__xludf.DUMMYFUNCTION("""COMPUTED_VALUE"""),"SEM-7")</f>
        <v>SEM-7</v>
      </c>
      <c r="S67" s="12"/>
      <c r="T67" s="12"/>
      <c r="U67" s="12"/>
      <c r="V67" s="12"/>
      <c r="W67" s="12"/>
      <c r="X67" s="12"/>
      <c r="Y67" s="12"/>
    </row>
    <row r="68" ht="26.25" customHeight="1">
      <c r="A68" s="71" t="str">
        <f>IFERROR(__xludf.DUMMYFUNCTION("""COMPUTED_VALUE"""),"Vattikulla Sharmila")</f>
        <v>Vattikulla Sharmila</v>
      </c>
      <c r="B68" s="71" t="str">
        <f>IFERROR(__xludf.DUMMYFUNCTION("""COMPUTED_VALUE"""),"18331A05H8")</f>
        <v>18331A05H8</v>
      </c>
      <c r="C68" s="71" t="str">
        <f>IFERROR(__xludf.DUMMYFUNCTION("""COMPUTED_VALUE"""),"2020-2021")</f>
        <v>2020-2021</v>
      </c>
      <c r="D68" s="71" t="str">
        <f>IFERROR(__xludf.DUMMYFUNCTION("""COMPUTED_VALUE"""),"Workshop")</f>
        <v>Workshop</v>
      </c>
      <c r="E68" s="71" t="str">
        <f>IFERROR(__xludf.DUMMYFUNCTION("""COMPUTED_VALUE"""),"National Level Student Workshop on ReactJs")</f>
        <v>National Level Student Workshop on ReactJs</v>
      </c>
      <c r="F68" s="71">
        <f>IFERROR(__xludf.DUMMYFUNCTION("""COMPUTED_VALUE"""),6.0)</f>
        <v>6</v>
      </c>
      <c r="G68" s="72">
        <f>IFERROR(__xludf.DUMMYFUNCTION("""COMPUTED_VALUE"""),44382.0)</f>
        <v>44382</v>
      </c>
      <c r="H68" s="72">
        <f>IFERROR(__xludf.DUMMYFUNCTION("""COMPUTED_VALUE"""),44387.0)</f>
        <v>44387</v>
      </c>
      <c r="I68" s="71" t="str">
        <f>IFERROR(__xludf.DUMMYFUNCTION("""COMPUTED_VALUE"""),"Brainovision solution India pvt.ltd")</f>
        <v>Brainovision solution India pvt.ltd</v>
      </c>
      <c r="J68" s="71" t="str">
        <f>IFERROR(__xludf.DUMMYFUNCTION("""COMPUTED_VALUE"""),"Vishnu")</f>
        <v>Vishnu</v>
      </c>
      <c r="K68" s="71" t="str">
        <f>IFERROR(__xludf.DUMMYFUNCTION("""COMPUTED_VALUE"""),"National")</f>
        <v>National</v>
      </c>
      <c r="L68" s="71" t="str">
        <f>IFERROR(__xludf.DUMMYFUNCTION("""COMPUTED_VALUE"""),"Free")</f>
        <v>Free</v>
      </c>
      <c r="M68" s="71"/>
      <c r="N68" s="73" t="str">
        <f>IFERROR(__xludf.DUMMYFUNCTION("""COMPUTED_VALUE"""),"https://drive.google.com/open?id=1KloXdaVGNkXol7VQk2g9ENDnLuu-Zmt5")</f>
        <v>https://drive.google.com/open?id=1KloXdaVGNkXol7VQk2g9ENDnLuu-Zmt5</v>
      </c>
      <c r="O68" s="71" t="str">
        <f>IFERROR(__xludf.DUMMYFUNCTION("""COMPUTED_VALUE"""),"2018-2022")</f>
        <v>2018-2022</v>
      </c>
      <c r="P68" s="71" t="str">
        <f>IFERROR(__xludf.DUMMYFUNCTION("""COMPUTED_VALUE"""),"S5: Student Workshops/Conf attended")</f>
        <v>S5: Student Workshops/Conf attended</v>
      </c>
      <c r="Q68" s="71" t="str">
        <f>IFERROR(__xludf.DUMMYFUNCTION("""COMPUTED_VALUE"""),"sharmilavattikulla@gmail.com")</f>
        <v>sharmilavattikulla@gmail.com</v>
      </c>
      <c r="R68" s="71" t="str">
        <f>IFERROR(__xludf.DUMMYFUNCTION("""COMPUTED_VALUE"""),"SEM-8")</f>
        <v>SEM-8</v>
      </c>
      <c r="S68" s="74"/>
      <c r="T68" s="74"/>
      <c r="U68" s="74"/>
      <c r="V68" s="74"/>
      <c r="W68" s="74"/>
      <c r="X68" s="74"/>
      <c r="Y68" s="74"/>
    </row>
    <row r="69" ht="26.25" customHeight="1">
      <c r="A69" s="71" t="str">
        <f>IFERROR(__xludf.DUMMYFUNCTION("""COMPUTED_VALUE"""),"Hari Rama Krishna Turpati")</f>
        <v>Hari Rama Krishna Turpati</v>
      </c>
      <c r="B69" s="71" t="str">
        <f>IFERROR(__xludf.DUMMYFUNCTION("""COMPUTED_VALUE"""),"18331A05F9")</f>
        <v>18331A05F9</v>
      </c>
      <c r="C69" s="71" t="str">
        <f>IFERROR(__xludf.DUMMYFUNCTION("""COMPUTED_VALUE"""),"2019-2020")</f>
        <v>2019-2020</v>
      </c>
      <c r="D69" s="71" t="str">
        <f>IFERROR(__xludf.DUMMYFUNCTION("""COMPUTED_VALUE"""),"Webinar")</f>
        <v>Webinar</v>
      </c>
      <c r="E69" s="71" t="str">
        <f>IFERROR(__xludf.DUMMYFUNCTION("""COMPUTED_VALUE"""),"Internet of things")</f>
        <v>Internet of things</v>
      </c>
      <c r="F69" s="71">
        <f>IFERROR(__xludf.DUMMYFUNCTION("""COMPUTED_VALUE"""),2.0)</f>
        <v>2</v>
      </c>
      <c r="G69" s="72">
        <f>IFERROR(__xludf.DUMMYFUNCTION("""COMPUTED_VALUE"""),43694.0)</f>
        <v>43694</v>
      </c>
      <c r="H69" s="72">
        <f>IFERROR(__xludf.DUMMYFUNCTION("""COMPUTED_VALUE"""),43696.0)</f>
        <v>43696</v>
      </c>
      <c r="I69" s="71" t="str">
        <f>IFERROR(__xludf.DUMMYFUNCTION("""COMPUTED_VALUE"""),"IIT- Hyderabad")</f>
        <v>IIT- Hyderabad</v>
      </c>
      <c r="J69" s="71" t="str">
        <f>IFERROR(__xludf.DUMMYFUNCTION("""COMPUTED_VALUE"""),"Rishab Mehta")</f>
        <v>Rishab Mehta</v>
      </c>
      <c r="K69" s="71" t="str">
        <f>IFERROR(__xludf.DUMMYFUNCTION("""COMPUTED_VALUE"""),"State")</f>
        <v>State</v>
      </c>
      <c r="L69" s="71" t="str">
        <f>IFERROR(__xludf.DUMMYFUNCTION("""COMPUTED_VALUE"""),"Free")</f>
        <v>Free</v>
      </c>
      <c r="M69" s="71"/>
      <c r="N69" s="73" t="str">
        <f>IFERROR(__xludf.DUMMYFUNCTION("""COMPUTED_VALUE"""),"https://drive.google.com/open?id=1_Ond_jtt-d4exjAneB4sKCd2EikihoCK")</f>
        <v>https://drive.google.com/open?id=1_Ond_jtt-d4exjAneB4sKCd2EikihoCK</v>
      </c>
      <c r="O69" s="71" t="str">
        <f>IFERROR(__xludf.DUMMYFUNCTION("""COMPUTED_VALUE"""),"2018-2022")</f>
        <v>2018-2022</v>
      </c>
      <c r="P69" s="71" t="str">
        <f>IFERROR(__xludf.DUMMYFUNCTION("""COMPUTED_VALUE"""),"S5: Student Workshops/Conf attended")</f>
        <v>S5: Student Workshops/Conf attended</v>
      </c>
      <c r="Q69" s="71" t="str">
        <f>IFERROR(__xludf.DUMMYFUNCTION("""COMPUTED_VALUE"""),"thriramakrishna95@gmail.com")</f>
        <v>thriramakrishna95@gmail.com</v>
      </c>
      <c r="R69" s="71" t="str">
        <f>IFERROR(__xludf.DUMMYFUNCTION("""COMPUTED_VALUE"""),"SEM-8")</f>
        <v>SEM-8</v>
      </c>
      <c r="S69" s="74"/>
      <c r="T69" s="74"/>
      <c r="U69" s="74"/>
      <c r="V69" s="74"/>
      <c r="W69" s="74"/>
      <c r="X69" s="74"/>
      <c r="Y69" s="74"/>
    </row>
    <row r="70" ht="26.25" customHeight="1">
      <c r="A70" s="71" t="str">
        <f>IFERROR(__xludf.DUMMYFUNCTION("""COMPUTED_VALUE"""),"Sai Yogesh Bhasuru")</f>
        <v>Sai Yogesh Bhasuru</v>
      </c>
      <c r="B70" s="71" t="str">
        <f>IFERROR(__xludf.DUMMYFUNCTION("""COMPUTED_VALUE"""),"18331A05D4")</f>
        <v>18331A05D4</v>
      </c>
      <c r="C70" s="71" t="str">
        <f>IFERROR(__xludf.DUMMYFUNCTION("""COMPUTED_VALUE"""),"2019-2020")</f>
        <v>2019-2020</v>
      </c>
      <c r="D70" s="71" t="str">
        <f>IFERROR(__xludf.DUMMYFUNCTION("""COMPUTED_VALUE"""),"Workshop")</f>
        <v>Workshop</v>
      </c>
      <c r="E70" s="71" t="str">
        <f>IFERROR(__xludf.DUMMYFUNCTION("""COMPUTED_VALUE"""),"IEEE AI WORKSHOP")</f>
        <v>IEEE AI WORKSHOP</v>
      </c>
      <c r="F70" s="71">
        <f>IFERROR(__xludf.DUMMYFUNCTION("""COMPUTED_VALUE"""),3.0)</f>
        <v>3</v>
      </c>
      <c r="G70" s="72">
        <f>IFERROR(__xludf.DUMMYFUNCTION("""COMPUTED_VALUE"""),43881.0)</f>
        <v>43881</v>
      </c>
      <c r="H70" s="72">
        <f>IFERROR(__xludf.DUMMYFUNCTION("""COMPUTED_VALUE"""),43883.0)</f>
        <v>43883</v>
      </c>
      <c r="I70" s="71" t="str">
        <f>IFERROR(__xludf.DUMMYFUNCTION("""COMPUTED_VALUE"""),"MVGR College of Engineering")</f>
        <v>MVGR College of Engineering</v>
      </c>
      <c r="J70" s="71" t="str">
        <f>IFERROR(__xludf.DUMMYFUNCTION("""COMPUTED_VALUE"""),"Mr")</f>
        <v>Mr</v>
      </c>
      <c r="K70" s="71" t="str">
        <f>IFERROR(__xludf.DUMMYFUNCTION("""COMPUTED_VALUE"""),"State")</f>
        <v>State</v>
      </c>
      <c r="L70" s="71" t="str">
        <f>IFERROR(__xludf.DUMMYFUNCTION("""COMPUTED_VALUE"""),"Free")</f>
        <v>Free</v>
      </c>
      <c r="M70" s="71"/>
      <c r="N70" s="73" t="str">
        <f>IFERROR(__xludf.DUMMYFUNCTION("""COMPUTED_VALUE"""),"https://drive.google.com/open?id=1YuVsBrH8JGCYk8UYHg-tqKCJZ8AOJa3k")</f>
        <v>https://drive.google.com/open?id=1YuVsBrH8JGCYk8UYHg-tqKCJZ8AOJa3k</v>
      </c>
      <c r="O70" s="71" t="str">
        <f>IFERROR(__xludf.DUMMYFUNCTION("""COMPUTED_VALUE"""),"2018-2022")</f>
        <v>2018-2022</v>
      </c>
      <c r="P70" s="71" t="str">
        <f>IFERROR(__xludf.DUMMYFUNCTION("""COMPUTED_VALUE"""),"S5: Student Workshops/Conf attended")</f>
        <v>S5: Student Workshops/Conf attended</v>
      </c>
      <c r="Q70" s="71" t="str">
        <f>IFERROR(__xludf.DUMMYFUNCTION("""COMPUTED_VALUE"""),"saiyogeshbhasuru16@gmail.com")</f>
        <v>saiyogeshbhasuru16@gmail.com</v>
      </c>
      <c r="R70" s="71" t="str">
        <f>IFERROR(__xludf.DUMMYFUNCTION("""COMPUTED_VALUE"""),"SEM-8")</f>
        <v>SEM-8</v>
      </c>
      <c r="S70" s="74"/>
      <c r="T70" s="74"/>
      <c r="U70" s="74"/>
      <c r="V70" s="74"/>
      <c r="W70" s="74"/>
      <c r="X70" s="74"/>
      <c r="Y70" s="74"/>
    </row>
    <row r="71" ht="26.25" customHeight="1">
      <c r="A71" s="71" t="str">
        <f>IFERROR(__xludf.DUMMYFUNCTION("""COMPUTED_VALUE"""),"Mandadi Bharathi naga sri sai prathyusha ")</f>
        <v>Mandadi Bharathi naga sri sai prathyusha </v>
      </c>
      <c r="B71" s="71" t="str">
        <f>IFERROR(__xludf.DUMMYFUNCTION("""COMPUTED_VALUE"""),"18331A0593")</f>
        <v>18331A0593</v>
      </c>
      <c r="C71" s="71" t="str">
        <f>IFERROR(__xludf.DUMMYFUNCTION("""COMPUTED_VALUE"""),"2020-2021")</f>
        <v>2020-2021</v>
      </c>
      <c r="D71" s="71" t="str">
        <f>IFERROR(__xludf.DUMMYFUNCTION("""COMPUTED_VALUE"""),"Workshop")</f>
        <v>Workshop</v>
      </c>
      <c r="E71" s="71" t="str">
        <f>IFERROR(__xludf.DUMMYFUNCTION("""COMPUTED_VALUE"""),"Ethical hacking ")</f>
        <v>Ethical hacking </v>
      </c>
      <c r="F71" s="71">
        <f>IFERROR(__xludf.DUMMYFUNCTION("""COMPUTED_VALUE"""),2.0)</f>
        <v>2</v>
      </c>
      <c r="G71" s="72">
        <f>IFERROR(__xludf.DUMMYFUNCTION("""COMPUTED_VALUE"""),44073.0)</f>
        <v>44073</v>
      </c>
      <c r="H71" s="72">
        <f>IFERROR(__xludf.DUMMYFUNCTION("""COMPUTED_VALUE"""),44074.0)</f>
        <v>44074</v>
      </c>
      <c r="I71" s="71" t="str">
        <f>IFERROR(__xludf.DUMMYFUNCTION("""COMPUTED_VALUE"""),"Satra university")</f>
        <v>Satra university</v>
      </c>
      <c r="J71" s="71" t="str">
        <f>IFERROR(__xludf.DUMMYFUNCTION("""COMPUTED_VALUE"""),".")</f>
        <v>.</v>
      </c>
      <c r="K71" s="71" t="str">
        <f>IFERROR(__xludf.DUMMYFUNCTION("""COMPUTED_VALUE"""),"National")</f>
        <v>National</v>
      </c>
      <c r="L71" s="71" t="str">
        <f>IFERROR(__xludf.DUMMYFUNCTION("""COMPUTED_VALUE"""),"Free")</f>
        <v>Free</v>
      </c>
      <c r="M71" s="71"/>
      <c r="N71" s="73" t="str">
        <f>IFERROR(__xludf.DUMMYFUNCTION("""COMPUTED_VALUE"""),"https://drive.google.com/open?id=1hsdS8x6QAkr093ZKVQozx_VW02UX_ciT")</f>
        <v>https://drive.google.com/open?id=1hsdS8x6QAkr093ZKVQozx_VW02UX_ciT</v>
      </c>
      <c r="O71" s="71" t="str">
        <f>IFERROR(__xludf.DUMMYFUNCTION("""COMPUTED_VALUE"""),"2018-2022")</f>
        <v>2018-2022</v>
      </c>
      <c r="P71" s="71" t="str">
        <f>IFERROR(__xludf.DUMMYFUNCTION("""COMPUTED_VALUE"""),"S5: Student Workshops/Conf attended")</f>
        <v>S5: Student Workshops/Conf attended</v>
      </c>
      <c r="Q71" s="71" t="str">
        <f>IFERROR(__xludf.DUMMYFUNCTION("""COMPUTED_VALUE"""),"mandadi.prathyusha@gmail.com")</f>
        <v>mandadi.prathyusha@gmail.com</v>
      </c>
      <c r="R71" s="71" t="str">
        <f>IFERROR(__xludf.DUMMYFUNCTION("""COMPUTED_VALUE"""),"SEM-8")</f>
        <v>SEM-8</v>
      </c>
      <c r="S71" s="74"/>
      <c r="T71" s="74"/>
      <c r="U71" s="74"/>
      <c r="V71" s="74"/>
      <c r="W71" s="74"/>
      <c r="X71" s="74"/>
      <c r="Y71" s="74"/>
    </row>
    <row r="72" ht="26.25" customHeight="1">
      <c r="A72" s="71" t="str">
        <f>IFERROR(__xludf.DUMMYFUNCTION("""COMPUTED_VALUE"""),"mandadi.prathyusha@gmail.com ")</f>
        <v>mandadi.prathyusha@gmail.com </v>
      </c>
      <c r="B72" s="71" t="str">
        <f>IFERROR(__xludf.DUMMYFUNCTION("""COMPUTED_VALUE"""),"18331A0593 ")</f>
        <v>18331A0593 </v>
      </c>
      <c r="C72" s="71" t="str">
        <f>IFERROR(__xludf.DUMMYFUNCTION("""COMPUTED_VALUE"""),"2020-2021")</f>
        <v>2020-2021</v>
      </c>
      <c r="D72" s="71" t="str">
        <f>IFERROR(__xludf.DUMMYFUNCTION("""COMPUTED_VALUE"""),"Webinar")</f>
        <v>Webinar</v>
      </c>
      <c r="E72" s="71" t="str">
        <f>IFERROR(__xludf.DUMMYFUNCTION("""COMPUTED_VALUE"""),"Carrer guidance post covid 19")</f>
        <v>Carrer guidance post covid 19</v>
      </c>
      <c r="F72" s="71">
        <f>IFERROR(__xludf.DUMMYFUNCTION("""COMPUTED_VALUE"""),1.0)</f>
        <v>1</v>
      </c>
      <c r="G72" s="72">
        <f>IFERROR(__xludf.DUMMYFUNCTION("""COMPUTED_VALUE"""),43970.0)</f>
        <v>43970</v>
      </c>
      <c r="H72" s="72">
        <f>IFERROR(__xludf.DUMMYFUNCTION("""COMPUTED_VALUE"""),43970.0)</f>
        <v>43970</v>
      </c>
      <c r="I72" s="71" t="str">
        <f>IFERROR(__xludf.DUMMYFUNCTION("""COMPUTED_VALUE"""),"IIIT allahabad ")</f>
        <v>IIIT allahabad </v>
      </c>
      <c r="J72" s="71" t="str">
        <f>IFERROR(__xludf.DUMMYFUNCTION("""COMPUTED_VALUE"""),"Rishab mehta")</f>
        <v>Rishab mehta</v>
      </c>
      <c r="K72" s="71" t="str">
        <f>IFERROR(__xludf.DUMMYFUNCTION("""COMPUTED_VALUE"""),"National")</f>
        <v>National</v>
      </c>
      <c r="L72" s="71" t="str">
        <f>IFERROR(__xludf.DUMMYFUNCTION("""COMPUTED_VALUE"""),"Free")</f>
        <v>Free</v>
      </c>
      <c r="M72" s="71"/>
      <c r="N72" s="73" t="str">
        <f>IFERROR(__xludf.DUMMYFUNCTION("""COMPUTED_VALUE"""),"https://drive.google.com/open?id=12mLbgSr8BQGMi1V9Ki3S11KzhbWIS1ne")</f>
        <v>https://drive.google.com/open?id=12mLbgSr8BQGMi1V9Ki3S11KzhbWIS1ne</v>
      </c>
      <c r="O72" s="71" t="str">
        <f>IFERROR(__xludf.DUMMYFUNCTION("""COMPUTED_VALUE"""),"2018-2022")</f>
        <v>2018-2022</v>
      </c>
      <c r="P72" s="71" t="str">
        <f>IFERROR(__xludf.DUMMYFUNCTION("""COMPUTED_VALUE"""),"S5: Student Workshops/Conf attended")</f>
        <v>S5: Student Workshops/Conf attended</v>
      </c>
      <c r="Q72" s="71" t="str">
        <f>IFERROR(__xludf.DUMMYFUNCTION("""COMPUTED_VALUE"""),"mandadi.prathyusha@gmail.com")</f>
        <v>mandadi.prathyusha@gmail.com</v>
      </c>
      <c r="R72" s="71" t="str">
        <f>IFERROR(__xludf.DUMMYFUNCTION("""COMPUTED_VALUE"""),"SEM-8")</f>
        <v>SEM-8</v>
      </c>
      <c r="S72" s="74"/>
      <c r="T72" s="74"/>
      <c r="U72" s="74"/>
      <c r="V72" s="74"/>
      <c r="W72" s="74"/>
      <c r="X72" s="74"/>
      <c r="Y72" s="74"/>
    </row>
    <row r="73" ht="26.25" customHeight="1">
      <c r="A73" s="71" t="str">
        <f>IFERROR(__xludf.DUMMYFUNCTION("""COMPUTED_VALUE"""),"yarusha lavanya")</f>
        <v>yarusha lavanya</v>
      </c>
      <c r="B73" s="71" t="str">
        <f>IFERROR(__xludf.DUMMYFUNCTION("""COMPUTED_VALUE"""),"18331A05E4")</f>
        <v>18331A05E4</v>
      </c>
      <c r="C73" s="71" t="str">
        <f>IFERROR(__xludf.DUMMYFUNCTION("""COMPUTED_VALUE"""),"2019-2020")</f>
        <v>2019-2020</v>
      </c>
      <c r="D73" s="71" t="str">
        <f>IFERROR(__xludf.DUMMYFUNCTION("""COMPUTED_VALUE"""),"Workshop")</f>
        <v>Workshop</v>
      </c>
      <c r="E73" s="71" t="str">
        <f>IFERROR(__xludf.DUMMYFUNCTION("""COMPUTED_VALUE"""),"Dart Programming")</f>
        <v>Dart Programming</v>
      </c>
      <c r="F73" s="71">
        <f>IFERROR(__xludf.DUMMYFUNCTION("""COMPUTED_VALUE"""),3.0)</f>
        <v>3</v>
      </c>
      <c r="G73" s="72">
        <f>IFERROR(__xludf.DUMMYFUNCTION("""COMPUTED_VALUE"""),44037.0)</f>
        <v>44037</v>
      </c>
      <c r="H73" s="72">
        <f>IFERROR(__xludf.DUMMYFUNCTION("""COMPUTED_VALUE"""),44040.0)</f>
        <v>44040</v>
      </c>
      <c r="I73" s="71" t="str">
        <f>IFERROR(__xludf.DUMMYFUNCTION("""COMPUTED_VALUE"""),"Mvgr college of engineering")</f>
        <v>Mvgr college of engineering</v>
      </c>
      <c r="J73" s="71" t="str">
        <f>IFERROR(__xludf.DUMMYFUNCTION("""COMPUTED_VALUE"""),"N/A")</f>
        <v>N/A</v>
      </c>
      <c r="K73" s="71" t="str">
        <f>IFERROR(__xludf.DUMMYFUNCTION("""COMPUTED_VALUE"""),"National")</f>
        <v>National</v>
      </c>
      <c r="L73" s="71" t="str">
        <f>IFERROR(__xludf.DUMMYFUNCTION("""COMPUTED_VALUE"""),"Free")</f>
        <v>Free</v>
      </c>
      <c r="M73" s="71"/>
      <c r="N73" s="73" t="str">
        <f>IFERROR(__xludf.DUMMYFUNCTION("""COMPUTED_VALUE"""),"https://drive.google.com/open?id=1BE7JQdinxMsRNrXWG8ECY6NhXcr3E34U")</f>
        <v>https://drive.google.com/open?id=1BE7JQdinxMsRNrXWG8ECY6NhXcr3E34U</v>
      </c>
      <c r="O73" s="71" t="str">
        <f>IFERROR(__xludf.DUMMYFUNCTION("""COMPUTED_VALUE"""),"2018-2022")</f>
        <v>2018-2022</v>
      </c>
      <c r="P73" s="71" t="str">
        <f>IFERROR(__xludf.DUMMYFUNCTION("""COMPUTED_VALUE"""),"S5: Student Workshops/Conf attended")</f>
        <v>S5: Student Workshops/Conf attended</v>
      </c>
      <c r="Q73" s="71" t="str">
        <f>IFERROR(__xludf.DUMMYFUNCTION("""COMPUTED_VALUE"""),"lavanyayausha25@gmail.com")</f>
        <v>lavanyayausha25@gmail.com</v>
      </c>
      <c r="R73" s="71" t="str">
        <f>IFERROR(__xludf.DUMMYFUNCTION("""COMPUTED_VALUE"""),"SEM-4")</f>
        <v>SEM-4</v>
      </c>
      <c r="S73" s="74"/>
      <c r="T73" s="74"/>
      <c r="U73" s="74"/>
      <c r="V73" s="74"/>
      <c r="W73" s="74"/>
      <c r="X73" s="74"/>
      <c r="Y73" s="74"/>
    </row>
    <row r="74" ht="26.25" customHeight="1">
      <c r="A74" s="71" t="str">
        <f>IFERROR(__xludf.DUMMYFUNCTION("""COMPUTED_VALUE"""),"Mandadi Bharathi naga sri sai prathyusha ")</f>
        <v>Mandadi Bharathi naga sri sai prathyusha </v>
      </c>
      <c r="B74" s="71" t="str">
        <f>IFERROR(__xludf.DUMMYFUNCTION("""COMPUTED_VALUE"""),"18331A0593")</f>
        <v>18331A0593</v>
      </c>
      <c r="C74" s="71" t="str">
        <f>IFERROR(__xludf.DUMMYFUNCTION("""COMPUTED_VALUE"""),"2020-2021")</f>
        <v>2020-2021</v>
      </c>
      <c r="D74" s="71" t="str">
        <f>IFERROR(__xludf.DUMMYFUNCTION("""COMPUTED_VALUE"""),"Webinar")</f>
        <v>Webinar</v>
      </c>
      <c r="E74" s="71" t="str">
        <f>IFERROR(__xludf.DUMMYFUNCTION("""COMPUTED_VALUE"""),"Secret to success after college")</f>
        <v>Secret to success after college</v>
      </c>
      <c r="F74" s="71">
        <f>IFERROR(__xludf.DUMMYFUNCTION("""COMPUTED_VALUE"""),1.0)</f>
        <v>1</v>
      </c>
      <c r="G74" s="72">
        <f>IFERROR(__xludf.DUMMYFUNCTION("""COMPUTED_VALUE"""),43972.0)</f>
        <v>43972</v>
      </c>
      <c r="H74" s="72">
        <f>IFERROR(__xludf.DUMMYFUNCTION("""COMPUTED_VALUE"""),43972.0)</f>
        <v>43972</v>
      </c>
      <c r="I74" s="71" t="str">
        <f>IFERROR(__xludf.DUMMYFUNCTION("""COMPUTED_VALUE"""),"IIIT allahabad")</f>
        <v>IIIT allahabad</v>
      </c>
      <c r="J74" s="71" t="str">
        <f>IFERROR(__xludf.DUMMYFUNCTION("""COMPUTED_VALUE"""),"Rishab mehta")</f>
        <v>Rishab mehta</v>
      </c>
      <c r="K74" s="71" t="str">
        <f>IFERROR(__xludf.DUMMYFUNCTION("""COMPUTED_VALUE"""),"National")</f>
        <v>National</v>
      </c>
      <c r="L74" s="71" t="str">
        <f>IFERROR(__xludf.DUMMYFUNCTION("""COMPUTED_VALUE"""),"Free")</f>
        <v>Free</v>
      </c>
      <c r="M74" s="71"/>
      <c r="N74" s="73" t="str">
        <f>IFERROR(__xludf.DUMMYFUNCTION("""COMPUTED_VALUE"""),"https://drive.google.com/open?id=1uVsSqbzOHsEXd8qtejGTUQkuw-oQqRX2")</f>
        <v>https://drive.google.com/open?id=1uVsSqbzOHsEXd8qtejGTUQkuw-oQqRX2</v>
      </c>
      <c r="O74" s="71" t="str">
        <f>IFERROR(__xludf.DUMMYFUNCTION("""COMPUTED_VALUE"""),"2018-2022")</f>
        <v>2018-2022</v>
      </c>
      <c r="P74" s="71" t="str">
        <f>IFERROR(__xludf.DUMMYFUNCTION("""COMPUTED_VALUE"""),"S5: Student Workshops/Conf attended")</f>
        <v>S5: Student Workshops/Conf attended</v>
      </c>
      <c r="Q74" s="71" t="str">
        <f>IFERROR(__xludf.DUMMYFUNCTION("""COMPUTED_VALUE"""),"mandadi.prathyusha@gmail.com")</f>
        <v>mandadi.prathyusha@gmail.com</v>
      </c>
      <c r="R74" s="71" t="str">
        <f>IFERROR(__xludf.DUMMYFUNCTION("""COMPUTED_VALUE"""),"SEM-8")</f>
        <v>SEM-8</v>
      </c>
      <c r="S74" s="74"/>
      <c r="T74" s="74"/>
      <c r="U74" s="74"/>
      <c r="V74" s="74"/>
      <c r="W74" s="74"/>
      <c r="X74" s="74"/>
      <c r="Y74" s="74"/>
    </row>
    <row r="75" ht="26.25" customHeight="1">
      <c r="A75" s="71" t="str">
        <f>IFERROR(__xludf.DUMMYFUNCTION("""COMPUTED_VALUE"""),"Mandadi Bharathi naga sri sai prathyusha ")</f>
        <v>Mandadi Bharathi naga sri sai prathyusha </v>
      </c>
      <c r="B75" s="71" t="str">
        <f>IFERROR(__xludf.DUMMYFUNCTION("""COMPUTED_VALUE"""),"18331A0593")</f>
        <v>18331A0593</v>
      </c>
      <c r="C75" s="71" t="str">
        <f>IFERROR(__xludf.DUMMYFUNCTION("""COMPUTED_VALUE"""),"2019-2020")</f>
        <v>2019-2020</v>
      </c>
      <c r="D75" s="71" t="str">
        <f>IFERROR(__xludf.DUMMYFUNCTION("""COMPUTED_VALUE"""),"Workshop")</f>
        <v>Workshop</v>
      </c>
      <c r="E75" s="71" t="str">
        <f>IFERROR(__xludf.DUMMYFUNCTION("""COMPUTED_VALUE"""),"Data science ")</f>
        <v>Data science </v>
      </c>
      <c r="F75" s="71">
        <f>IFERROR(__xludf.DUMMYFUNCTION("""COMPUTED_VALUE"""),2.0)</f>
        <v>2</v>
      </c>
      <c r="G75" s="72">
        <f>IFERROR(__xludf.DUMMYFUNCTION("""COMPUTED_VALUE"""),43694.0)</f>
        <v>43694</v>
      </c>
      <c r="H75" s="72">
        <f>IFERROR(__xludf.DUMMYFUNCTION("""COMPUTED_VALUE"""),43695.0)</f>
        <v>43695</v>
      </c>
      <c r="I75" s="71" t="str">
        <f>IFERROR(__xludf.DUMMYFUNCTION("""COMPUTED_VALUE"""),"IIT Hyderabad ")</f>
        <v>IIT Hyderabad </v>
      </c>
      <c r="J75" s="71" t="str">
        <f>IFERROR(__xludf.DUMMYFUNCTION("""COMPUTED_VALUE"""),"Rishab mehta")</f>
        <v>Rishab mehta</v>
      </c>
      <c r="K75" s="71" t="str">
        <f>IFERROR(__xludf.DUMMYFUNCTION("""COMPUTED_VALUE"""),"National")</f>
        <v>National</v>
      </c>
      <c r="L75" s="71" t="str">
        <f>IFERROR(__xludf.DUMMYFUNCTION("""COMPUTED_VALUE"""),"Paid")</f>
        <v>Paid</v>
      </c>
      <c r="M75" s="71"/>
      <c r="N75" s="73" t="str">
        <f>IFERROR(__xludf.DUMMYFUNCTION("""COMPUTED_VALUE"""),"https://drive.google.com/open?id=1CUBc4XwsGKxtG0Gm3o57OEqgjSf_ux31")</f>
        <v>https://drive.google.com/open?id=1CUBc4XwsGKxtG0Gm3o57OEqgjSf_ux31</v>
      </c>
      <c r="O75" s="71" t="str">
        <f>IFERROR(__xludf.DUMMYFUNCTION("""COMPUTED_VALUE"""),"2018-2022")</f>
        <v>2018-2022</v>
      </c>
      <c r="P75" s="71" t="str">
        <f>IFERROR(__xludf.DUMMYFUNCTION("""COMPUTED_VALUE"""),"S5: Student Workshops/Conf attended")</f>
        <v>S5: Student Workshops/Conf attended</v>
      </c>
      <c r="Q75" s="71" t="str">
        <f>IFERROR(__xludf.DUMMYFUNCTION("""COMPUTED_VALUE"""),"mandadi.prathyusha@gmail.com")</f>
        <v>mandadi.prathyusha@gmail.com</v>
      </c>
      <c r="R75" s="71" t="str">
        <f>IFERROR(__xludf.DUMMYFUNCTION("""COMPUTED_VALUE"""),"SEM-8")</f>
        <v>SEM-8</v>
      </c>
      <c r="S75" s="74"/>
      <c r="T75" s="74"/>
      <c r="U75" s="74"/>
      <c r="V75" s="74"/>
      <c r="W75" s="74"/>
      <c r="X75" s="74"/>
      <c r="Y75" s="74"/>
    </row>
    <row r="76" ht="26.25" customHeight="1">
      <c r="A76" s="71" t="str">
        <f>IFERROR(__xludf.DUMMYFUNCTION("""COMPUTED_VALUE"""),"Mandadi Bharathi naga sri sai prathyusha ")</f>
        <v>Mandadi Bharathi naga sri sai prathyusha </v>
      </c>
      <c r="B76" s="71" t="str">
        <f>IFERROR(__xludf.DUMMYFUNCTION("""COMPUTED_VALUE"""),"18331A0593")</f>
        <v>18331A0593</v>
      </c>
      <c r="C76" s="71" t="str">
        <f>IFERROR(__xludf.DUMMYFUNCTION("""COMPUTED_VALUE"""),"2018-2019")</f>
        <v>2018-2019</v>
      </c>
      <c r="D76" s="71" t="str">
        <f>IFERROR(__xludf.DUMMYFUNCTION("""COMPUTED_VALUE"""),"Workshop")</f>
        <v>Workshop</v>
      </c>
      <c r="E76" s="71" t="str">
        <f>IFERROR(__xludf.DUMMYFUNCTION("""COMPUTED_VALUE"""),"Freedom fest")</f>
        <v>Freedom fest</v>
      </c>
      <c r="F76" s="71">
        <f>IFERROR(__xludf.DUMMYFUNCTION("""COMPUTED_VALUE"""),2.0)</f>
        <v>2</v>
      </c>
      <c r="G76" s="72">
        <f>IFERROR(__xludf.DUMMYFUNCTION("""COMPUTED_VALUE"""),43505.0)</f>
        <v>43505</v>
      </c>
      <c r="H76" s="72">
        <f>IFERROR(__xludf.DUMMYFUNCTION("""COMPUTED_VALUE"""),43506.0)</f>
        <v>43506</v>
      </c>
      <c r="I76" s="71" t="str">
        <f>IFERROR(__xludf.DUMMYFUNCTION("""COMPUTED_VALUE"""),"Mvgr college of engineering ")</f>
        <v>Mvgr college of engineering </v>
      </c>
      <c r="J76" s="71" t="str">
        <f>IFERROR(__xludf.DUMMYFUNCTION("""COMPUTED_VALUE"""),"Vamsi sir")</f>
        <v>Vamsi sir</v>
      </c>
      <c r="K76" s="71" t="str">
        <f>IFERROR(__xludf.DUMMYFUNCTION("""COMPUTED_VALUE"""),"State")</f>
        <v>State</v>
      </c>
      <c r="L76" s="71" t="str">
        <f>IFERROR(__xludf.DUMMYFUNCTION("""COMPUTED_VALUE"""),"Paid")</f>
        <v>Paid</v>
      </c>
      <c r="M76" s="71"/>
      <c r="N76" s="73" t="str">
        <f>IFERROR(__xludf.DUMMYFUNCTION("""COMPUTED_VALUE"""),"https://drive.google.com/open?id=1wRDnWjVgTMxaH-hngAwYfoHXbiKKZt70")</f>
        <v>https://drive.google.com/open?id=1wRDnWjVgTMxaH-hngAwYfoHXbiKKZt70</v>
      </c>
      <c r="O76" s="71" t="str">
        <f>IFERROR(__xludf.DUMMYFUNCTION("""COMPUTED_VALUE"""),"2018-2022")</f>
        <v>2018-2022</v>
      </c>
      <c r="P76" s="71" t="str">
        <f>IFERROR(__xludf.DUMMYFUNCTION("""COMPUTED_VALUE"""),"S5: Student Workshops/Conf attended")</f>
        <v>S5: Student Workshops/Conf attended</v>
      </c>
      <c r="Q76" s="71" t="str">
        <f>IFERROR(__xludf.DUMMYFUNCTION("""COMPUTED_VALUE"""),"mandadi.prathyusha@gmail.com")</f>
        <v>mandadi.prathyusha@gmail.com</v>
      </c>
      <c r="R76" s="71" t="str">
        <f>IFERROR(__xludf.DUMMYFUNCTION("""COMPUTED_VALUE"""),"SEM-8")</f>
        <v>SEM-8</v>
      </c>
      <c r="S76" s="74"/>
      <c r="T76" s="74"/>
      <c r="U76" s="74"/>
      <c r="V76" s="74"/>
      <c r="W76" s="74"/>
      <c r="X76" s="74"/>
      <c r="Y76" s="74"/>
    </row>
    <row r="77" ht="26.25" customHeight="1">
      <c r="A77" s="71" t="str">
        <f>IFERROR(__xludf.DUMMYFUNCTION("""COMPUTED_VALUE"""),"Sai Yogesh Bhasuru")</f>
        <v>Sai Yogesh Bhasuru</v>
      </c>
      <c r="B77" s="71" t="str">
        <f>IFERROR(__xludf.DUMMYFUNCTION("""COMPUTED_VALUE"""),"18331A05D4")</f>
        <v>18331A05D4</v>
      </c>
      <c r="C77" s="71" t="str">
        <f>IFERROR(__xludf.DUMMYFUNCTION("""COMPUTED_VALUE"""),"2020-2021")</f>
        <v>2020-2021</v>
      </c>
      <c r="D77" s="71" t="str">
        <f>IFERROR(__xludf.DUMMYFUNCTION("""COMPUTED_VALUE"""),"Workshop")</f>
        <v>Workshop</v>
      </c>
      <c r="E77" s="71" t="str">
        <f>IFERROR(__xludf.DUMMYFUNCTION("""COMPUTED_VALUE"""),"Front End Developer Workshop")</f>
        <v>Front End Developer Workshop</v>
      </c>
      <c r="F77" s="71">
        <f>IFERROR(__xludf.DUMMYFUNCTION("""COMPUTED_VALUE"""),5.0)</f>
        <v>5</v>
      </c>
      <c r="G77" s="72">
        <f>IFERROR(__xludf.DUMMYFUNCTION("""COMPUTED_VALUE"""),44092.0)</f>
        <v>44092</v>
      </c>
      <c r="H77" s="72">
        <f>IFERROR(__xludf.DUMMYFUNCTION("""COMPUTED_VALUE"""),44462.0)</f>
        <v>44462</v>
      </c>
      <c r="I77" s="71" t="str">
        <f>IFERROR(__xludf.DUMMYFUNCTION("""COMPUTED_VALUE"""),"Skill Safari")</f>
        <v>Skill Safari</v>
      </c>
      <c r="J77" s="71" t="str">
        <f>IFERROR(__xludf.DUMMYFUNCTION("""COMPUTED_VALUE"""),"Mr")</f>
        <v>Mr</v>
      </c>
      <c r="K77" s="71" t="str">
        <f>IFERROR(__xludf.DUMMYFUNCTION("""COMPUTED_VALUE"""),"National")</f>
        <v>National</v>
      </c>
      <c r="L77" s="71" t="str">
        <f>IFERROR(__xludf.DUMMYFUNCTION("""COMPUTED_VALUE"""),"Free")</f>
        <v>Free</v>
      </c>
      <c r="M77" s="71"/>
      <c r="N77" s="73" t="str">
        <f>IFERROR(__xludf.DUMMYFUNCTION("""COMPUTED_VALUE"""),"https://drive.google.com/open?id=1fgv5CvK18243Ysu4UJmQrd7eBoTRVQvp")</f>
        <v>https://drive.google.com/open?id=1fgv5CvK18243Ysu4UJmQrd7eBoTRVQvp</v>
      </c>
      <c r="O77" s="71" t="str">
        <f>IFERROR(__xludf.DUMMYFUNCTION("""COMPUTED_VALUE"""),"2018-2022")</f>
        <v>2018-2022</v>
      </c>
      <c r="P77" s="71" t="str">
        <f>IFERROR(__xludf.DUMMYFUNCTION("""COMPUTED_VALUE"""),"S5: Student Workshops/Conf attended")</f>
        <v>S5: Student Workshops/Conf attended</v>
      </c>
      <c r="Q77" s="71" t="str">
        <f>IFERROR(__xludf.DUMMYFUNCTION("""COMPUTED_VALUE"""),"saiyogeshbhasuru16@gmail.com")</f>
        <v>saiyogeshbhasuru16@gmail.com</v>
      </c>
      <c r="R77" s="71" t="str">
        <f>IFERROR(__xludf.DUMMYFUNCTION("""COMPUTED_VALUE"""),"SEM-8")</f>
        <v>SEM-8</v>
      </c>
      <c r="S77" s="74"/>
      <c r="T77" s="74"/>
      <c r="U77" s="74"/>
      <c r="V77" s="74"/>
      <c r="W77" s="74"/>
      <c r="X77" s="74"/>
      <c r="Y77" s="74"/>
    </row>
    <row r="78" ht="26.25" customHeight="1">
      <c r="A78" s="64" t="str">
        <f>IFERROR(__xludf.DUMMYFUNCTION("""COMPUTED_VALUE"""),"Venkata surya pranay Mamidipalli ")</f>
        <v>Venkata surya pranay Mamidipalli </v>
      </c>
      <c r="B78" s="64" t="str">
        <f>IFERROR(__xludf.DUMMYFUNCTION("""COMPUTED_VALUE"""),"20331A05A5 ")</f>
        <v>20331A05A5 </v>
      </c>
      <c r="C78" s="64" t="str">
        <f>IFERROR(__xludf.DUMMYFUNCTION("""COMPUTED_VALUE"""),"2021-2022")</f>
        <v>2021-2022</v>
      </c>
      <c r="D78" s="64" t="str">
        <f>IFERROR(__xludf.DUMMYFUNCTION("""COMPUTED_VALUE"""),"Workshop")</f>
        <v>Workshop</v>
      </c>
      <c r="E78" s="64" t="str">
        <f>IFERROR(__xludf.DUMMYFUNCTION("""COMPUTED_VALUE"""),"DATA ANALYTICS WITH PYTHON")</f>
        <v>DATA ANALYTICS WITH PYTHON</v>
      </c>
      <c r="F78" s="64">
        <f>IFERROR(__xludf.DUMMYFUNCTION("""COMPUTED_VALUE"""),2.0)</f>
        <v>2</v>
      </c>
      <c r="G78" s="114">
        <f>IFERROR(__xludf.DUMMYFUNCTION("""COMPUTED_VALUE"""),44639.0)</f>
        <v>44639</v>
      </c>
      <c r="H78" s="114">
        <f>IFERROR(__xludf.DUMMYFUNCTION("""COMPUTED_VALUE"""),44640.0)</f>
        <v>44640</v>
      </c>
      <c r="I78" s="64" t="str">
        <f>IFERROR(__xludf.DUMMYFUNCTION("""COMPUTED_VALUE"""),"JNTUGVU college of engineering ")</f>
        <v>JNTUGVU college of engineering </v>
      </c>
      <c r="J78" s="64" t="str">
        <f>IFERROR(__xludf.DUMMYFUNCTION("""COMPUTED_VALUE"""),"SETHU PAVAN")</f>
        <v>SETHU PAVAN</v>
      </c>
      <c r="K78" s="64" t="str">
        <f>IFERROR(__xludf.DUMMYFUNCTION("""COMPUTED_VALUE"""),"State")</f>
        <v>State</v>
      </c>
      <c r="L78" s="64" t="str">
        <f>IFERROR(__xludf.DUMMYFUNCTION("""COMPUTED_VALUE"""),"Paid")</f>
        <v>Paid</v>
      </c>
      <c r="M78" s="64">
        <f>IFERROR(__xludf.DUMMYFUNCTION("""COMPUTED_VALUE"""),300.0)</f>
        <v>300</v>
      </c>
      <c r="N78" s="115" t="str">
        <f>IFERROR(__xludf.DUMMYFUNCTION("""COMPUTED_VALUE"""),"https://drive.google.com/open?id=1R7MqIRs3YZOruWBtAqBzwhgUzbDpw4tb")</f>
        <v>https://drive.google.com/open?id=1R7MqIRs3YZOruWBtAqBzwhgUzbDpw4tb</v>
      </c>
      <c r="O78" s="64" t="str">
        <f>IFERROR(__xludf.DUMMYFUNCTION("""COMPUTED_VALUE"""),"2020-2024")</f>
        <v>2020-2024</v>
      </c>
      <c r="P78" s="64" t="str">
        <f>IFERROR(__xludf.DUMMYFUNCTION("""COMPUTED_VALUE"""),"S5: Student Workshops/Conf attended")</f>
        <v>S5: Student Workshops/Conf attended</v>
      </c>
      <c r="Q78" s="64" t="str">
        <f>IFERROR(__xludf.DUMMYFUNCTION("""COMPUTED_VALUE"""),"suryapranaymamidipalli@gmail.com")</f>
        <v>suryapranaymamidipalli@gmail.com</v>
      </c>
      <c r="R78" s="64" t="str">
        <f>IFERROR(__xludf.DUMMYFUNCTION("""COMPUTED_VALUE"""),"SEM-4")</f>
        <v>SEM-4</v>
      </c>
      <c r="S78" s="12"/>
      <c r="T78" s="12"/>
      <c r="U78" s="12"/>
      <c r="V78" s="12"/>
      <c r="W78" s="12"/>
      <c r="X78" s="12"/>
      <c r="Y78" s="12"/>
    </row>
    <row r="79" ht="26.25" customHeight="1">
      <c r="A79" s="64" t="str">
        <f>IFERROR(__xludf.DUMMYFUNCTION("""COMPUTED_VALUE"""),"Venkata surya pranay Mamidipalli ")</f>
        <v>Venkata surya pranay Mamidipalli </v>
      </c>
      <c r="B79" s="64" t="str">
        <f>IFERROR(__xludf.DUMMYFUNCTION("""COMPUTED_VALUE"""),"20331A05A5 ")</f>
        <v>20331A05A5 </v>
      </c>
      <c r="C79" s="64" t="str">
        <f>IFERROR(__xludf.DUMMYFUNCTION("""COMPUTED_VALUE"""),"2021-2022")</f>
        <v>2021-2022</v>
      </c>
      <c r="D79" s="64" t="str">
        <f>IFERROR(__xludf.DUMMYFUNCTION("""COMPUTED_VALUE"""),"Workshop")</f>
        <v>Workshop</v>
      </c>
      <c r="E79" s="64" t="str">
        <f>IFERROR(__xludf.DUMMYFUNCTION("""COMPUTED_VALUE"""),"MACHINE LEARNING ")</f>
        <v>MACHINE LEARNING </v>
      </c>
      <c r="F79" s="64">
        <f>IFERROR(__xludf.DUMMYFUNCTION("""COMPUTED_VALUE"""),1.0)</f>
        <v>1</v>
      </c>
      <c r="G79" s="114">
        <f>IFERROR(__xludf.DUMMYFUNCTION("""COMPUTED_VALUE"""),44626.0)</f>
        <v>44626</v>
      </c>
      <c r="H79" s="114">
        <f>IFERROR(__xludf.DUMMYFUNCTION("""COMPUTED_VALUE"""),44626.0)</f>
        <v>44626</v>
      </c>
      <c r="I79" s="64" t="str">
        <f>IFERROR(__xludf.DUMMYFUNCTION("""COMPUTED_VALUE"""),"NATIONAL INSTITUTION OF TECHNOLOGY, TIRUCHIRAPALLI")</f>
        <v>NATIONAL INSTITUTION OF TECHNOLOGY, TIRUCHIRAPALLI</v>
      </c>
      <c r="J79" s="64" t="str">
        <f>IFERROR(__xludf.DUMMYFUNCTION("""COMPUTED_VALUE"""),"E.SIVA SHANKAR")</f>
        <v>E.SIVA SHANKAR</v>
      </c>
      <c r="K79" s="64" t="str">
        <f>IFERROR(__xludf.DUMMYFUNCTION("""COMPUTED_VALUE"""),"National")</f>
        <v>National</v>
      </c>
      <c r="L79" s="64" t="str">
        <f>IFERROR(__xludf.DUMMYFUNCTION("""COMPUTED_VALUE"""),"Paid")</f>
        <v>Paid</v>
      </c>
      <c r="M79" s="64">
        <f>IFERROR(__xludf.DUMMYFUNCTION("""COMPUTED_VALUE"""),70.0)</f>
        <v>70</v>
      </c>
      <c r="N79" s="115" t="str">
        <f>IFERROR(__xludf.DUMMYFUNCTION("""COMPUTED_VALUE"""),"https://drive.google.com/open?id=1ANx1BaRz1AoBB0EdoUoNP7vJe5AVsnVV")</f>
        <v>https://drive.google.com/open?id=1ANx1BaRz1AoBB0EdoUoNP7vJe5AVsnVV</v>
      </c>
      <c r="O79" s="64" t="str">
        <f>IFERROR(__xludf.DUMMYFUNCTION("""COMPUTED_VALUE"""),"2020-2024")</f>
        <v>2020-2024</v>
      </c>
      <c r="P79" s="64" t="str">
        <f>IFERROR(__xludf.DUMMYFUNCTION("""COMPUTED_VALUE"""),"S5: Student Workshops/Conf attended")</f>
        <v>S5: Student Workshops/Conf attended</v>
      </c>
      <c r="Q79" s="64" t="str">
        <f>IFERROR(__xludf.DUMMYFUNCTION("""COMPUTED_VALUE"""),"suryapranaymamidipalli@gmail.com")</f>
        <v>suryapranaymamidipalli@gmail.com</v>
      </c>
      <c r="R79" s="64" t="str">
        <f>IFERROR(__xludf.DUMMYFUNCTION("""COMPUTED_VALUE"""),"SEM-4")</f>
        <v>SEM-4</v>
      </c>
      <c r="S79" s="12"/>
      <c r="T79" s="12"/>
      <c r="U79" s="12"/>
      <c r="V79" s="12"/>
      <c r="W79" s="12"/>
      <c r="X79" s="12"/>
      <c r="Y79" s="12"/>
    </row>
    <row r="80" ht="26.25" customHeight="1">
      <c r="A80" s="71" t="str">
        <f>IFERROR(__xludf.DUMMYFUNCTION("""COMPUTED_VALUE"""),"Gara Ranjeet")</f>
        <v>Gara Ranjeet</v>
      </c>
      <c r="B80" s="71" t="str">
        <f>IFERROR(__xludf.DUMMYFUNCTION("""COMPUTED_VALUE"""),"18331A0544")</f>
        <v>18331A0544</v>
      </c>
      <c r="C80" s="71" t="str">
        <f>IFERROR(__xludf.DUMMYFUNCTION("""COMPUTED_VALUE"""),"2019-2020")</f>
        <v>2019-2020</v>
      </c>
      <c r="D80" s="71" t="str">
        <f>IFERROR(__xludf.DUMMYFUNCTION("""COMPUTED_VALUE"""),"Workshop")</f>
        <v>Workshop</v>
      </c>
      <c r="E80" s="71" t="str">
        <f>IFERROR(__xludf.DUMMYFUNCTION("""COMPUTED_VALUE"""),"Artificial Intelligence Workshop")</f>
        <v>Artificial Intelligence Workshop</v>
      </c>
      <c r="F80" s="71">
        <f>IFERROR(__xludf.DUMMYFUNCTION("""COMPUTED_VALUE"""),2.0)</f>
        <v>2</v>
      </c>
      <c r="G80" s="72">
        <f>IFERROR(__xludf.DUMMYFUNCTION("""COMPUTED_VALUE"""),43541.0)</f>
        <v>43541</v>
      </c>
      <c r="H80" s="72">
        <f>IFERROR(__xludf.DUMMYFUNCTION("""COMPUTED_VALUE"""),43542.0)</f>
        <v>43542</v>
      </c>
      <c r="I80" s="71" t="str">
        <f>IFERROR(__xludf.DUMMYFUNCTION("""COMPUTED_VALUE"""),"IIT Hyderabad")</f>
        <v>IIT Hyderabad</v>
      </c>
      <c r="J80" s="71" t="str">
        <f>IFERROR(__xludf.DUMMYFUNCTION("""COMPUTED_VALUE"""),"Sujata Mehta")</f>
        <v>Sujata Mehta</v>
      </c>
      <c r="K80" s="71" t="str">
        <f>IFERROR(__xludf.DUMMYFUNCTION("""COMPUTED_VALUE"""),"National")</f>
        <v>National</v>
      </c>
      <c r="L80" s="71" t="str">
        <f>IFERROR(__xludf.DUMMYFUNCTION("""COMPUTED_VALUE"""),"Paid")</f>
        <v>Paid</v>
      </c>
      <c r="M80" s="71">
        <f>IFERROR(__xludf.DUMMYFUNCTION("""COMPUTED_VALUE"""),1000.0)</f>
        <v>1000</v>
      </c>
      <c r="N80" s="73" t="str">
        <f>IFERROR(__xludf.DUMMYFUNCTION("""COMPUTED_VALUE"""),"https://drive.google.com/open?id=1f6QUzmNI0NAK3xQ4rBtytOxYcgP1jjNk")</f>
        <v>https://drive.google.com/open?id=1f6QUzmNI0NAK3xQ4rBtytOxYcgP1jjNk</v>
      </c>
      <c r="O80" s="71" t="str">
        <f>IFERROR(__xludf.DUMMYFUNCTION("""COMPUTED_VALUE"""),"2018-2022")</f>
        <v>2018-2022</v>
      </c>
      <c r="P80" s="71" t="str">
        <f>IFERROR(__xludf.DUMMYFUNCTION("""COMPUTED_VALUE"""),"S5: Student Workshops/Conf attended")</f>
        <v>S5: Student Workshops/Conf attended</v>
      </c>
      <c r="Q80" s="71" t="str">
        <f>IFERROR(__xludf.DUMMYFUNCTION("""COMPUTED_VALUE"""),"ranjeetgara123@gmail.com")</f>
        <v>ranjeetgara123@gmail.com</v>
      </c>
      <c r="R80" s="71" t="str">
        <f>IFERROR(__xludf.DUMMYFUNCTION("""COMPUTED_VALUE"""),"SEM-3")</f>
        <v>SEM-3</v>
      </c>
      <c r="S80" s="74"/>
      <c r="T80" s="74"/>
      <c r="U80" s="74"/>
      <c r="V80" s="74"/>
      <c r="W80" s="74"/>
      <c r="X80" s="74"/>
      <c r="Y80" s="74"/>
    </row>
    <row r="81" ht="26.25" customHeight="1">
      <c r="A81" s="64" t="str">
        <f>IFERROR(__xludf.DUMMYFUNCTION("""COMPUTED_VALUE"""),"Jami Harshini")</f>
        <v>Jami Harshini</v>
      </c>
      <c r="B81" s="64" t="str">
        <f>IFERROR(__xludf.DUMMYFUNCTION("""COMPUTED_VALUE"""),"18331A0560")</f>
        <v>18331A0560</v>
      </c>
      <c r="C81" s="64" t="str">
        <f>IFERROR(__xludf.DUMMYFUNCTION("""COMPUTED_VALUE"""),"2018-2019")</f>
        <v>2018-2019</v>
      </c>
      <c r="D81" s="64" t="str">
        <f>IFERROR(__xludf.DUMMYFUNCTION("""COMPUTED_VALUE"""),"Workshop")</f>
        <v>Workshop</v>
      </c>
      <c r="E81" s="64" t="str">
        <f>IFERROR(__xludf.DUMMYFUNCTION("""COMPUTED_VALUE"""),"IOT using thingspeak")</f>
        <v>IOT using thingspeak</v>
      </c>
      <c r="F81" s="64">
        <f>IFERROR(__xludf.DUMMYFUNCTION("""COMPUTED_VALUE"""),2.0)</f>
        <v>2</v>
      </c>
      <c r="G81" s="114">
        <f>IFERROR(__xludf.DUMMYFUNCTION("""COMPUTED_VALUE"""),43505.0)</f>
        <v>43505</v>
      </c>
      <c r="H81" s="114">
        <f>IFERROR(__xludf.DUMMYFUNCTION("""COMPUTED_VALUE"""),43506.0)</f>
        <v>43506</v>
      </c>
      <c r="I81" s="64" t="str">
        <f>IFERROR(__xludf.DUMMYFUNCTION("""COMPUTED_VALUE"""),"Vamsi krishna")</f>
        <v>Vamsi krishna</v>
      </c>
      <c r="J81" s="64" t="str">
        <f>IFERROR(__xludf.DUMMYFUNCTION("""COMPUTED_VALUE"""),"Executive committee")</f>
        <v>Executive committee</v>
      </c>
      <c r="K81" s="64" t="str">
        <f>IFERROR(__xludf.DUMMYFUNCTION("""COMPUTED_VALUE"""),"State")</f>
        <v>State</v>
      </c>
      <c r="L81" s="64" t="str">
        <f>IFERROR(__xludf.DUMMYFUNCTION("""COMPUTED_VALUE"""),"Paid")</f>
        <v>Paid</v>
      </c>
      <c r="M81" s="64">
        <f>IFERROR(__xludf.DUMMYFUNCTION("""COMPUTED_VALUE"""),200.0)</f>
        <v>200</v>
      </c>
      <c r="N81" s="115" t="str">
        <f>IFERROR(__xludf.DUMMYFUNCTION("""COMPUTED_VALUE"""),"https://drive.google.com/open?id=1FPX2QrZLTvGZfjzHUBavNjiV9l1kTGPq")</f>
        <v>https://drive.google.com/open?id=1FPX2QrZLTvGZfjzHUBavNjiV9l1kTGPq</v>
      </c>
      <c r="O81" s="64" t="str">
        <f>IFERROR(__xludf.DUMMYFUNCTION("""COMPUTED_VALUE"""),"2018-2022")</f>
        <v>2018-2022</v>
      </c>
      <c r="P81" s="64" t="str">
        <f>IFERROR(__xludf.DUMMYFUNCTION("""COMPUTED_VALUE"""),"S5: Student Workshops/Conf attended")</f>
        <v>S5: Student Workshops/Conf attended</v>
      </c>
      <c r="Q81" s="64" t="str">
        <f>IFERROR(__xludf.DUMMYFUNCTION("""COMPUTED_VALUE"""),"jamiharshini123@gmail.com")</f>
        <v>jamiharshini123@gmail.com</v>
      </c>
      <c r="R81" s="64" t="str">
        <f>IFERROR(__xludf.DUMMYFUNCTION("""COMPUTED_VALUE"""),"SEM-2")</f>
        <v>SEM-2</v>
      </c>
      <c r="S81" s="12"/>
      <c r="T81" s="12"/>
      <c r="U81" s="12"/>
      <c r="V81" s="12"/>
      <c r="W81" s="12"/>
      <c r="X81" s="12"/>
      <c r="Y81" s="12"/>
    </row>
    <row r="82" ht="26.25" customHeight="1">
      <c r="A82" s="71" t="str">
        <f>IFERROR(__xludf.DUMMYFUNCTION("""COMPUTED_VALUE"""),"Jami Harshini")</f>
        <v>Jami Harshini</v>
      </c>
      <c r="B82" s="71" t="str">
        <f>IFERROR(__xludf.DUMMYFUNCTION("""COMPUTED_VALUE"""),"18331A0560")</f>
        <v>18331A0560</v>
      </c>
      <c r="C82" s="71" t="str">
        <f>IFERROR(__xludf.DUMMYFUNCTION("""COMPUTED_VALUE"""),"2020-2021")</f>
        <v>2020-2021</v>
      </c>
      <c r="D82" s="71" t="str">
        <f>IFERROR(__xludf.DUMMYFUNCTION("""COMPUTED_VALUE"""),"Workshop")</f>
        <v>Workshop</v>
      </c>
      <c r="E82" s="71" t="str">
        <f>IFERROR(__xludf.DUMMYFUNCTION("""COMPUTED_VALUE"""),"React JS")</f>
        <v>React JS</v>
      </c>
      <c r="F82" s="71">
        <f>IFERROR(__xludf.DUMMYFUNCTION("""COMPUTED_VALUE"""),5.0)</f>
        <v>5</v>
      </c>
      <c r="G82" s="72">
        <f>IFERROR(__xludf.DUMMYFUNCTION("""COMPUTED_VALUE"""),44382.0)</f>
        <v>44382</v>
      </c>
      <c r="H82" s="72">
        <f>IFERROR(__xludf.DUMMYFUNCTION("""COMPUTED_VALUE"""),44387.0)</f>
        <v>44387</v>
      </c>
      <c r="I82" s="71" t="str">
        <f>IFERROR(__xludf.DUMMYFUNCTION("""COMPUTED_VALUE"""),"Dr.Datachana Murthy")</f>
        <v>Dr.Datachana Murthy</v>
      </c>
      <c r="J82" s="71" t="str">
        <f>IFERROR(__xludf.DUMMYFUNCTION("""COMPUTED_VALUE"""),"Ganesh Nag Doddi")</f>
        <v>Ganesh Nag Doddi</v>
      </c>
      <c r="K82" s="71" t="str">
        <f>IFERROR(__xludf.DUMMYFUNCTION("""COMPUTED_VALUE"""),"State")</f>
        <v>State</v>
      </c>
      <c r="L82" s="71" t="str">
        <f>IFERROR(__xludf.DUMMYFUNCTION("""COMPUTED_VALUE"""),"Free")</f>
        <v>Free</v>
      </c>
      <c r="M82" s="71">
        <f>IFERROR(__xludf.DUMMYFUNCTION("""COMPUTED_VALUE"""),0.0)</f>
        <v>0</v>
      </c>
      <c r="N82" s="73" t="str">
        <f>IFERROR(__xludf.DUMMYFUNCTION("""COMPUTED_VALUE"""),"https://drive.google.com/open?id=1P_SDynCHaaW72tBwCIbXv8UEO8NUopEk")</f>
        <v>https://drive.google.com/open?id=1P_SDynCHaaW72tBwCIbXv8UEO8NUopEk</v>
      </c>
      <c r="O82" s="71" t="str">
        <f>IFERROR(__xludf.DUMMYFUNCTION("""COMPUTED_VALUE"""),"2018-2022")</f>
        <v>2018-2022</v>
      </c>
      <c r="P82" s="71" t="str">
        <f>IFERROR(__xludf.DUMMYFUNCTION("""COMPUTED_VALUE"""),"S5: Student Workshops/Conf attended")</f>
        <v>S5: Student Workshops/Conf attended</v>
      </c>
      <c r="Q82" s="71" t="str">
        <f>IFERROR(__xludf.DUMMYFUNCTION("""COMPUTED_VALUE"""),"jamiharshini123@gmail.com")</f>
        <v>jamiharshini123@gmail.com</v>
      </c>
      <c r="R82" s="71" t="str">
        <f>IFERROR(__xludf.DUMMYFUNCTION("""COMPUTED_VALUE"""),"SEM-6")</f>
        <v>SEM-6</v>
      </c>
      <c r="S82" s="74"/>
      <c r="T82" s="74"/>
      <c r="U82" s="74"/>
      <c r="V82" s="74"/>
      <c r="W82" s="74"/>
      <c r="X82" s="74"/>
      <c r="Y82" s="74"/>
    </row>
    <row r="83" ht="26.25" customHeight="1">
      <c r="A83" s="71" t="str">
        <f>IFERROR(__xludf.DUMMYFUNCTION("""COMPUTED_VALUE"""),"Jami Harshini")</f>
        <v>Jami Harshini</v>
      </c>
      <c r="B83" s="71" t="str">
        <f>IFERROR(__xludf.DUMMYFUNCTION("""COMPUTED_VALUE"""),"18331A0560")</f>
        <v>18331A0560</v>
      </c>
      <c r="C83" s="71" t="str">
        <f>IFERROR(__xludf.DUMMYFUNCTION("""COMPUTED_VALUE"""),"2019-2020")</f>
        <v>2019-2020</v>
      </c>
      <c r="D83" s="71" t="str">
        <f>IFERROR(__xludf.DUMMYFUNCTION("""COMPUTED_VALUE"""),"Workshop")</f>
        <v>Workshop</v>
      </c>
      <c r="E83" s="71" t="str">
        <f>IFERROR(__xludf.DUMMYFUNCTION("""COMPUTED_VALUE"""),"Angular JS to develop web apps faster")</f>
        <v>Angular JS to develop web apps faster</v>
      </c>
      <c r="F83" s="71">
        <f>IFERROR(__xludf.DUMMYFUNCTION("""COMPUTED_VALUE"""),1.0)</f>
        <v>1</v>
      </c>
      <c r="G83" s="72">
        <f>IFERROR(__xludf.DUMMYFUNCTION("""COMPUTED_VALUE"""),44008.0)</f>
        <v>44008</v>
      </c>
      <c r="H83" s="72">
        <f>IFERROR(__xludf.DUMMYFUNCTION("""COMPUTED_VALUE"""),44008.0)</f>
        <v>44008</v>
      </c>
      <c r="I83" s="71" t="str">
        <f>IFERROR(__xludf.DUMMYFUNCTION("""COMPUTED_VALUE"""),"Dr.Datchana Moorthy")</f>
        <v>Dr.Datchana Moorthy</v>
      </c>
      <c r="J83" s="71" t="str">
        <f>IFERROR(__xludf.DUMMYFUNCTION("""COMPUTED_VALUE"""),"Ganesh Nag doddi")</f>
        <v>Ganesh Nag doddi</v>
      </c>
      <c r="K83" s="71" t="str">
        <f>IFERROR(__xludf.DUMMYFUNCTION("""COMPUTED_VALUE"""),"International")</f>
        <v>International</v>
      </c>
      <c r="L83" s="71" t="str">
        <f>IFERROR(__xludf.DUMMYFUNCTION("""COMPUTED_VALUE"""),"Free")</f>
        <v>Free</v>
      </c>
      <c r="M83" s="71">
        <f>IFERROR(__xludf.DUMMYFUNCTION("""COMPUTED_VALUE"""),0.0)</f>
        <v>0</v>
      </c>
      <c r="N83" s="73" t="str">
        <f>IFERROR(__xludf.DUMMYFUNCTION("""COMPUTED_VALUE"""),"https://drive.google.com/open?id=134P2I3pD2SS-W20-g3ud9BmBsVEiO2FR")</f>
        <v>https://drive.google.com/open?id=134P2I3pD2SS-W20-g3ud9BmBsVEiO2FR</v>
      </c>
      <c r="O83" s="71" t="str">
        <f>IFERROR(__xludf.DUMMYFUNCTION("""COMPUTED_VALUE"""),"2018-2022")</f>
        <v>2018-2022</v>
      </c>
      <c r="P83" s="71" t="str">
        <f>IFERROR(__xludf.DUMMYFUNCTION("""COMPUTED_VALUE"""),"S5: Student Workshops/Conf attended")</f>
        <v>S5: Student Workshops/Conf attended</v>
      </c>
      <c r="Q83" s="71" t="str">
        <f>IFERROR(__xludf.DUMMYFUNCTION("""COMPUTED_VALUE"""),"jamiharshini123@gmail.com")</f>
        <v>jamiharshini123@gmail.com</v>
      </c>
      <c r="R83" s="71" t="str">
        <f>IFERROR(__xludf.DUMMYFUNCTION("""COMPUTED_VALUE"""),"SEM-6")</f>
        <v>SEM-6</v>
      </c>
      <c r="S83" s="74"/>
      <c r="T83" s="74"/>
      <c r="U83" s="74"/>
      <c r="V83" s="74"/>
      <c r="W83" s="74"/>
      <c r="X83" s="74"/>
      <c r="Y83" s="74"/>
    </row>
    <row r="84" ht="26.25" customHeight="1">
      <c r="A84" s="64" t="str">
        <f>IFERROR(__xludf.DUMMYFUNCTION("""COMPUTED_VALUE"""),"Jami Harshini")</f>
        <v>Jami Harshini</v>
      </c>
      <c r="B84" s="64" t="str">
        <f>IFERROR(__xludf.DUMMYFUNCTION("""COMPUTED_VALUE"""),"18331A0560")</f>
        <v>18331A0560</v>
      </c>
      <c r="C84" s="64" t="str">
        <f>IFERROR(__xludf.DUMMYFUNCTION("""COMPUTED_VALUE"""),"2021-2022")</f>
        <v>2021-2022</v>
      </c>
      <c r="D84" s="64" t="str">
        <f>IFERROR(__xludf.DUMMYFUNCTION("""COMPUTED_VALUE"""),"Seminar")</f>
        <v>Seminar</v>
      </c>
      <c r="E84" s="64" t="str">
        <f>IFERROR(__xludf.DUMMYFUNCTION("""COMPUTED_VALUE"""),"National Intellectual Property Awareness Mission")</f>
        <v>National Intellectual Property Awareness Mission</v>
      </c>
      <c r="F84" s="64">
        <f>IFERROR(__xludf.DUMMYFUNCTION("""COMPUTED_VALUE"""),1.0)</f>
        <v>1</v>
      </c>
      <c r="G84" s="114">
        <f>IFERROR(__xludf.DUMMYFUNCTION("""COMPUTED_VALUE"""),44567.0)</f>
        <v>44567</v>
      </c>
      <c r="H84" s="114">
        <f>IFERROR(__xludf.DUMMYFUNCTION("""COMPUTED_VALUE"""),44567.0)</f>
        <v>44567</v>
      </c>
      <c r="I84" s="64" t="str">
        <f>IFERROR(__xludf.DUMMYFUNCTION("""COMPUTED_VALUE"""),"Vamsi krishna")</f>
        <v>Vamsi krishna</v>
      </c>
      <c r="J84" s="64" t="str">
        <f>IFERROR(__xludf.DUMMYFUNCTION("""COMPUTED_VALUE"""),"Intellectual Property office")</f>
        <v>Intellectual Property office</v>
      </c>
      <c r="K84" s="64" t="str">
        <f>IFERROR(__xludf.DUMMYFUNCTION("""COMPUTED_VALUE"""),"National")</f>
        <v>National</v>
      </c>
      <c r="L84" s="64" t="str">
        <f>IFERROR(__xludf.DUMMYFUNCTION("""COMPUTED_VALUE"""),"Free")</f>
        <v>Free</v>
      </c>
      <c r="M84" s="64">
        <f>IFERROR(__xludf.DUMMYFUNCTION("""COMPUTED_VALUE"""),0.0)</f>
        <v>0</v>
      </c>
      <c r="N84" s="115" t="str">
        <f>IFERROR(__xludf.DUMMYFUNCTION("""COMPUTED_VALUE"""),"https://drive.google.com/open?id=12Aw9JBnVJ5rWOQ2L_VqcpXMWITfO6AgA")</f>
        <v>https://drive.google.com/open?id=12Aw9JBnVJ5rWOQ2L_VqcpXMWITfO6AgA</v>
      </c>
      <c r="O84" s="64" t="str">
        <f>IFERROR(__xludf.DUMMYFUNCTION("""COMPUTED_VALUE"""),"2018-2022")</f>
        <v>2018-2022</v>
      </c>
      <c r="P84" s="64" t="str">
        <f>IFERROR(__xludf.DUMMYFUNCTION("""COMPUTED_VALUE"""),"S5: Student Workshops/Conf attended")</f>
        <v>S5: Student Workshops/Conf attended</v>
      </c>
      <c r="Q84" s="64" t="str">
        <f>IFERROR(__xludf.DUMMYFUNCTION("""COMPUTED_VALUE"""),"jamiharshini123@gmail.com")</f>
        <v>jamiharshini123@gmail.com</v>
      </c>
      <c r="R84" s="64" t="str">
        <f>IFERROR(__xludf.DUMMYFUNCTION("""COMPUTED_VALUE"""),"SEM-7")</f>
        <v>SEM-7</v>
      </c>
      <c r="S84" s="12"/>
      <c r="T84" s="12"/>
      <c r="U84" s="12"/>
      <c r="V84" s="12"/>
      <c r="W84" s="12"/>
      <c r="X84" s="12"/>
      <c r="Y84" s="12"/>
    </row>
    <row r="85" ht="26.25" customHeight="1">
      <c r="A85" s="64" t="str">
        <f>IFERROR(__xludf.DUMMYFUNCTION("""COMPUTED_VALUE"""),"Kavya Mudili")</f>
        <v>Kavya Mudili</v>
      </c>
      <c r="B85" s="64" t="str">
        <f>IFERROR(__xludf.DUMMYFUNCTION("""COMPUTED_VALUE"""),"18331A05A1")</f>
        <v>18331A05A1</v>
      </c>
      <c r="C85" s="64" t="str">
        <f>IFERROR(__xludf.DUMMYFUNCTION("""COMPUTED_VALUE"""),"2021-2022")</f>
        <v>2021-2022</v>
      </c>
      <c r="D85" s="64" t="str">
        <f>IFERROR(__xludf.DUMMYFUNCTION("""COMPUTED_VALUE"""),"Webinar")</f>
        <v>Webinar</v>
      </c>
      <c r="E85" s="64" t="str">
        <f>IFERROR(__xludf.DUMMYFUNCTION("""COMPUTED_VALUE"""),"National IP Awareness Mission")</f>
        <v>National IP Awareness Mission</v>
      </c>
      <c r="F85" s="64">
        <f>IFERROR(__xludf.DUMMYFUNCTION("""COMPUTED_VALUE"""),1.0)</f>
        <v>1</v>
      </c>
      <c r="G85" s="114">
        <f>IFERROR(__xludf.DUMMYFUNCTION("""COMPUTED_VALUE"""),44567.0)</f>
        <v>44567</v>
      </c>
      <c r="H85" s="114">
        <f>IFERROR(__xludf.DUMMYFUNCTION("""COMPUTED_VALUE"""),44567.0)</f>
        <v>44567</v>
      </c>
      <c r="I85" s="64" t="str">
        <f>IFERROR(__xludf.DUMMYFUNCTION("""COMPUTED_VALUE"""),"NIPAM Team")</f>
        <v>NIPAM Team</v>
      </c>
      <c r="J85" s="64" t="str">
        <f>IFERROR(__xludf.DUMMYFUNCTION("""COMPUTED_VALUE"""),"Vamsi Krishna")</f>
        <v>Vamsi Krishna</v>
      </c>
      <c r="K85" s="64" t="str">
        <f>IFERROR(__xludf.DUMMYFUNCTION("""COMPUTED_VALUE"""),"National")</f>
        <v>National</v>
      </c>
      <c r="L85" s="64" t="str">
        <f>IFERROR(__xludf.DUMMYFUNCTION("""COMPUTED_VALUE"""),"Free")</f>
        <v>Free</v>
      </c>
      <c r="M85" s="64"/>
      <c r="N85" s="115" t="str">
        <f>IFERROR(__xludf.DUMMYFUNCTION("""COMPUTED_VALUE"""),"https://drive.google.com/open?id=1BoUN3WLMggs9Bm6YOfMVjkHpYDJ16YUP")</f>
        <v>https://drive.google.com/open?id=1BoUN3WLMggs9Bm6YOfMVjkHpYDJ16YUP</v>
      </c>
      <c r="O85" s="64" t="str">
        <f>IFERROR(__xludf.DUMMYFUNCTION("""COMPUTED_VALUE"""),"2018-2022")</f>
        <v>2018-2022</v>
      </c>
      <c r="P85" s="64" t="str">
        <f>IFERROR(__xludf.DUMMYFUNCTION("""COMPUTED_VALUE"""),"S5: Student Workshops/Conf attended")</f>
        <v>S5: Student Workshops/Conf attended</v>
      </c>
      <c r="Q85" s="64" t="str">
        <f>IFERROR(__xludf.DUMMYFUNCTION("""COMPUTED_VALUE"""),"kavyamudili2001@gmail.com")</f>
        <v>kavyamudili2001@gmail.com</v>
      </c>
      <c r="R85" s="64" t="str">
        <f>IFERROR(__xludf.DUMMYFUNCTION("""COMPUTED_VALUE"""),"SEM-8")</f>
        <v>SEM-8</v>
      </c>
      <c r="S85" s="12"/>
      <c r="T85" s="12"/>
      <c r="U85" s="12"/>
      <c r="V85" s="12"/>
      <c r="W85" s="12"/>
      <c r="X85" s="12"/>
      <c r="Y85" s="12"/>
    </row>
    <row r="86" ht="26.25" customHeight="1">
      <c r="A86" s="64" t="str">
        <f>IFERROR(__xludf.DUMMYFUNCTION("""COMPUTED_VALUE"""),"Jami Harshini")</f>
        <v>Jami Harshini</v>
      </c>
      <c r="B86" s="64" t="str">
        <f>IFERROR(__xludf.DUMMYFUNCTION("""COMPUTED_VALUE"""),"18331A0560")</f>
        <v>18331A0560</v>
      </c>
      <c r="C86" s="64" t="str">
        <f>IFERROR(__xludf.DUMMYFUNCTION("""COMPUTED_VALUE"""),"2020-2021")</f>
        <v>2020-2021</v>
      </c>
      <c r="D86" s="64" t="str">
        <f>IFERROR(__xludf.DUMMYFUNCTION("""COMPUTED_VALUE"""),"Webinar")</f>
        <v>Webinar</v>
      </c>
      <c r="E86" s="64" t="str">
        <f>IFERROR(__xludf.DUMMYFUNCTION("""COMPUTED_VALUE"""),"International  day of yoga")</f>
        <v>International  day of yoga</v>
      </c>
      <c r="F86" s="64">
        <f>IFERROR(__xludf.DUMMYFUNCTION("""COMPUTED_VALUE"""),2.0)</f>
        <v>2</v>
      </c>
      <c r="G86" s="114">
        <f>IFERROR(__xludf.DUMMYFUNCTION("""COMPUTED_VALUE"""),44003.0)</f>
        <v>44003</v>
      </c>
      <c r="H86" s="114">
        <f>IFERROR(__xludf.DUMMYFUNCTION("""COMPUTED_VALUE"""),44003.0)</f>
        <v>44003</v>
      </c>
      <c r="I86" s="64" t="str">
        <f>IFERROR(__xludf.DUMMYFUNCTION("""COMPUTED_VALUE"""),"Kamlesh D patel")</f>
        <v>Kamlesh D patel</v>
      </c>
      <c r="J86" s="64" t="str">
        <f>IFERROR(__xludf.DUMMYFUNCTION("""COMPUTED_VALUE"""),"Heartfulness institute")</f>
        <v>Heartfulness institute</v>
      </c>
      <c r="K86" s="64" t="str">
        <f>IFERROR(__xludf.DUMMYFUNCTION("""COMPUTED_VALUE"""),"National")</f>
        <v>National</v>
      </c>
      <c r="L86" s="64" t="str">
        <f>IFERROR(__xludf.DUMMYFUNCTION("""COMPUTED_VALUE"""),"Free")</f>
        <v>Free</v>
      </c>
      <c r="M86" s="64">
        <f>IFERROR(__xludf.DUMMYFUNCTION("""COMPUTED_VALUE"""),0.0)</f>
        <v>0</v>
      </c>
      <c r="N86" s="115" t="str">
        <f>IFERROR(__xludf.DUMMYFUNCTION("""COMPUTED_VALUE"""),"https://drive.google.com/open?id=1-VEYMCW3l0PXFEtYFpD3jldSLz6PLv8l")</f>
        <v>https://drive.google.com/open?id=1-VEYMCW3l0PXFEtYFpD3jldSLz6PLv8l</v>
      </c>
      <c r="O86" s="64" t="str">
        <f>IFERROR(__xludf.DUMMYFUNCTION("""COMPUTED_VALUE"""),"2018-2022")</f>
        <v>2018-2022</v>
      </c>
      <c r="P86" s="64" t="str">
        <f>IFERROR(__xludf.DUMMYFUNCTION("""COMPUTED_VALUE"""),"S5: Student Workshops/Conf attended")</f>
        <v>S5: Student Workshops/Conf attended</v>
      </c>
      <c r="Q86" s="64" t="str">
        <f>IFERROR(__xludf.DUMMYFUNCTION("""COMPUTED_VALUE"""),"jamiharshini123@gmail.com")</f>
        <v>jamiharshini123@gmail.com</v>
      </c>
      <c r="R86" s="64" t="str">
        <f>IFERROR(__xludf.DUMMYFUNCTION("""COMPUTED_VALUE"""),"SEM-6")</f>
        <v>SEM-6</v>
      </c>
      <c r="S86" s="12"/>
      <c r="T86" s="12"/>
      <c r="U86" s="12"/>
      <c r="V86" s="12"/>
      <c r="W86" s="12"/>
      <c r="X86" s="12"/>
      <c r="Y86" s="12"/>
    </row>
    <row r="87" ht="26.25" customHeight="1">
      <c r="A87" s="71" t="str">
        <f>IFERROR(__xludf.DUMMYFUNCTION("""COMPUTED_VALUE"""),"TIRUMALARAJU VIJAYARAMA MOHITH VARMA")</f>
        <v>TIRUMALARAJU VIJAYARAMA MOHITH VARMA</v>
      </c>
      <c r="B87" s="71" t="str">
        <f>IFERROR(__xludf.DUMMYFUNCTION("""COMPUTED_VALUE"""),"18331A05F8")</f>
        <v>18331A05F8</v>
      </c>
      <c r="C87" s="71" t="str">
        <f>IFERROR(__xludf.DUMMYFUNCTION("""COMPUTED_VALUE"""),"2020-2021")</f>
        <v>2020-2021</v>
      </c>
      <c r="D87" s="71" t="str">
        <f>IFERROR(__xludf.DUMMYFUNCTION("""COMPUTED_VALUE"""),"Workshop")</f>
        <v>Workshop</v>
      </c>
      <c r="E87" s="71" t="str">
        <f>IFERROR(__xludf.DUMMYFUNCTION("""COMPUTED_VALUE"""),"ANGULAR JS TO DEVELOP WEB APPS FASTER")</f>
        <v>ANGULAR JS TO DEVELOP WEB APPS FASTER</v>
      </c>
      <c r="F87" s="71">
        <f>IFERROR(__xludf.DUMMYFUNCTION("""COMPUTED_VALUE"""),1.0)</f>
        <v>1</v>
      </c>
      <c r="G87" s="72">
        <f>IFERROR(__xludf.DUMMYFUNCTION("""COMPUTED_VALUE"""),44008.0)</f>
        <v>44008</v>
      </c>
      <c r="H87" s="72">
        <f>IFERROR(__xludf.DUMMYFUNCTION("""COMPUTED_VALUE"""),44008.0)</f>
        <v>44008</v>
      </c>
      <c r="I87" s="71" t="str">
        <f>IFERROR(__xludf.DUMMYFUNCTION("""COMPUTED_VALUE"""),"BY CSE AND IT  IN ASSOCIATION WITH NYCI&amp; BRAIN-O-VISION-")</f>
        <v>BY CSE AND IT  IN ASSOCIATION WITH NYCI&amp; BRAIN-O-VISION-</v>
      </c>
      <c r="J87" s="71" t="str">
        <f>IFERROR(__xludf.DUMMYFUNCTION("""COMPUTED_VALUE"""),"DR.V.NAGESH, GANESH NAG DODDI,DR.DATCHANA MOORTHY RAMU")</f>
        <v>DR.V.NAGESH, GANESH NAG DODDI,DR.DATCHANA MOORTHY RAMU</v>
      </c>
      <c r="K87" s="71" t="str">
        <f>IFERROR(__xludf.DUMMYFUNCTION("""COMPUTED_VALUE"""),"International")</f>
        <v>International</v>
      </c>
      <c r="L87" s="71" t="str">
        <f>IFERROR(__xludf.DUMMYFUNCTION("""COMPUTED_VALUE"""),"Free")</f>
        <v>Free</v>
      </c>
      <c r="M87" s="71"/>
      <c r="N87" s="73" t="str">
        <f>IFERROR(__xludf.DUMMYFUNCTION("""COMPUTED_VALUE"""),"https://drive.google.com/open?id=12oZBqNOCdGscf-2Q9CeT0JV9-npaxoEZ")</f>
        <v>https://drive.google.com/open?id=12oZBqNOCdGscf-2Q9CeT0JV9-npaxoEZ</v>
      </c>
      <c r="O87" s="71" t="str">
        <f>IFERROR(__xludf.DUMMYFUNCTION("""COMPUTED_VALUE"""),"2018-2022")</f>
        <v>2018-2022</v>
      </c>
      <c r="P87" s="71" t="str">
        <f>IFERROR(__xludf.DUMMYFUNCTION("""COMPUTED_VALUE"""),"S5: Student Workshops/Conf attended")</f>
        <v>S5: Student Workshops/Conf attended</v>
      </c>
      <c r="Q87" s="71" t="str">
        <f>IFERROR(__xludf.DUMMYFUNCTION("""COMPUTED_VALUE"""),"vijayaramaraju1999@gmail.com")</f>
        <v>vijayaramaraju1999@gmail.com</v>
      </c>
      <c r="R87" s="71" t="str">
        <f>IFERROR(__xludf.DUMMYFUNCTION("""COMPUTED_VALUE"""),"SEM-8")</f>
        <v>SEM-8</v>
      </c>
      <c r="S87" s="74"/>
      <c r="T87" s="74"/>
      <c r="U87" s="74"/>
      <c r="V87" s="74"/>
      <c r="W87" s="74"/>
      <c r="X87" s="74"/>
      <c r="Y87" s="74"/>
    </row>
    <row r="88" ht="26.25" customHeight="1">
      <c r="A88" s="71" t="str">
        <f>IFERROR(__xludf.DUMMYFUNCTION("""COMPUTED_VALUE"""),"TIRUMALARAJU VIJAYARAMA MOHITH VARMA")</f>
        <v>TIRUMALARAJU VIJAYARAMA MOHITH VARMA</v>
      </c>
      <c r="B88" s="71" t="str">
        <f>IFERROR(__xludf.DUMMYFUNCTION("""COMPUTED_VALUE"""),"18331A05F8")</f>
        <v>18331A05F8</v>
      </c>
      <c r="C88" s="71" t="str">
        <f>IFERROR(__xludf.DUMMYFUNCTION("""COMPUTED_VALUE"""),"2021-2022")</f>
        <v>2021-2022</v>
      </c>
      <c r="D88" s="71" t="str">
        <f>IFERROR(__xludf.DUMMYFUNCTION("""COMPUTED_VALUE"""),"Workshop")</f>
        <v>Workshop</v>
      </c>
      <c r="E88" s="71" t="str">
        <f>IFERROR(__xludf.DUMMYFUNCTION("""COMPUTED_VALUE"""),"TECHFEST IIT BOMBAY- CYBER SECURITY")</f>
        <v>TECHFEST IIT BOMBAY- CYBER SECURITY</v>
      </c>
      <c r="F88" s="71">
        <f>IFERROR(__xludf.DUMMYFUNCTION("""COMPUTED_VALUE"""),60.0)</f>
        <v>60</v>
      </c>
      <c r="G88" s="72">
        <f>IFERROR(__xludf.DUMMYFUNCTION("""COMPUTED_VALUE"""),44511.0)</f>
        <v>44511</v>
      </c>
      <c r="H88" s="72">
        <f>IFERROR(__xludf.DUMMYFUNCTION("""COMPUTED_VALUE"""),44572.0)</f>
        <v>44572</v>
      </c>
      <c r="I88" s="73" t="str">
        <f>IFERROR(__xludf.DUMMYFUNCTION("""COMPUTED_VALUE"""),"1STOP.AI")</f>
        <v>1STOP.AI</v>
      </c>
      <c r="J88" s="71" t="str">
        <f>IFERROR(__xludf.DUMMYFUNCTION("""COMPUTED_VALUE"""),"PAUL MATHEW.I")</f>
        <v>PAUL MATHEW.I</v>
      </c>
      <c r="K88" s="71" t="str">
        <f>IFERROR(__xludf.DUMMYFUNCTION("""COMPUTED_VALUE"""),"National")</f>
        <v>National</v>
      </c>
      <c r="L88" s="71" t="str">
        <f>IFERROR(__xludf.DUMMYFUNCTION("""COMPUTED_VALUE"""),"Paid")</f>
        <v>Paid</v>
      </c>
      <c r="M88" s="71">
        <f>IFERROR(__xludf.DUMMYFUNCTION("""COMPUTED_VALUE"""),1000.0)</f>
        <v>1000</v>
      </c>
      <c r="N88" s="73" t="str">
        <f>IFERROR(__xludf.DUMMYFUNCTION("""COMPUTED_VALUE"""),"https://drive.google.com/open?id=135lffPeuyEr33WeMtI8SWpmgcErped5g")</f>
        <v>https://drive.google.com/open?id=135lffPeuyEr33WeMtI8SWpmgcErped5g</v>
      </c>
      <c r="O88" s="71" t="str">
        <f>IFERROR(__xludf.DUMMYFUNCTION("""COMPUTED_VALUE"""),"2018-2022")</f>
        <v>2018-2022</v>
      </c>
      <c r="P88" s="71" t="str">
        <f>IFERROR(__xludf.DUMMYFUNCTION("""COMPUTED_VALUE"""),"S5: Student Workshops/Conf attended")</f>
        <v>S5: Student Workshops/Conf attended</v>
      </c>
      <c r="Q88" s="71" t="str">
        <f>IFERROR(__xludf.DUMMYFUNCTION("""COMPUTED_VALUE"""),"vijayaramaraju1999@gmail.com")</f>
        <v>vijayaramaraju1999@gmail.com</v>
      </c>
      <c r="R88" s="71" t="str">
        <f>IFERROR(__xludf.DUMMYFUNCTION("""COMPUTED_VALUE"""),"SEM-8")</f>
        <v>SEM-8</v>
      </c>
      <c r="S88" s="74"/>
      <c r="T88" s="74"/>
      <c r="U88" s="74"/>
      <c r="V88" s="74"/>
      <c r="W88" s="74"/>
      <c r="X88" s="74"/>
      <c r="Y88" s="74"/>
    </row>
    <row r="89" ht="26.25" customHeight="1">
      <c r="A89" s="71" t="str">
        <f>IFERROR(__xludf.DUMMYFUNCTION("""COMPUTED_VALUE"""),"TIRUMALARAJU VIJAYARAMA MOHITH VARMA")</f>
        <v>TIRUMALARAJU VIJAYARAMA MOHITH VARMA</v>
      </c>
      <c r="B89" s="71" t="str">
        <f>IFERROR(__xludf.DUMMYFUNCTION("""COMPUTED_VALUE"""),"18331A05F8")</f>
        <v>18331A05F8</v>
      </c>
      <c r="C89" s="71" t="str">
        <f>IFERROR(__xludf.DUMMYFUNCTION("""COMPUTED_VALUE"""),"2021-2022")</f>
        <v>2021-2022</v>
      </c>
      <c r="D89" s="71" t="str">
        <f>IFERROR(__xludf.DUMMYFUNCTION("""COMPUTED_VALUE"""),"Workshop")</f>
        <v>Workshop</v>
      </c>
      <c r="E89" s="71" t="str">
        <f>IFERROR(__xludf.DUMMYFUNCTION("""COMPUTED_VALUE"""),"TECHFEST IIT BOMBAY-IOT")</f>
        <v>TECHFEST IIT BOMBAY-IOT</v>
      </c>
      <c r="F89" s="71">
        <f>IFERROR(__xludf.DUMMYFUNCTION("""COMPUTED_VALUE"""),60.0)</f>
        <v>60</v>
      </c>
      <c r="G89" s="72">
        <f>IFERROR(__xludf.DUMMYFUNCTION("""COMPUTED_VALUE"""),44511.0)</f>
        <v>44511</v>
      </c>
      <c r="H89" s="72">
        <f>IFERROR(__xludf.DUMMYFUNCTION("""COMPUTED_VALUE"""),44572.0)</f>
        <v>44572</v>
      </c>
      <c r="I89" s="73" t="str">
        <f>IFERROR(__xludf.DUMMYFUNCTION("""COMPUTED_VALUE"""),"1STOP.AI")</f>
        <v>1STOP.AI</v>
      </c>
      <c r="J89" s="71" t="str">
        <f>IFERROR(__xludf.DUMMYFUNCTION("""COMPUTED_VALUE"""),"PAUL MATHEW.I")</f>
        <v>PAUL MATHEW.I</v>
      </c>
      <c r="K89" s="71" t="str">
        <f>IFERROR(__xludf.DUMMYFUNCTION("""COMPUTED_VALUE"""),"National")</f>
        <v>National</v>
      </c>
      <c r="L89" s="71" t="str">
        <f>IFERROR(__xludf.DUMMYFUNCTION("""COMPUTED_VALUE"""),"Paid")</f>
        <v>Paid</v>
      </c>
      <c r="M89" s="71">
        <f>IFERROR(__xludf.DUMMYFUNCTION("""COMPUTED_VALUE"""),1000.0)</f>
        <v>1000</v>
      </c>
      <c r="N89" s="73" t="str">
        <f>IFERROR(__xludf.DUMMYFUNCTION("""COMPUTED_VALUE"""),"https://drive.google.com/open?id=1xHB7KlbUemK4WT97QXCv1wmS6wBM8Ib9")</f>
        <v>https://drive.google.com/open?id=1xHB7KlbUemK4WT97QXCv1wmS6wBM8Ib9</v>
      </c>
      <c r="O89" s="71" t="str">
        <f>IFERROR(__xludf.DUMMYFUNCTION("""COMPUTED_VALUE"""),"2018-2022")</f>
        <v>2018-2022</v>
      </c>
      <c r="P89" s="71" t="str">
        <f>IFERROR(__xludf.DUMMYFUNCTION("""COMPUTED_VALUE"""),"S5: Student Workshops/Conf attended")</f>
        <v>S5: Student Workshops/Conf attended</v>
      </c>
      <c r="Q89" s="71" t="str">
        <f>IFERROR(__xludf.DUMMYFUNCTION("""COMPUTED_VALUE"""),"vijayaramaraju1999@gmail.com")</f>
        <v>vijayaramaraju1999@gmail.com</v>
      </c>
      <c r="R89" s="71" t="str">
        <f>IFERROR(__xludf.DUMMYFUNCTION("""COMPUTED_VALUE"""),"SEM-8")</f>
        <v>SEM-8</v>
      </c>
      <c r="S89" s="74"/>
      <c r="T89" s="74"/>
      <c r="U89" s="74"/>
      <c r="V89" s="74"/>
      <c r="W89" s="74"/>
      <c r="X89" s="74"/>
      <c r="Y89" s="74"/>
    </row>
    <row r="90" ht="26.25" customHeight="1">
      <c r="A90" s="71" t="str">
        <f>IFERROR(__xludf.DUMMYFUNCTION("""COMPUTED_VALUE"""),"TIRUMALARAJU VIJAYARAMA MOHITH VARMA")</f>
        <v>TIRUMALARAJU VIJAYARAMA MOHITH VARMA</v>
      </c>
      <c r="B90" s="71" t="str">
        <f>IFERROR(__xludf.DUMMYFUNCTION("""COMPUTED_VALUE"""),"18331A05F8")</f>
        <v>18331A05F8</v>
      </c>
      <c r="C90" s="71" t="str">
        <f>IFERROR(__xludf.DUMMYFUNCTION("""COMPUTED_VALUE"""),"2021-2022")</f>
        <v>2021-2022</v>
      </c>
      <c r="D90" s="71" t="str">
        <f>IFERROR(__xludf.DUMMYFUNCTION("""COMPUTED_VALUE"""),"Seminar")</f>
        <v>Seminar</v>
      </c>
      <c r="E90" s="71" t="str">
        <f>IFERROR(__xludf.DUMMYFUNCTION("""COMPUTED_VALUE"""),"NATINAL INTELLECTUAL PROPERTY AWARENESS MISSION")</f>
        <v>NATINAL INTELLECTUAL PROPERTY AWARENESS MISSION</v>
      </c>
      <c r="F90" s="71">
        <f>IFERROR(__xludf.DUMMYFUNCTION("""COMPUTED_VALUE"""),1.0)</f>
        <v>1</v>
      </c>
      <c r="G90" s="72">
        <f>IFERROR(__xludf.DUMMYFUNCTION("""COMPUTED_VALUE"""),44657.0)</f>
        <v>44657</v>
      </c>
      <c r="H90" s="72">
        <f>IFERROR(__xludf.DUMMYFUNCTION("""COMPUTED_VALUE"""),44657.0)</f>
        <v>44657</v>
      </c>
      <c r="I90" s="71" t="str">
        <f>IFERROR(__xludf.DUMMYFUNCTION("""COMPUTED_VALUE"""),"INTELLECTUAL PROPERTY OFFICE,INDIA")</f>
        <v>INTELLECTUAL PROPERTY OFFICE,INDIA</v>
      </c>
      <c r="J90" s="71" t="str">
        <f>IFERROR(__xludf.DUMMYFUNCTION("""COMPUTED_VALUE"""),"NA")</f>
        <v>NA</v>
      </c>
      <c r="K90" s="71" t="str">
        <f>IFERROR(__xludf.DUMMYFUNCTION("""COMPUTED_VALUE"""),"National")</f>
        <v>National</v>
      </c>
      <c r="L90" s="71" t="str">
        <f>IFERROR(__xludf.DUMMYFUNCTION("""COMPUTED_VALUE"""),"Free")</f>
        <v>Free</v>
      </c>
      <c r="M90" s="71"/>
      <c r="N90" s="73" t="str">
        <f>IFERROR(__xludf.DUMMYFUNCTION("""COMPUTED_VALUE"""),"https://drive.google.com/open?id=1SITLo59BA2g6jPYZieToe5GLnG9g9zbO")</f>
        <v>https://drive.google.com/open?id=1SITLo59BA2g6jPYZieToe5GLnG9g9zbO</v>
      </c>
      <c r="O90" s="71" t="str">
        <f>IFERROR(__xludf.DUMMYFUNCTION("""COMPUTED_VALUE"""),"2018-2022")</f>
        <v>2018-2022</v>
      </c>
      <c r="P90" s="71" t="str">
        <f>IFERROR(__xludf.DUMMYFUNCTION("""COMPUTED_VALUE"""),"S5: Student Workshops/Conf attended")</f>
        <v>S5: Student Workshops/Conf attended</v>
      </c>
      <c r="Q90" s="71" t="str">
        <f>IFERROR(__xludf.DUMMYFUNCTION("""COMPUTED_VALUE"""),"vijayaramaraju1999@gmail.com")</f>
        <v>vijayaramaraju1999@gmail.com</v>
      </c>
      <c r="R90" s="71" t="str">
        <f>IFERROR(__xludf.DUMMYFUNCTION("""COMPUTED_VALUE"""),"SEM-8")</f>
        <v>SEM-8</v>
      </c>
      <c r="S90" s="74"/>
      <c r="T90" s="74"/>
      <c r="U90" s="74"/>
      <c r="V90" s="74"/>
      <c r="W90" s="74"/>
      <c r="X90" s="74"/>
      <c r="Y90" s="74"/>
    </row>
    <row r="91" ht="26.25" customHeight="1">
      <c r="A91" s="71" t="str">
        <f>IFERROR(__xludf.DUMMYFUNCTION("""COMPUTED_VALUE"""),"manoj varma sagi")</f>
        <v>manoj varma sagi</v>
      </c>
      <c r="B91" s="71" t="str">
        <f>IFERROR(__xludf.DUMMYFUNCTION("""COMPUTED_VALUE"""),"18331A05C8")</f>
        <v>18331A05C8</v>
      </c>
      <c r="C91" s="71" t="str">
        <f>IFERROR(__xludf.DUMMYFUNCTION("""COMPUTED_VALUE"""),"2019-2020")</f>
        <v>2019-2020</v>
      </c>
      <c r="D91" s="71" t="str">
        <f>IFERROR(__xludf.DUMMYFUNCTION("""COMPUTED_VALUE"""),"Workshop")</f>
        <v>Workshop</v>
      </c>
      <c r="E91" s="71" t="str">
        <f>IFERROR(__xludf.DUMMYFUNCTION("""COMPUTED_VALUE"""),"IOT")</f>
        <v>IOT</v>
      </c>
      <c r="F91" s="71">
        <f>IFERROR(__xludf.DUMMYFUNCTION("""COMPUTED_VALUE"""),2.0)</f>
        <v>2</v>
      </c>
      <c r="G91" s="72">
        <f>IFERROR(__xludf.DUMMYFUNCTION("""COMPUTED_VALUE"""),43694.0)</f>
        <v>43694</v>
      </c>
      <c r="H91" s="72">
        <f>IFERROR(__xludf.DUMMYFUNCTION("""COMPUTED_VALUE"""),43695.0)</f>
        <v>43695</v>
      </c>
      <c r="I91" s="71" t="str">
        <f>IFERROR(__xludf.DUMMYFUNCTION("""COMPUTED_VALUE"""),"IIT HYDERABAD")</f>
        <v>IIT HYDERABAD</v>
      </c>
      <c r="J91" s="71" t="str">
        <f>IFERROR(__xludf.DUMMYFUNCTION("""COMPUTED_VALUE"""),"KYRION TECHNOLOGIES")</f>
        <v>KYRION TECHNOLOGIES</v>
      </c>
      <c r="K91" s="71" t="str">
        <f>IFERROR(__xludf.DUMMYFUNCTION("""COMPUTED_VALUE"""),"National")</f>
        <v>National</v>
      </c>
      <c r="L91" s="71" t="str">
        <f>IFERROR(__xludf.DUMMYFUNCTION("""COMPUTED_VALUE"""),"Paid")</f>
        <v>Paid</v>
      </c>
      <c r="M91" s="71">
        <f>IFERROR(__xludf.DUMMYFUNCTION("""COMPUTED_VALUE"""),1250.0)</f>
        <v>1250</v>
      </c>
      <c r="N91" s="73" t="str">
        <f>IFERROR(__xludf.DUMMYFUNCTION("""COMPUTED_VALUE"""),"https://drive.google.com/open?id=1Ra_1aYRguclV2sJfGLJG3mjP_04GJuSP")</f>
        <v>https://drive.google.com/open?id=1Ra_1aYRguclV2sJfGLJG3mjP_04GJuSP</v>
      </c>
      <c r="O91" s="71" t="str">
        <f>IFERROR(__xludf.DUMMYFUNCTION("""COMPUTED_VALUE"""),"2018-2022")</f>
        <v>2018-2022</v>
      </c>
      <c r="P91" s="71" t="str">
        <f>IFERROR(__xludf.DUMMYFUNCTION("""COMPUTED_VALUE"""),"S5: Student Workshops/Conf attended")</f>
        <v>S5: Student Workshops/Conf attended</v>
      </c>
      <c r="Q91" s="71" t="str">
        <f>IFERROR(__xludf.DUMMYFUNCTION("""COMPUTED_VALUE"""),"manojvarmaaa13@gmail.com")</f>
        <v>manojvarmaaa13@gmail.com</v>
      </c>
      <c r="R91" s="71" t="str">
        <f>IFERROR(__xludf.DUMMYFUNCTION("""COMPUTED_VALUE"""),"SEM-8")</f>
        <v>SEM-8</v>
      </c>
      <c r="S91" s="74"/>
      <c r="T91" s="74"/>
      <c r="U91" s="74"/>
      <c r="V91" s="74"/>
      <c r="W91" s="74"/>
      <c r="X91" s="74"/>
      <c r="Y91" s="74"/>
    </row>
    <row r="92" ht="26.25" customHeight="1">
      <c r="A92" s="71" t="str">
        <f>IFERROR(__xludf.DUMMYFUNCTION("""COMPUTED_VALUE"""),"Thudumu Soni kumar")</f>
        <v>Thudumu Soni kumar</v>
      </c>
      <c r="B92" s="71" t="str">
        <f>IFERROR(__xludf.DUMMYFUNCTION("""COMPUTED_VALUE"""),"18331A05F6")</f>
        <v>18331A05F6</v>
      </c>
      <c r="C92" s="71" t="str">
        <f>IFERROR(__xludf.DUMMYFUNCTION("""COMPUTED_VALUE"""),"2019-2020")</f>
        <v>2019-2020</v>
      </c>
      <c r="D92" s="71" t="str">
        <f>IFERROR(__xludf.DUMMYFUNCTION("""COMPUTED_VALUE"""),"Workshop")</f>
        <v>Workshop</v>
      </c>
      <c r="E92" s="71" t="str">
        <f>IFERROR(__xludf.DUMMYFUNCTION("""COMPUTED_VALUE"""),"Internet of things ")</f>
        <v>Internet of things </v>
      </c>
      <c r="F92" s="71">
        <f>IFERROR(__xludf.DUMMYFUNCTION("""COMPUTED_VALUE"""),2.0)</f>
        <v>2</v>
      </c>
      <c r="G92" s="72">
        <f>IFERROR(__xludf.DUMMYFUNCTION("""COMPUTED_VALUE"""),43694.0)</f>
        <v>43694</v>
      </c>
      <c r="H92" s="72">
        <f>IFERROR(__xludf.DUMMYFUNCTION("""COMPUTED_VALUE"""),43695.0)</f>
        <v>43695</v>
      </c>
      <c r="I92" s="71" t="str">
        <f>IFERROR(__xludf.DUMMYFUNCTION("""COMPUTED_VALUE"""),"Kyrion Technologies PVT.LTD at IIT Hyderabad")</f>
        <v>Kyrion Technologies PVT.LTD at IIT Hyderabad</v>
      </c>
      <c r="J92" s="71" t="str">
        <f>IFERROR(__xludf.DUMMYFUNCTION("""COMPUTED_VALUE"""),"Kyrion")</f>
        <v>Kyrion</v>
      </c>
      <c r="K92" s="71" t="str">
        <f>IFERROR(__xludf.DUMMYFUNCTION("""COMPUTED_VALUE"""),"National")</f>
        <v>National</v>
      </c>
      <c r="L92" s="71" t="str">
        <f>IFERROR(__xludf.DUMMYFUNCTION("""COMPUTED_VALUE"""),"Paid")</f>
        <v>Paid</v>
      </c>
      <c r="M92" s="71"/>
      <c r="N92" s="73" t="str">
        <f>IFERROR(__xludf.DUMMYFUNCTION("""COMPUTED_VALUE"""),"https://drive.google.com/open?id=16U575sMRpFQYinxQDwYYXgmIvOKTrbCr")</f>
        <v>https://drive.google.com/open?id=16U575sMRpFQYinxQDwYYXgmIvOKTrbCr</v>
      </c>
      <c r="O92" s="71" t="str">
        <f>IFERROR(__xludf.DUMMYFUNCTION("""COMPUTED_VALUE"""),"2018-2022")</f>
        <v>2018-2022</v>
      </c>
      <c r="P92" s="71" t="str">
        <f>IFERROR(__xludf.DUMMYFUNCTION("""COMPUTED_VALUE"""),"S5: Student Workshops/Conf attended")</f>
        <v>S5: Student Workshops/Conf attended</v>
      </c>
      <c r="Q92" s="71" t="str">
        <f>IFERROR(__xludf.DUMMYFUNCTION("""COMPUTED_VALUE"""),"tsksoni1@gmail.com")</f>
        <v>tsksoni1@gmail.com</v>
      </c>
      <c r="R92" s="71" t="str">
        <f>IFERROR(__xludf.DUMMYFUNCTION("""COMPUTED_VALUE"""),"SEM-3")</f>
        <v>SEM-3</v>
      </c>
      <c r="S92" s="74"/>
      <c r="T92" s="74"/>
      <c r="U92" s="74"/>
      <c r="V92" s="74"/>
      <c r="W92" s="74"/>
      <c r="X92" s="74"/>
      <c r="Y92" s="74"/>
    </row>
    <row r="93" ht="26.25" customHeight="1">
      <c r="A93" s="71" t="str">
        <f>IFERROR(__xludf.DUMMYFUNCTION("""COMPUTED_VALUE"""),"Manukonda Royal Frederick ")</f>
        <v>Manukonda Royal Frederick </v>
      </c>
      <c r="B93" s="71" t="str">
        <f>IFERROR(__xludf.DUMMYFUNCTION("""COMPUTED_VALUE"""),"18331A0595")</f>
        <v>18331A0595</v>
      </c>
      <c r="C93" s="71" t="str">
        <f>IFERROR(__xludf.DUMMYFUNCTION("""COMPUTED_VALUE"""),"2018-2019")</f>
        <v>2018-2019</v>
      </c>
      <c r="D93" s="71" t="str">
        <f>IFERROR(__xludf.DUMMYFUNCTION("""COMPUTED_VALUE"""),"Workshop")</f>
        <v>Workshop</v>
      </c>
      <c r="E93" s="71" t="str">
        <f>IFERROR(__xludf.DUMMYFUNCTION("""COMPUTED_VALUE"""),"workshop ")</f>
        <v>workshop </v>
      </c>
      <c r="F93" s="71">
        <f>IFERROR(__xludf.DUMMYFUNCTION("""COMPUTED_VALUE"""),2.0)</f>
        <v>2</v>
      </c>
      <c r="G93" s="72">
        <f>IFERROR(__xludf.DUMMYFUNCTION("""COMPUTED_VALUE"""),43379.0)</f>
        <v>43379</v>
      </c>
      <c r="H93" s="72">
        <f>IFERROR(__xludf.DUMMYFUNCTION("""COMPUTED_VALUE"""),43380.0)</f>
        <v>43380</v>
      </c>
      <c r="I93" s="71" t="str">
        <f>IFERROR(__xludf.DUMMYFUNCTION("""COMPUTED_VALUE"""),"Swecha")</f>
        <v>Swecha</v>
      </c>
      <c r="J93" s="71" t="str">
        <f>IFERROR(__xludf.DUMMYFUNCTION("""COMPUTED_VALUE"""),"M Vamsi Krishna")</f>
        <v>M Vamsi Krishna</v>
      </c>
      <c r="K93" s="71" t="str">
        <f>IFERROR(__xludf.DUMMYFUNCTION("""COMPUTED_VALUE"""),"State")</f>
        <v>State</v>
      </c>
      <c r="L93" s="71" t="str">
        <f>IFERROR(__xludf.DUMMYFUNCTION("""COMPUTED_VALUE"""),"Free")</f>
        <v>Free</v>
      </c>
      <c r="M93" s="71"/>
      <c r="N93" s="73" t="str">
        <f>IFERROR(__xludf.DUMMYFUNCTION("""COMPUTED_VALUE"""),"https://drive.google.com/open?id=1NowfernrLisMsTjXwN2MTz0gb5_43kXk")</f>
        <v>https://drive.google.com/open?id=1NowfernrLisMsTjXwN2MTz0gb5_43kXk</v>
      </c>
      <c r="O93" s="71" t="str">
        <f>IFERROR(__xludf.DUMMYFUNCTION("""COMPUTED_VALUE"""),"2018-2022")</f>
        <v>2018-2022</v>
      </c>
      <c r="P93" s="71" t="str">
        <f>IFERROR(__xludf.DUMMYFUNCTION("""COMPUTED_VALUE"""),"S5: Student Workshops/Conf attended")</f>
        <v>S5: Student Workshops/Conf attended</v>
      </c>
      <c r="Q93" s="71" t="str">
        <f>IFERROR(__xludf.DUMMYFUNCTION("""COMPUTED_VALUE"""),"royalfrederickmanukonda@gmail.com")</f>
        <v>royalfrederickmanukonda@gmail.com</v>
      </c>
      <c r="R93" s="71" t="str">
        <f>IFERROR(__xludf.DUMMYFUNCTION("""COMPUTED_VALUE"""),"SEM-8")</f>
        <v>SEM-8</v>
      </c>
      <c r="S93" s="74"/>
      <c r="T93" s="74"/>
      <c r="U93" s="74"/>
      <c r="V93" s="74"/>
      <c r="W93" s="74"/>
      <c r="X93" s="74"/>
      <c r="Y93" s="74"/>
    </row>
    <row r="94" ht="26.25" customHeight="1">
      <c r="A94" s="71" t="str">
        <f>IFERROR(__xludf.DUMMYFUNCTION("""COMPUTED_VALUE"""),"Donthamsetti Sumitha")</f>
        <v>Donthamsetti Sumitha</v>
      </c>
      <c r="B94" s="71" t="str">
        <f>IFERROR(__xludf.DUMMYFUNCTION("""COMPUTED_VALUE"""),"18331A0535")</f>
        <v>18331A0535</v>
      </c>
      <c r="C94" s="71" t="str">
        <f>IFERROR(__xludf.DUMMYFUNCTION("""COMPUTED_VALUE"""),"2020-2021")</f>
        <v>2020-2021</v>
      </c>
      <c r="D94" s="71" t="str">
        <f>IFERROR(__xludf.DUMMYFUNCTION("""COMPUTED_VALUE"""),"Workshop")</f>
        <v>Workshop</v>
      </c>
      <c r="E94" s="71" t="str">
        <f>IFERROR(__xludf.DUMMYFUNCTION("""COMPUTED_VALUE"""),"Python Online Workshop")</f>
        <v>Python Online Workshop</v>
      </c>
      <c r="F94" s="71">
        <f>IFERROR(__xludf.DUMMYFUNCTION("""COMPUTED_VALUE"""),2.0)</f>
        <v>2</v>
      </c>
      <c r="G94" s="72">
        <f>IFERROR(__xludf.DUMMYFUNCTION("""COMPUTED_VALUE"""),44016.0)</f>
        <v>44016</v>
      </c>
      <c r="H94" s="72">
        <f>IFERROR(__xludf.DUMMYFUNCTION("""COMPUTED_VALUE"""),44017.0)</f>
        <v>44017</v>
      </c>
      <c r="I94" s="71" t="str">
        <f>IFERROR(__xludf.DUMMYFUNCTION("""COMPUTED_VALUE"""),"Kyrion technologies")</f>
        <v>Kyrion technologies</v>
      </c>
      <c r="J94" s="71" t="str">
        <f>IFERROR(__xludf.DUMMYFUNCTION("""COMPUTED_VALUE"""),"Rishabh Mehta")</f>
        <v>Rishabh Mehta</v>
      </c>
      <c r="K94" s="71" t="str">
        <f>IFERROR(__xludf.DUMMYFUNCTION("""COMPUTED_VALUE"""),"National")</f>
        <v>National</v>
      </c>
      <c r="L94" s="71" t="str">
        <f>IFERROR(__xludf.DUMMYFUNCTION("""COMPUTED_VALUE"""),"Paid")</f>
        <v>Paid</v>
      </c>
      <c r="M94" s="71">
        <f>IFERROR(__xludf.DUMMYFUNCTION("""COMPUTED_VALUE"""),299.0)</f>
        <v>299</v>
      </c>
      <c r="N94" s="73" t="str">
        <f>IFERROR(__xludf.DUMMYFUNCTION("""COMPUTED_VALUE"""),"https://drive.google.com/open?id=1NXOPsyh955aIGZjzTRRVIr0FWUw4rpis")</f>
        <v>https://drive.google.com/open?id=1NXOPsyh955aIGZjzTRRVIr0FWUw4rpis</v>
      </c>
      <c r="O94" s="71" t="str">
        <f>IFERROR(__xludf.DUMMYFUNCTION("""COMPUTED_VALUE"""),"2018-2022")</f>
        <v>2018-2022</v>
      </c>
      <c r="P94" s="71" t="str">
        <f>IFERROR(__xludf.DUMMYFUNCTION("""COMPUTED_VALUE"""),"S5: Student Workshops/Conf attended")</f>
        <v>S5: Student Workshops/Conf attended</v>
      </c>
      <c r="Q94" s="71" t="str">
        <f>IFERROR(__xludf.DUMMYFUNCTION("""COMPUTED_VALUE"""),"sumitha.donthamsetti@gmail.com")</f>
        <v>sumitha.donthamsetti@gmail.com</v>
      </c>
      <c r="R94" s="71" t="str">
        <f>IFERROR(__xludf.DUMMYFUNCTION("""COMPUTED_VALUE"""),"SEM-4")</f>
        <v>SEM-4</v>
      </c>
      <c r="S94" s="74"/>
      <c r="T94" s="74"/>
      <c r="U94" s="74"/>
      <c r="V94" s="74"/>
      <c r="W94" s="74"/>
      <c r="X94" s="74"/>
      <c r="Y94" s="74"/>
    </row>
    <row r="95" ht="26.25" customHeight="1">
      <c r="A95" s="64" t="str">
        <f>IFERROR(__xludf.DUMMYFUNCTION("""COMPUTED_VALUE"""),"Kolluru Sai Venkata Ravi Sastry")</f>
        <v>Kolluru Sai Venkata Ravi Sastry</v>
      </c>
      <c r="B95" s="64" t="str">
        <f>IFERROR(__xludf.DUMMYFUNCTION("""COMPUTED_VALUE"""),"20331A0588")</f>
        <v>20331A0588</v>
      </c>
      <c r="C95" s="64" t="str">
        <f>IFERROR(__xludf.DUMMYFUNCTION("""COMPUTED_VALUE"""),"2021-2022")</f>
        <v>2021-2022</v>
      </c>
      <c r="D95" s="64" t="str">
        <f>IFERROR(__xludf.DUMMYFUNCTION("""COMPUTED_VALUE"""),"Workshop")</f>
        <v>Workshop</v>
      </c>
      <c r="E95" s="64" t="str">
        <f>IFERROR(__xludf.DUMMYFUNCTION("""COMPUTED_VALUE"""),"MACHINE LEARNING")</f>
        <v>MACHINE LEARNING</v>
      </c>
      <c r="F95" s="64">
        <f>IFERROR(__xludf.DUMMYFUNCTION("""COMPUTED_VALUE"""),1.0)</f>
        <v>1</v>
      </c>
      <c r="G95" s="114">
        <f>IFERROR(__xludf.DUMMYFUNCTION("""COMPUTED_VALUE"""),44626.0)</f>
        <v>44626</v>
      </c>
      <c r="H95" s="114">
        <f>IFERROR(__xludf.DUMMYFUNCTION("""COMPUTED_VALUE"""),44626.0)</f>
        <v>44626</v>
      </c>
      <c r="I95" s="64" t="str">
        <f>IFERROR(__xludf.DUMMYFUNCTION("""COMPUTED_VALUE"""),"NIT TRICHY")</f>
        <v>NIT TRICHY</v>
      </c>
      <c r="J95" s="64" t="str">
        <f>IFERROR(__xludf.DUMMYFUNCTION("""COMPUTED_VALUE"""),"M.SRI KRISHNA")</f>
        <v>M.SRI KRISHNA</v>
      </c>
      <c r="K95" s="64" t="str">
        <f>IFERROR(__xludf.DUMMYFUNCTION("""COMPUTED_VALUE"""),"National")</f>
        <v>National</v>
      </c>
      <c r="L95" s="64" t="str">
        <f>IFERROR(__xludf.DUMMYFUNCTION("""COMPUTED_VALUE"""),"Paid")</f>
        <v>Paid</v>
      </c>
      <c r="M95" s="64">
        <f>IFERROR(__xludf.DUMMYFUNCTION("""COMPUTED_VALUE"""),70.0)</f>
        <v>70</v>
      </c>
      <c r="N95" s="115" t="str">
        <f>IFERROR(__xludf.DUMMYFUNCTION("""COMPUTED_VALUE"""),"https://drive.google.com/open?id=1g38x1n1M60apvsFzB3wZCCoaSepNDmv9")</f>
        <v>https://drive.google.com/open?id=1g38x1n1M60apvsFzB3wZCCoaSepNDmv9</v>
      </c>
      <c r="O95" s="64" t="str">
        <f>IFERROR(__xludf.DUMMYFUNCTION("""COMPUTED_VALUE"""),"2020-2024")</f>
        <v>2020-2024</v>
      </c>
      <c r="P95" s="64" t="str">
        <f>IFERROR(__xludf.DUMMYFUNCTION("""COMPUTED_VALUE"""),"S5: Student Workshops/Conf attended")</f>
        <v>S5: Student Workshops/Conf attended</v>
      </c>
      <c r="Q95" s="64" t="str">
        <f>IFERROR(__xludf.DUMMYFUNCTION("""COMPUTED_VALUE"""),"ravisastrykolluru2021@gmail.com")</f>
        <v>ravisastrykolluru2021@gmail.com</v>
      </c>
      <c r="R95" s="64" t="str">
        <f>IFERROR(__xludf.DUMMYFUNCTION("""COMPUTED_VALUE"""),"SEM-4")</f>
        <v>SEM-4</v>
      </c>
      <c r="S95" s="12"/>
      <c r="T95" s="12"/>
      <c r="U95" s="12"/>
      <c r="V95" s="12"/>
      <c r="W95" s="12"/>
      <c r="X95" s="12"/>
      <c r="Y95" s="12"/>
    </row>
    <row r="96" ht="26.25" customHeight="1">
      <c r="A96" s="64" t="str">
        <f>IFERROR(__xludf.DUMMYFUNCTION("""COMPUTED_VALUE"""),"Kolluru Sai Venkata Ravi Sastry")</f>
        <v>Kolluru Sai Venkata Ravi Sastry</v>
      </c>
      <c r="B96" s="64" t="str">
        <f>IFERROR(__xludf.DUMMYFUNCTION("""COMPUTED_VALUE"""),"20331A0588")</f>
        <v>20331A0588</v>
      </c>
      <c r="C96" s="64" t="str">
        <f>IFERROR(__xludf.DUMMYFUNCTION("""COMPUTED_VALUE"""),"2021-2022")</f>
        <v>2021-2022</v>
      </c>
      <c r="D96" s="64" t="str">
        <f>IFERROR(__xludf.DUMMYFUNCTION("""COMPUTED_VALUE"""),"Workshop")</f>
        <v>Workshop</v>
      </c>
      <c r="E96" s="64" t="str">
        <f>IFERROR(__xludf.DUMMYFUNCTION("""COMPUTED_VALUE"""),"Cybersecurity and ethical Hacking")</f>
        <v>Cybersecurity and ethical Hacking</v>
      </c>
      <c r="F96" s="64">
        <f>IFERROR(__xludf.DUMMYFUNCTION("""COMPUTED_VALUE"""),1.0)</f>
        <v>1</v>
      </c>
      <c r="G96" s="114">
        <f>IFERROR(__xludf.DUMMYFUNCTION("""COMPUTED_VALUE"""),44619.0)</f>
        <v>44619</v>
      </c>
      <c r="H96" s="114">
        <f>IFERROR(__xludf.DUMMYFUNCTION("""COMPUTED_VALUE"""),44619.0)</f>
        <v>44619</v>
      </c>
      <c r="I96" s="64" t="str">
        <f>IFERROR(__xludf.DUMMYFUNCTION("""COMPUTED_VALUE"""),"NIT TRICHY")</f>
        <v>NIT TRICHY</v>
      </c>
      <c r="J96" s="64" t="str">
        <f>IFERROR(__xludf.DUMMYFUNCTION("""COMPUTED_VALUE"""),"M.SRI KRISHNA")</f>
        <v>M.SRI KRISHNA</v>
      </c>
      <c r="K96" s="64" t="str">
        <f>IFERROR(__xludf.DUMMYFUNCTION("""COMPUTED_VALUE"""),"National")</f>
        <v>National</v>
      </c>
      <c r="L96" s="64" t="str">
        <f>IFERROR(__xludf.DUMMYFUNCTION("""COMPUTED_VALUE"""),"Free")</f>
        <v>Free</v>
      </c>
      <c r="M96" s="64"/>
      <c r="N96" s="115" t="str">
        <f>IFERROR(__xludf.DUMMYFUNCTION("""COMPUTED_VALUE"""),"https://drive.google.com/open?id=1VIjxi_MlNnA9ugQx67YvTGsEQC5oDd4y")</f>
        <v>https://drive.google.com/open?id=1VIjxi_MlNnA9ugQx67YvTGsEQC5oDd4y</v>
      </c>
      <c r="O96" s="64" t="str">
        <f>IFERROR(__xludf.DUMMYFUNCTION("""COMPUTED_VALUE"""),"2020-2024")</f>
        <v>2020-2024</v>
      </c>
      <c r="P96" s="64" t="str">
        <f>IFERROR(__xludf.DUMMYFUNCTION("""COMPUTED_VALUE"""),"S5: Student Workshops/Conf attended")</f>
        <v>S5: Student Workshops/Conf attended</v>
      </c>
      <c r="Q96" s="64" t="str">
        <f>IFERROR(__xludf.DUMMYFUNCTION("""COMPUTED_VALUE"""),"ravisastrykolluru2021@gmail.com")</f>
        <v>ravisastrykolluru2021@gmail.com</v>
      </c>
      <c r="R96" s="64" t="str">
        <f>IFERROR(__xludf.DUMMYFUNCTION("""COMPUTED_VALUE"""),"SEM-4")</f>
        <v>SEM-4</v>
      </c>
      <c r="S96" s="12"/>
      <c r="T96" s="12"/>
      <c r="U96" s="12"/>
      <c r="V96" s="12"/>
      <c r="W96" s="12"/>
      <c r="X96" s="12"/>
      <c r="Y96" s="12"/>
    </row>
    <row r="97" ht="26.25" customHeight="1">
      <c r="A97" s="71" t="str">
        <f>IFERROR(__xludf.DUMMYFUNCTION("""COMPUTED_VALUE"""),"Thota vineetha")</f>
        <v>Thota vineetha</v>
      </c>
      <c r="B97" s="71" t="str">
        <f>IFERROR(__xludf.DUMMYFUNCTION("""COMPUTED_VALUE"""),"18331A05F5")</f>
        <v>18331A05F5</v>
      </c>
      <c r="C97" s="71" t="str">
        <f>IFERROR(__xludf.DUMMYFUNCTION("""COMPUTED_VALUE"""),"2018-2019")</f>
        <v>2018-2019</v>
      </c>
      <c r="D97" s="71" t="str">
        <f>IFERROR(__xludf.DUMMYFUNCTION("""COMPUTED_VALUE"""),"Workshop")</f>
        <v>Workshop</v>
      </c>
      <c r="E97" s="71" t="str">
        <f>IFERROR(__xludf.DUMMYFUNCTION("""COMPUTED_VALUE"""),"Artificial intelligence workshop")</f>
        <v>Artificial intelligence workshop</v>
      </c>
      <c r="F97" s="71">
        <f>IFERROR(__xludf.DUMMYFUNCTION("""COMPUTED_VALUE"""),2.0)</f>
        <v>2</v>
      </c>
      <c r="G97" s="72">
        <f>IFERROR(__xludf.DUMMYFUNCTION("""COMPUTED_VALUE"""),43694.0)</f>
        <v>43694</v>
      </c>
      <c r="H97" s="72">
        <f>IFERROR(__xludf.DUMMYFUNCTION("""COMPUTED_VALUE"""),43695.0)</f>
        <v>43695</v>
      </c>
      <c r="I97" s="71" t="str">
        <f>IFERROR(__xludf.DUMMYFUNCTION("""COMPUTED_VALUE"""),"Kyrion technologies")</f>
        <v>Kyrion technologies</v>
      </c>
      <c r="J97" s="71" t="str">
        <f>IFERROR(__xludf.DUMMYFUNCTION("""COMPUTED_VALUE"""),"Sujatha mehta")</f>
        <v>Sujatha mehta</v>
      </c>
      <c r="K97" s="71" t="str">
        <f>IFERROR(__xludf.DUMMYFUNCTION("""COMPUTED_VALUE"""),"State")</f>
        <v>State</v>
      </c>
      <c r="L97" s="71" t="str">
        <f>IFERROR(__xludf.DUMMYFUNCTION("""COMPUTED_VALUE"""),"Paid")</f>
        <v>Paid</v>
      </c>
      <c r="M97" s="71">
        <f>IFERROR(__xludf.DUMMYFUNCTION("""COMPUTED_VALUE"""),2500.0)</f>
        <v>2500</v>
      </c>
      <c r="N97" s="73" t="str">
        <f>IFERROR(__xludf.DUMMYFUNCTION("""COMPUTED_VALUE"""),"https://drive.google.com/open?id=1VTe8G3ag7QW6ZX3AXCtEh60hSBycfJ4w")</f>
        <v>https://drive.google.com/open?id=1VTe8G3ag7QW6ZX3AXCtEh60hSBycfJ4w</v>
      </c>
      <c r="O97" s="71" t="str">
        <f>IFERROR(__xludf.DUMMYFUNCTION("""COMPUTED_VALUE"""),"2018-2022")</f>
        <v>2018-2022</v>
      </c>
      <c r="P97" s="71" t="str">
        <f>IFERROR(__xludf.DUMMYFUNCTION("""COMPUTED_VALUE"""),"S5: Student Workshops/Conf attended")</f>
        <v>S5: Student Workshops/Conf attended</v>
      </c>
      <c r="Q97" s="71" t="str">
        <f>IFERROR(__xludf.DUMMYFUNCTION("""COMPUTED_VALUE"""),"vineethathota50@gmail.com")</f>
        <v>vineethathota50@gmail.com</v>
      </c>
      <c r="R97" s="71" t="str">
        <f>IFERROR(__xludf.DUMMYFUNCTION("""COMPUTED_VALUE"""),"SEM-8")</f>
        <v>SEM-8</v>
      </c>
      <c r="S97" s="74"/>
      <c r="T97" s="74"/>
      <c r="U97" s="74"/>
      <c r="V97" s="74"/>
      <c r="W97" s="74"/>
      <c r="X97" s="74"/>
      <c r="Y97" s="74"/>
    </row>
    <row r="98" ht="26.25" customHeight="1">
      <c r="A98" s="64" t="str">
        <f>IFERROR(__xludf.DUMMYFUNCTION("""COMPUTED_VALUE"""),"Killana Gayatri Venkata Manikanta")</f>
        <v>Killana Gayatri Venkata Manikanta</v>
      </c>
      <c r="B98" s="64" t="str">
        <f>IFERROR(__xludf.DUMMYFUNCTION("""COMPUTED_VALUE"""),"18331A0576")</f>
        <v>18331A0576</v>
      </c>
      <c r="C98" s="64" t="str">
        <f>IFERROR(__xludf.DUMMYFUNCTION("""COMPUTED_VALUE"""),"2019-2020")</f>
        <v>2019-2020</v>
      </c>
      <c r="D98" s="64" t="str">
        <f>IFERROR(__xludf.DUMMYFUNCTION("""COMPUTED_VALUE"""),"Workshop")</f>
        <v>Workshop</v>
      </c>
      <c r="E98" s="64" t="str">
        <f>IFERROR(__xludf.DUMMYFUNCTION("""COMPUTED_VALUE"""),"MOBILE APPLICATION DEVELOPMENT")</f>
        <v>MOBILE APPLICATION DEVELOPMENT</v>
      </c>
      <c r="F98" s="64">
        <f>IFERROR(__xludf.DUMMYFUNCTION("""COMPUTED_VALUE"""),2.0)</f>
        <v>2</v>
      </c>
      <c r="G98" s="114">
        <f>IFERROR(__xludf.DUMMYFUNCTION("""COMPUTED_VALUE"""),43688.0)</f>
        <v>43688</v>
      </c>
      <c r="H98" s="114">
        <f>IFERROR(__xludf.DUMMYFUNCTION("""COMPUTED_VALUE"""),43689.0)</f>
        <v>43689</v>
      </c>
      <c r="I98" s="64" t="str">
        <f>IFERROR(__xludf.DUMMYFUNCTION("""COMPUTED_VALUE"""),"SQUARE SB SOFTWARE SOLUTIONS ")</f>
        <v>SQUARE SB SOFTWARE SOLUTIONS </v>
      </c>
      <c r="J98" s="64" t="str">
        <f>IFERROR(__xludf.DUMMYFUNCTION("""COMPUTED_VALUE"""),"Bharat")</f>
        <v>Bharat</v>
      </c>
      <c r="K98" s="64" t="str">
        <f>IFERROR(__xludf.DUMMYFUNCTION("""COMPUTED_VALUE"""),"State")</f>
        <v>State</v>
      </c>
      <c r="L98" s="64" t="str">
        <f>IFERROR(__xludf.DUMMYFUNCTION("""COMPUTED_VALUE"""),"Paid")</f>
        <v>Paid</v>
      </c>
      <c r="M98" s="64">
        <f>IFERROR(__xludf.DUMMYFUNCTION("""COMPUTED_VALUE"""),500.0)</f>
        <v>500</v>
      </c>
      <c r="N98" s="115" t="str">
        <f>IFERROR(__xludf.DUMMYFUNCTION("""COMPUTED_VALUE"""),"https://drive.google.com/open?id=1g0QXVO9noo4etUmIUP_oXpwHqMjRE4Bt")</f>
        <v>https://drive.google.com/open?id=1g0QXVO9noo4etUmIUP_oXpwHqMjRE4Bt</v>
      </c>
      <c r="O98" s="64" t="str">
        <f>IFERROR(__xludf.DUMMYFUNCTION("""COMPUTED_VALUE"""),"2018-2022")</f>
        <v>2018-2022</v>
      </c>
      <c r="P98" s="64" t="str">
        <f>IFERROR(__xludf.DUMMYFUNCTION("""COMPUTED_VALUE"""),"S5: Student Workshops/Conf attended")</f>
        <v>S5: Student Workshops/Conf attended</v>
      </c>
      <c r="Q98" s="64" t="str">
        <f>IFERROR(__xludf.DUMMYFUNCTION("""COMPUTED_VALUE"""),"manikantakillana22@gmail.com")</f>
        <v>manikantakillana22@gmail.com</v>
      </c>
      <c r="R98" s="64" t="str">
        <f>IFERROR(__xludf.DUMMYFUNCTION("""COMPUTED_VALUE"""),"SEM-3")</f>
        <v>SEM-3</v>
      </c>
      <c r="S98" s="12"/>
      <c r="T98" s="12"/>
      <c r="U98" s="12"/>
      <c r="V98" s="12"/>
      <c r="W98" s="12"/>
      <c r="X98" s="12"/>
      <c r="Y98" s="12"/>
    </row>
    <row r="99" ht="26.25" customHeight="1">
      <c r="A99" s="64" t="str">
        <f>IFERROR(__xludf.DUMMYFUNCTION("""COMPUTED_VALUE"""),"Killana Gayatri Venkata Manikanta")</f>
        <v>Killana Gayatri Venkata Manikanta</v>
      </c>
      <c r="B99" s="64" t="str">
        <f>IFERROR(__xludf.DUMMYFUNCTION("""COMPUTED_VALUE"""),"18331A0576")</f>
        <v>18331A0576</v>
      </c>
      <c r="C99" s="64" t="str">
        <f>IFERROR(__xludf.DUMMYFUNCTION("""COMPUTED_VALUE"""),"2019-2020")</f>
        <v>2019-2020</v>
      </c>
      <c r="D99" s="64" t="str">
        <f>IFERROR(__xludf.DUMMYFUNCTION("""COMPUTED_VALUE"""),"Workshop")</f>
        <v>Workshop</v>
      </c>
      <c r="E99" s="64" t="str">
        <f>IFERROR(__xludf.DUMMYFUNCTION("""COMPUTED_VALUE"""),"INTERNET OF THINGS")</f>
        <v>INTERNET OF THINGS</v>
      </c>
      <c r="F99" s="64">
        <f>IFERROR(__xludf.DUMMYFUNCTION("""COMPUTED_VALUE"""),2.0)</f>
        <v>2</v>
      </c>
      <c r="G99" s="114">
        <f>IFERROR(__xludf.DUMMYFUNCTION("""COMPUTED_VALUE"""),43876.0)</f>
        <v>43876</v>
      </c>
      <c r="H99" s="114">
        <f>IFERROR(__xludf.DUMMYFUNCTION("""COMPUTED_VALUE"""),43877.0)</f>
        <v>43877</v>
      </c>
      <c r="I99" s="64" t="str">
        <f>IFERROR(__xludf.DUMMYFUNCTION("""COMPUTED_VALUE"""),"THE_ORIGIN")</f>
        <v>THE_ORIGIN</v>
      </c>
      <c r="J99" s="64" t="str">
        <f>IFERROR(__xludf.DUMMYFUNCTION("""COMPUTED_VALUE"""),"Bharat")</f>
        <v>Bharat</v>
      </c>
      <c r="K99" s="64" t="str">
        <f>IFERROR(__xludf.DUMMYFUNCTION("""COMPUTED_VALUE"""),"National")</f>
        <v>National</v>
      </c>
      <c r="L99" s="64" t="str">
        <f>IFERROR(__xludf.DUMMYFUNCTION("""COMPUTED_VALUE"""),"Paid")</f>
        <v>Paid</v>
      </c>
      <c r="M99" s="64">
        <f>IFERROR(__xludf.DUMMYFUNCTION("""COMPUTED_VALUE"""),500.0)</f>
        <v>500</v>
      </c>
      <c r="N99" s="115" t="str">
        <f>IFERROR(__xludf.DUMMYFUNCTION("""COMPUTED_VALUE"""),"https://drive.google.com/open?id=1u3NS11v0fvpPHhZMHMMRQxaGA8DySqfG")</f>
        <v>https://drive.google.com/open?id=1u3NS11v0fvpPHhZMHMMRQxaGA8DySqfG</v>
      </c>
      <c r="O99" s="64" t="str">
        <f>IFERROR(__xludf.DUMMYFUNCTION("""COMPUTED_VALUE"""),"2018-2022")</f>
        <v>2018-2022</v>
      </c>
      <c r="P99" s="64" t="str">
        <f>IFERROR(__xludf.DUMMYFUNCTION("""COMPUTED_VALUE"""),"S5: Student Workshops/Conf attended")</f>
        <v>S5: Student Workshops/Conf attended</v>
      </c>
      <c r="Q99" s="64" t="str">
        <f>IFERROR(__xludf.DUMMYFUNCTION("""COMPUTED_VALUE"""),"manikantakillana22@gmail.com")</f>
        <v>manikantakillana22@gmail.com</v>
      </c>
      <c r="R99" s="64" t="str">
        <f>IFERROR(__xludf.DUMMYFUNCTION("""COMPUTED_VALUE"""),"SEM-4")</f>
        <v>SEM-4</v>
      </c>
      <c r="S99" s="12"/>
      <c r="T99" s="12"/>
      <c r="U99" s="12"/>
      <c r="V99" s="12"/>
      <c r="W99" s="12"/>
      <c r="X99" s="12"/>
      <c r="Y99" s="12"/>
    </row>
    <row r="100" ht="26.25" customHeight="1">
      <c r="A100" s="71" t="str">
        <f>IFERROR(__xludf.DUMMYFUNCTION("""COMPUTED_VALUE"""),"Muppaneni Gayatri Srinidhi")</f>
        <v>Muppaneni Gayatri Srinidhi</v>
      </c>
      <c r="B100" s="71" t="str">
        <f>IFERROR(__xludf.DUMMYFUNCTION("""COMPUTED_VALUE"""),"18331A05A3")</f>
        <v>18331A05A3</v>
      </c>
      <c r="C100" s="71" t="str">
        <f>IFERROR(__xludf.DUMMYFUNCTION("""COMPUTED_VALUE"""),"2021-2022")</f>
        <v>2021-2022</v>
      </c>
      <c r="D100" s="71" t="str">
        <f>IFERROR(__xludf.DUMMYFUNCTION("""COMPUTED_VALUE"""),"Seminar")</f>
        <v>Seminar</v>
      </c>
      <c r="E100" s="71" t="str">
        <f>IFERROR(__xludf.DUMMYFUNCTION("""COMPUTED_VALUE"""),"National intellectual property awareness mission ")</f>
        <v>National intellectual property awareness mission </v>
      </c>
      <c r="F100" s="71">
        <f>IFERROR(__xludf.DUMMYFUNCTION("""COMPUTED_VALUE"""),1.0)</f>
        <v>1</v>
      </c>
      <c r="G100" s="72">
        <f>IFERROR(__xludf.DUMMYFUNCTION("""COMPUTED_VALUE"""),44567.0)</f>
        <v>44567</v>
      </c>
      <c r="H100" s="72">
        <f>IFERROR(__xludf.DUMMYFUNCTION("""COMPUTED_VALUE"""),44567.0)</f>
        <v>44567</v>
      </c>
      <c r="I100" s="71" t="str">
        <f>IFERROR(__xludf.DUMMYFUNCTION("""COMPUTED_VALUE"""),"Intellectual property office, India ")</f>
        <v>Intellectual property office, India </v>
      </c>
      <c r="J100" s="71" t="str">
        <f>IFERROR(__xludf.DUMMYFUNCTION("""COMPUTED_VALUE"""),"Vamsi sir ")</f>
        <v>Vamsi sir </v>
      </c>
      <c r="K100" s="71" t="str">
        <f>IFERROR(__xludf.DUMMYFUNCTION("""COMPUTED_VALUE"""),"National")</f>
        <v>National</v>
      </c>
      <c r="L100" s="71" t="str">
        <f>IFERROR(__xludf.DUMMYFUNCTION("""COMPUTED_VALUE"""),"Free")</f>
        <v>Free</v>
      </c>
      <c r="M100" s="71"/>
      <c r="N100" s="73" t="str">
        <f>IFERROR(__xludf.DUMMYFUNCTION("""COMPUTED_VALUE"""),"https://drive.google.com/open?id=1EkYPRhT0FUNeDhx1N_rR_eAwme2sNrD8")</f>
        <v>https://drive.google.com/open?id=1EkYPRhT0FUNeDhx1N_rR_eAwme2sNrD8</v>
      </c>
      <c r="O100" s="71" t="str">
        <f>IFERROR(__xludf.DUMMYFUNCTION("""COMPUTED_VALUE"""),"2018-2022")</f>
        <v>2018-2022</v>
      </c>
      <c r="P100" s="71" t="str">
        <f>IFERROR(__xludf.DUMMYFUNCTION("""COMPUTED_VALUE"""),"S5: Student Workshops/Conf attended")</f>
        <v>S5: Student Workshops/Conf attended</v>
      </c>
      <c r="Q100" s="71" t="str">
        <f>IFERROR(__xludf.DUMMYFUNCTION("""COMPUTED_VALUE"""),"srinidhimuppaneni@gmail.com")</f>
        <v>srinidhimuppaneni@gmail.com</v>
      </c>
      <c r="R100" s="71" t="str">
        <f>IFERROR(__xludf.DUMMYFUNCTION("""COMPUTED_VALUE"""),"SEM-8")</f>
        <v>SEM-8</v>
      </c>
      <c r="S100" s="74"/>
      <c r="T100" s="74"/>
      <c r="U100" s="74"/>
      <c r="V100" s="74"/>
      <c r="W100" s="74"/>
      <c r="X100" s="74"/>
      <c r="Y100" s="74"/>
    </row>
    <row r="101" ht="26.25" customHeight="1">
      <c r="A101" s="71" t="str">
        <f>IFERROR(__xludf.DUMMYFUNCTION("""COMPUTED_VALUE"""),"Muppaneni Gayatri Srinidhi")</f>
        <v>Muppaneni Gayatri Srinidhi</v>
      </c>
      <c r="B101" s="71" t="str">
        <f>IFERROR(__xludf.DUMMYFUNCTION("""COMPUTED_VALUE"""),"18331A05A3")</f>
        <v>18331A05A3</v>
      </c>
      <c r="C101" s="71" t="str">
        <f>IFERROR(__xludf.DUMMYFUNCTION("""COMPUTED_VALUE"""),"2021-2022")</f>
        <v>2021-2022</v>
      </c>
      <c r="D101" s="71" t="str">
        <f>IFERROR(__xludf.DUMMYFUNCTION("""COMPUTED_VALUE"""),"Workshop")</f>
        <v>Workshop</v>
      </c>
      <c r="E101" s="71" t="str">
        <f>IFERROR(__xludf.DUMMYFUNCTION("""COMPUTED_VALUE"""),"Google developer group devfest 2021")</f>
        <v>Google developer group devfest 2021</v>
      </c>
      <c r="F101" s="71">
        <f>IFERROR(__xludf.DUMMYFUNCTION("""COMPUTED_VALUE"""),3.0)</f>
        <v>3</v>
      </c>
      <c r="G101" s="72">
        <f>IFERROR(__xludf.DUMMYFUNCTION("""COMPUTED_VALUE"""),44491.0)</f>
        <v>44491</v>
      </c>
      <c r="H101" s="72">
        <f>IFERROR(__xludf.DUMMYFUNCTION("""COMPUTED_VALUE"""),44493.0)</f>
        <v>44493</v>
      </c>
      <c r="I101" s="71" t="str">
        <f>IFERROR(__xludf.DUMMYFUNCTION("""COMPUTED_VALUE"""),"Devfest india")</f>
        <v>Devfest india</v>
      </c>
      <c r="J101" s="71" t="str">
        <f>IFERROR(__xludf.DUMMYFUNCTION("""COMPUTED_VALUE"""),"Online")</f>
        <v>Online</v>
      </c>
      <c r="K101" s="71" t="str">
        <f>IFERROR(__xludf.DUMMYFUNCTION("""COMPUTED_VALUE"""),"National")</f>
        <v>National</v>
      </c>
      <c r="L101" s="71" t="str">
        <f>IFERROR(__xludf.DUMMYFUNCTION("""COMPUTED_VALUE"""),"Free")</f>
        <v>Free</v>
      </c>
      <c r="M101" s="71"/>
      <c r="N101" s="73" t="str">
        <f>IFERROR(__xludf.DUMMYFUNCTION("""COMPUTED_VALUE"""),"https://drive.google.com/open?id=18KJNAHlNOgi39ODIHQNwA6UZDkEVrb_G")</f>
        <v>https://drive.google.com/open?id=18KJNAHlNOgi39ODIHQNwA6UZDkEVrb_G</v>
      </c>
      <c r="O101" s="71" t="str">
        <f>IFERROR(__xludf.DUMMYFUNCTION("""COMPUTED_VALUE"""),"2018-2022")</f>
        <v>2018-2022</v>
      </c>
      <c r="P101" s="71" t="str">
        <f>IFERROR(__xludf.DUMMYFUNCTION("""COMPUTED_VALUE"""),"S5: Student Workshops/Conf attended")</f>
        <v>S5: Student Workshops/Conf attended</v>
      </c>
      <c r="Q101" s="71" t="str">
        <f>IFERROR(__xludf.DUMMYFUNCTION("""COMPUTED_VALUE"""),"srinidhimuppaneni@gmail.com")</f>
        <v>srinidhimuppaneni@gmail.com</v>
      </c>
      <c r="R101" s="71" t="str">
        <f>IFERROR(__xludf.DUMMYFUNCTION("""COMPUTED_VALUE"""),"SEM-8")</f>
        <v>SEM-8</v>
      </c>
      <c r="S101" s="74"/>
      <c r="T101" s="74"/>
      <c r="U101" s="74"/>
      <c r="V101" s="74"/>
      <c r="W101" s="74"/>
      <c r="X101" s="74"/>
      <c r="Y101" s="74"/>
    </row>
    <row r="102" ht="26.25" customHeight="1">
      <c r="A102" s="64" t="str">
        <f>IFERROR(__xludf.DUMMYFUNCTION("""COMPUTED_VALUE"""),"KURELLA AMAR SAI PREETAM")</f>
        <v>KURELLA AMAR SAI PREETAM</v>
      </c>
      <c r="B102" s="64" t="str">
        <f>IFERROR(__xludf.DUMMYFUNCTION("""COMPUTED_VALUE"""),"20331A0596")</f>
        <v>20331A0596</v>
      </c>
      <c r="C102" s="64" t="str">
        <f>IFERROR(__xludf.DUMMYFUNCTION("""COMPUTED_VALUE"""),"2021-2022")</f>
        <v>2021-2022</v>
      </c>
      <c r="D102" s="64" t="str">
        <f>IFERROR(__xludf.DUMMYFUNCTION("""COMPUTED_VALUE"""),"Workshop")</f>
        <v>Workshop</v>
      </c>
      <c r="E102" s="64" t="str">
        <f>IFERROR(__xludf.DUMMYFUNCTION("""COMPUTED_VALUE"""),"IT-YUKTA-2K22")</f>
        <v>IT-YUKTA-2K22</v>
      </c>
      <c r="F102" s="64">
        <f>IFERROR(__xludf.DUMMYFUNCTION("""COMPUTED_VALUE"""),2.0)</f>
        <v>2</v>
      </c>
      <c r="G102" s="114">
        <f>IFERROR(__xludf.DUMMYFUNCTION("""COMPUTED_VALUE"""),44650.0)</f>
        <v>44650</v>
      </c>
      <c r="H102" s="114">
        <f>IFERROR(__xludf.DUMMYFUNCTION("""COMPUTED_VALUE"""),44651.0)</f>
        <v>44651</v>
      </c>
      <c r="I102" s="64" t="str">
        <f>IFERROR(__xludf.DUMMYFUNCTION("""COMPUTED_VALUE"""),"Jntu vizianagaram")</f>
        <v>Jntu vizianagaram</v>
      </c>
      <c r="J102" s="64" t="str">
        <f>IFERROR(__xludf.DUMMYFUNCTION("""COMPUTED_VALUE"""),"G. jayasuma")</f>
        <v>G. jayasuma</v>
      </c>
      <c r="K102" s="64" t="str">
        <f>IFERROR(__xludf.DUMMYFUNCTION("""COMPUTED_VALUE"""),"National")</f>
        <v>National</v>
      </c>
      <c r="L102" s="64" t="str">
        <f>IFERROR(__xludf.DUMMYFUNCTION("""COMPUTED_VALUE"""),"Paid")</f>
        <v>Paid</v>
      </c>
      <c r="M102" s="64">
        <f>IFERROR(__xludf.DUMMYFUNCTION("""COMPUTED_VALUE"""),800.0)</f>
        <v>800</v>
      </c>
      <c r="N102" s="115" t="str">
        <f>IFERROR(__xludf.DUMMYFUNCTION("""COMPUTED_VALUE"""),"https://drive.google.com/open?id=1K4YvXyrOQTuJ2FfJ45B5JuJcD8DQ_fTh")</f>
        <v>https://drive.google.com/open?id=1K4YvXyrOQTuJ2FfJ45B5JuJcD8DQ_fTh</v>
      </c>
      <c r="O102" s="64" t="str">
        <f>IFERROR(__xludf.DUMMYFUNCTION("""COMPUTED_VALUE"""),"2020-2024")</f>
        <v>2020-2024</v>
      </c>
      <c r="P102" s="64" t="str">
        <f>IFERROR(__xludf.DUMMYFUNCTION("""COMPUTED_VALUE"""),"S5: Student Workshops/Conf attended")</f>
        <v>S5: Student Workshops/Conf attended</v>
      </c>
      <c r="Q102" s="64" t="str">
        <f>IFERROR(__xludf.DUMMYFUNCTION("""COMPUTED_VALUE"""),"preetamkurella@gmail.com")</f>
        <v>preetamkurella@gmail.com</v>
      </c>
      <c r="R102" s="64" t="str">
        <f>IFERROR(__xludf.DUMMYFUNCTION("""COMPUTED_VALUE"""),"SEM-4")</f>
        <v>SEM-4</v>
      </c>
      <c r="S102" s="12"/>
      <c r="T102" s="12"/>
      <c r="U102" s="12"/>
      <c r="V102" s="12"/>
      <c r="W102" s="12"/>
      <c r="X102" s="12"/>
      <c r="Y102" s="12"/>
    </row>
    <row r="103" ht="26.25" customHeight="1">
      <c r="A103" s="64" t="str">
        <f>IFERROR(__xludf.DUMMYFUNCTION("""COMPUTED_VALUE"""),"Sumanth Varma Dandu")</f>
        <v>Sumanth Varma Dandu</v>
      </c>
      <c r="B103" s="64" t="str">
        <f>IFERROR(__xludf.DUMMYFUNCTION("""COMPUTED_VALUE"""),"18331A0530")</f>
        <v>18331A0530</v>
      </c>
      <c r="C103" s="64" t="str">
        <f>IFERROR(__xludf.DUMMYFUNCTION("""COMPUTED_VALUE"""),"2018-2019")</f>
        <v>2018-2019</v>
      </c>
      <c r="D103" s="64" t="str">
        <f>IFERROR(__xludf.DUMMYFUNCTION("""COMPUTED_VALUE"""),"Workshop")</f>
        <v>Workshop</v>
      </c>
      <c r="E103" s="64" t="str">
        <f>IFERROR(__xludf.DUMMYFUNCTION("""COMPUTED_VALUE"""),"Artificial intelligence workshop")</f>
        <v>Artificial intelligence workshop</v>
      </c>
      <c r="F103" s="64">
        <f>IFERROR(__xludf.DUMMYFUNCTION("""COMPUTED_VALUE"""),2.0)</f>
        <v>2</v>
      </c>
      <c r="G103" s="114">
        <f>IFERROR(__xludf.DUMMYFUNCTION("""COMPUTED_VALUE"""),43715.0)</f>
        <v>43715</v>
      </c>
      <c r="H103" s="114">
        <f>IFERROR(__xludf.DUMMYFUNCTION("""COMPUTED_VALUE"""),43717.0)</f>
        <v>43717</v>
      </c>
      <c r="I103" s="64" t="str">
        <f>IFERROR(__xludf.DUMMYFUNCTION("""COMPUTED_VALUE"""),"IIT Hyderabad")</f>
        <v>IIT Hyderabad</v>
      </c>
      <c r="J103" s="64" t="str">
        <f>IFERROR(__xludf.DUMMYFUNCTION("""COMPUTED_VALUE"""),"Rishabh Mehtha")</f>
        <v>Rishabh Mehtha</v>
      </c>
      <c r="K103" s="64" t="str">
        <f>IFERROR(__xludf.DUMMYFUNCTION("""COMPUTED_VALUE"""),"State")</f>
        <v>State</v>
      </c>
      <c r="L103" s="64" t="str">
        <f>IFERROR(__xludf.DUMMYFUNCTION("""COMPUTED_VALUE"""),"Paid")</f>
        <v>Paid</v>
      </c>
      <c r="M103" s="64">
        <f>IFERROR(__xludf.DUMMYFUNCTION("""COMPUTED_VALUE"""),500.0)</f>
        <v>500</v>
      </c>
      <c r="N103" s="115" t="str">
        <f>IFERROR(__xludf.DUMMYFUNCTION("""COMPUTED_VALUE"""),"https://drive.google.com/open?id=1WkQtQLdGhQBJEgkiVn1gYaIcUbBhvm13")</f>
        <v>https://drive.google.com/open?id=1WkQtQLdGhQBJEgkiVn1gYaIcUbBhvm13</v>
      </c>
      <c r="O103" s="64" t="str">
        <f>IFERROR(__xludf.DUMMYFUNCTION("""COMPUTED_VALUE"""),"2018-2022")</f>
        <v>2018-2022</v>
      </c>
      <c r="P103" s="64" t="str">
        <f>IFERROR(__xludf.DUMMYFUNCTION("""COMPUTED_VALUE"""),"S5: Student Workshops/Conf attended")</f>
        <v>S5: Student Workshops/Conf attended</v>
      </c>
      <c r="Q103" s="64" t="str">
        <f>IFERROR(__xludf.DUMMYFUNCTION("""COMPUTED_VALUE"""),"dsumanthvarma6@gmail.com")</f>
        <v>dsumanthvarma6@gmail.com</v>
      </c>
      <c r="R103" s="64" t="str">
        <f>IFERROR(__xludf.DUMMYFUNCTION("""COMPUTED_VALUE"""),"SEM-8")</f>
        <v>SEM-8</v>
      </c>
      <c r="S103" s="12"/>
      <c r="T103" s="12"/>
      <c r="U103" s="12"/>
      <c r="V103" s="12"/>
      <c r="W103" s="12"/>
      <c r="X103" s="12"/>
      <c r="Y103" s="12"/>
    </row>
    <row r="104" ht="26.25" customHeight="1">
      <c r="A104" s="71" t="str">
        <f>IFERROR(__xludf.DUMMYFUNCTION("""COMPUTED_VALUE"""),"LOHITH VENKAT ANNAM ")</f>
        <v>LOHITH VENKAT ANNAM </v>
      </c>
      <c r="B104" s="71" t="str">
        <f>IFERROR(__xludf.DUMMYFUNCTION("""COMPUTED_VALUE"""),"18331A0506")</f>
        <v>18331A0506</v>
      </c>
      <c r="C104" s="71" t="str">
        <f>IFERROR(__xludf.DUMMYFUNCTION("""COMPUTED_VALUE"""),"2018-2019")</f>
        <v>2018-2019</v>
      </c>
      <c r="D104" s="71" t="str">
        <f>IFERROR(__xludf.DUMMYFUNCTION("""COMPUTED_VALUE"""),"Workshop")</f>
        <v>Workshop</v>
      </c>
      <c r="E104" s="71" t="str">
        <f>IFERROR(__xludf.DUMMYFUNCTION("""COMPUTED_VALUE"""),"Swecha")</f>
        <v>Swecha</v>
      </c>
      <c r="F104" s="71">
        <f>IFERROR(__xludf.DUMMYFUNCTION("""COMPUTED_VALUE"""),1.0)</f>
        <v>1</v>
      </c>
      <c r="G104" s="72">
        <f>IFERROR(__xludf.DUMMYFUNCTION("""COMPUTED_VALUE"""),43566.0)</f>
        <v>43566</v>
      </c>
      <c r="H104" s="72">
        <f>IFERROR(__xludf.DUMMYFUNCTION("""COMPUTED_VALUE"""),43567.0)</f>
        <v>43567</v>
      </c>
      <c r="I104" s="71" t="str">
        <f>IFERROR(__xludf.DUMMYFUNCTION("""COMPUTED_VALUE"""),"Swecha ")</f>
        <v>Swecha </v>
      </c>
      <c r="J104" s="71" t="str">
        <f>IFERROR(__xludf.DUMMYFUNCTION("""COMPUTED_VALUE"""),"Vamsi")</f>
        <v>Vamsi</v>
      </c>
      <c r="K104" s="71" t="str">
        <f>IFERROR(__xludf.DUMMYFUNCTION("""COMPUTED_VALUE"""),"State")</f>
        <v>State</v>
      </c>
      <c r="L104" s="71" t="str">
        <f>IFERROR(__xludf.DUMMYFUNCTION("""COMPUTED_VALUE"""),"Paid")</f>
        <v>Paid</v>
      </c>
      <c r="M104" s="71">
        <f>IFERROR(__xludf.DUMMYFUNCTION("""COMPUTED_VALUE"""),300.0)</f>
        <v>300</v>
      </c>
      <c r="N104" s="73" t="str">
        <f>IFERROR(__xludf.DUMMYFUNCTION("""COMPUTED_VALUE"""),"https://drive.google.com/open?id=15ej9vscZ0I8ge1ld4LdQpKYaykpN1SaF")</f>
        <v>https://drive.google.com/open?id=15ej9vscZ0I8ge1ld4LdQpKYaykpN1SaF</v>
      </c>
      <c r="O104" s="71" t="str">
        <f>IFERROR(__xludf.DUMMYFUNCTION("""COMPUTED_VALUE"""),"2018-2022")</f>
        <v>2018-2022</v>
      </c>
      <c r="P104" s="71" t="str">
        <f>IFERROR(__xludf.DUMMYFUNCTION("""COMPUTED_VALUE"""),"S5: Student Workshops/Conf attended")</f>
        <v>S5: Student Workshops/Conf attended</v>
      </c>
      <c r="Q104" s="71" t="str">
        <f>IFERROR(__xludf.DUMMYFUNCTION("""COMPUTED_VALUE"""),"annam.venkat24a@gmail.com")</f>
        <v>annam.venkat24a@gmail.com</v>
      </c>
      <c r="R104" s="71" t="str">
        <f>IFERROR(__xludf.DUMMYFUNCTION("""COMPUTED_VALUE"""),"SEM-8")</f>
        <v>SEM-8</v>
      </c>
      <c r="S104" s="74"/>
      <c r="T104" s="74"/>
      <c r="U104" s="74"/>
      <c r="V104" s="74"/>
      <c r="W104" s="74"/>
      <c r="X104" s="74"/>
      <c r="Y104" s="74"/>
    </row>
    <row r="105" ht="26.25" customHeight="1">
      <c r="A105" s="64" t="str">
        <f>IFERROR(__xludf.DUMMYFUNCTION("""COMPUTED_VALUE"""),"Jammi Sri Sai Yeshwanth ")</f>
        <v>Jammi Sri Sai Yeshwanth </v>
      </c>
      <c r="B105" s="64" t="str">
        <f>IFERROR(__xludf.DUMMYFUNCTION("""COMPUTED_VALUE"""),"20331A0574")</f>
        <v>20331A0574</v>
      </c>
      <c r="C105" s="64" t="str">
        <f>IFERROR(__xludf.DUMMYFUNCTION("""COMPUTED_VALUE"""),"2021-2022")</f>
        <v>2021-2022</v>
      </c>
      <c r="D105" s="64" t="str">
        <f>IFERROR(__xludf.DUMMYFUNCTION("""COMPUTED_VALUE"""),"Workshop")</f>
        <v>Workshop</v>
      </c>
      <c r="E105" s="64" t="str">
        <f>IFERROR(__xludf.DUMMYFUNCTION("""COMPUTED_VALUE"""),"Vortex Machine Learning ")</f>
        <v>Vortex Machine Learning </v>
      </c>
      <c r="F105" s="64">
        <f>IFERROR(__xludf.DUMMYFUNCTION("""COMPUTED_VALUE"""),1.0)</f>
        <v>1</v>
      </c>
      <c r="G105" s="114">
        <f>IFERROR(__xludf.DUMMYFUNCTION("""COMPUTED_VALUE"""),44626.0)</f>
        <v>44626</v>
      </c>
      <c r="H105" s="114">
        <f>IFERROR(__xludf.DUMMYFUNCTION("""COMPUTED_VALUE"""),44626.0)</f>
        <v>44626</v>
      </c>
      <c r="I105" s="64" t="str">
        <f>IFERROR(__xludf.DUMMYFUNCTION("""COMPUTED_VALUE"""),"National Institute Of Technology Tiruchirapalli ")</f>
        <v>National Institute Of Technology Tiruchirapalli </v>
      </c>
      <c r="J105" s="64" t="str">
        <f>IFERROR(__xludf.DUMMYFUNCTION("""COMPUTED_VALUE"""),"2")</f>
        <v>2</v>
      </c>
      <c r="K105" s="64" t="str">
        <f>IFERROR(__xludf.DUMMYFUNCTION("""COMPUTED_VALUE"""),"National")</f>
        <v>National</v>
      </c>
      <c r="L105" s="64" t="str">
        <f>IFERROR(__xludf.DUMMYFUNCTION("""COMPUTED_VALUE"""),"Paid")</f>
        <v>Paid</v>
      </c>
      <c r="M105" s="64">
        <f>IFERROR(__xludf.DUMMYFUNCTION("""COMPUTED_VALUE"""),75.0)</f>
        <v>75</v>
      </c>
      <c r="N105" s="115" t="str">
        <f>IFERROR(__xludf.DUMMYFUNCTION("""COMPUTED_VALUE"""),"https://drive.google.com/open?id=1BiLv-XLj1k_RULgHrqvPtYN3P8kqC0QZ")</f>
        <v>https://drive.google.com/open?id=1BiLv-XLj1k_RULgHrqvPtYN3P8kqC0QZ</v>
      </c>
      <c r="O105" s="64" t="str">
        <f>IFERROR(__xludf.DUMMYFUNCTION("""COMPUTED_VALUE"""),"2020-2024")</f>
        <v>2020-2024</v>
      </c>
      <c r="P105" s="64" t="str">
        <f>IFERROR(__xludf.DUMMYFUNCTION("""COMPUTED_VALUE"""),"S5: Student Workshops/Conf attended")</f>
        <v>S5: Student Workshops/Conf attended</v>
      </c>
      <c r="Q105" s="64" t="str">
        <f>IFERROR(__xludf.DUMMYFUNCTION("""COMPUTED_VALUE"""),"yeswanthjammi@gmail.com")</f>
        <v>yeswanthjammi@gmail.com</v>
      </c>
      <c r="R105" s="64" t="str">
        <f>IFERROR(__xludf.DUMMYFUNCTION("""COMPUTED_VALUE"""),"SEM-4")</f>
        <v>SEM-4</v>
      </c>
      <c r="S105" s="12"/>
      <c r="T105" s="12"/>
      <c r="U105" s="12"/>
      <c r="V105" s="12"/>
      <c r="W105" s="12"/>
      <c r="X105" s="12"/>
      <c r="Y105" s="12"/>
    </row>
    <row r="106" ht="26.25" customHeight="1">
      <c r="A106" s="71" t="str">
        <f>IFERROR(__xludf.DUMMYFUNCTION("""COMPUTED_VALUE"""),"SRIHARI NAIDU POGIRI")</f>
        <v>SRIHARI NAIDU POGIRI</v>
      </c>
      <c r="B106" s="71" t="str">
        <f>IFERROR(__xludf.DUMMYFUNCTION("""COMPUTED_VALUE"""),"18331A05E6")</f>
        <v>18331A05E6</v>
      </c>
      <c r="C106" s="71" t="str">
        <f>IFERROR(__xludf.DUMMYFUNCTION("""COMPUTED_VALUE"""),"2019-2020")</f>
        <v>2019-2020</v>
      </c>
      <c r="D106" s="71" t="str">
        <f>IFERROR(__xludf.DUMMYFUNCTION("""COMPUTED_VALUE"""),"Workshop")</f>
        <v>Workshop</v>
      </c>
      <c r="E106" s="71" t="str">
        <f>IFERROR(__xludf.DUMMYFUNCTION("""COMPUTED_VALUE"""),"INTERNET OF THINGS WORKSHOP")</f>
        <v>INTERNET OF THINGS WORKSHOP</v>
      </c>
      <c r="F106" s="71">
        <f>IFERROR(__xludf.DUMMYFUNCTION("""COMPUTED_VALUE"""),2.0)</f>
        <v>2</v>
      </c>
      <c r="G106" s="72">
        <f>IFERROR(__xludf.DUMMYFUNCTION("""COMPUTED_VALUE"""),43694.0)</f>
        <v>43694</v>
      </c>
      <c r="H106" s="72">
        <f>IFERROR(__xludf.DUMMYFUNCTION("""COMPUTED_VALUE"""),43695.0)</f>
        <v>43695</v>
      </c>
      <c r="I106" s="71" t="str">
        <f>IFERROR(__xludf.DUMMYFUNCTION("""COMPUTED_VALUE"""),"IIT HYDERABAD")</f>
        <v>IIT HYDERABAD</v>
      </c>
      <c r="J106" s="71" t="str">
        <f>IFERROR(__xludf.DUMMYFUNCTION("""COMPUTED_VALUE"""),"KYRION TECHNOLOGIES")</f>
        <v>KYRION TECHNOLOGIES</v>
      </c>
      <c r="K106" s="71" t="str">
        <f>IFERROR(__xludf.DUMMYFUNCTION("""COMPUTED_VALUE"""),"National")</f>
        <v>National</v>
      </c>
      <c r="L106" s="71" t="str">
        <f>IFERROR(__xludf.DUMMYFUNCTION("""COMPUTED_VALUE"""),"Paid")</f>
        <v>Paid</v>
      </c>
      <c r="M106" s="71"/>
      <c r="N106" s="73" t="str">
        <f>IFERROR(__xludf.DUMMYFUNCTION("""COMPUTED_VALUE"""),"https://drive.google.com/open?id=1eU1ODAZjWmC1lWUo_kbTMctGyyaKRRwt")</f>
        <v>https://drive.google.com/open?id=1eU1ODAZjWmC1lWUo_kbTMctGyyaKRRwt</v>
      </c>
      <c r="O106" s="71" t="str">
        <f>IFERROR(__xludf.DUMMYFUNCTION("""COMPUTED_VALUE"""),"2018-2022")</f>
        <v>2018-2022</v>
      </c>
      <c r="P106" s="71" t="str">
        <f>IFERROR(__xludf.DUMMYFUNCTION("""COMPUTED_VALUE"""),"S5: Student Workshops/Conf attended")</f>
        <v>S5: Student Workshops/Conf attended</v>
      </c>
      <c r="Q106" s="71" t="str">
        <f>IFERROR(__xludf.DUMMYFUNCTION("""COMPUTED_VALUE"""),"sriharismart0000@gmail.com")</f>
        <v>sriharismart0000@gmail.com</v>
      </c>
      <c r="R106" s="71" t="str">
        <f>IFERROR(__xludf.DUMMYFUNCTION("""COMPUTED_VALUE"""),"SEM-3")</f>
        <v>SEM-3</v>
      </c>
      <c r="S106" s="74"/>
      <c r="T106" s="74"/>
      <c r="U106" s="74"/>
      <c r="V106" s="74"/>
      <c r="W106" s="74"/>
      <c r="X106" s="74"/>
      <c r="Y106" s="74"/>
    </row>
    <row r="107" ht="26.25" customHeight="1">
      <c r="A107" s="64" t="str">
        <f>IFERROR(__xludf.DUMMYFUNCTION("""COMPUTED_VALUE"""),"Harshit Dhanuka")</f>
        <v>Harshit Dhanuka</v>
      </c>
      <c r="B107" s="64" t="str">
        <f>IFERROR(__xludf.DUMMYFUNCTION("""COMPUTED_VALUE"""),"20331A0571")</f>
        <v>20331A0571</v>
      </c>
      <c r="C107" s="64" t="str">
        <f>IFERROR(__xludf.DUMMYFUNCTION("""COMPUTED_VALUE"""),"2021-2022")</f>
        <v>2021-2022</v>
      </c>
      <c r="D107" s="64" t="str">
        <f>IFERROR(__xludf.DUMMYFUNCTION("""COMPUTED_VALUE"""),"Workshop")</f>
        <v>Workshop</v>
      </c>
      <c r="E107" s="64" t="str">
        <f>IFERROR(__xludf.DUMMYFUNCTION("""COMPUTED_VALUE"""),"Machine Learning")</f>
        <v>Machine Learning</v>
      </c>
      <c r="F107" s="64">
        <f>IFERROR(__xludf.DUMMYFUNCTION("""COMPUTED_VALUE"""),1.0)</f>
        <v>1</v>
      </c>
      <c r="G107" s="114">
        <f>IFERROR(__xludf.DUMMYFUNCTION("""COMPUTED_VALUE"""),44626.0)</f>
        <v>44626</v>
      </c>
      <c r="H107" s="114">
        <f>IFERROR(__xludf.DUMMYFUNCTION("""COMPUTED_VALUE"""),44626.0)</f>
        <v>44626</v>
      </c>
      <c r="I107" s="64" t="str">
        <f>IFERROR(__xludf.DUMMYFUNCTION("""COMPUTED_VALUE"""),"NIT, TIRUCHIRAPALLI")</f>
        <v>NIT, TIRUCHIRAPALLI</v>
      </c>
      <c r="J107" s="64" t="str">
        <f>IFERROR(__xludf.DUMMYFUNCTION("""COMPUTED_VALUE"""),"E. Siva Shankar")</f>
        <v>E. Siva Shankar</v>
      </c>
      <c r="K107" s="64" t="str">
        <f>IFERROR(__xludf.DUMMYFUNCTION("""COMPUTED_VALUE"""),"National")</f>
        <v>National</v>
      </c>
      <c r="L107" s="64" t="str">
        <f>IFERROR(__xludf.DUMMYFUNCTION("""COMPUTED_VALUE"""),"Paid")</f>
        <v>Paid</v>
      </c>
      <c r="M107" s="64">
        <f>IFERROR(__xludf.DUMMYFUNCTION("""COMPUTED_VALUE"""),70.0)</f>
        <v>70</v>
      </c>
      <c r="N107" s="115" t="str">
        <f>IFERROR(__xludf.DUMMYFUNCTION("""COMPUTED_VALUE"""),"https://drive.google.com/open?id=1CdIhKOLxHMKon7MhlxfbyeqhVil30Pmz")</f>
        <v>https://drive.google.com/open?id=1CdIhKOLxHMKon7MhlxfbyeqhVil30Pmz</v>
      </c>
      <c r="O107" s="64" t="str">
        <f>IFERROR(__xludf.DUMMYFUNCTION("""COMPUTED_VALUE"""),"2020-2024")</f>
        <v>2020-2024</v>
      </c>
      <c r="P107" s="64" t="str">
        <f>IFERROR(__xludf.DUMMYFUNCTION("""COMPUTED_VALUE"""),"S5: Student Workshops/Conf attended")</f>
        <v>S5: Student Workshops/Conf attended</v>
      </c>
      <c r="Q107" s="64" t="str">
        <f>IFERROR(__xludf.DUMMYFUNCTION("""COMPUTED_VALUE"""),"harshitdhanuka92@gmail.com")</f>
        <v>harshitdhanuka92@gmail.com</v>
      </c>
      <c r="R107" s="64" t="str">
        <f>IFERROR(__xludf.DUMMYFUNCTION("""COMPUTED_VALUE"""),"SEM-4")</f>
        <v>SEM-4</v>
      </c>
      <c r="S107" s="12"/>
      <c r="T107" s="12"/>
      <c r="U107" s="12"/>
      <c r="V107" s="12"/>
      <c r="W107" s="12"/>
      <c r="X107" s="12"/>
      <c r="Y107" s="12"/>
    </row>
    <row r="108" ht="26.25" customHeight="1">
      <c r="A108" s="64" t="str">
        <f>IFERROR(__xludf.DUMMYFUNCTION("""COMPUTED_VALUE"""),"Harshit Dhanuka")</f>
        <v>Harshit Dhanuka</v>
      </c>
      <c r="B108" s="64" t="str">
        <f>IFERROR(__xludf.DUMMYFUNCTION("""COMPUTED_VALUE"""),"20331A0571")</f>
        <v>20331A0571</v>
      </c>
      <c r="C108" s="64" t="str">
        <f>IFERROR(__xludf.DUMMYFUNCTION("""COMPUTED_VALUE"""),"2021-2022")</f>
        <v>2021-2022</v>
      </c>
      <c r="D108" s="64" t="str">
        <f>IFERROR(__xludf.DUMMYFUNCTION("""COMPUTED_VALUE"""),"Workshop")</f>
        <v>Workshop</v>
      </c>
      <c r="E108" s="64" t="str">
        <f>IFERROR(__xludf.DUMMYFUNCTION("""COMPUTED_VALUE"""),"DATA ANALYTICS USING PYTHON")</f>
        <v>DATA ANALYTICS USING PYTHON</v>
      </c>
      <c r="F108" s="64">
        <f>IFERROR(__xludf.DUMMYFUNCTION("""COMPUTED_VALUE"""),2.0)</f>
        <v>2</v>
      </c>
      <c r="G108" s="114">
        <f>IFERROR(__xludf.DUMMYFUNCTION("""COMPUTED_VALUE"""),44639.0)</f>
        <v>44639</v>
      </c>
      <c r="H108" s="114">
        <f>IFERROR(__xludf.DUMMYFUNCTION("""COMPUTED_VALUE"""),44640.0)</f>
        <v>44640</v>
      </c>
      <c r="I108" s="64" t="str">
        <f>IFERROR(__xludf.DUMMYFUNCTION("""COMPUTED_VALUE"""),"JNTUGV-UCEV")</f>
        <v>JNTUGV-UCEV</v>
      </c>
      <c r="J108" s="64" t="str">
        <f>IFERROR(__xludf.DUMMYFUNCTION("""COMPUTED_VALUE"""),"V Laxmi Prasad")</f>
        <v>V Laxmi Prasad</v>
      </c>
      <c r="K108" s="64" t="str">
        <f>IFERROR(__xludf.DUMMYFUNCTION("""COMPUTED_VALUE"""),"National")</f>
        <v>National</v>
      </c>
      <c r="L108" s="64" t="str">
        <f>IFERROR(__xludf.DUMMYFUNCTION("""COMPUTED_VALUE"""),"Paid")</f>
        <v>Paid</v>
      </c>
      <c r="M108" s="64">
        <f>IFERROR(__xludf.DUMMYFUNCTION("""COMPUTED_VALUE"""),300.0)</f>
        <v>300</v>
      </c>
      <c r="N108" s="115" t="str">
        <f>IFERROR(__xludf.DUMMYFUNCTION("""COMPUTED_VALUE"""),"https://drive.google.com/open?id=1RNxNHVErA7ZetNxkkw55UxK_dJZ0frz-")</f>
        <v>https://drive.google.com/open?id=1RNxNHVErA7ZetNxkkw55UxK_dJZ0frz-</v>
      </c>
      <c r="O108" s="64" t="str">
        <f>IFERROR(__xludf.DUMMYFUNCTION("""COMPUTED_VALUE"""),"2020-2024")</f>
        <v>2020-2024</v>
      </c>
      <c r="P108" s="64" t="str">
        <f>IFERROR(__xludf.DUMMYFUNCTION("""COMPUTED_VALUE"""),"S5: Student Workshops/Conf attended")</f>
        <v>S5: Student Workshops/Conf attended</v>
      </c>
      <c r="Q108" s="64" t="str">
        <f>IFERROR(__xludf.DUMMYFUNCTION("""COMPUTED_VALUE"""),"harshitdhanuka92@gmail.com")</f>
        <v>harshitdhanuka92@gmail.com</v>
      </c>
      <c r="R108" s="64" t="str">
        <f>IFERROR(__xludf.DUMMYFUNCTION("""COMPUTED_VALUE"""),"SEM-4")</f>
        <v>SEM-4</v>
      </c>
      <c r="S108" s="12"/>
      <c r="T108" s="12"/>
      <c r="U108" s="12"/>
      <c r="V108" s="12"/>
      <c r="W108" s="12"/>
      <c r="X108" s="12"/>
      <c r="Y108" s="12"/>
    </row>
    <row r="109" ht="26.25" customHeight="1">
      <c r="A109" s="64" t="str">
        <f>IFERROR(__xludf.DUMMYFUNCTION("""COMPUTED_VALUE"""),"Harshit Dhanuka")</f>
        <v>Harshit Dhanuka</v>
      </c>
      <c r="B109" s="64" t="str">
        <f>IFERROR(__xludf.DUMMYFUNCTION("""COMPUTED_VALUE"""),"20331A0571")</f>
        <v>20331A0571</v>
      </c>
      <c r="C109" s="64" t="str">
        <f>IFERROR(__xludf.DUMMYFUNCTION("""COMPUTED_VALUE"""),"2021-2022")</f>
        <v>2021-2022</v>
      </c>
      <c r="D109" s="64" t="str">
        <f>IFERROR(__xludf.DUMMYFUNCTION("""COMPUTED_VALUE"""),"Workshop")</f>
        <v>Workshop</v>
      </c>
      <c r="E109" s="64" t="str">
        <f>IFERROR(__xludf.DUMMYFUNCTION("""COMPUTED_VALUE"""),"GNU/ Linux Admin and Programming with Python ")</f>
        <v>GNU/ Linux Admin and Programming with Python </v>
      </c>
      <c r="F109" s="64">
        <f>IFERROR(__xludf.DUMMYFUNCTION("""COMPUTED_VALUE"""),2.0)</f>
        <v>2</v>
      </c>
      <c r="G109" s="114">
        <f>IFERROR(__xludf.DUMMYFUNCTION("""COMPUTED_VALUE"""),44513.0)</f>
        <v>44513</v>
      </c>
      <c r="H109" s="114">
        <f>IFERROR(__xludf.DUMMYFUNCTION("""COMPUTED_VALUE"""),44514.0)</f>
        <v>44514</v>
      </c>
      <c r="I109" s="64" t="str">
        <f>IFERROR(__xludf.DUMMYFUNCTION("""COMPUTED_VALUE"""),"MVGR College of Engineering (Autonomous)")</f>
        <v>MVGR College of Engineering (Autonomous)</v>
      </c>
      <c r="J109" s="64" t="str">
        <f>IFERROR(__xludf.DUMMYFUNCTION("""COMPUTED_VALUE"""),"M Vamsi Krishna")</f>
        <v>M Vamsi Krishna</v>
      </c>
      <c r="K109" s="64" t="str">
        <f>IFERROR(__xludf.DUMMYFUNCTION("""COMPUTED_VALUE"""),"State")</f>
        <v>State</v>
      </c>
      <c r="L109" s="64" t="str">
        <f>IFERROR(__xludf.DUMMYFUNCTION("""COMPUTED_VALUE"""),"Paid")</f>
        <v>Paid</v>
      </c>
      <c r="M109" s="64">
        <f>IFERROR(__xludf.DUMMYFUNCTION("""COMPUTED_VALUE"""),150.0)</f>
        <v>150</v>
      </c>
      <c r="N109" s="115" t="str">
        <f>IFERROR(__xludf.DUMMYFUNCTION("""COMPUTED_VALUE"""),"https://drive.google.com/open?id=13ZIfIPothsMAgPWvm_xwT_qHdQfFypAW")</f>
        <v>https://drive.google.com/open?id=13ZIfIPothsMAgPWvm_xwT_qHdQfFypAW</v>
      </c>
      <c r="O109" s="64" t="str">
        <f>IFERROR(__xludf.DUMMYFUNCTION("""COMPUTED_VALUE"""),"2020-2024")</f>
        <v>2020-2024</v>
      </c>
      <c r="P109" s="64" t="str">
        <f>IFERROR(__xludf.DUMMYFUNCTION("""COMPUTED_VALUE"""),"S5: Student Workshops/Conf attended")</f>
        <v>S5: Student Workshops/Conf attended</v>
      </c>
      <c r="Q109" s="64" t="str">
        <f>IFERROR(__xludf.DUMMYFUNCTION("""COMPUTED_VALUE"""),"harshitdhanuka92@gmail.com")</f>
        <v>harshitdhanuka92@gmail.com</v>
      </c>
      <c r="R109" s="64" t="str">
        <f>IFERROR(__xludf.DUMMYFUNCTION("""COMPUTED_VALUE"""),"SEM-4")</f>
        <v>SEM-4</v>
      </c>
      <c r="S109" s="12"/>
      <c r="T109" s="12"/>
      <c r="U109" s="12"/>
      <c r="V109" s="12"/>
      <c r="W109" s="12"/>
      <c r="X109" s="12"/>
      <c r="Y109" s="12"/>
    </row>
    <row r="110" ht="26.25" customHeight="1">
      <c r="A110" s="64" t="str">
        <f>IFERROR(__xludf.DUMMYFUNCTION("""COMPUTED_VALUE"""),"Gorsa Uma Mahesh")</f>
        <v>Gorsa Uma Mahesh</v>
      </c>
      <c r="B110" s="64" t="str">
        <f>IFERROR(__xludf.DUMMYFUNCTION("""COMPUTED_VALUE"""),"18331A0550")</f>
        <v>18331A0550</v>
      </c>
      <c r="C110" s="64" t="str">
        <f>IFERROR(__xludf.DUMMYFUNCTION("""COMPUTED_VALUE"""),"2020-2021")</f>
        <v>2020-2021</v>
      </c>
      <c r="D110" s="64" t="str">
        <f>IFERROR(__xludf.DUMMYFUNCTION("""COMPUTED_VALUE"""),"Workshop")</f>
        <v>Workshop</v>
      </c>
      <c r="E110" s="64" t="str">
        <f>IFERROR(__xludf.DUMMYFUNCTION("""COMPUTED_VALUE"""),"Front End Developer Workshop")</f>
        <v>Front End Developer Workshop</v>
      </c>
      <c r="F110" s="64">
        <f>IFERROR(__xludf.DUMMYFUNCTION("""COMPUTED_VALUE"""),7.0)</f>
        <v>7</v>
      </c>
      <c r="G110" s="114">
        <f>IFERROR(__xludf.DUMMYFUNCTION("""COMPUTED_VALUE"""),44090.0)</f>
        <v>44090</v>
      </c>
      <c r="H110" s="114">
        <f>IFERROR(__xludf.DUMMYFUNCTION("""COMPUTED_VALUE"""),44097.0)</f>
        <v>44097</v>
      </c>
      <c r="I110" s="64" t="str">
        <f>IFERROR(__xludf.DUMMYFUNCTION("""COMPUTED_VALUE"""),"Skill Safari")</f>
        <v>Skill Safari</v>
      </c>
      <c r="J110" s="64" t="str">
        <f>IFERROR(__xludf.DUMMYFUNCTION("""COMPUTED_VALUE"""),"Skill Safari")</f>
        <v>Skill Safari</v>
      </c>
      <c r="K110" s="64" t="str">
        <f>IFERROR(__xludf.DUMMYFUNCTION("""COMPUTED_VALUE"""),"National")</f>
        <v>National</v>
      </c>
      <c r="L110" s="64" t="str">
        <f>IFERROR(__xludf.DUMMYFUNCTION("""COMPUTED_VALUE"""),"Free")</f>
        <v>Free</v>
      </c>
      <c r="M110" s="64"/>
      <c r="N110" s="115" t="str">
        <f>IFERROR(__xludf.DUMMYFUNCTION("""COMPUTED_VALUE"""),"https://drive.google.com/open?id=1DEdRuYekCFhzd1erkA9WdK8eaGdsNCPZ")</f>
        <v>https://drive.google.com/open?id=1DEdRuYekCFhzd1erkA9WdK8eaGdsNCPZ</v>
      </c>
      <c r="O110" s="64" t="str">
        <f>IFERROR(__xludf.DUMMYFUNCTION("""COMPUTED_VALUE"""),"2018-2022")</f>
        <v>2018-2022</v>
      </c>
      <c r="P110" s="64" t="str">
        <f>IFERROR(__xludf.DUMMYFUNCTION("""COMPUTED_VALUE"""),"S5: Student Workshops/Conf attended")</f>
        <v>S5: Student Workshops/Conf attended</v>
      </c>
      <c r="Q110" s="64" t="str">
        <f>IFERROR(__xludf.DUMMYFUNCTION("""COMPUTED_VALUE"""),"gorsaumamahesh@gmail.com")</f>
        <v>gorsaumamahesh@gmail.com</v>
      </c>
      <c r="R110" s="64" t="str">
        <f>IFERROR(__xludf.DUMMYFUNCTION("""COMPUTED_VALUE"""),"SEM-8")</f>
        <v>SEM-8</v>
      </c>
      <c r="S110" s="12"/>
      <c r="T110" s="12"/>
      <c r="U110" s="12"/>
      <c r="V110" s="12"/>
      <c r="W110" s="12"/>
      <c r="X110" s="12"/>
      <c r="Y110" s="12"/>
    </row>
    <row r="111" ht="26.25" customHeight="1">
      <c r="A111" s="64" t="str">
        <f>IFERROR(__xludf.DUMMYFUNCTION("""COMPUTED_VALUE"""),"Nanubala Jaswanth Kumar ")</f>
        <v>Nanubala Jaswanth Kumar </v>
      </c>
      <c r="B111" s="64" t="str">
        <f>IFERROR(__xludf.DUMMYFUNCTION("""COMPUTED_VALUE"""),"18331A05B0")</f>
        <v>18331A05B0</v>
      </c>
      <c r="C111" s="64" t="str">
        <f>IFERROR(__xludf.DUMMYFUNCTION("""COMPUTED_VALUE"""),"2019-2020")</f>
        <v>2019-2020</v>
      </c>
      <c r="D111" s="64" t="str">
        <f>IFERROR(__xludf.DUMMYFUNCTION("""COMPUTED_VALUE"""),"Workshop")</f>
        <v>Workshop</v>
      </c>
      <c r="E111" s="64" t="str">
        <f>IFERROR(__xludf.DUMMYFUNCTION("""COMPUTED_VALUE"""),"INTERNET OF THINGS ")</f>
        <v>INTERNET OF THINGS </v>
      </c>
      <c r="F111" s="64">
        <f>IFERROR(__xludf.DUMMYFUNCTION("""COMPUTED_VALUE"""),2.0)</f>
        <v>2</v>
      </c>
      <c r="G111" s="114">
        <f>IFERROR(__xludf.DUMMYFUNCTION("""COMPUTED_VALUE"""),43694.0)</f>
        <v>43694</v>
      </c>
      <c r="H111" s="114">
        <f>IFERROR(__xludf.DUMMYFUNCTION("""COMPUTED_VALUE"""),43695.0)</f>
        <v>43695</v>
      </c>
      <c r="I111" s="64" t="str">
        <f>IFERROR(__xludf.DUMMYFUNCTION("""COMPUTED_VALUE"""),"Kyrion technologies ")</f>
        <v>Kyrion technologies </v>
      </c>
      <c r="J111" s="64" t="str">
        <f>IFERROR(__xludf.DUMMYFUNCTION("""COMPUTED_VALUE"""),"SUJATHA MEHTA")</f>
        <v>SUJATHA MEHTA</v>
      </c>
      <c r="K111" s="64" t="str">
        <f>IFERROR(__xludf.DUMMYFUNCTION("""COMPUTED_VALUE"""),"National")</f>
        <v>National</v>
      </c>
      <c r="L111" s="64" t="str">
        <f>IFERROR(__xludf.DUMMYFUNCTION("""COMPUTED_VALUE"""),"Paid")</f>
        <v>Paid</v>
      </c>
      <c r="M111" s="64">
        <f>IFERROR(__xludf.DUMMYFUNCTION("""COMPUTED_VALUE"""),1250.0)</f>
        <v>1250</v>
      </c>
      <c r="N111" s="115" t="str">
        <f>IFERROR(__xludf.DUMMYFUNCTION("""COMPUTED_VALUE"""),"https://drive.google.com/open?id=1i7HvRm7o_Fo5ru2AXb8mglLcWf9bU4VQ")</f>
        <v>https://drive.google.com/open?id=1i7HvRm7o_Fo5ru2AXb8mglLcWf9bU4VQ</v>
      </c>
      <c r="O111" s="64" t="str">
        <f>IFERROR(__xludf.DUMMYFUNCTION("""COMPUTED_VALUE"""),"2018-2022")</f>
        <v>2018-2022</v>
      </c>
      <c r="P111" s="64" t="str">
        <f>IFERROR(__xludf.DUMMYFUNCTION("""COMPUTED_VALUE"""),"S5: Student Workshops/Conf attended")</f>
        <v>S5: Student Workshops/Conf attended</v>
      </c>
      <c r="Q111" s="64" t="str">
        <f>IFERROR(__xludf.DUMMYFUNCTION("""COMPUTED_VALUE"""),"jaswanthsaisubhkar@gmail.com")</f>
        <v>jaswanthsaisubhkar@gmail.com</v>
      </c>
      <c r="R111" s="64" t="str">
        <f>IFERROR(__xludf.DUMMYFUNCTION("""COMPUTED_VALUE"""),"SEM-3")</f>
        <v>SEM-3</v>
      </c>
      <c r="S111" s="12"/>
      <c r="T111" s="12"/>
      <c r="U111" s="12"/>
      <c r="V111" s="12"/>
      <c r="W111" s="12"/>
      <c r="X111" s="12"/>
      <c r="Y111" s="12"/>
    </row>
    <row r="112" ht="26.25" customHeight="1">
      <c r="A112" s="71" t="str">
        <f>IFERROR(__xludf.DUMMYFUNCTION("""COMPUTED_VALUE"""),"Mopada Pavithra")</f>
        <v>Mopada Pavithra</v>
      </c>
      <c r="B112" s="71" t="str">
        <f>IFERROR(__xludf.DUMMYFUNCTION("""COMPUTED_VALUE"""),"18331A0599")</f>
        <v>18331A0599</v>
      </c>
      <c r="C112" s="71" t="str">
        <f>IFERROR(__xludf.DUMMYFUNCTION("""COMPUTED_VALUE"""),"2019-2020")</f>
        <v>2019-2020</v>
      </c>
      <c r="D112" s="71" t="str">
        <f>IFERROR(__xludf.DUMMYFUNCTION("""COMPUTED_VALUE"""),"Workshop")</f>
        <v>Workshop</v>
      </c>
      <c r="E112" s="71" t="str">
        <f>IFERROR(__xludf.DUMMYFUNCTION("""COMPUTED_VALUE"""),"Internet of things")</f>
        <v>Internet of things</v>
      </c>
      <c r="F112" s="71">
        <f>IFERROR(__xludf.DUMMYFUNCTION("""COMPUTED_VALUE"""),2.0)</f>
        <v>2</v>
      </c>
      <c r="G112" s="72">
        <f>IFERROR(__xludf.DUMMYFUNCTION("""COMPUTED_VALUE"""),43694.0)</f>
        <v>43694</v>
      </c>
      <c r="H112" s="72">
        <f>IFERROR(__xludf.DUMMYFUNCTION("""COMPUTED_VALUE"""),43695.0)</f>
        <v>43695</v>
      </c>
      <c r="I112" s="71" t="str">
        <f>IFERROR(__xludf.DUMMYFUNCTION("""COMPUTED_VALUE"""),"Kyrion technologies pvt.ltd")</f>
        <v>Kyrion technologies pvt.ltd</v>
      </c>
      <c r="J112" s="71" t="str">
        <f>IFERROR(__xludf.DUMMYFUNCTION("""COMPUTED_VALUE"""),"Sujata mehta")</f>
        <v>Sujata mehta</v>
      </c>
      <c r="K112" s="71" t="str">
        <f>IFERROR(__xludf.DUMMYFUNCTION("""COMPUTED_VALUE"""),"National")</f>
        <v>National</v>
      </c>
      <c r="L112" s="71" t="str">
        <f>IFERROR(__xludf.DUMMYFUNCTION("""COMPUTED_VALUE"""),"Paid")</f>
        <v>Paid</v>
      </c>
      <c r="M112" s="71">
        <f>IFERROR(__xludf.DUMMYFUNCTION("""COMPUTED_VALUE"""),1250.0)</f>
        <v>1250</v>
      </c>
      <c r="N112" s="73" t="str">
        <f>IFERROR(__xludf.DUMMYFUNCTION("""COMPUTED_VALUE"""),"https://drive.google.com/open?id=1KXxLf3kmQ7XkswAbYhV3eiJBIuHbXixm")</f>
        <v>https://drive.google.com/open?id=1KXxLf3kmQ7XkswAbYhV3eiJBIuHbXixm</v>
      </c>
      <c r="O112" s="71" t="str">
        <f>IFERROR(__xludf.DUMMYFUNCTION("""COMPUTED_VALUE"""),"2018-2022")</f>
        <v>2018-2022</v>
      </c>
      <c r="P112" s="71" t="str">
        <f>IFERROR(__xludf.DUMMYFUNCTION("""COMPUTED_VALUE"""),"S5: Student Workshops/Conf attended")</f>
        <v>S5: Student Workshops/Conf attended</v>
      </c>
      <c r="Q112" s="71" t="str">
        <f>IFERROR(__xludf.DUMMYFUNCTION("""COMPUTED_VALUE"""),"pavithramopada2001@gmail.com")</f>
        <v>pavithramopada2001@gmail.com</v>
      </c>
      <c r="R112" s="71" t="str">
        <f>IFERROR(__xludf.DUMMYFUNCTION("""COMPUTED_VALUE"""),"SEM-3")</f>
        <v>SEM-3</v>
      </c>
      <c r="S112" s="74"/>
      <c r="T112" s="74"/>
      <c r="U112" s="74"/>
      <c r="V112" s="74"/>
      <c r="W112" s="74"/>
      <c r="X112" s="74"/>
      <c r="Y112" s="74"/>
    </row>
    <row r="113" ht="26.25" customHeight="1">
      <c r="A113" s="64" t="str">
        <f>IFERROR(__xludf.DUMMYFUNCTION("""COMPUTED_VALUE"""),"Nanubala Jaswanth Kumar ")</f>
        <v>Nanubala Jaswanth Kumar </v>
      </c>
      <c r="B113" s="64" t="str">
        <f>IFERROR(__xludf.DUMMYFUNCTION("""COMPUTED_VALUE"""),"18331A05B0")</f>
        <v>18331A05B0</v>
      </c>
      <c r="C113" s="64" t="str">
        <f>IFERROR(__xludf.DUMMYFUNCTION("""COMPUTED_VALUE"""),"2021-2022")</f>
        <v>2021-2022</v>
      </c>
      <c r="D113" s="64" t="str">
        <f>IFERROR(__xludf.DUMMYFUNCTION("""COMPUTED_VALUE"""),"Webinar")</f>
        <v>Webinar</v>
      </c>
      <c r="E113" s="64" t="str">
        <f>IFERROR(__xludf.DUMMYFUNCTION("""COMPUTED_VALUE"""),"National intellectual property awareness mission ")</f>
        <v>National intellectual property awareness mission </v>
      </c>
      <c r="F113" s="64">
        <f>IFERROR(__xludf.DUMMYFUNCTION("""COMPUTED_VALUE"""),1.0)</f>
        <v>1</v>
      </c>
      <c r="G113" s="114">
        <f>IFERROR(__xludf.DUMMYFUNCTION("""COMPUTED_VALUE"""),44567.0)</f>
        <v>44567</v>
      </c>
      <c r="H113" s="114">
        <f>IFERROR(__xludf.DUMMYFUNCTION("""COMPUTED_VALUE"""),44567.0)</f>
        <v>44567</v>
      </c>
      <c r="I113" s="64" t="str">
        <f>IFERROR(__xludf.DUMMYFUNCTION("""COMPUTED_VALUE"""),"National property officer")</f>
        <v>National property officer</v>
      </c>
      <c r="J113" s="64" t="str">
        <f>IFERROR(__xludf.DUMMYFUNCTION("""COMPUTED_VALUE"""),"CGPDTM")</f>
        <v>CGPDTM</v>
      </c>
      <c r="K113" s="64" t="str">
        <f>IFERROR(__xludf.DUMMYFUNCTION("""COMPUTED_VALUE"""),"National")</f>
        <v>National</v>
      </c>
      <c r="L113" s="64" t="str">
        <f>IFERROR(__xludf.DUMMYFUNCTION("""COMPUTED_VALUE"""),"Free")</f>
        <v>Free</v>
      </c>
      <c r="M113" s="64"/>
      <c r="N113" s="115" t="str">
        <f>IFERROR(__xludf.DUMMYFUNCTION("""COMPUTED_VALUE"""),"https://drive.google.com/open?id=1MDrSYOioEUHeQwB-6smO-gSyxJqD4CJI")</f>
        <v>https://drive.google.com/open?id=1MDrSYOioEUHeQwB-6smO-gSyxJqD4CJI</v>
      </c>
      <c r="O113" s="64" t="str">
        <f>IFERROR(__xludf.DUMMYFUNCTION("""COMPUTED_VALUE"""),"2018-2022")</f>
        <v>2018-2022</v>
      </c>
      <c r="P113" s="64" t="str">
        <f>IFERROR(__xludf.DUMMYFUNCTION("""COMPUTED_VALUE"""),"S5: Student Workshops/Conf attended")</f>
        <v>S5: Student Workshops/Conf attended</v>
      </c>
      <c r="Q113" s="64" t="str">
        <f>IFERROR(__xludf.DUMMYFUNCTION("""COMPUTED_VALUE"""),"jaswanthsaisubhkar@gmail.com")</f>
        <v>jaswanthsaisubhkar@gmail.com</v>
      </c>
      <c r="R113" s="64" t="str">
        <f>IFERROR(__xludf.DUMMYFUNCTION("""COMPUTED_VALUE"""),"SEM-7")</f>
        <v>SEM-7</v>
      </c>
      <c r="S113" s="12"/>
      <c r="T113" s="12"/>
      <c r="U113" s="12"/>
      <c r="V113" s="12"/>
      <c r="W113" s="12"/>
      <c r="X113" s="12"/>
      <c r="Y113" s="12"/>
    </row>
    <row r="114" ht="26.25" customHeight="1">
      <c r="A114" s="64" t="str">
        <f>IFERROR(__xludf.DUMMYFUNCTION("""COMPUTED_VALUE"""),"Mopada Pavithra")</f>
        <v>Mopada Pavithra</v>
      </c>
      <c r="B114" s="64" t="str">
        <f>IFERROR(__xludf.DUMMYFUNCTION("""COMPUTED_VALUE"""),"18331A0599")</f>
        <v>18331A0599</v>
      </c>
      <c r="C114" s="64" t="str">
        <f>IFERROR(__xludf.DUMMYFUNCTION("""COMPUTED_VALUE"""),"2021-2022")</f>
        <v>2021-2022</v>
      </c>
      <c r="D114" s="64" t="str">
        <f>IFERROR(__xludf.DUMMYFUNCTION("""COMPUTED_VALUE"""),"Webinar")</f>
        <v>Webinar</v>
      </c>
      <c r="E114" s="64" t="str">
        <f>IFERROR(__xludf.DUMMYFUNCTION("""COMPUTED_VALUE"""),"IP Awareness/Training program")</f>
        <v>IP Awareness/Training program</v>
      </c>
      <c r="F114" s="64">
        <f>IFERROR(__xludf.DUMMYFUNCTION("""COMPUTED_VALUE"""),1.0)</f>
        <v>1</v>
      </c>
      <c r="G114" s="114">
        <f>IFERROR(__xludf.DUMMYFUNCTION("""COMPUTED_VALUE"""),44567.0)</f>
        <v>44567</v>
      </c>
      <c r="H114" s="114">
        <f>IFERROR(__xludf.DUMMYFUNCTION("""COMPUTED_VALUE"""),44567.0)</f>
        <v>44567</v>
      </c>
      <c r="I114" s="64" t="str">
        <f>IFERROR(__xludf.DUMMYFUNCTION("""COMPUTED_VALUE"""),"Intellectual property office,india")</f>
        <v>Intellectual property office,india</v>
      </c>
      <c r="J114" s="64" t="str">
        <f>IFERROR(__xludf.DUMMYFUNCTION("""COMPUTED_VALUE"""),"Dr.ch.kalyan chakravarti")</f>
        <v>Dr.ch.kalyan chakravarti</v>
      </c>
      <c r="K114" s="64" t="str">
        <f>IFERROR(__xludf.DUMMYFUNCTION("""COMPUTED_VALUE"""),"National")</f>
        <v>National</v>
      </c>
      <c r="L114" s="64" t="str">
        <f>IFERROR(__xludf.DUMMYFUNCTION("""COMPUTED_VALUE"""),"Free")</f>
        <v>Free</v>
      </c>
      <c r="M114" s="64"/>
      <c r="N114" s="115" t="str">
        <f>IFERROR(__xludf.DUMMYFUNCTION("""COMPUTED_VALUE"""),"https://drive.google.com/open?id=1cD-nvUkKghHS_22NQ1cJ-jlCn5Gm2Flt")</f>
        <v>https://drive.google.com/open?id=1cD-nvUkKghHS_22NQ1cJ-jlCn5Gm2Flt</v>
      </c>
      <c r="O114" s="64" t="str">
        <f>IFERROR(__xludf.DUMMYFUNCTION("""COMPUTED_VALUE"""),"2018-2022")</f>
        <v>2018-2022</v>
      </c>
      <c r="P114" s="64" t="str">
        <f>IFERROR(__xludf.DUMMYFUNCTION("""COMPUTED_VALUE"""),"S5: Student Workshops/Conf attended")</f>
        <v>S5: Student Workshops/Conf attended</v>
      </c>
      <c r="Q114" s="64" t="str">
        <f>IFERROR(__xludf.DUMMYFUNCTION("""COMPUTED_VALUE"""),"pavithramopada2001@gmail.com")</f>
        <v>pavithramopada2001@gmail.com</v>
      </c>
      <c r="R114" s="64" t="str">
        <f>IFERROR(__xludf.DUMMYFUNCTION("""COMPUTED_VALUE"""),"SEM-7")</f>
        <v>SEM-7</v>
      </c>
      <c r="S114" s="12"/>
      <c r="T114" s="12"/>
      <c r="U114" s="12"/>
      <c r="V114" s="12"/>
      <c r="W114" s="12"/>
      <c r="X114" s="12"/>
      <c r="Y114" s="12"/>
    </row>
    <row r="115" ht="26.25" customHeight="1">
      <c r="A115" s="64" t="str">
        <f>IFERROR(__xludf.DUMMYFUNCTION("""COMPUTED_VALUE"""),"N.V. PAVAN KUMAR")</f>
        <v>N.V. PAVAN KUMAR</v>
      </c>
      <c r="B115" s="64" t="str">
        <f>IFERROR(__xludf.DUMMYFUNCTION("""COMPUTED_VALUE"""),"18331A05B1")</f>
        <v>18331A05B1</v>
      </c>
      <c r="C115" s="64" t="str">
        <f>IFERROR(__xludf.DUMMYFUNCTION("""COMPUTED_VALUE"""),"2021-2022")</f>
        <v>2021-2022</v>
      </c>
      <c r="D115" s="64" t="str">
        <f>IFERROR(__xludf.DUMMYFUNCTION("""COMPUTED_VALUE"""),"Webinar")</f>
        <v>Webinar</v>
      </c>
      <c r="E115" s="64" t="str">
        <f>IFERROR(__xludf.DUMMYFUNCTION("""COMPUTED_VALUE"""),"IP AWARENESS/TRAINING PROPERTY UNDER")</f>
        <v>IP AWARENESS/TRAINING PROPERTY UNDER</v>
      </c>
      <c r="F115" s="64">
        <f>IFERROR(__xludf.DUMMYFUNCTION("""COMPUTED_VALUE"""),1.0)</f>
        <v>1</v>
      </c>
      <c r="G115" s="114">
        <f>IFERROR(__xludf.DUMMYFUNCTION("""COMPUTED_VALUE"""),44567.0)</f>
        <v>44567</v>
      </c>
      <c r="H115" s="114">
        <f>IFERROR(__xludf.DUMMYFUNCTION("""COMPUTED_VALUE"""),44567.0)</f>
        <v>44567</v>
      </c>
      <c r="I115" s="64" t="str">
        <f>IFERROR(__xludf.DUMMYFUNCTION("""COMPUTED_VALUE"""),"INTELLECTUAL PROPERTY OFFICE,INDIA")</f>
        <v>INTELLECTUAL PROPERTY OFFICE,INDIA</v>
      </c>
      <c r="J115" s="64" t="str">
        <f>IFERROR(__xludf.DUMMYFUNCTION("""COMPUTED_VALUE"""),"DR.CH.KALYAN CHAKRAVARTHY")</f>
        <v>DR.CH.KALYAN CHAKRAVARTHY</v>
      </c>
      <c r="K115" s="64" t="str">
        <f>IFERROR(__xludf.DUMMYFUNCTION("""COMPUTED_VALUE"""),"National")</f>
        <v>National</v>
      </c>
      <c r="L115" s="64" t="str">
        <f>IFERROR(__xludf.DUMMYFUNCTION("""COMPUTED_VALUE"""),"Free")</f>
        <v>Free</v>
      </c>
      <c r="M115" s="64"/>
      <c r="N115" s="115" t="str">
        <f>IFERROR(__xludf.DUMMYFUNCTION("""COMPUTED_VALUE"""),"https://drive.google.com/open?id=1P39TxcaJYNVH5sxUyMPon24uWCHmo6Qe")</f>
        <v>https://drive.google.com/open?id=1P39TxcaJYNVH5sxUyMPon24uWCHmo6Qe</v>
      </c>
      <c r="O115" s="64" t="str">
        <f>IFERROR(__xludf.DUMMYFUNCTION("""COMPUTED_VALUE"""),"2018-2022")</f>
        <v>2018-2022</v>
      </c>
      <c r="P115" s="64" t="str">
        <f>IFERROR(__xludf.DUMMYFUNCTION("""COMPUTED_VALUE"""),"S5: Student Workshops/Conf attended")</f>
        <v>S5: Student Workshops/Conf attended</v>
      </c>
      <c r="Q115" s="64" t="str">
        <f>IFERROR(__xludf.DUMMYFUNCTION("""COMPUTED_VALUE"""),"narlaveerapavankumar@gmail.com")</f>
        <v>narlaveerapavankumar@gmail.com</v>
      </c>
      <c r="R115" s="64" t="str">
        <f>IFERROR(__xludf.DUMMYFUNCTION("""COMPUTED_VALUE"""),"SEM-7")</f>
        <v>SEM-7</v>
      </c>
      <c r="S115" s="12"/>
      <c r="T115" s="12"/>
      <c r="U115" s="12"/>
      <c r="V115" s="12"/>
      <c r="W115" s="12"/>
      <c r="X115" s="12"/>
      <c r="Y115" s="12"/>
    </row>
    <row r="116" ht="26.25" customHeight="1">
      <c r="A116" s="64" t="str">
        <f>IFERROR(__xludf.DUMMYFUNCTION("""COMPUTED_VALUE"""),"Varsha mamidipaka")</f>
        <v>Varsha mamidipaka</v>
      </c>
      <c r="B116" s="64" t="str">
        <f>IFERROR(__xludf.DUMMYFUNCTION("""COMPUTED_VALUE"""),"18331A0592")</f>
        <v>18331A0592</v>
      </c>
      <c r="C116" s="64" t="str">
        <f>IFERROR(__xludf.DUMMYFUNCTION("""COMPUTED_VALUE"""),"2021-2022")</f>
        <v>2021-2022</v>
      </c>
      <c r="D116" s="64" t="str">
        <f>IFERROR(__xludf.DUMMYFUNCTION("""COMPUTED_VALUE"""),"Webinar")</f>
        <v>Webinar</v>
      </c>
      <c r="E116" s="64" t="str">
        <f>IFERROR(__xludf.DUMMYFUNCTION("""COMPUTED_VALUE"""),"IP awarness/training program")</f>
        <v>IP awarness/training program</v>
      </c>
      <c r="F116" s="64">
        <f>IFERROR(__xludf.DUMMYFUNCTION("""COMPUTED_VALUE"""),1.0)</f>
        <v>1</v>
      </c>
      <c r="G116" s="114">
        <f>IFERROR(__xludf.DUMMYFUNCTION("""COMPUTED_VALUE"""),44567.0)</f>
        <v>44567</v>
      </c>
      <c r="H116" s="114">
        <f>IFERROR(__xludf.DUMMYFUNCTION("""COMPUTED_VALUE"""),44567.0)</f>
        <v>44567</v>
      </c>
      <c r="I116" s="64" t="str">
        <f>IFERROR(__xludf.DUMMYFUNCTION("""COMPUTED_VALUE"""),"Intellrctual property office")</f>
        <v>Intellrctual property office</v>
      </c>
      <c r="J116" s="64" t="str">
        <f>IFERROR(__xludf.DUMMYFUNCTION("""COMPUTED_VALUE"""),"Dr. kalyan chakravarthy")</f>
        <v>Dr. kalyan chakravarthy</v>
      </c>
      <c r="K116" s="64" t="str">
        <f>IFERROR(__xludf.DUMMYFUNCTION("""COMPUTED_VALUE"""),"National")</f>
        <v>National</v>
      </c>
      <c r="L116" s="64" t="str">
        <f>IFERROR(__xludf.DUMMYFUNCTION("""COMPUTED_VALUE"""),"Free")</f>
        <v>Free</v>
      </c>
      <c r="M116" s="64">
        <f>IFERROR(__xludf.DUMMYFUNCTION("""COMPUTED_VALUE"""),0.0)</f>
        <v>0</v>
      </c>
      <c r="N116" s="115" t="str">
        <f>IFERROR(__xludf.DUMMYFUNCTION("""COMPUTED_VALUE"""),"https://drive.google.com/open?id=1CXij0NCjjlHixbFN2sf5gEXDE3wvUNSd")</f>
        <v>https://drive.google.com/open?id=1CXij0NCjjlHixbFN2sf5gEXDE3wvUNSd</v>
      </c>
      <c r="O116" s="64" t="str">
        <f>IFERROR(__xludf.DUMMYFUNCTION("""COMPUTED_VALUE"""),"2018-2022")</f>
        <v>2018-2022</v>
      </c>
      <c r="P116" s="64" t="str">
        <f>IFERROR(__xludf.DUMMYFUNCTION("""COMPUTED_VALUE"""),"S5: Student Workshops/Conf attended")</f>
        <v>S5: Student Workshops/Conf attended</v>
      </c>
      <c r="Q116" s="64" t="str">
        <f>IFERROR(__xludf.DUMMYFUNCTION("""COMPUTED_VALUE"""),"bhuvanavarsha7701@gmail.com")</f>
        <v>bhuvanavarsha7701@gmail.com</v>
      </c>
      <c r="R116" s="64" t="str">
        <f>IFERROR(__xludf.DUMMYFUNCTION("""COMPUTED_VALUE"""),"SEM-7")</f>
        <v>SEM-7</v>
      </c>
      <c r="S116" s="12"/>
      <c r="T116" s="12"/>
      <c r="U116" s="12"/>
      <c r="V116" s="12"/>
      <c r="W116" s="12"/>
      <c r="X116" s="12"/>
      <c r="Y116" s="12"/>
    </row>
    <row r="117" ht="26.25" customHeight="1">
      <c r="A117" s="64" t="str">
        <f>IFERROR(__xludf.DUMMYFUNCTION("""COMPUTED_VALUE"""),"Nandella Pranavi Prathyusha")</f>
        <v>Nandella Pranavi Prathyusha</v>
      </c>
      <c r="B117" s="64" t="str">
        <f>IFERROR(__xludf.DUMMYFUNCTION("""COMPUTED_VALUE"""),"18331A05A8")</f>
        <v>18331A05A8</v>
      </c>
      <c r="C117" s="64" t="str">
        <f>IFERROR(__xludf.DUMMYFUNCTION("""COMPUTED_VALUE"""),"2021-2022")</f>
        <v>2021-2022</v>
      </c>
      <c r="D117" s="64" t="str">
        <f>IFERROR(__xludf.DUMMYFUNCTION("""COMPUTED_VALUE"""),"Webinar")</f>
        <v>Webinar</v>
      </c>
      <c r="E117" s="64" t="str">
        <f>IFERROR(__xludf.DUMMYFUNCTION("""COMPUTED_VALUE"""),"IP awareness/Training program")</f>
        <v>IP awareness/Training program</v>
      </c>
      <c r="F117" s="64">
        <f>IFERROR(__xludf.DUMMYFUNCTION("""COMPUTED_VALUE"""),1.0)</f>
        <v>1</v>
      </c>
      <c r="G117" s="114">
        <f>IFERROR(__xludf.DUMMYFUNCTION("""COMPUTED_VALUE"""),44567.0)</f>
        <v>44567</v>
      </c>
      <c r="H117" s="114">
        <f>IFERROR(__xludf.DUMMYFUNCTION("""COMPUTED_VALUE"""),44567.0)</f>
        <v>44567</v>
      </c>
      <c r="I117" s="64" t="str">
        <f>IFERROR(__xludf.DUMMYFUNCTION("""COMPUTED_VALUE"""),"Intellectual Property Office, India")</f>
        <v>Intellectual Property Office, India</v>
      </c>
      <c r="J117" s="64" t="str">
        <f>IFERROR(__xludf.DUMMYFUNCTION("""COMPUTED_VALUE"""),"C Kalyan chakravarthy")</f>
        <v>C Kalyan chakravarthy</v>
      </c>
      <c r="K117" s="64" t="str">
        <f>IFERROR(__xludf.DUMMYFUNCTION("""COMPUTED_VALUE"""),"National")</f>
        <v>National</v>
      </c>
      <c r="L117" s="64" t="str">
        <f>IFERROR(__xludf.DUMMYFUNCTION("""COMPUTED_VALUE"""),"Free")</f>
        <v>Free</v>
      </c>
      <c r="M117" s="64"/>
      <c r="N117" s="115" t="str">
        <f>IFERROR(__xludf.DUMMYFUNCTION("""COMPUTED_VALUE"""),"https://drive.google.com/open?id=1pUeLcOiE1mkVTh4yivLyyXGlkX3NswyC")</f>
        <v>https://drive.google.com/open?id=1pUeLcOiE1mkVTh4yivLyyXGlkX3NswyC</v>
      </c>
      <c r="O117" s="64" t="str">
        <f>IFERROR(__xludf.DUMMYFUNCTION("""COMPUTED_VALUE"""),"2018-2022")</f>
        <v>2018-2022</v>
      </c>
      <c r="P117" s="64" t="str">
        <f>IFERROR(__xludf.DUMMYFUNCTION("""COMPUTED_VALUE"""),"S5: Student Workshops/Conf attended")</f>
        <v>S5: Student Workshops/Conf attended</v>
      </c>
      <c r="Q117" s="64" t="str">
        <f>IFERROR(__xludf.DUMMYFUNCTION("""COMPUTED_VALUE"""),"pranaviprathyusha1@gmail.com")</f>
        <v>pranaviprathyusha1@gmail.com</v>
      </c>
      <c r="R117" s="64" t="str">
        <f>IFERROR(__xludf.DUMMYFUNCTION("""COMPUTED_VALUE"""),"SEM-7")</f>
        <v>SEM-7</v>
      </c>
      <c r="S117" s="12"/>
      <c r="T117" s="12"/>
      <c r="U117" s="12"/>
      <c r="V117" s="12"/>
      <c r="W117" s="12"/>
      <c r="X117" s="12"/>
      <c r="Y117" s="12"/>
    </row>
    <row r="118" ht="26.25" customHeight="1">
      <c r="A118" s="12" t="str">
        <f>IFERROR(__xludf.DUMMYFUNCTION("""COMPUTED_VALUE"""),"Sai Gayathri Latchipatula")</f>
        <v>Sai Gayathri Latchipatula</v>
      </c>
      <c r="B118" s="12" t="str">
        <f>IFERROR(__xludf.DUMMYFUNCTION("""COMPUTED_VALUE"""),"18331A0587")</f>
        <v>18331A0587</v>
      </c>
      <c r="C118" s="12" t="str">
        <f>IFERROR(__xludf.DUMMYFUNCTION("""COMPUTED_VALUE"""),"2019-2020")</f>
        <v>2019-2020</v>
      </c>
      <c r="D118" s="12" t="str">
        <f>IFERROR(__xludf.DUMMYFUNCTION("""COMPUTED_VALUE"""),"Workshop")</f>
        <v>Workshop</v>
      </c>
      <c r="E118" s="12" t="str">
        <f>IFERROR(__xludf.DUMMYFUNCTION("""COMPUTED_VALUE"""),"Android application development")</f>
        <v>Android application development</v>
      </c>
      <c r="F118" s="12">
        <f>IFERROR(__xludf.DUMMYFUNCTION("""COMPUTED_VALUE"""),17.0)</f>
        <v>17</v>
      </c>
      <c r="G118" s="86">
        <f>IFERROR(__xludf.DUMMYFUNCTION("""COMPUTED_VALUE"""),44025.0)</f>
        <v>44025</v>
      </c>
      <c r="H118" s="86">
        <f>IFERROR(__xludf.DUMMYFUNCTION("""COMPUTED_VALUE"""),44044.0)</f>
        <v>44044</v>
      </c>
      <c r="I118" s="12" t="str">
        <f>IFERROR(__xludf.DUMMYFUNCTION("""COMPUTED_VALUE"""),"Apssdc")</f>
        <v>Apssdc</v>
      </c>
      <c r="J118" s="12" t="str">
        <f>IFERROR(__xludf.DUMMYFUNCTION("""COMPUTED_VALUE"""),"Nageswar Rao")</f>
        <v>Nageswar Rao</v>
      </c>
      <c r="K118" s="12" t="str">
        <f>IFERROR(__xludf.DUMMYFUNCTION("""COMPUTED_VALUE"""),"State")</f>
        <v>State</v>
      </c>
      <c r="L118" s="12" t="str">
        <f>IFERROR(__xludf.DUMMYFUNCTION("""COMPUTED_VALUE"""),"Free")</f>
        <v>Free</v>
      </c>
      <c r="M118" s="12"/>
      <c r="N118" s="87" t="str">
        <f>IFERROR(__xludf.DUMMYFUNCTION("""COMPUTED_VALUE"""),"https://drive.google.com/open?id=1ELPYEE3rpdtKRQRpwVSO-bZmIYuc3FF8")</f>
        <v>https://drive.google.com/open?id=1ELPYEE3rpdtKRQRpwVSO-bZmIYuc3FF8</v>
      </c>
      <c r="O118" s="12" t="str">
        <f>IFERROR(__xludf.DUMMYFUNCTION("""COMPUTED_VALUE"""),"2018-2022")</f>
        <v>2018-2022</v>
      </c>
      <c r="P118" s="12" t="str">
        <f>IFERROR(__xludf.DUMMYFUNCTION("""COMPUTED_VALUE"""),"S5: Student Workshops/Conf attended")</f>
        <v>S5: Student Workshops/Conf attended</v>
      </c>
      <c r="Q118" s="12" t="str">
        <f>IFERROR(__xludf.DUMMYFUNCTION("""COMPUTED_VALUE"""),"latchipatulasaigayathri@gmail.com")</f>
        <v>latchipatulasaigayathri@gmail.com</v>
      </c>
      <c r="R118" s="12" t="str">
        <f>IFERROR(__xludf.DUMMYFUNCTION("""COMPUTED_VALUE"""),"SEM-8")</f>
        <v>SEM-8</v>
      </c>
      <c r="S118" s="12"/>
      <c r="T118" s="12"/>
      <c r="U118" s="12"/>
      <c r="V118" s="12"/>
      <c r="W118" s="12"/>
      <c r="X118" s="12"/>
      <c r="Y118" s="12"/>
    </row>
    <row r="119" ht="26.25" customHeight="1">
      <c r="A119" s="12" t="str">
        <f>IFERROR(__xludf.DUMMYFUNCTION("""COMPUTED_VALUE"""),"Sai Gayathri Latchipatula")</f>
        <v>Sai Gayathri Latchipatula</v>
      </c>
      <c r="B119" s="12" t="str">
        <f>IFERROR(__xludf.DUMMYFUNCTION("""COMPUTED_VALUE"""),"18331A0587")</f>
        <v>18331A0587</v>
      </c>
      <c r="C119" s="12" t="str">
        <f>IFERROR(__xludf.DUMMYFUNCTION("""COMPUTED_VALUE"""),"2020-2021")</f>
        <v>2020-2021</v>
      </c>
      <c r="D119" s="12" t="str">
        <f>IFERROR(__xludf.DUMMYFUNCTION("""COMPUTED_VALUE"""),"Workshop")</f>
        <v>Workshop</v>
      </c>
      <c r="E119" s="12" t="str">
        <f>IFERROR(__xludf.DUMMYFUNCTION("""COMPUTED_VALUE"""),"Advancded Android Application development")</f>
        <v>Advancded Android Application development</v>
      </c>
      <c r="F119" s="12">
        <f>IFERROR(__xludf.DUMMYFUNCTION("""COMPUTED_VALUE"""),15.0)</f>
        <v>15</v>
      </c>
      <c r="G119" s="86">
        <f>IFERROR(__xludf.DUMMYFUNCTION("""COMPUTED_VALUE"""),44067.0)</f>
        <v>44067</v>
      </c>
      <c r="H119" s="86">
        <f>IFERROR(__xludf.DUMMYFUNCTION("""COMPUTED_VALUE"""),44079.0)</f>
        <v>44079</v>
      </c>
      <c r="I119" s="12" t="str">
        <f>IFERROR(__xludf.DUMMYFUNCTION("""COMPUTED_VALUE"""),"Appsdc ")</f>
        <v>Appsdc </v>
      </c>
      <c r="J119" s="12" t="str">
        <f>IFERROR(__xludf.DUMMYFUNCTION("""COMPUTED_VALUE"""),"nageswara rao")</f>
        <v>nageswara rao</v>
      </c>
      <c r="K119" s="12" t="str">
        <f>IFERROR(__xludf.DUMMYFUNCTION("""COMPUTED_VALUE"""),"State")</f>
        <v>State</v>
      </c>
      <c r="L119" s="12" t="str">
        <f>IFERROR(__xludf.DUMMYFUNCTION("""COMPUTED_VALUE"""),"Free")</f>
        <v>Free</v>
      </c>
      <c r="M119" s="12"/>
      <c r="N119" s="87" t="str">
        <f>IFERROR(__xludf.DUMMYFUNCTION("""COMPUTED_VALUE"""),"https://drive.google.com/open?id=1CHLGWB1XlhaqLC5Og-QimOht_H5MHELK")</f>
        <v>https://drive.google.com/open?id=1CHLGWB1XlhaqLC5Og-QimOht_H5MHELK</v>
      </c>
      <c r="O119" s="12" t="str">
        <f>IFERROR(__xludf.DUMMYFUNCTION("""COMPUTED_VALUE"""),"2018-2022")</f>
        <v>2018-2022</v>
      </c>
      <c r="P119" s="12" t="str">
        <f>IFERROR(__xludf.DUMMYFUNCTION("""COMPUTED_VALUE"""),"S5: Student Workshops/Conf attended")</f>
        <v>S5: Student Workshops/Conf attended</v>
      </c>
      <c r="Q119" s="12" t="str">
        <f>IFERROR(__xludf.DUMMYFUNCTION("""COMPUTED_VALUE"""),"latchipatulasaigayathri@gmail.com")</f>
        <v>latchipatulasaigayathri@gmail.com</v>
      </c>
      <c r="R119" s="12" t="str">
        <f>IFERROR(__xludf.DUMMYFUNCTION("""COMPUTED_VALUE"""),"SEM-8")</f>
        <v>SEM-8</v>
      </c>
      <c r="S119" s="12"/>
      <c r="T119" s="12"/>
      <c r="U119" s="12"/>
      <c r="V119" s="12"/>
      <c r="W119" s="12"/>
      <c r="X119" s="12"/>
      <c r="Y119" s="12"/>
    </row>
    <row r="120" ht="26.25" customHeight="1">
      <c r="A120" s="74" t="str">
        <f>IFERROR(__xludf.DUMMYFUNCTION("""COMPUTED_VALUE"""),"Thatimalla Niveditha")</f>
        <v>Thatimalla Niveditha</v>
      </c>
      <c r="B120" s="74" t="str">
        <f>IFERROR(__xludf.DUMMYFUNCTION("""COMPUTED_VALUE"""),"19331A05H1")</f>
        <v>19331A05H1</v>
      </c>
      <c r="C120" s="74" t="str">
        <f>IFERROR(__xludf.DUMMYFUNCTION("""COMPUTED_VALUE"""),"2019-2020")</f>
        <v>2019-2020</v>
      </c>
      <c r="D120" s="74" t="str">
        <f>IFERROR(__xludf.DUMMYFUNCTION("""COMPUTED_VALUE"""),"Webinar")</f>
        <v>Webinar</v>
      </c>
      <c r="E120" s="74" t="str">
        <f>IFERROR(__xludf.DUMMYFUNCTION("""COMPUTED_VALUE"""),"Evolution and Dissemination of IPR and Innovations for Sustainable Development")</f>
        <v>Evolution and Dissemination of IPR and Innovations for Sustainable Development</v>
      </c>
      <c r="F120" s="74">
        <f>IFERROR(__xludf.DUMMYFUNCTION("""COMPUTED_VALUE"""),1.0)</f>
        <v>1</v>
      </c>
      <c r="G120" s="79">
        <f>IFERROR(__xludf.DUMMYFUNCTION("""COMPUTED_VALUE"""),43981.0)</f>
        <v>43981</v>
      </c>
      <c r="H120" s="79">
        <f>IFERROR(__xludf.DUMMYFUNCTION("""COMPUTED_VALUE"""),43981.0)</f>
        <v>43981</v>
      </c>
      <c r="I120" s="74" t="str">
        <f>IFERROR(__xludf.DUMMYFUNCTION("""COMPUTED_VALUE"""),"Dadi Institute of Engineering and Technology")</f>
        <v>Dadi Institute of Engineering and Technology</v>
      </c>
      <c r="J120" s="74" t="str">
        <f>IFERROR(__xludf.DUMMYFUNCTION("""COMPUTED_VALUE"""),"Dr.P  Bhavya Manjeera, Sri A Krishna Nag, Dr. Ch. S. Naga Prasad, Sri Dadi Ratnakar")</f>
        <v>Dr.P  Bhavya Manjeera, Sri A Krishna Nag, Dr. Ch. S. Naga Prasad, Sri Dadi Ratnakar</v>
      </c>
      <c r="K120" s="74" t="str">
        <f>IFERROR(__xludf.DUMMYFUNCTION("""COMPUTED_VALUE"""),"State")</f>
        <v>State</v>
      </c>
      <c r="L120" s="74" t="str">
        <f>IFERROR(__xludf.DUMMYFUNCTION("""COMPUTED_VALUE"""),"Free")</f>
        <v>Free</v>
      </c>
      <c r="M120" s="74"/>
      <c r="N120" s="80" t="str">
        <f>IFERROR(__xludf.DUMMYFUNCTION("""COMPUTED_VALUE"""),"https://drive.google.com/open?id=1R4S5coAERR4qG2IVl3BQg1QEANI--93h")</f>
        <v>https://drive.google.com/open?id=1R4S5coAERR4qG2IVl3BQg1QEANI--93h</v>
      </c>
      <c r="O120" s="74" t="str">
        <f>IFERROR(__xludf.DUMMYFUNCTION("""COMPUTED_VALUE"""),"2019-2023")</f>
        <v>2019-2023</v>
      </c>
      <c r="P120" s="74" t="str">
        <f>IFERROR(__xludf.DUMMYFUNCTION("""COMPUTED_VALUE"""),"S5: Student Workshops/Conf attended")</f>
        <v>S5: Student Workshops/Conf attended</v>
      </c>
      <c r="Q120" s="74" t="str">
        <f>IFERROR(__xludf.DUMMYFUNCTION("""COMPUTED_VALUE"""),"thatimallaniveditha@gmail.com")</f>
        <v>thatimallaniveditha@gmail.com</v>
      </c>
      <c r="R120" s="74" t="str">
        <f>IFERROR(__xludf.DUMMYFUNCTION("""COMPUTED_VALUE"""),"SEM-3")</f>
        <v>SEM-3</v>
      </c>
      <c r="S120" s="74"/>
      <c r="T120" s="74"/>
      <c r="U120" s="74"/>
      <c r="V120" s="74"/>
      <c r="W120" s="74"/>
      <c r="X120" s="74"/>
      <c r="Y120" s="74"/>
    </row>
    <row r="121" ht="26.25" customHeight="1">
      <c r="A121" s="74" t="str">
        <f>IFERROR(__xludf.DUMMYFUNCTION("""COMPUTED_VALUE"""),"PALAVALASA DEEPAK")</f>
        <v>PALAVALASA DEEPAK</v>
      </c>
      <c r="B121" s="74" t="str">
        <f>IFERROR(__xludf.DUMMYFUNCTION("""COMPUTED_VALUE"""),"19331A05C4")</f>
        <v>19331A05C4</v>
      </c>
      <c r="C121" s="74" t="str">
        <f>IFERROR(__xludf.DUMMYFUNCTION("""COMPUTED_VALUE"""),"2021-2022")</f>
        <v>2021-2022</v>
      </c>
      <c r="D121" s="74" t="str">
        <f>IFERROR(__xludf.DUMMYFUNCTION("""COMPUTED_VALUE"""),"Workshop")</f>
        <v>Workshop</v>
      </c>
      <c r="E121" s="74" t="str">
        <f>IFERROR(__xludf.DUMMYFUNCTION("""COMPUTED_VALUE"""),"KLA WORKSHOP ON AI AND HPC IN SEMICONDUCTOR MANUFACTURING")</f>
        <v>KLA WORKSHOP ON AI AND HPC IN SEMICONDUCTOR MANUFACTURING</v>
      </c>
      <c r="F121" s="74">
        <f>IFERROR(__xludf.DUMMYFUNCTION("""COMPUTED_VALUE"""),5.0)</f>
        <v>5</v>
      </c>
      <c r="G121" s="79">
        <f>IFERROR(__xludf.DUMMYFUNCTION("""COMPUTED_VALUE"""),44466.0)</f>
        <v>44466</v>
      </c>
      <c r="H121" s="79">
        <f>IFERROR(__xludf.DUMMYFUNCTION("""COMPUTED_VALUE"""),44470.0)</f>
        <v>44470</v>
      </c>
      <c r="I121" s="74" t="str">
        <f>IFERROR(__xludf.DUMMYFUNCTION("""COMPUTED_VALUE"""),"KLA and IIT MADRAS")</f>
        <v>KLA and IIT MADRAS</v>
      </c>
      <c r="J121" s="74" t="str">
        <f>IFERROR(__xludf.DUMMYFUNCTION("""COMPUTED_VALUE"""),"Pradeep Ramachandran")</f>
        <v>Pradeep Ramachandran</v>
      </c>
      <c r="K121" s="74" t="str">
        <f>IFERROR(__xludf.DUMMYFUNCTION("""COMPUTED_VALUE"""),"National")</f>
        <v>National</v>
      </c>
      <c r="L121" s="74" t="str">
        <f>IFERROR(__xludf.DUMMYFUNCTION("""COMPUTED_VALUE"""),"Free")</f>
        <v>Free</v>
      </c>
      <c r="M121" s="74"/>
      <c r="N121" s="80" t="str">
        <f>IFERROR(__xludf.DUMMYFUNCTION("""COMPUTED_VALUE"""),"https://drive.google.com/open?id=1iknMzwGXmQK4AjJuE47wqGZX-b9iZ9eB")</f>
        <v>https://drive.google.com/open?id=1iknMzwGXmQK4AjJuE47wqGZX-b9iZ9eB</v>
      </c>
      <c r="O121" s="74" t="str">
        <f>IFERROR(__xludf.DUMMYFUNCTION("""COMPUTED_VALUE"""),"2019-2023")</f>
        <v>2019-2023</v>
      </c>
      <c r="P121" s="74" t="str">
        <f>IFERROR(__xludf.DUMMYFUNCTION("""COMPUTED_VALUE"""),"S5: Student Workshops/Conf attended")</f>
        <v>S5: Student Workshops/Conf attended</v>
      </c>
      <c r="Q121" s="74" t="str">
        <f>IFERROR(__xludf.DUMMYFUNCTION("""COMPUTED_VALUE"""),"palavalasadeepak@gmail.com")</f>
        <v>palavalasadeepak@gmail.com</v>
      </c>
      <c r="R121" s="74" t="str">
        <f>IFERROR(__xludf.DUMMYFUNCTION("""COMPUTED_VALUE"""),"SEM-6")</f>
        <v>SEM-6</v>
      </c>
      <c r="S121" s="74"/>
      <c r="T121" s="74"/>
      <c r="U121" s="74"/>
      <c r="V121" s="74"/>
      <c r="W121" s="74"/>
      <c r="X121" s="74"/>
      <c r="Y121" s="74"/>
    </row>
    <row r="122" ht="26.25" customHeight="1">
      <c r="A122" s="74" t="str">
        <f>IFERROR(__xludf.DUMMYFUNCTION("""COMPUTED_VALUE"""),"Kantubhukta Hemanth")</f>
        <v>Kantubhukta Hemanth</v>
      </c>
      <c r="B122" s="74" t="str">
        <f>IFERROR(__xludf.DUMMYFUNCTION("""COMPUTED_VALUE"""),"19331A0573")</f>
        <v>19331A0573</v>
      </c>
      <c r="C122" s="74" t="str">
        <f>IFERROR(__xludf.DUMMYFUNCTION("""COMPUTED_VALUE"""),"2021-2022")</f>
        <v>2021-2022</v>
      </c>
      <c r="D122" s="74" t="str">
        <f>IFERROR(__xludf.DUMMYFUNCTION("""COMPUTED_VALUE"""),"Workshop")</f>
        <v>Workshop</v>
      </c>
      <c r="E122" s="74" t="str">
        <f>IFERROR(__xludf.DUMMYFUNCTION("""COMPUTED_VALUE"""),"GDG DevFest India 2021")</f>
        <v>GDG DevFest India 2021</v>
      </c>
      <c r="F122" s="74">
        <f>IFERROR(__xludf.DUMMYFUNCTION("""COMPUTED_VALUE"""),3.0)</f>
        <v>3</v>
      </c>
      <c r="G122" s="79">
        <f>IFERROR(__xludf.DUMMYFUNCTION("""COMPUTED_VALUE"""),44491.0)</f>
        <v>44491</v>
      </c>
      <c r="H122" s="79">
        <f>IFERROR(__xludf.DUMMYFUNCTION("""COMPUTED_VALUE"""),44493.0)</f>
        <v>44493</v>
      </c>
      <c r="I122" s="74" t="str">
        <f>IFERROR(__xludf.DUMMYFUNCTION("""COMPUTED_VALUE"""),"Google Developer Groups")</f>
        <v>Google Developer Groups</v>
      </c>
      <c r="J122" s="74" t="str">
        <f>IFERROR(__xludf.DUMMYFUNCTION("""COMPUTED_VALUE"""),"DevFest")</f>
        <v>DevFest</v>
      </c>
      <c r="K122" s="74" t="str">
        <f>IFERROR(__xludf.DUMMYFUNCTION("""COMPUTED_VALUE"""),"National")</f>
        <v>National</v>
      </c>
      <c r="L122" s="74" t="str">
        <f>IFERROR(__xludf.DUMMYFUNCTION("""COMPUTED_VALUE"""),"Free")</f>
        <v>Free</v>
      </c>
      <c r="M122" s="74"/>
      <c r="N122" s="80" t="str">
        <f>IFERROR(__xludf.DUMMYFUNCTION("""COMPUTED_VALUE"""),"https://drive.google.com/open?id=12qsknqS2SNHy_xr2hKOg16otFzDmHOej")</f>
        <v>https://drive.google.com/open?id=12qsknqS2SNHy_xr2hKOg16otFzDmHOej</v>
      </c>
      <c r="O122" s="74" t="str">
        <f>IFERROR(__xludf.DUMMYFUNCTION("""COMPUTED_VALUE"""),"2019-2023")</f>
        <v>2019-2023</v>
      </c>
      <c r="P122" s="74" t="str">
        <f>IFERROR(__xludf.DUMMYFUNCTION("""COMPUTED_VALUE"""),"S5: Student Workshops/Conf attended")</f>
        <v>S5: Student Workshops/Conf attended</v>
      </c>
      <c r="Q122" s="74" t="str">
        <f>IFERROR(__xludf.DUMMYFUNCTION("""COMPUTED_VALUE"""),"hemanthkantubhukta2232@gmail.com")</f>
        <v>hemanthkantubhukta2232@gmail.com</v>
      </c>
      <c r="R122" s="74" t="str">
        <f>IFERROR(__xludf.DUMMYFUNCTION("""COMPUTED_VALUE"""),"SEM-6")</f>
        <v>SEM-6</v>
      </c>
      <c r="S122" s="74"/>
      <c r="T122" s="74"/>
      <c r="U122" s="74"/>
      <c r="V122" s="74"/>
      <c r="W122" s="74"/>
      <c r="X122" s="74"/>
      <c r="Y122" s="74"/>
    </row>
    <row r="123" ht="26.25" customHeight="1">
      <c r="A123" s="74" t="str">
        <f>IFERROR(__xludf.DUMMYFUNCTION("""COMPUTED_VALUE"""),"PALAVALASA DEEPAK")</f>
        <v>PALAVALASA DEEPAK</v>
      </c>
      <c r="B123" s="74" t="str">
        <f>IFERROR(__xludf.DUMMYFUNCTION("""COMPUTED_VALUE"""),"19331A05C4")</f>
        <v>19331A05C4</v>
      </c>
      <c r="C123" s="74" t="str">
        <f>IFERROR(__xludf.DUMMYFUNCTION("""COMPUTED_VALUE"""),"2021-2022")</f>
        <v>2021-2022</v>
      </c>
      <c r="D123" s="74" t="str">
        <f>IFERROR(__xludf.DUMMYFUNCTION("""COMPUTED_VALUE"""),"Webinar")</f>
        <v>Webinar</v>
      </c>
      <c r="E123" s="74" t="str">
        <f>IFERROR(__xludf.DUMMYFUNCTION("""COMPUTED_VALUE"""),"GOOGLE DEV FEST 2021")</f>
        <v>GOOGLE DEV FEST 2021</v>
      </c>
      <c r="F123" s="74">
        <f>IFERROR(__xludf.DUMMYFUNCTION("""COMPUTED_VALUE"""),3.0)</f>
        <v>3</v>
      </c>
      <c r="G123" s="79">
        <f>IFERROR(__xludf.DUMMYFUNCTION("""COMPUTED_VALUE"""),44491.0)</f>
        <v>44491</v>
      </c>
      <c r="H123" s="79">
        <f>IFERROR(__xludf.DUMMYFUNCTION("""COMPUTED_VALUE"""),44493.0)</f>
        <v>44493</v>
      </c>
      <c r="I123" s="74" t="str">
        <f>IFERROR(__xludf.DUMMYFUNCTION("""COMPUTED_VALUE"""),"GOOGLE")</f>
        <v>GOOGLE</v>
      </c>
      <c r="J123" s="74" t="str">
        <f>IFERROR(__xludf.DUMMYFUNCTION("""COMPUTED_VALUE"""),"GOOGLE")</f>
        <v>GOOGLE</v>
      </c>
      <c r="K123" s="74" t="str">
        <f>IFERROR(__xludf.DUMMYFUNCTION("""COMPUTED_VALUE"""),"National")</f>
        <v>National</v>
      </c>
      <c r="L123" s="74" t="str">
        <f>IFERROR(__xludf.DUMMYFUNCTION("""COMPUTED_VALUE"""),"Free")</f>
        <v>Free</v>
      </c>
      <c r="M123" s="74"/>
      <c r="N123" s="80" t="str">
        <f>IFERROR(__xludf.DUMMYFUNCTION("""COMPUTED_VALUE"""),"https://drive.google.com/open?id=1gOUOIFbe2UvCobSidAlwBfxZWRfKWD7j")</f>
        <v>https://drive.google.com/open?id=1gOUOIFbe2UvCobSidAlwBfxZWRfKWD7j</v>
      </c>
      <c r="O123" s="74" t="str">
        <f>IFERROR(__xludf.DUMMYFUNCTION("""COMPUTED_VALUE"""),"2019-2023")</f>
        <v>2019-2023</v>
      </c>
      <c r="P123" s="74" t="str">
        <f>IFERROR(__xludf.DUMMYFUNCTION("""COMPUTED_VALUE"""),"S5: Student Workshops/Conf attended")</f>
        <v>S5: Student Workshops/Conf attended</v>
      </c>
      <c r="Q123" s="74" t="str">
        <f>IFERROR(__xludf.DUMMYFUNCTION("""COMPUTED_VALUE"""),"palavalasadeepak@gmail.com")</f>
        <v>palavalasadeepak@gmail.com</v>
      </c>
      <c r="R123" s="74" t="str">
        <f>IFERROR(__xludf.DUMMYFUNCTION("""COMPUTED_VALUE"""),"SEM-6")</f>
        <v>SEM-6</v>
      </c>
      <c r="S123" s="74"/>
      <c r="T123" s="74"/>
      <c r="U123" s="74"/>
      <c r="V123" s="74"/>
      <c r="W123" s="74"/>
      <c r="X123" s="74"/>
      <c r="Y123" s="74"/>
    </row>
    <row r="124" ht="26.25" customHeight="1">
      <c r="A124" s="74" t="str">
        <f>IFERROR(__xludf.DUMMYFUNCTION("""COMPUTED_VALUE"""),"Mohammed Aquib Akthar ")</f>
        <v>Mohammed Aquib Akthar </v>
      </c>
      <c r="B124" s="74" t="str">
        <f>IFERROR(__xludf.DUMMYFUNCTION("""COMPUTED_VALUE"""),"19331A05A6")</f>
        <v>19331A05A6</v>
      </c>
      <c r="C124" s="74" t="str">
        <f>IFERROR(__xludf.DUMMYFUNCTION("""COMPUTED_VALUE"""),"2019-2020")</f>
        <v>2019-2020</v>
      </c>
      <c r="D124" s="74" t="str">
        <f>IFERROR(__xludf.DUMMYFUNCTION("""COMPUTED_VALUE"""),"Workshop")</f>
        <v>Workshop</v>
      </c>
      <c r="E124" s="74" t="str">
        <f>IFERROR(__xludf.DUMMYFUNCTION("""COMPUTED_VALUE"""),"Learn to build a website ")</f>
        <v>Learn to build a website </v>
      </c>
      <c r="F124" s="74">
        <f>IFERROR(__xludf.DUMMYFUNCTION("""COMPUTED_VALUE"""),30.0)</f>
        <v>30</v>
      </c>
      <c r="G124" s="79">
        <f>IFERROR(__xludf.DUMMYFUNCTION("""COMPUTED_VALUE"""),44065.0)</f>
        <v>44065</v>
      </c>
      <c r="H124" s="79">
        <f>IFERROR(__xludf.DUMMYFUNCTION("""COMPUTED_VALUE"""),44097.0)</f>
        <v>44097</v>
      </c>
      <c r="I124" s="74" t="str">
        <f>IFERROR(__xludf.DUMMYFUNCTION("""COMPUTED_VALUE"""),"Skill safari")</f>
        <v>Skill safari</v>
      </c>
      <c r="J124" s="74" t="str">
        <f>IFERROR(__xludf.DUMMYFUNCTION("""COMPUTED_VALUE"""),"Skill safari ")</f>
        <v>Skill safari </v>
      </c>
      <c r="K124" s="74" t="str">
        <f>IFERROR(__xludf.DUMMYFUNCTION("""COMPUTED_VALUE"""),"State")</f>
        <v>State</v>
      </c>
      <c r="L124" s="74" t="str">
        <f>IFERROR(__xludf.DUMMYFUNCTION("""COMPUTED_VALUE"""),"Free")</f>
        <v>Free</v>
      </c>
      <c r="M124" s="74"/>
      <c r="N124" s="80" t="str">
        <f>IFERROR(__xludf.DUMMYFUNCTION("""COMPUTED_VALUE"""),"https://drive.google.com/open?id=1kXYAnzUso7TTIHXPd9lyRpdzk2qnZDMY")</f>
        <v>https://drive.google.com/open?id=1kXYAnzUso7TTIHXPd9lyRpdzk2qnZDMY</v>
      </c>
      <c r="O124" s="74" t="str">
        <f>IFERROR(__xludf.DUMMYFUNCTION("""COMPUTED_VALUE"""),"2019-2023")</f>
        <v>2019-2023</v>
      </c>
      <c r="P124" s="74" t="str">
        <f>IFERROR(__xludf.DUMMYFUNCTION("""COMPUTED_VALUE"""),"S5: Student Workshops/Conf attended")</f>
        <v>S5: Student Workshops/Conf attended</v>
      </c>
      <c r="Q124" s="74" t="str">
        <f>IFERROR(__xludf.DUMMYFUNCTION("""COMPUTED_VALUE"""),"aquibakthar14@gmail.com")</f>
        <v>aquibakthar14@gmail.com</v>
      </c>
      <c r="R124" s="74" t="str">
        <f>IFERROR(__xludf.DUMMYFUNCTION("""COMPUTED_VALUE"""),"SEM-6")</f>
        <v>SEM-6</v>
      </c>
      <c r="S124" s="74"/>
      <c r="T124" s="74"/>
      <c r="U124" s="74"/>
      <c r="V124" s="74"/>
      <c r="W124" s="74"/>
      <c r="X124" s="74"/>
      <c r="Y124" s="74"/>
    </row>
    <row r="125" ht="26.25" customHeight="1">
      <c r="A125" s="74" t="str">
        <f>IFERROR(__xludf.DUMMYFUNCTION("""COMPUTED_VALUE"""),"Neelam Pavani Lakshmi")</f>
        <v>Neelam Pavani Lakshmi</v>
      </c>
      <c r="B125" s="74" t="str">
        <f>IFERROR(__xludf.DUMMYFUNCTION("""COMPUTED_VALUE"""),"19331A05C1")</f>
        <v>19331A05C1</v>
      </c>
      <c r="C125" s="74" t="str">
        <f>IFERROR(__xludf.DUMMYFUNCTION("""COMPUTED_VALUE"""),"2020-2021")</f>
        <v>2020-2021</v>
      </c>
      <c r="D125" s="74" t="str">
        <f>IFERROR(__xludf.DUMMYFUNCTION("""COMPUTED_VALUE"""),"Webinar")</f>
        <v>Webinar</v>
      </c>
      <c r="E125" s="74" t="str">
        <f>IFERROR(__xludf.DUMMYFUNCTION("""COMPUTED_VALUE"""),"Cloud Master Class-Discovery Day")</f>
        <v>Cloud Master Class-Discovery Day</v>
      </c>
      <c r="F125" s="74">
        <f>IFERROR(__xludf.DUMMYFUNCTION("""COMPUTED_VALUE"""),1.0)</f>
        <v>1</v>
      </c>
      <c r="G125" s="79">
        <f>IFERROR(__xludf.DUMMYFUNCTION("""COMPUTED_VALUE"""),44350.0)</f>
        <v>44350</v>
      </c>
      <c r="H125" s="79">
        <f>IFERROR(__xludf.DUMMYFUNCTION("""COMPUTED_VALUE"""),44350.0)</f>
        <v>44350</v>
      </c>
      <c r="I125" s="74" t="str">
        <f>IFERROR(__xludf.DUMMYFUNCTION("""COMPUTED_VALUE"""),"Future skills prime and AWS")</f>
        <v>Future skills prime and AWS</v>
      </c>
      <c r="J125" s="74" t="str">
        <f>IFERROR(__xludf.DUMMYFUNCTION("""COMPUTED_VALUE"""),"Goutham Nanjundaswamy")</f>
        <v>Goutham Nanjundaswamy</v>
      </c>
      <c r="K125" s="74" t="str">
        <f>IFERROR(__xludf.DUMMYFUNCTION("""COMPUTED_VALUE"""),"International")</f>
        <v>International</v>
      </c>
      <c r="L125" s="74" t="str">
        <f>IFERROR(__xludf.DUMMYFUNCTION("""COMPUTED_VALUE"""),"Free")</f>
        <v>Free</v>
      </c>
      <c r="M125" s="74"/>
      <c r="N125" s="80" t="str">
        <f>IFERROR(__xludf.DUMMYFUNCTION("""COMPUTED_VALUE"""),"https://drive.google.com/open?id=1J9lJcBtyeEyEQnOt6SpZTHFVaR-J4SFO")</f>
        <v>https://drive.google.com/open?id=1J9lJcBtyeEyEQnOt6SpZTHFVaR-J4SFO</v>
      </c>
      <c r="O125" s="74" t="str">
        <f>IFERROR(__xludf.DUMMYFUNCTION("""COMPUTED_VALUE"""),"2019-2023")</f>
        <v>2019-2023</v>
      </c>
      <c r="P125" s="74" t="str">
        <f>IFERROR(__xludf.DUMMYFUNCTION("""COMPUTED_VALUE"""),"S5: Student Workshops/Conf attended")</f>
        <v>S5: Student Workshops/Conf attended</v>
      </c>
      <c r="Q125" s="74" t="str">
        <f>IFERROR(__xludf.DUMMYFUNCTION("""COMPUTED_VALUE"""),"npavanilaxmi@gmail.com")</f>
        <v>npavanilaxmi@gmail.com</v>
      </c>
      <c r="R125" s="74" t="str">
        <f>IFERROR(__xludf.DUMMYFUNCTION("""COMPUTED_VALUE"""),"SEM-6")</f>
        <v>SEM-6</v>
      </c>
      <c r="S125" s="74"/>
      <c r="T125" s="74"/>
      <c r="U125" s="74"/>
      <c r="V125" s="74"/>
      <c r="W125" s="74"/>
      <c r="X125" s="74"/>
      <c r="Y125" s="74"/>
    </row>
    <row r="126" ht="26.25" customHeight="1">
      <c r="A126" s="74" t="str">
        <f>IFERROR(__xludf.DUMMYFUNCTION("""COMPUTED_VALUE"""),"Mohammed Aquib Akthar ")</f>
        <v>Mohammed Aquib Akthar </v>
      </c>
      <c r="B126" s="74" t="str">
        <f>IFERROR(__xludf.DUMMYFUNCTION("""COMPUTED_VALUE"""),"19331A05A6")</f>
        <v>19331A05A6</v>
      </c>
      <c r="C126" s="74" t="str">
        <f>IFERROR(__xludf.DUMMYFUNCTION("""COMPUTED_VALUE"""),"2020-2021")</f>
        <v>2020-2021</v>
      </c>
      <c r="D126" s="74" t="str">
        <f>IFERROR(__xludf.DUMMYFUNCTION("""COMPUTED_VALUE"""),"Workshop")</f>
        <v>Workshop</v>
      </c>
      <c r="E126" s="74" t="str">
        <f>IFERROR(__xludf.DUMMYFUNCTION("""COMPUTED_VALUE"""),"DevFest India ")</f>
        <v>DevFest India </v>
      </c>
      <c r="F126" s="74">
        <f>IFERROR(__xludf.DUMMYFUNCTION("""COMPUTED_VALUE"""),3.0)</f>
        <v>3</v>
      </c>
      <c r="G126" s="79">
        <f>IFERROR(__xludf.DUMMYFUNCTION("""COMPUTED_VALUE"""),44491.0)</f>
        <v>44491</v>
      </c>
      <c r="H126" s="79">
        <f>IFERROR(__xludf.DUMMYFUNCTION("""COMPUTED_VALUE"""),44493.0)</f>
        <v>44493</v>
      </c>
      <c r="I126" s="74" t="str">
        <f>IFERROR(__xludf.DUMMYFUNCTION("""COMPUTED_VALUE"""),"Google ")</f>
        <v>Google </v>
      </c>
      <c r="J126" s="74" t="str">
        <f>IFERROR(__xludf.DUMMYFUNCTION("""COMPUTED_VALUE"""),"DevFest India ")</f>
        <v>DevFest India </v>
      </c>
      <c r="K126" s="74" t="str">
        <f>IFERROR(__xludf.DUMMYFUNCTION("""COMPUTED_VALUE"""),"National")</f>
        <v>National</v>
      </c>
      <c r="L126" s="74" t="str">
        <f>IFERROR(__xludf.DUMMYFUNCTION("""COMPUTED_VALUE"""),"Free")</f>
        <v>Free</v>
      </c>
      <c r="M126" s="74"/>
      <c r="N126" s="80" t="str">
        <f>IFERROR(__xludf.DUMMYFUNCTION("""COMPUTED_VALUE"""),"https://drive.google.com/open?id=1sZRpzPyiH0qExz1QzqXGX5rOrZP1-0sV")</f>
        <v>https://drive.google.com/open?id=1sZRpzPyiH0qExz1QzqXGX5rOrZP1-0sV</v>
      </c>
      <c r="O126" s="74" t="str">
        <f>IFERROR(__xludf.DUMMYFUNCTION("""COMPUTED_VALUE"""),"2019-2023")</f>
        <v>2019-2023</v>
      </c>
      <c r="P126" s="74" t="str">
        <f>IFERROR(__xludf.DUMMYFUNCTION("""COMPUTED_VALUE"""),"S5: Student Workshops/Conf attended")</f>
        <v>S5: Student Workshops/Conf attended</v>
      </c>
      <c r="Q126" s="74" t="str">
        <f>IFERROR(__xludf.DUMMYFUNCTION("""COMPUTED_VALUE"""),"aquibakthar14@gmail.com")</f>
        <v>aquibakthar14@gmail.com</v>
      </c>
      <c r="R126" s="74" t="str">
        <f>IFERROR(__xludf.DUMMYFUNCTION("""COMPUTED_VALUE"""),"SEM-6")</f>
        <v>SEM-6</v>
      </c>
      <c r="S126" s="74"/>
      <c r="T126" s="74"/>
      <c r="U126" s="74"/>
      <c r="V126" s="74"/>
      <c r="W126" s="74"/>
      <c r="X126" s="74"/>
      <c r="Y126" s="74"/>
    </row>
    <row r="127" ht="26.25" customHeight="1">
      <c r="A127" s="74" t="str">
        <f>IFERROR(__xludf.DUMMYFUNCTION("""COMPUTED_VALUE"""),"Kunchala Vamsi")</f>
        <v>Kunchala Vamsi</v>
      </c>
      <c r="B127" s="74" t="str">
        <f>IFERROR(__xludf.DUMMYFUNCTION("""COMPUTED_VALUE"""),"19331A0591")</f>
        <v>19331A0591</v>
      </c>
      <c r="C127" s="74" t="str">
        <f>IFERROR(__xludf.DUMMYFUNCTION("""COMPUTED_VALUE"""),"2021-2022")</f>
        <v>2021-2022</v>
      </c>
      <c r="D127" s="74" t="str">
        <f>IFERROR(__xludf.DUMMYFUNCTION("""COMPUTED_VALUE"""),"Workshop")</f>
        <v>Workshop</v>
      </c>
      <c r="E127" s="74" t="str">
        <f>IFERROR(__xludf.DUMMYFUNCTION("""COMPUTED_VALUE"""),"GDG DEVFEST")</f>
        <v>GDG DEVFEST</v>
      </c>
      <c r="F127" s="74">
        <f>IFERROR(__xludf.DUMMYFUNCTION("""COMPUTED_VALUE"""),3.0)</f>
        <v>3</v>
      </c>
      <c r="G127" s="79">
        <f>IFERROR(__xludf.DUMMYFUNCTION("""COMPUTED_VALUE"""),44492.0)</f>
        <v>44492</v>
      </c>
      <c r="H127" s="79">
        <f>IFERROR(__xludf.DUMMYFUNCTION("""COMPUTED_VALUE"""),44494.0)</f>
        <v>44494</v>
      </c>
      <c r="I127" s="74" t="str">
        <f>IFERROR(__xludf.DUMMYFUNCTION("""COMPUTED_VALUE"""),"GOOGLE")</f>
        <v>GOOGLE</v>
      </c>
      <c r="J127" s="74" t="str">
        <f>IFERROR(__xludf.DUMMYFUNCTION("""COMPUTED_VALUE"""),"GOOGLE DEVELOPER GROUPS")</f>
        <v>GOOGLE DEVELOPER GROUPS</v>
      </c>
      <c r="K127" s="74" t="str">
        <f>IFERROR(__xludf.DUMMYFUNCTION("""COMPUTED_VALUE"""),"National")</f>
        <v>National</v>
      </c>
      <c r="L127" s="74" t="str">
        <f>IFERROR(__xludf.DUMMYFUNCTION("""COMPUTED_VALUE"""),"Free")</f>
        <v>Free</v>
      </c>
      <c r="M127" s="74"/>
      <c r="N127" s="80" t="str">
        <f>IFERROR(__xludf.DUMMYFUNCTION("""COMPUTED_VALUE"""),"https://drive.google.com/open?id=1ptMty6ndlaqD4-uQQZ4kUeXVqlZThoBw")</f>
        <v>https://drive.google.com/open?id=1ptMty6ndlaqD4-uQQZ4kUeXVqlZThoBw</v>
      </c>
      <c r="O127" s="74" t="str">
        <f>IFERROR(__xludf.DUMMYFUNCTION("""COMPUTED_VALUE"""),"2019-2023")</f>
        <v>2019-2023</v>
      </c>
      <c r="P127" s="74" t="str">
        <f>IFERROR(__xludf.DUMMYFUNCTION("""COMPUTED_VALUE"""),"S5: Student Workshops/Conf attended")</f>
        <v>S5: Student Workshops/Conf attended</v>
      </c>
      <c r="Q127" s="74" t="str">
        <f>IFERROR(__xludf.DUMMYFUNCTION("""COMPUTED_VALUE"""),"vamsikunchala7.2001@gmail.com")</f>
        <v>vamsikunchala7.2001@gmail.com</v>
      </c>
      <c r="R127" s="74" t="str">
        <f>IFERROR(__xludf.DUMMYFUNCTION("""COMPUTED_VALUE"""),"SEM-6")</f>
        <v>SEM-6</v>
      </c>
      <c r="S127" s="74"/>
      <c r="T127" s="74"/>
      <c r="U127" s="74"/>
      <c r="V127" s="74"/>
      <c r="W127" s="74"/>
      <c r="X127" s="74"/>
      <c r="Y127" s="74"/>
    </row>
    <row r="128" ht="26.25" customHeight="1">
      <c r="A128" s="74" t="str">
        <f>IFERROR(__xludf.DUMMYFUNCTION("""COMPUTED_VALUE"""),"Sunkari Chitra Deepika")</f>
        <v>Sunkari Chitra Deepika</v>
      </c>
      <c r="B128" s="74" t="str">
        <f>IFERROR(__xludf.DUMMYFUNCTION("""COMPUTED_VALUE"""),"19331A05G5")</f>
        <v>19331A05G5</v>
      </c>
      <c r="C128" s="74" t="str">
        <f>IFERROR(__xludf.DUMMYFUNCTION("""COMPUTED_VALUE"""),"2020-2021")</f>
        <v>2020-2021</v>
      </c>
      <c r="D128" s="74" t="str">
        <f>IFERROR(__xludf.DUMMYFUNCTION("""COMPUTED_VALUE"""),"Webinar")</f>
        <v>Webinar</v>
      </c>
      <c r="E128" s="74" t="str">
        <f>IFERROR(__xludf.DUMMYFUNCTION("""COMPUTED_VALUE"""),"Building a Career as an Ethical Hacker")</f>
        <v>Building a Career as an Ethical Hacker</v>
      </c>
      <c r="F128" s="74">
        <f>IFERROR(__xludf.DUMMYFUNCTION("""COMPUTED_VALUE"""),30.0)</f>
        <v>30</v>
      </c>
      <c r="G128" s="79">
        <f>IFERROR(__xludf.DUMMYFUNCTION("""COMPUTED_VALUE"""),44188.0)</f>
        <v>44188</v>
      </c>
      <c r="H128" s="79">
        <f>IFERROR(__xludf.DUMMYFUNCTION("""COMPUTED_VALUE"""),44219.0)</f>
        <v>44219</v>
      </c>
      <c r="I128" s="74" t="str">
        <f>IFERROR(__xludf.DUMMYFUNCTION("""COMPUTED_VALUE"""),"Akash Agarwal")</f>
        <v>Akash Agarwal</v>
      </c>
      <c r="J128" s="74" t="str">
        <f>IFERROR(__xludf.DUMMYFUNCTION("""COMPUTED_VALUE"""),"Akash agarwal")</f>
        <v>Akash agarwal</v>
      </c>
      <c r="K128" s="74" t="str">
        <f>IFERROR(__xludf.DUMMYFUNCTION("""COMPUTED_VALUE"""),"State")</f>
        <v>State</v>
      </c>
      <c r="L128" s="74" t="str">
        <f>IFERROR(__xludf.DUMMYFUNCTION("""COMPUTED_VALUE"""),"Free")</f>
        <v>Free</v>
      </c>
      <c r="M128" s="74"/>
      <c r="N128" s="80" t="str">
        <f>IFERROR(__xludf.DUMMYFUNCTION("""COMPUTED_VALUE"""),"https://drive.google.com/open?id=1KXRJr3tWuduefjE2qI5bzRRQOmxmkdEd")</f>
        <v>https://drive.google.com/open?id=1KXRJr3tWuduefjE2qI5bzRRQOmxmkdEd</v>
      </c>
      <c r="O128" s="74" t="str">
        <f>IFERROR(__xludf.DUMMYFUNCTION("""COMPUTED_VALUE"""),"2019-2023")</f>
        <v>2019-2023</v>
      </c>
      <c r="P128" s="74" t="str">
        <f>IFERROR(__xludf.DUMMYFUNCTION("""COMPUTED_VALUE"""),"S5: Student Workshops/Conf attended")</f>
        <v>S5: Student Workshops/Conf attended</v>
      </c>
      <c r="Q128" s="74" t="str">
        <f>IFERROR(__xludf.DUMMYFUNCTION("""COMPUTED_VALUE"""),"chitradeepika3124@gmail.com")</f>
        <v>chitradeepika3124@gmail.com</v>
      </c>
      <c r="R128" s="74" t="str">
        <f>IFERROR(__xludf.DUMMYFUNCTION("""COMPUTED_VALUE"""),"SEM-6")</f>
        <v>SEM-6</v>
      </c>
      <c r="S128" s="74"/>
      <c r="T128" s="74"/>
      <c r="U128" s="74"/>
      <c r="V128" s="74"/>
      <c r="W128" s="74"/>
      <c r="X128" s="74"/>
      <c r="Y128" s="74"/>
    </row>
    <row r="129" ht="26.25" customHeight="1">
      <c r="A129" s="74" t="str">
        <f>IFERROR(__xludf.DUMMYFUNCTION("""COMPUTED_VALUE"""),"KARUMOJU NEHAL PRAVEEN")</f>
        <v>KARUMOJU NEHAL PRAVEEN</v>
      </c>
      <c r="B129" s="74" t="str">
        <f>IFERROR(__xludf.DUMMYFUNCTION("""COMPUTED_VALUE"""),"19331A0576")</f>
        <v>19331A0576</v>
      </c>
      <c r="C129" s="74" t="str">
        <f>IFERROR(__xludf.DUMMYFUNCTION("""COMPUTED_VALUE"""),"2020-2021")</f>
        <v>2020-2021</v>
      </c>
      <c r="D129" s="74" t="str">
        <f>IFERROR(__xludf.DUMMYFUNCTION("""COMPUTED_VALUE"""),"Workshop")</f>
        <v>Workshop</v>
      </c>
      <c r="E129" s="74" t="str">
        <f>IFERROR(__xludf.DUMMYFUNCTION("""COMPUTED_VALUE"""),"AI-For-INDIA")</f>
        <v>AI-For-INDIA</v>
      </c>
      <c r="F129" s="74">
        <f>IFERROR(__xludf.DUMMYFUNCTION("""COMPUTED_VALUE"""),1.0)</f>
        <v>1</v>
      </c>
      <c r="G129" s="79">
        <f>IFERROR(__xludf.DUMMYFUNCTION("""COMPUTED_VALUE"""),44311.0)</f>
        <v>44311</v>
      </c>
      <c r="H129" s="79">
        <f>IFERROR(__xludf.DUMMYFUNCTION("""COMPUTED_VALUE"""),44311.0)</f>
        <v>44311</v>
      </c>
      <c r="I129" s="74" t="str">
        <f>IFERROR(__xludf.DUMMYFUNCTION("""COMPUTED_VALUE"""),"GUVI")</f>
        <v>GUVI</v>
      </c>
      <c r="J129" s="74" t="str">
        <f>IFERROR(__xludf.DUMMYFUNCTION("""COMPUTED_VALUE"""),"M.ARUN PRAKASH")</f>
        <v>M.ARUN PRAKASH</v>
      </c>
      <c r="K129" s="74" t="str">
        <f>IFERROR(__xludf.DUMMYFUNCTION("""COMPUTED_VALUE"""),"International")</f>
        <v>International</v>
      </c>
      <c r="L129" s="74" t="str">
        <f>IFERROR(__xludf.DUMMYFUNCTION("""COMPUTED_VALUE"""),"Free")</f>
        <v>Free</v>
      </c>
      <c r="M129" s="74"/>
      <c r="N129" s="80" t="str">
        <f>IFERROR(__xludf.DUMMYFUNCTION("""COMPUTED_VALUE"""),"https://drive.google.com/open?id=1aZy25r6uldi4_6s9jGNYxZkX42rD1DZA")</f>
        <v>https://drive.google.com/open?id=1aZy25r6uldi4_6s9jGNYxZkX42rD1DZA</v>
      </c>
      <c r="O129" s="74" t="str">
        <f>IFERROR(__xludf.DUMMYFUNCTION("""COMPUTED_VALUE"""),"2019-2023")</f>
        <v>2019-2023</v>
      </c>
      <c r="P129" s="74" t="str">
        <f>IFERROR(__xludf.DUMMYFUNCTION("""COMPUTED_VALUE"""),"S5: Student Workshops/Conf attended")</f>
        <v>S5: Student Workshops/Conf attended</v>
      </c>
      <c r="Q129" s="74" t="str">
        <f>IFERROR(__xludf.DUMMYFUNCTION("""COMPUTED_VALUE"""),"nehalpraveen@gmail.com")</f>
        <v>nehalpraveen@gmail.com</v>
      </c>
      <c r="R129" s="74" t="str">
        <f>IFERROR(__xludf.DUMMYFUNCTION("""COMPUTED_VALUE"""),"SEM-6")</f>
        <v>SEM-6</v>
      </c>
      <c r="S129" s="74"/>
      <c r="T129" s="74"/>
      <c r="U129" s="74"/>
      <c r="V129" s="74"/>
      <c r="W129" s="74"/>
      <c r="X129" s="74"/>
      <c r="Y129" s="74"/>
    </row>
    <row r="130" ht="26.25" customHeight="1">
      <c r="A130" s="74" t="str">
        <f>IFERROR(__xludf.DUMMYFUNCTION("""COMPUTED_VALUE"""),"LAKKIMSETTI CHANDRA SIRISHA")</f>
        <v>LAKKIMSETTI CHANDRA SIRISHA</v>
      </c>
      <c r="B130" s="74" t="str">
        <f>IFERROR(__xludf.DUMMYFUNCTION("""COMPUTED_VALUE"""),"19331A0594")</f>
        <v>19331A0594</v>
      </c>
      <c r="C130" s="74" t="str">
        <f>IFERROR(__xludf.DUMMYFUNCTION("""COMPUTED_VALUE"""),"2021-2022")</f>
        <v>2021-2022</v>
      </c>
      <c r="D130" s="74" t="str">
        <f>IFERROR(__xludf.DUMMYFUNCTION("""COMPUTED_VALUE"""),"Workshop")</f>
        <v>Workshop</v>
      </c>
      <c r="E130" s="74" t="str">
        <f>IFERROR(__xludf.DUMMYFUNCTION("""COMPUTED_VALUE"""),"MAP A THON | FUN WITH PYTHON")</f>
        <v>MAP A THON | FUN WITH PYTHON</v>
      </c>
      <c r="F130" s="74">
        <f>IFERROR(__xludf.DUMMYFUNCTION("""COMPUTED_VALUE"""),2.0)</f>
        <v>2</v>
      </c>
      <c r="G130" s="79">
        <f>IFERROR(__xludf.DUMMYFUNCTION("""COMPUTED_VALUE"""),43729.0)</f>
        <v>43729</v>
      </c>
      <c r="H130" s="79">
        <f>IFERROR(__xludf.DUMMYFUNCTION("""COMPUTED_VALUE"""),43730.0)</f>
        <v>43730</v>
      </c>
      <c r="I130" s="74" t="str">
        <f>IFERROR(__xludf.DUMMYFUNCTION("""COMPUTED_VALUE"""),"SWECHA")</f>
        <v>SWECHA</v>
      </c>
      <c r="J130" s="74" t="str">
        <f>IFERROR(__xludf.DUMMYFUNCTION("""COMPUTED_VALUE"""),"NAGARAJU")</f>
        <v>NAGARAJU</v>
      </c>
      <c r="K130" s="74" t="str">
        <f>IFERROR(__xludf.DUMMYFUNCTION("""COMPUTED_VALUE"""),"State")</f>
        <v>State</v>
      </c>
      <c r="L130" s="74" t="str">
        <f>IFERROR(__xludf.DUMMYFUNCTION("""COMPUTED_VALUE"""),"Paid")</f>
        <v>Paid</v>
      </c>
      <c r="M130" s="74">
        <f>IFERROR(__xludf.DUMMYFUNCTION("""COMPUTED_VALUE"""),300.0)</f>
        <v>300</v>
      </c>
      <c r="N130" s="80" t="str">
        <f>IFERROR(__xludf.DUMMYFUNCTION("""COMPUTED_VALUE"""),"https://drive.google.com/open?id=1L_3HsIfcOCTImB53e-nUEKtGCDppT7Pm")</f>
        <v>https://drive.google.com/open?id=1L_3HsIfcOCTImB53e-nUEKtGCDppT7Pm</v>
      </c>
      <c r="O130" s="74" t="str">
        <f>IFERROR(__xludf.DUMMYFUNCTION("""COMPUTED_VALUE"""),"2019-2023")</f>
        <v>2019-2023</v>
      </c>
      <c r="P130" s="74" t="str">
        <f>IFERROR(__xludf.DUMMYFUNCTION("""COMPUTED_VALUE"""),"S5: Student Workshops/Conf attended")</f>
        <v>S5: Student Workshops/Conf attended</v>
      </c>
      <c r="Q130" s="74" t="str">
        <f>IFERROR(__xludf.DUMMYFUNCTION("""COMPUTED_VALUE"""),"sirishalakkimsetti1729@gmail.com")</f>
        <v>sirishalakkimsetti1729@gmail.com</v>
      </c>
      <c r="R130" s="74" t="str">
        <f>IFERROR(__xludf.DUMMYFUNCTION("""COMPUTED_VALUE"""),"SEM-6")</f>
        <v>SEM-6</v>
      </c>
      <c r="S130" s="74"/>
      <c r="T130" s="74"/>
      <c r="U130" s="74"/>
      <c r="V130" s="74"/>
      <c r="W130" s="74"/>
      <c r="X130" s="74"/>
      <c r="Y130" s="74"/>
    </row>
    <row r="131" ht="26.25" customHeight="1">
      <c r="A131" s="74" t="str">
        <f>IFERROR(__xludf.DUMMYFUNCTION("""COMPUTED_VALUE"""),"MOTAMARRI AKSHAYA")</f>
        <v>MOTAMARRI AKSHAYA</v>
      </c>
      <c r="B131" s="74" t="str">
        <f>IFERROR(__xludf.DUMMYFUNCTION("""COMPUTED_VALUE"""),"19331A05A9")</f>
        <v>19331A05A9</v>
      </c>
      <c r="C131" s="74" t="str">
        <f>IFERROR(__xludf.DUMMYFUNCTION("""COMPUTED_VALUE"""),"2021-2022")</f>
        <v>2021-2022</v>
      </c>
      <c r="D131" s="74" t="str">
        <f>IFERROR(__xludf.DUMMYFUNCTION("""COMPUTED_VALUE"""),"Workshop")</f>
        <v>Workshop</v>
      </c>
      <c r="E131" s="74" t="str">
        <f>IFERROR(__xludf.DUMMYFUNCTION("""COMPUTED_VALUE"""),"Swecha Bootcamp 2021")</f>
        <v>Swecha Bootcamp 2021</v>
      </c>
      <c r="F131" s="74">
        <f>IFERROR(__xludf.DUMMYFUNCTION("""COMPUTED_VALUE"""),2.0)</f>
        <v>2</v>
      </c>
      <c r="G131" s="79">
        <f>IFERROR(__xludf.DUMMYFUNCTION("""COMPUTED_VALUE"""),44513.0)</f>
        <v>44513</v>
      </c>
      <c r="H131" s="79">
        <f>IFERROR(__xludf.DUMMYFUNCTION("""COMPUTED_VALUE"""),44514.0)</f>
        <v>44514</v>
      </c>
      <c r="I131" s="74" t="str">
        <f>IFERROR(__xludf.DUMMYFUNCTION("""COMPUTED_VALUE"""),"M VAMSI KRISHNA")</f>
        <v>M VAMSI KRISHNA</v>
      </c>
      <c r="J131" s="74" t="str">
        <f>IFERROR(__xludf.DUMMYFUNCTION("""COMPUTED_VALUE"""),"M VAMSI KRISHNA")</f>
        <v>M VAMSI KRISHNA</v>
      </c>
      <c r="K131" s="74" t="str">
        <f>IFERROR(__xludf.DUMMYFUNCTION("""COMPUTED_VALUE"""),"State")</f>
        <v>State</v>
      </c>
      <c r="L131" s="74" t="str">
        <f>IFERROR(__xludf.DUMMYFUNCTION("""COMPUTED_VALUE"""),"Paid")</f>
        <v>Paid</v>
      </c>
      <c r="M131" s="74">
        <f>IFERROR(__xludf.DUMMYFUNCTION("""COMPUTED_VALUE"""),150.0)</f>
        <v>150</v>
      </c>
      <c r="N131" s="80" t="str">
        <f>IFERROR(__xludf.DUMMYFUNCTION("""COMPUTED_VALUE"""),"https://drive.google.com/open?id=1FlNFhq7OpTZ3vFL1u7UCNPi9TdqCX6s_")</f>
        <v>https://drive.google.com/open?id=1FlNFhq7OpTZ3vFL1u7UCNPi9TdqCX6s_</v>
      </c>
      <c r="O131" s="74" t="str">
        <f>IFERROR(__xludf.DUMMYFUNCTION("""COMPUTED_VALUE"""),"2019-2023")</f>
        <v>2019-2023</v>
      </c>
      <c r="P131" s="74" t="str">
        <f>IFERROR(__xludf.DUMMYFUNCTION("""COMPUTED_VALUE"""),"S5: Student Workshops/Conf attended")</f>
        <v>S5: Student Workshops/Conf attended</v>
      </c>
      <c r="Q131" s="74" t="str">
        <f>IFERROR(__xludf.DUMMYFUNCTION("""COMPUTED_VALUE"""),"akshayamotamarri2108@gmail.com")</f>
        <v>akshayamotamarri2108@gmail.com</v>
      </c>
      <c r="R131" s="74" t="str">
        <f>IFERROR(__xludf.DUMMYFUNCTION("""COMPUTED_VALUE"""),"SEM-6")</f>
        <v>SEM-6</v>
      </c>
      <c r="S131" s="74"/>
      <c r="T131" s="74"/>
      <c r="U131" s="74"/>
      <c r="V131" s="74"/>
      <c r="W131" s="74"/>
      <c r="X131" s="74"/>
      <c r="Y131" s="74"/>
    </row>
    <row r="132" ht="26.25" customHeight="1">
      <c r="A132" s="74" t="str">
        <f>IFERROR(__xludf.DUMMYFUNCTION("""COMPUTED_VALUE"""),"Sunkari Chitra Deepika")</f>
        <v>Sunkari Chitra Deepika</v>
      </c>
      <c r="B132" s="74" t="str">
        <f>IFERROR(__xludf.DUMMYFUNCTION("""COMPUTED_VALUE"""),"19331A05G5")</f>
        <v>19331A05G5</v>
      </c>
      <c r="C132" s="74" t="str">
        <f>IFERROR(__xludf.DUMMYFUNCTION("""COMPUTED_VALUE"""),"2019-2020")</f>
        <v>2019-2020</v>
      </c>
      <c r="D132" s="74" t="str">
        <f>IFERROR(__xludf.DUMMYFUNCTION("""COMPUTED_VALUE"""),"Workshop")</f>
        <v>Workshop</v>
      </c>
      <c r="E132" s="74" t="str">
        <f>IFERROR(__xludf.DUMMYFUNCTION("""COMPUTED_VALUE"""),"Hands on workshop on dart programming")</f>
        <v>Hands on workshop on dart programming</v>
      </c>
      <c r="F132" s="74">
        <f>IFERROR(__xludf.DUMMYFUNCTION("""COMPUTED_VALUE"""),30.0)</f>
        <v>30</v>
      </c>
      <c r="G132" s="79">
        <f>IFERROR(__xludf.DUMMYFUNCTION("""COMPUTED_VALUE"""),44009.0)</f>
        <v>44009</v>
      </c>
      <c r="H132" s="79">
        <f>IFERROR(__xludf.DUMMYFUNCTION("""COMPUTED_VALUE"""),44039.0)</f>
        <v>44039</v>
      </c>
      <c r="I132" s="74" t="str">
        <f>IFERROR(__xludf.DUMMYFUNCTION("""COMPUTED_VALUE"""),"Dr. V. Nagesh")</f>
        <v>Dr. V. Nagesh</v>
      </c>
      <c r="J132" s="74" t="str">
        <f>IFERROR(__xludf.DUMMYFUNCTION("""COMPUTED_VALUE"""),"Dr.V.Nagesh")</f>
        <v>Dr.V.Nagesh</v>
      </c>
      <c r="K132" s="74" t="str">
        <f>IFERROR(__xludf.DUMMYFUNCTION("""COMPUTED_VALUE"""),"International")</f>
        <v>International</v>
      </c>
      <c r="L132" s="74" t="str">
        <f>IFERROR(__xludf.DUMMYFUNCTION("""COMPUTED_VALUE"""),"Free")</f>
        <v>Free</v>
      </c>
      <c r="M132" s="74"/>
      <c r="N132" s="80" t="str">
        <f>IFERROR(__xludf.DUMMYFUNCTION("""COMPUTED_VALUE"""),"https://drive.google.com/open?id=1ZJrkRdsMoUkk9fPkvBW3ThInDIxCiuz6")</f>
        <v>https://drive.google.com/open?id=1ZJrkRdsMoUkk9fPkvBW3ThInDIxCiuz6</v>
      </c>
      <c r="O132" s="74" t="str">
        <f>IFERROR(__xludf.DUMMYFUNCTION("""COMPUTED_VALUE"""),"2019-2023")</f>
        <v>2019-2023</v>
      </c>
      <c r="P132" s="74" t="str">
        <f>IFERROR(__xludf.DUMMYFUNCTION("""COMPUTED_VALUE"""),"S5: Student Workshops/Conf attended")</f>
        <v>S5: Student Workshops/Conf attended</v>
      </c>
      <c r="Q132" s="74" t="str">
        <f>IFERROR(__xludf.DUMMYFUNCTION("""COMPUTED_VALUE"""),"chitradeepika3124@gmail.com")</f>
        <v>chitradeepika3124@gmail.com</v>
      </c>
      <c r="R132" s="74" t="str">
        <f>IFERROR(__xludf.DUMMYFUNCTION("""COMPUTED_VALUE"""),"SEM-6")</f>
        <v>SEM-6</v>
      </c>
      <c r="S132" s="74"/>
      <c r="T132" s="74"/>
      <c r="U132" s="74"/>
      <c r="V132" s="74"/>
      <c r="W132" s="74"/>
      <c r="X132" s="74"/>
      <c r="Y132" s="74"/>
    </row>
    <row r="133" ht="26.25" customHeight="1">
      <c r="A133" s="74" t="str">
        <f>IFERROR(__xludf.DUMMYFUNCTION("""COMPUTED_VALUE"""),"Sunkari Chitra Deepika")</f>
        <v>Sunkari Chitra Deepika</v>
      </c>
      <c r="B133" s="74" t="str">
        <f>IFERROR(__xludf.DUMMYFUNCTION("""COMPUTED_VALUE"""),"19331A05G5")</f>
        <v>19331A05G5</v>
      </c>
      <c r="C133" s="74" t="str">
        <f>IFERROR(__xludf.DUMMYFUNCTION("""COMPUTED_VALUE"""),"2019-2020")</f>
        <v>2019-2020</v>
      </c>
      <c r="D133" s="74" t="str">
        <f>IFERROR(__xludf.DUMMYFUNCTION("""COMPUTED_VALUE"""),"Workshop")</f>
        <v>Workshop</v>
      </c>
      <c r="E133" s="74" t="str">
        <f>IFERROR(__xludf.DUMMYFUNCTION("""COMPUTED_VALUE"""),"Angular JS to develop web apps faster")</f>
        <v>Angular JS to develop web apps faster</v>
      </c>
      <c r="F133" s="74">
        <f>IFERROR(__xludf.DUMMYFUNCTION("""COMPUTED_VALUE"""),1.0)</f>
        <v>1</v>
      </c>
      <c r="G133" s="79">
        <f>IFERROR(__xludf.DUMMYFUNCTION("""COMPUTED_VALUE"""),44008.0)</f>
        <v>44008</v>
      </c>
      <c r="H133" s="79">
        <f>IFERROR(__xludf.DUMMYFUNCTION("""COMPUTED_VALUE"""),44008.0)</f>
        <v>44008</v>
      </c>
      <c r="I133" s="74" t="str">
        <f>IFERROR(__xludf.DUMMYFUNCTION("""COMPUTED_VALUE"""),"Dr. V. Nagesh")</f>
        <v>Dr. V. Nagesh</v>
      </c>
      <c r="J133" s="74" t="str">
        <f>IFERROR(__xludf.DUMMYFUNCTION("""COMPUTED_VALUE"""),"Dr. V. Nagesh")</f>
        <v>Dr. V. Nagesh</v>
      </c>
      <c r="K133" s="74" t="str">
        <f>IFERROR(__xludf.DUMMYFUNCTION("""COMPUTED_VALUE"""),"International")</f>
        <v>International</v>
      </c>
      <c r="L133" s="74" t="str">
        <f>IFERROR(__xludf.DUMMYFUNCTION("""COMPUTED_VALUE"""),"Free")</f>
        <v>Free</v>
      </c>
      <c r="M133" s="74"/>
      <c r="N133" s="80" t="str">
        <f>IFERROR(__xludf.DUMMYFUNCTION("""COMPUTED_VALUE"""),"https://drive.google.com/open?id=1p9VrZYzDER5OCCWXBDQkLH3S54PTtGpg")</f>
        <v>https://drive.google.com/open?id=1p9VrZYzDER5OCCWXBDQkLH3S54PTtGpg</v>
      </c>
      <c r="O133" s="74" t="str">
        <f>IFERROR(__xludf.DUMMYFUNCTION("""COMPUTED_VALUE"""),"2019-2023")</f>
        <v>2019-2023</v>
      </c>
      <c r="P133" s="74" t="str">
        <f>IFERROR(__xludf.DUMMYFUNCTION("""COMPUTED_VALUE"""),"S5: Student Workshops/Conf attended")</f>
        <v>S5: Student Workshops/Conf attended</v>
      </c>
      <c r="Q133" s="74" t="str">
        <f>IFERROR(__xludf.DUMMYFUNCTION("""COMPUTED_VALUE"""),"chitradeepika3124@gmail.com")</f>
        <v>chitradeepika3124@gmail.com</v>
      </c>
      <c r="R133" s="74" t="str">
        <f>IFERROR(__xludf.DUMMYFUNCTION("""COMPUTED_VALUE"""),"SEM-6")</f>
        <v>SEM-6</v>
      </c>
      <c r="S133" s="74"/>
      <c r="T133" s="74"/>
      <c r="U133" s="74"/>
      <c r="V133" s="74"/>
      <c r="W133" s="74"/>
      <c r="X133" s="74"/>
      <c r="Y133" s="74"/>
    </row>
    <row r="134" ht="26.25" customHeight="1">
      <c r="A134" s="74" t="str">
        <f>IFERROR(__xludf.DUMMYFUNCTION("""COMPUTED_VALUE"""),"MODALAVALASA SAI PRASANNA")</f>
        <v>MODALAVALASA SAI PRASANNA</v>
      </c>
      <c r="B134" s="74" t="str">
        <f>IFERROR(__xludf.DUMMYFUNCTION("""COMPUTED_VALUE"""),"19331A05A5")</f>
        <v>19331A05A5</v>
      </c>
      <c r="C134" s="74" t="str">
        <f>IFERROR(__xludf.DUMMYFUNCTION("""COMPUTED_VALUE"""),"2020-2021")</f>
        <v>2020-2021</v>
      </c>
      <c r="D134" s="74" t="str">
        <f>IFERROR(__xludf.DUMMYFUNCTION("""COMPUTED_VALUE"""),"Workshop")</f>
        <v>Workshop</v>
      </c>
      <c r="E134" s="74" t="str">
        <f>IFERROR(__xludf.DUMMYFUNCTION("""COMPUTED_VALUE"""),"COMPUTER VISION")</f>
        <v>COMPUTER VISION</v>
      </c>
      <c r="F134" s="74">
        <f>IFERROR(__xludf.DUMMYFUNCTION("""COMPUTED_VALUE"""),15.0)</f>
        <v>15</v>
      </c>
      <c r="G134" s="79">
        <f>IFERROR(__xludf.DUMMYFUNCTION("""COMPUTED_VALUE"""),44480.0)</f>
        <v>44480</v>
      </c>
      <c r="H134" s="79">
        <f>IFERROR(__xludf.DUMMYFUNCTION("""COMPUTED_VALUE"""),44494.0)</f>
        <v>44494</v>
      </c>
      <c r="I134" s="74" t="str">
        <f>IFERROR(__xludf.DUMMYFUNCTION("""COMPUTED_VALUE"""),"P.B.SHANMATHI")</f>
        <v>P.B.SHANMATHI</v>
      </c>
      <c r="J134" s="74" t="str">
        <f>IFERROR(__xludf.DUMMYFUNCTION("""COMPUTED_VALUE"""),"M.K.JEEVARAJAN")</f>
        <v>M.K.JEEVARAJAN</v>
      </c>
      <c r="K134" s="74" t="str">
        <f>IFERROR(__xludf.DUMMYFUNCTION("""COMPUTED_VALUE"""),"National")</f>
        <v>National</v>
      </c>
      <c r="L134" s="74" t="str">
        <f>IFERROR(__xludf.DUMMYFUNCTION("""COMPUTED_VALUE"""),"Free")</f>
        <v>Free</v>
      </c>
      <c r="M134" s="74"/>
      <c r="N134" s="80" t="str">
        <f>IFERROR(__xludf.DUMMYFUNCTION("""COMPUTED_VALUE"""),"https://drive.google.com/open?id=13c0317dTTT_G9Aioeak_JG5nZSDoosaG")</f>
        <v>https://drive.google.com/open?id=13c0317dTTT_G9Aioeak_JG5nZSDoosaG</v>
      </c>
      <c r="O134" s="74" t="str">
        <f>IFERROR(__xludf.DUMMYFUNCTION("""COMPUTED_VALUE"""),"2019-2023")</f>
        <v>2019-2023</v>
      </c>
      <c r="P134" s="74" t="str">
        <f>IFERROR(__xludf.DUMMYFUNCTION("""COMPUTED_VALUE"""),"S5: Student Workshops/Conf attended")</f>
        <v>S5: Student Workshops/Conf attended</v>
      </c>
      <c r="Q134" s="74" t="str">
        <f>IFERROR(__xludf.DUMMYFUNCTION("""COMPUTED_VALUE"""),"prasanna260402@gmail.com")</f>
        <v>prasanna260402@gmail.com</v>
      </c>
      <c r="R134" s="74" t="str">
        <f>IFERROR(__xludf.DUMMYFUNCTION("""COMPUTED_VALUE"""),"SEM-6")</f>
        <v>SEM-6</v>
      </c>
      <c r="S134" s="74"/>
      <c r="T134" s="74"/>
      <c r="U134" s="74"/>
      <c r="V134" s="74"/>
      <c r="W134" s="74"/>
      <c r="X134" s="74"/>
      <c r="Y134" s="74"/>
    </row>
    <row r="135" ht="26.25" customHeight="1">
      <c r="A135" s="12" t="str">
        <f>IFERROR(__xludf.DUMMYFUNCTION("""COMPUTED_VALUE"""),"Mohammed Daraksha Anjum")</f>
        <v>Mohammed Daraksha Anjum</v>
      </c>
      <c r="B135" s="12" t="str">
        <f>IFERROR(__xludf.DUMMYFUNCTION("""COMPUTED_VALUE"""),"19331A05A7")</f>
        <v>19331A05A7</v>
      </c>
      <c r="C135" s="12" t="str">
        <f>IFERROR(__xludf.DUMMYFUNCTION("""COMPUTED_VALUE"""),"2020-2021")</f>
        <v>2020-2021</v>
      </c>
      <c r="D135" s="12" t="str">
        <f>IFERROR(__xludf.DUMMYFUNCTION("""COMPUTED_VALUE"""),"Workshop")</f>
        <v>Workshop</v>
      </c>
      <c r="E135" s="12" t="str">
        <f>IFERROR(__xludf.DUMMYFUNCTION("""COMPUTED_VALUE"""),"Swecha Bootcamp")</f>
        <v>Swecha Bootcamp</v>
      </c>
      <c r="F135" s="12">
        <f>IFERROR(__xludf.DUMMYFUNCTION("""COMPUTED_VALUE"""),2.0)</f>
        <v>2</v>
      </c>
      <c r="G135" s="86">
        <f>IFERROR(__xludf.DUMMYFUNCTION("""COMPUTED_VALUE"""),44513.0)</f>
        <v>44513</v>
      </c>
      <c r="H135" s="86">
        <f>IFERROR(__xludf.DUMMYFUNCTION("""COMPUTED_VALUE"""),44514.0)</f>
        <v>44514</v>
      </c>
      <c r="I135" s="12" t="str">
        <f>IFERROR(__xludf.DUMMYFUNCTION("""COMPUTED_VALUE"""),"M. Vamsi Krishna")</f>
        <v>M. Vamsi Krishna</v>
      </c>
      <c r="J135" s="12" t="str">
        <f>IFERROR(__xludf.DUMMYFUNCTION("""COMPUTED_VALUE"""),"Convener, MVGRGLUG")</f>
        <v>Convener, MVGRGLUG</v>
      </c>
      <c r="K135" s="12" t="str">
        <f>IFERROR(__xludf.DUMMYFUNCTION("""COMPUTED_VALUE"""),"State")</f>
        <v>State</v>
      </c>
      <c r="L135" s="12" t="str">
        <f>IFERROR(__xludf.DUMMYFUNCTION("""COMPUTED_VALUE"""),"Paid")</f>
        <v>Paid</v>
      </c>
      <c r="M135" s="12">
        <f>IFERROR(__xludf.DUMMYFUNCTION("""COMPUTED_VALUE"""),50.0)</f>
        <v>50</v>
      </c>
      <c r="N135" s="87" t="str">
        <f>IFERROR(__xludf.DUMMYFUNCTION("""COMPUTED_VALUE"""),"https://drive.google.com/open?id=1gw1VSrglh7CiDIxc9NE6esZW4jxbE0Zn")</f>
        <v>https://drive.google.com/open?id=1gw1VSrglh7CiDIxc9NE6esZW4jxbE0Zn</v>
      </c>
      <c r="O135" s="12" t="str">
        <f>IFERROR(__xludf.DUMMYFUNCTION("""COMPUTED_VALUE"""),"2019-2023")</f>
        <v>2019-2023</v>
      </c>
      <c r="P135" s="12" t="str">
        <f>IFERROR(__xludf.DUMMYFUNCTION("""COMPUTED_VALUE"""),"S5: Student Workshops/Conf attended")</f>
        <v>S5: Student Workshops/Conf attended</v>
      </c>
      <c r="Q135" s="12" t="str">
        <f>IFERROR(__xludf.DUMMYFUNCTION("""COMPUTED_VALUE"""),"darakshaanjummohammed@gmail.com")</f>
        <v>darakshaanjummohammed@gmail.com</v>
      </c>
      <c r="R135" s="12" t="str">
        <f>IFERROR(__xludf.DUMMYFUNCTION("""COMPUTED_VALUE"""),"SEM-6")</f>
        <v>SEM-6</v>
      </c>
      <c r="S135" s="12"/>
      <c r="T135" s="12"/>
      <c r="U135" s="12"/>
      <c r="V135" s="12"/>
      <c r="W135" s="12"/>
      <c r="X135" s="12"/>
      <c r="Y135" s="12"/>
    </row>
    <row r="136" ht="26.25" customHeight="1">
      <c r="A136" s="12" t="str">
        <f>IFERROR(__xludf.DUMMYFUNCTION("""COMPUTED_VALUE"""),"KOMMU ANKITHA")</f>
        <v>KOMMU ANKITHA</v>
      </c>
      <c r="B136" s="12" t="str">
        <f>IFERROR(__xludf.DUMMYFUNCTION("""COMPUTED_VALUE"""),"19331A0582")</f>
        <v>19331A0582</v>
      </c>
      <c r="C136" s="12" t="str">
        <f>IFERROR(__xludf.DUMMYFUNCTION("""COMPUTED_VALUE"""),"2020-2021")</f>
        <v>2020-2021</v>
      </c>
      <c r="D136" s="12" t="str">
        <f>IFERROR(__xludf.DUMMYFUNCTION("""COMPUTED_VALUE"""),"Webinar")</f>
        <v>Webinar</v>
      </c>
      <c r="E136" s="12" t="str">
        <f>IFERROR(__xludf.DUMMYFUNCTION("""COMPUTED_VALUE"""),"THE WOMEN ROCK-IT PROGRAM")</f>
        <v>THE WOMEN ROCK-IT PROGRAM</v>
      </c>
      <c r="F136" s="12">
        <f>IFERROR(__xludf.DUMMYFUNCTION("""COMPUTED_VALUE"""),1.0)</f>
        <v>1</v>
      </c>
      <c r="G136" s="86">
        <f>IFERROR(__xludf.DUMMYFUNCTION("""COMPUTED_VALUE"""),44469.0)</f>
        <v>44469</v>
      </c>
      <c r="H136" s="86">
        <f>IFERROR(__xludf.DUMMYFUNCTION("""COMPUTED_VALUE"""),44469.0)</f>
        <v>44469</v>
      </c>
      <c r="I136" s="12" t="str">
        <f>IFERROR(__xludf.DUMMYFUNCTION("""COMPUTED_VALUE"""),"CISCO")</f>
        <v>CISCO</v>
      </c>
      <c r="J136" s="12" t="str">
        <f>IFERROR(__xludf.DUMMYFUNCTION("""COMPUTED_VALUE"""),"SWATHI HANDA,CORIEN VERMAAK")</f>
        <v>SWATHI HANDA,CORIEN VERMAAK</v>
      </c>
      <c r="K136" s="12" t="str">
        <f>IFERROR(__xludf.DUMMYFUNCTION("""COMPUTED_VALUE"""),"International")</f>
        <v>International</v>
      </c>
      <c r="L136" s="12" t="str">
        <f>IFERROR(__xludf.DUMMYFUNCTION("""COMPUTED_VALUE"""),"Free")</f>
        <v>Free</v>
      </c>
      <c r="M136" s="12">
        <f>IFERROR(__xludf.DUMMYFUNCTION("""COMPUTED_VALUE"""),0.0)</f>
        <v>0</v>
      </c>
      <c r="N136" s="87" t="str">
        <f>IFERROR(__xludf.DUMMYFUNCTION("""COMPUTED_VALUE"""),"https://drive.google.com/open?id=19b12RwjdW5hq1p89UQj2AMplItuHhHQo")</f>
        <v>https://drive.google.com/open?id=19b12RwjdW5hq1p89UQj2AMplItuHhHQo</v>
      </c>
      <c r="O136" s="12" t="str">
        <f>IFERROR(__xludf.DUMMYFUNCTION("""COMPUTED_VALUE"""),"2019-2023")</f>
        <v>2019-2023</v>
      </c>
      <c r="P136" s="12" t="str">
        <f>IFERROR(__xludf.DUMMYFUNCTION("""COMPUTED_VALUE"""),"S5: Student Workshops/Conf attended")</f>
        <v>S5: Student Workshops/Conf attended</v>
      </c>
      <c r="Q136" s="12" t="str">
        <f>IFERROR(__xludf.DUMMYFUNCTION("""COMPUTED_VALUE"""),"kommublessy5@gmail.com")</f>
        <v>kommublessy5@gmail.com</v>
      </c>
      <c r="R136" s="12" t="str">
        <f>IFERROR(__xludf.DUMMYFUNCTION("""COMPUTED_VALUE"""),"SEM-6")</f>
        <v>SEM-6</v>
      </c>
      <c r="S136" s="12"/>
      <c r="T136" s="12"/>
      <c r="U136" s="12"/>
      <c r="V136" s="12"/>
      <c r="W136" s="12"/>
      <c r="X136" s="12"/>
      <c r="Y136" s="12"/>
    </row>
    <row r="137" ht="26.25" customHeight="1">
      <c r="A137" s="12" t="str">
        <f>IFERROR(__xludf.DUMMYFUNCTION("""COMPUTED_VALUE"""),"A A S N NISHANTH VARMA PUSAPATI")</f>
        <v>A A S N NISHANTH VARMA PUSAPATI</v>
      </c>
      <c r="B137" s="12" t="str">
        <f>IFERROR(__xludf.DUMMYFUNCTION("""COMPUTED_VALUE"""),"19331A0501")</f>
        <v>19331A0501</v>
      </c>
      <c r="C137" s="12" t="str">
        <f>IFERROR(__xludf.DUMMYFUNCTION("""COMPUTED_VALUE"""),"2019-2020")</f>
        <v>2019-2020</v>
      </c>
      <c r="D137" s="12" t="str">
        <f>IFERROR(__xludf.DUMMYFUNCTION("""COMPUTED_VALUE"""),"Workshop")</f>
        <v>Workshop</v>
      </c>
      <c r="E137" s="12" t="str">
        <f>IFERROR(__xludf.DUMMYFUNCTION("""COMPUTED_VALUE"""),"SWECHA BOOTCAMP")</f>
        <v>SWECHA BOOTCAMP</v>
      </c>
      <c r="F137" s="12">
        <f>IFERROR(__xludf.DUMMYFUNCTION("""COMPUTED_VALUE"""),3.0)</f>
        <v>3</v>
      </c>
      <c r="G137" s="86">
        <f>IFERROR(__xludf.DUMMYFUNCTION("""COMPUTED_VALUE"""),43798.0)</f>
        <v>43798</v>
      </c>
      <c r="H137" s="86">
        <f>IFERROR(__xludf.DUMMYFUNCTION("""COMPUTED_VALUE"""),43800.0)</f>
        <v>43800</v>
      </c>
      <c r="I137" s="12" t="str">
        <f>IFERROR(__xludf.DUMMYFUNCTION("""COMPUTED_VALUE"""),"SWECHA AP")</f>
        <v>SWECHA AP</v>
      </c>
      <c r="J137" s="12" t="str">
        <f>IFERROR(__xludf.DUMMYFUNCTION("""COMPUTED_VALUE"""),"None")</f>
        <v>None</v>
      </c>
      <c r="K137" s="12" t="str">
        <f>IFERROR(__xludf.DUMMYFUNCTION("""COMPUTED_VALUE"""),"State")</f>
        <v>State</v>
      </c>
      <c r="L137" s="12" t="str">
        <f>IFERROR(__xludf.DUMMYFUNCTION("""COMPUTED_VALUE"""),"Paid")</f>
        <v>Paid</v>
      </c>
      <c r="M137" s="12">
        <f>IFERROR(__xludf.DUMMYFUNCTION("""COMPUTED_VALUE"""),500.0)</f>
        <v>500</v>
      </c>
      <c r="N137" s="87" t="str">
        <f>IFERROR(__xludf.DUMMYFUNCTION("""COMPUTED_VALUE"""),"https://drive.google.com/open?id=1Dh_lyyeLqZe1RfkJ1ihYhUDFZxaEvQ0h")</f>
        <v>https://drive.google.com/open?id=1Dh_lyyeLqZe1RfkJ1ihYhUDFZxaEvQ0h</v>
      </c>
      <c r="O137" s="12" t="str">
        <f>IFERROR(__xludf.DUMMYFUNCTION("""COMPUTED_VALUE"""),"2019-2023")</f>
        <v>2019-2023</v>
      </c>
      <c r="P137" s="12" t="str">
        <f>IFERROR(__xludf.DUMMYFUNCTION("""COMPUTED_VALUE"""),"S5: Student Workshops/Conf attended")</f>
        <v>S5: Student Workshops/Conf attended</v>
      </c>
      <c r="Q137" s="12" t="str">
        <f>IFERROR(__xludf.DUMMYFUNCTION("""COMPUTED_VALUE"""),"nishanthvarma14819@gmail.com")</f>
        <v>nishanthvarma14819@gmail.com</v>
      </c>
      <c r="R137" s="12" t="str">
        <f>IFERROR(__xludf.DUMMYFUNCTION("""COMPUTED_VALUE"""),"SEM-6")</f>
        <v>SEM-6</v>
      </c>
      <c r="S137" s="12"/>
      <c r="T137" s="12"/>
      <c r="U137" s="12"/>
      <c r="V137" s="12"/>
      <c r="W137" s="12"/>
      <c r="X137" s="12"/>
      <c r="Y137" s="12"/>
    </row>
    <row r="138" ht="26.25" customHeight="1">
      <c r="A138" s="12" t="str">
        <f>IFERROR(__xludf.DUMMYFUNCTION("""COMPUTED_VALUE"""),"Chaitra Mudili")</f>
        <v>Chaitra Mudili</v>
      </c>
      <c r="B138" s="12" t="str">
        <f>IFERROR(__xludf.DUMMYFUNCTION("""COMPUTED_VALUE"""),"18331A05A0")</f>
        <v>18331A05A0</v>
      </c>
      <c r="C138" s="12" t="str">
        <f>IFERROR(__xludf.DUMMYFUNCTION("""COMPUTED_VALUE"""),"2019-2020")</f>
        <v>2019-2020</v>
      </c>
      <c r="D138" s="12" t="str">
        <f>IFERROR(__xludf.DUMMYFUNCTION("""COMPUTED_VALUE"""),"Workshop")</f>
        <v>Workshop</v>
      </c>
      <c r="E138" s="12" t="str">
        <f>IFERROR(__xludf.DUMMYFUNCTION("""COMPUTED_VALUE"""),"YES 2020")</f>
        <v>YES 2020</v>
      </c>
      <c r="F138" s="12">
        <f>IFERROR(__xludf.DUMMYFUNCTION("""COMPUTED_VALUE"""),5.0)</f>
        <v>5</v>
      </c>
      <c r="G138" s="86">
        <f>IFERROR(__xludf.DUMMYFUNCTION("""COMPUTED_VALUE"""),44084.0)</f>
        <v>44084</v>
      </c>
      <c r="H138" s="86">
        <f>IFERROR(__xludf.DUMMYFUNCTION("""COMPUTED_VALUE"""),44089.0)</f>
        <v>44089</v>
      </c>
      <c r="I138" s="12" t="str">
        <f>IFERROR(__xludf.DUMMYFUNCTION("""COMPUTED_VALUE"""),"AIISEC")</f>
        <v>AIISEC</v>
      </c>
      <c r="J138" s="12" t="str">
        <f>IFERROR(__xludf.DUMMYFUNCTION("""COMPUTED_VALUE"""),"Meghana Chandani")</f>
        <v>Meghana Chandani</v>
      </c>
      <c r="K138" s="12" t="str">
        <f>IFERROR(__xludf.DUMMYFUNCTION("""COMPUTED_VALUE"""),"International")</f>
        <v>International</v>
      </c>
      <c r="L138" s="12" t="str">
        <f>IFERROR(__xludf.DUMMYFUNCTION("""COMPUTED_VALUE"""),"Paid")</f>
        <v>Paid</v>
      </c>
      <c r="M138" s="12">
        <f>IFERROR(__xludf.DUMMYFUNCTION("""COMPUTED_VALUE"""),250.0)</f>
        <v>250</v>
      </c>
      <c r="N138" s="87" t="str">
        <f>IFERROR(__xludf.DUMMYFUNCTION("""COMPUTED_VALUE"""),"https://drive.google.com/open?id=1Tq_-HBZg9YQ3XkwEerTh37G_CC3rGDdd")</f>
        <v>https://drive.google.com/open?id=1Tq_-HBZg9YQ3XkwEerTh37G_CC3rGDdd</v>
      </c>
      <c r="O138" s="12" t="str">
        <f>IFERROR(__xludf.DUMMYFUNCTION("""COMPUTED_VALUE"""),"2018-2022")</f>
        <v>2018-2022</v>
      </c>
      <c r="P138" s="12" t="str">
        <f>IFERROR(__xludf.DUMMYFUNCTION("""COMPUTED_VALUE"""),"S5: Student Workshops/Conf attended")</f>
        <v>S5: Student Workshops/Conf attended</v>
      </c>
      <c r="Q138" s="12" t="str">
        <f>IFERROR(__xludf.DUMMYFUNCTION("""COMPUTED_VALUE"""),"chaitra2026@gmail.com")</f>
        <v>chaitra2026@gmail.com</v>
      </c>
      <c r="R138" s="12" t="str">
        <f>IFERROR(__xludf.DUMMYFUNCTION("""COMPUTED_VALUE"""),"SEM-4")</f>
        <v>SEM-4</v>
      </c>
      <c r="S138" s="12"/>
      <c r="T138" s="12"/>
      <c r="U138" s="12"/>
      <c r="V138" s="12"/>
      <c r="W138" s="12"/>
      <c r="X138" s="12"/>
      <c r="Y138" s="12"/>
    </row>
    <row r="139" ht="26.25" customHeight="1">
      <c r="A139" s="12" t="str">
        <f>IFERROR(__xludf.DUMMYFUNCTION("""COMPUTED_VALUE"""),"Chaitra Mudili")</f>
        <v>Chaitra Mudili</v>
      </c>
      <c r="B139" s="12" t="str">
        <f>IFERROR(__xludf.DUMMYFUNCTION("""COMPUTED_VALUE"""),"18331A05A0")</f>
        <v>18331A05A0</v>
      </c>
      <c r="C139" s="12" t="str">
        <f>IFERROR(__xludf.DUMMYFUNCTION("""COMPUTED_VALUE"""),"2019-2020")</f>
        <v>2019-2020</v>
      </c>
      <c r="D139" s="12" t="str">
        <f>IFERROR(__xludf.DUMMYFUNCTION("""COMPUTED_VALUE"""),"Webinar")</f>
        <v>Webinar</v>
      </c>
      <c r="E139" s="12" t="str">
        <f>IFERROR(__xludf.DUMMYFUNCTION("""COMPUTED_VALUE"""),"Self Management Program: SWAYAM")</f>
        <v>Self Management Program: SWAYAM</v>
      </c>
      <c r="F139" s="12">
        <f>IFERROR(__xludf.DUMMYFUNCTION("""COMPUTED_VALUE"""),1.0)</f>
        <v>1</v>
      </c>
      <c r="G139" s="86">
        <f>IFERROR(__xludf.DUMMYFUNCTION("""COMPUTED_VALUE"""),44032.0)</f>
        <v>44032</v>
      </c>
      <c r="H139" s="86">
        <f>IFERROR(__xludf.DUMMYFUNCTION("""COMPUTED_VALUE"""),44032.0)</f>
        <v>44032</v>
      </c>
      <c r="I139" s="12" t="str">
        <f>IFERROR(__xludf.DUMMYFUNCTION("""COMPUTED_VALUE"""),"APSSDC")</f>
        <v>APSSDC</v>
      </c>
      <c r="J139" s="12" t="str">
        <f>IFERROR(__xludf.DUMMYFUNCTION("""COMPUTED_VALUE"""),"Rana Vikram Singh")</f>
        <v>Rana Vikram Singh</v>
      </c>
      <c r="K139" s="12" t="str">
        <f>IFERROR(__xludf.DUMMYFUNCTION("""COMPUTED_VALUE"""),"International")</f>
        <v>International</v>
      </c>
      <c r="L139" s="12" t="str">
        <f>IFERROR(__xludf.DUMMYFUNCTION("""COMPUTED_VALUE"""),"Free")</f>
        <v>Free</v>
      </c>
      <c r="M139" s="12"/>
      <c r="N139" s="87" t="str">
        <f>IFERROR(__xludf.DUMMYFUNCTION("""COMPUTED_VALUE"""),"https://drive.google.com/open?id=13W_KfMKAtMPZcPJwQZPsQoP1Kpmi9Piy")</f>
        <v>https://drive.google.com/open?id=13W_KfMKAtMPZcPJwQZPsQoP1Kpmi9Piy</v>
      </c>
      <c r="O139" s="12" t="str">
        <f>IFERROR(__xludf.DUMMYFUNCTION("""COMPUTED_VALUE"""),"2018-2022")</f>
        <v>2018-2022</v>
      </c>
      <c r="P139" s="12" t="str">
        <f>IFERROR(__xludf.DUMMYFUNCTION("""COMPUTED_VALUE"""),"S5: Student Workshops/Conf attended")</f>
        <v>S5: Student Workshops/Conf attended</v>
      </c>
      <c r="Q139" s="12" t="str">
        <f>IFERROR(__xludf.DUMMYFUNCTION("""COMPUTED_VALUE"""),"chaitra2026@gmail.com")</f>
        <v>chaitra2026@gmail.com</v>
      </c>
      <c r="R139" s="12" t="str">
        <f>IFERROR(__xludf.DUMMYFUNCTION("""COMPUTED_VALUE"""),"SEM-4")</f>
        <v>SEM-4</v>
      </c>
      <c r="S139" s="12"/>
      <c r="T139" s="12"/>
      <c r="U139" s="12"/>
      <c r="V139" s="12"/>
      <c r="W139" s="12"/>
      <c r="X139" s="12"/>
      <c r="Y139" s="12"/>
    </row>
    <row r="140" ht="26.25" customHeight="1">
      <c r="A140" s="74" t="str">
        <f>IFERROR(__xludf.DUMMYFUNCTION("""COMPUTED_VALUE"""),"Varada naga praneetha")</f>
        <v>Varada naga praneetha</v>
      </c>
      <c r="B140" s="74" t="str">
        <f>IFERROR(__xludf.DUMMYFUNCTION("""COMPUTED_VALUE"""),"19331A05I1 ")</f>
        <v>19331A05I1 </v>
      </c>
      <c r="C140" s="74" t="str">
        <f>IFERROR(__xludf.DUMMYFUNCTION("""COMPUTED_VALUE"""),"2020-2021")</f>
        <v>2020-2021</v>
      </c>
      <c r="D140" s="74" t="str">
        <f>IFERROR(__xludf.DUMMYFUNCTION("""COMPUTED_VALUE"""),"Workshop")</f>
        <v>Workshop</v>
      </c>
      <c r="E140" s="74" t="str">
        <f>IFERROR(__xludf.DUMMYFUNCTION("""COMPUTED_VALUE"""),"IEEE AI workshop")</f>
        <v>IEEE AI workshop</v>
      </c>
      <c r="F140" s="74">
        <f>IFERROR(__xludf.DUMMYFUNCTION("""COMPUTED_VALUE"""),3.0)</f>
        <v>3</v>
      </c>
      <c r="G140" s="79">
        <f>IFERROR(__xludf.DUMMYFUNCTION("""COMPUTED_VALUE"""),43881.0)</f>
        <v>43881</v>
      </c>
      <c r="H140" s="79">
        <f>IFERROR(__xludf.DUMMYFUNCTION("""COMPUTED_VALUE"""),43883.0)</f>
        <v>43883</v>
      </c>
      <c r="I140" s="74" t="str">
        <f>IFERROR(__xludf.DUMMYFUNCTION("""COMPUTED_VALUE"""),"Aadhrita 2020 MVGRCE (A)")</f>
        <v>Aadhrita 2020 MVGRCE (A)</v>
      </c>
      <c r="J140" s="74" t="str">
        <f>IFERROR(__xludf.DUMMYFUNCTION("""COMPUTED_VALUE"""),"_")</f>
        <v>_</v>
      </c>
      <c r="K140" s="74" t="str">
        <f>IFERROR(__xludf.DUMMYFUNCTION("""COMPUTED_VALUE"""),"State")</f>
        <v>State</v>
      </c>
      <c r="L140" s="74" t="str">
        <f>IFERROR(__xludf.DUMMYFUNCTION("""COMPUTED_VALUE"""),"Paid")</f>
        <v>Paid</v>
      </c>
      <c r="M140" s="74">
        <f>IFERROR(__xludf.DUMMYFUNCTION("""COMPUTED_VALUE"""),300.0)</f>
        <v>300</v>
      </c>
      <c r="N140" s="80" t="str">
        <f>IFERROR(__xludf.DUMMYFUNCTION("""COMPUTED_VALUE"""),"https://drive.google.com/open?id=1rBvlK5Cs6CruiJFOOc3oHELNe2OD9deI")</f>
        <v>https://drive.google.com/open?id=1rBvlK5Cs6CruiJFOOc3oHELNe2OD9deI</v>
      </c>
      <c r="O140" s="74" t="str">
        <f>IFERROR(__xludf.DUMMYFUNCTION("""COMPUTED_VALUE"""),"2019-2023")</f>
        <v>2019-2023</v>
      </c>
      <c r="P140" s="74" t="str">
        <f>IFERROR(__xludf.DUMMYFUNCTION("""COMPUTED_VALUE"""),"S5: Student Workshops/Conf attended")</f>
        <v>S5: Student Workshops/Conf attended</v>
      </c>
      <c r="Q140" s="74" t="str">
        <f>IFERROR(__xludf.DUMMYFUNCTION("""COMPUTED_VALUE"""),"praneetha.varada@gmail.com")</f>
        <v>praneetha.varada@gmail.com</v>
      </c>
      <c r="R140" s="74" t="str">
        <f>IFERROR(__xludf.DUMMYFUNCTION("""COMPUTED_VALUE"""),"SEM-6")</f>
        <v>SEM-6</v>
      </c>
      <c r="S140" s="74"/>
      <c r="T140" s="74"/>
      <c r="U140" s="74"/>
      <c r="V140" s="74"/>
      <c r="W140" s="74"/>
      <c r="X140" s="74"/>
      <c r="Y140" s="74"/>
    </row>
    <row r="141" ht="26.25" customHeight="1">
      <c r="A141" s="74" t="str">
        <f>IFERROR(__xludf.DUMMYFUNCTION("""COMPUTED_VALUE"""),"TAMMINENI RAJASREE INDIRA PRIYADARSHINI ")</f>
        <v>TAMMINENI RAJASREE INDIRA PRIYADARSHINI </v>
      </c>
      <c r="B141" s="74" t="str">
        <f>IFERROR(__xludf.DUMMYFUNCTION("""COMPUTED_VALUE"""),"19331A05H0 ")</f>
        <v>19331A05H0 </v>
      </c>
      <c r="C141" s="74" t="str">
        <f>IFERROR(__xludf.DUMMYFUNCTION("""COMPUTED_VALUE"""),"2019-2020")</f>
        <v>2019-2020</v>
      </c>
      <c r="D141" s="74" t="str">
        <f>IFERROR(__xludf.DUMMYFUNCTION("""COMPUTED_VALUE"""),"Workshop")</f>
        <v>Workshop</v>
      </c>
      <c r="E141" s="74" t="str">
        <f>IFERROR(__xludf.DUMMYFUNCTION("""COMPUTED_VALUE"""),"Workshop")</f>
        <v>Workshop</v>
      </c>
      <c r="F141" s="74">
        <f>IFERROR(__xludf.DUMMYFUNCTION("""COMPUTED_VALUE"""),3.0)</f>
        <v>3</v>
      </c>
      <c r="G141" s="79">
        <f>IFERROR(__xludf.DUMMYFUNCTION("""COMPUTED_VALUE"""),43881.0)</f>
        <v>43881</v>
      </c>
      <c r="H141" s="79">
        <f>IFERROR(__xludf.DUMMYFUNCTION("""COMPUTED_VALUE"""),43883.0)</f>
        <v>43883</v>
      </c>
      <c r="I141" s="74" t="str">
        <f>IFERROR(__xludf.DUMMYFUNCTION("""COMPUTED_VALUE"""),"MVGRCE(A)")</f>
        <v>MVGRCE(A)</v>
      </c>
      <c r="J141" s="74" t="str">
        <f>IFERROR(__xludf.DUMMYFUNCTION("""COMPUTED_VALUE"""),"-")</f>
        <v>-</v>
      </c>
      <c r="K141" s="74" t="str">
        <f>IFERROR(__xludf.DUMMYFUNCTION("""COMPUTED_VALUE"""),"State")</f>
        <v>State</v>
      </c>
      <c r="L141" s="74" t="str">
        <f>IFERROR(__xludf.DUMMYFUNCTION("""COMPUTED_VALUE"""),"Paid")</f>
        <v>Paid</v>
      </c>
      <c r="M141" s="74">
        <f>IFERROR(__xludf.DUMMYFUNCTION("""COMPUTED_VALUE"""),300.0)</f>
        <v>300</v>
      </c>
      <c r="N141" s="80" t="str">
        <f>IFERROR(__xludf.DUMMYFUNCTION("""COMPUTED_VALUE"""),"https://drive.google.com/open?id=1ByygAIovsa8t6OBjftlyO5tT8BN8JXZn")</f>
        <v>https://drive.google.com/open?id=1ByygAIovsa8t6OBjftlyO5tT8BN8JXZn</v>
      </c>
      <c r="O141" s="74" t="str">
        <f>IFERROR(__xludf.DUMMYFUNCTION("""COMPUTED_VALUE"""),"2019-2023")</f>
        <v>2019-2023</v>
      </c>
      <c r="P141" s="74" t="str">
        <f>IFERROR(__xludf.DUMMYFUNCTION("""COMPUTED_VALUE"""),"S5: Student Workshops/Conf attended")</f>
        <v>S5: Student Workshops/Conf attended</v>
      </c>
      <c r="Q141" s="74" t="str">
        <f>IFERROR(__xludf.DUMMYFUNCTION("""COMPUTED_VALUE"""),"indiradarshini126@gmail.com")</f>
        <v>indiradarshini126@gmail.com</v>
      </c>
      <c r="R141" s="74" t="str">
        <f>IFERROR(__xludf.DUMMYFUNCTION("""COMPUTED_VALUE"""),"SEM-6")</f>
        <v>SEM-6</v>
      </c>
      <c r="S141" s="74"/>
      <c r="T141" s="74"/>
      <c r="U141" s="74"/>
      <c r="V141" s="74"/>
      <c r="W141" s="74"/>
      <c r="X141" s="74"/>
      <c r="Y141" s="74"/>
    </row>
    <row r="142" ht="26.25" customHeight="1">
      <c r="A142" s="74" t="str">
        <f>IFERROR(__xludf.DUMMYFUNCTION("""COMPUTED_VALUE"""),"SURYAVIVEK REDDY SATTI")</f>
        <v>SURYAVIVEK REDDY SATTI</v>
      </c>
      <c r="B142" s="74" t="str">
        <f>IFERROR(__xludf.DUMMYFUNCTION("""COMPUTED_VALUE"""),"19331A05F1")</f>
        <v>19331A05F1</v>
      </c>
      <c r="C142" s="74" t="str">
        <f>IFERROR(__xludf.DUMMYFUNCTION("""COMPUTED_VALUE"""),"2019-2020")</f>
        <v>2019-2020</v>
      </c>
      <c r="D142" s="74" t="str">
        <f>IFERROR(__xludf.DUMMYFUNCTION("""COMPUTED_VALUE"""),"Workshop")</f>
        <v>Workshop</v>
      </c>
      <c r="E142" s="74" t="str">
        <f>IFERROR(__xludf.DUMMYFUNCTION("""COMPUTED_VALUE"""),"Anjular js to devlop apps faster")</f>
        <v>Anjular js to devlop apps faster</v>
      </c>
      <c r="F142" s="74">
        <f>IFERROR(__xludf.DUMMYFUNCTION("""COMPUTED_VALUE"""),1.0)</f>
        <v>1</v>
      </c>
      <c r="G142" s="79">
        <f>IFERROR(__xludf.DUMMYFUNCTION("""COMPUTED_VALUE"""),44008.0)</f>
        <v>44008</v>
      </c>
      <c r="H142" s="79">
        <f>IFERROR(__xludf.DUMMYFUNCTION("""COMPUTED_VALUE"""),44008.0)</f>
        <v>44008</v>
      </c>
      <c r="I142" s="74" t="str">
        <f>IFERROR(__xludf.DUMMYFUNCTION("""COMPUTED_VALUE"""),"brain o vision")</f>
        <v>brain o vision</v>
      </c>
      <c r="J142" s="74" t="str">
        <f>IFERROR(__xludf.DUMMYFUNCTION("""COMPUTED_VALUE"""),"dr v nagesh, dr datchana moorthy")</f>
        <v>dr v nagesh, dr datchana moorthy</v>
      </c>
      <c r="K142" s="74" t="str">
        <f>IFERROR(__xludf.DUMMYFUNCTION("""COMPUTED_VALUE"""),"International")</f>
        <v>International</v>
      </c>
      <c r="L142" s="74" t="str">
        <f>IFERROR(__xludf.DUMMYFUNCTION("""COMPUTED_VALUE"""),"Free")</f>
        <v>Free</v>
      </c>
      <c r="M142" s="74">
        <f>IFERROR(__xludf.DUMMYFUNCTION("""COMPUTED_VALUE"""),0.0)</f>
        <v>0</v>
      </c>
      <c r="N142" s="80" t="str">
        <f>IFERROR(__xludf.DUMMYFUNCTION("""COMPUTED_VALUE"""),"https://drive.google.com/open?id=1cmKsF311zEr6FwjzklsY5Vk8dDno_izZ")</f>
        <v>https://drive.google.com/open?id=1cmKsF311zEr6FwjzklsY5Vk8dDno_izZ</v>
      </c>
      <c r="O142" s="74" t="str">
        <f>IFERROR(__xludf.DUMMYFUNCTION("""COMPUTED_VALUE"""),"2019-2023")</f>
        <v>2019-2023</v>
      </c>
      <c r="P142" s="74" t="str">
        <f>IFERROR(__xludf.DUMMYFUNCTION("""COMPUTED_VALUE"""),"S5: Student Workshops/Conf attended")</f>
        <v>S5: Student Workshops/Conf attended</v>
      </c>
      <c r="Q142" s="74" t="str">
        <f>IFERROR(__xludf.DUMMYFUNCTION("""COMPUTED_VALUE"""),"suryavivek31@gmail.com")</f>
        <v>suryavivek31@gmail.com</v>
      </c>
      <c r="R142" s="74" t="str">
        <f>IFERROR(__xludf.DUMMYFUNCTION("""COMPUTED_VALUE"""),"SEM-6")</f>
        <v>SEM-6</v>
      </c>
      <c r="S142" s="74"/>
      <c r="T142" s="74"/>
      <c r="U142" s="74"/>
      <c r="V142" s="74"/>
      <c r="W142" s="74"/>
      <c r="X142" s="74"/>
      <c r="Y142" s="74"/>
    </row>
    <row r="143" ht="26.25" customHeight="1">
      <c r="A143" s="12" t="str">
        <f>IFERROR(__xludf.DUMMYFUNCTION("""COMPUTED_VALUE"""),"Thatimalla Niveditha")</f>
        <v>Thatimalla Niveditha</v>
      </c>
      <c r="B143" s="12" t="str">
        <f>IFERROR(__xludf.DUMMYFUNCTION("""COMPUTED_VALUE"""),"19331A05H1")</f>
        <v>19331A05H1</v>
      </c>
      <c r="C143" s="12" t="str">
        <f>IFERROR(__xludf.DUMMYFUNCTION("""COMPUTED_VALUE"""),"2020-2021")</f>
        <v>2020-2021</v>
      </c>
      <c r="D143" s="12" t="str">
        <f>IFERROR(__xludf.DUMMYFUNCTION("""COMPUTED_VALUE"""),"Workshop")</f>
        <v>Workshop</v>
      </c>
      <c r="E143" s="12" t="str">
        <f>IFERROR(__xludf.DUMMYFUNCTION("""COMPUTED_VALUE"""),"Angular Js to develop web apps faster")</f>
        <v>Angular Js to develop web apps faster</v>
      </c>
      <c r="F143" s="12">
        <f>IFERROR(__xludf.DUMMYFUNCTION("""COMPUTED_VALUE"""),1.0)</f>
        <v>1</v>
      </c>
      <c r="G143" s="86">
        <f>IFERROR(__xludf.DUMMYFUNCTION("""COMPUTED_VALUE"""),44008.0)</f>
        <v>44008</v>
      </c>
      <c r="H143" s="86">
        <f>IFERROR(__xludf.DUMMYFUNCTION("""COMPUTED_VALUE"""),44008.0)</f>
        <v>44008</v>
      </c>
      <c r="I143" s="12" t="str">
        <f>IFERROR(__xludf.DUMMYFUNCTION("""COMPUTED_VALUE"""),"NYCI and Brain-o-vision")</f>
        <v>NYCI and Brain-o-vision</v>
      </c>
      <c r="J143" s="12" t="str">
        <f>IFERROR(__xludf.DUMMYFUNCTION("""COMPUTED_VALUE"""),"Dr.Datchana Moorthy, Dr.V. Nagesh, Ganesh Nag Doodi")</f>
        <v>Dr.Datchana Moorthy, Dr.V. Nagesh, Ganesh Nag Doodi</v>
      </c>
      <c r="K143" s="12" t="str">
        <f>IFERROR(__xludf.DUMMYFUNCTION("""COMPUTED_VALUE"""),"International")</f>
        <v>International</v>
      </c>
      <c r="L143" s="12" t="str">
        <f>IFERROR(__xludf.DUMMYFUNCTION("""COMPUTED_VALUE"""),"Free")</f>
        <v>Free</v>
      </c>
      <c r="M143" s="12"/>
      <c r="N143" s="87" t="str">
        <f>IFERROR(__xludf.DUMMYFUNCTION("""COMPUTED_VALUE"""),"https://drive.google.com/open?id=1-Vm1czFT2dCA7qK84Ze0_cLoJLs8xjy4")</f>
        <v>https://drive.google.com/open?id=1-Vm1czFT2dCA7qK84Ze0_cLoJLs8xjy4</v>
      </c>
      <c r="O143" s="12" t="str">
        <f>IFERROR(__xludf.DUMMYFUNCTION("""COMPUTED_VALUE"""),"2019-2023")</f>
        <v>2019-2023</v>
      </c>
      <c r="P143" s="12" t="str">
        <f>IFERROR(__xludf.DUMMYFUNCTION("""COMPUTED_VALUE"""),"S5: Student Workshops/Conf attended")</f>
        <v>S5: Student Workshops/Conf attended</v>
      </c>
      <c r="Q143" s="12" t="str">
        <f>IFERROR(__xludf.DUMMYFUNCTION("""COMPUTED_VALUE"""),"thatimallaniveditha@gmail.com")</f>
        <v>thatimallaniveditha@gmail.com</v>
      </c>
      <c r="R143" s="12" t="str">
        <f>IFERROR(__xludf.DUMMYFUNCTION("""COMPUTED_VALUE"""),"SEM-3")</f>
        <v>SEM-3</v>
      </c>
      <c r="S143" s="12"/>
      <c r="T143" s="12"/>
      <c r="U143" s="12"/>
      <c r="V143" s="12"/>
      <c r="W143" s="12"/>
      <c r="X143" s="12"/>
      <c r="Y143" s="12"/>
    </row>
    <row r="144" ht="26.25" customHeight="1">
      <c r="A144" s="74" t="str">
        <f>IFERROR(__xludf.DUMMYFUNCTION("""COMPUTED_VALUE"""),"Thatimalla Niveditha")</f>
        <v>Thatimalla Niveditha</v>
      </c>
      <c r="B144" s="74" t="str">
        <f>IFERROR(__xludf.DUMMYFUNCTION("""COMPUTED_VALUE"""),"19331A05H1")</f>
        <v>19331A05H1</v>
      </c>
      <c r="C144" s="74" t="str">
        <f>IFERROR(__xludf.DUMMYFUNCTION("""COMPUTED_VALUE"""),"2020-2021")</f>
        <v>2020-2021</v>
      </c>
      <c r="D144" s="74" t="str">
        <f>IFERROR(__xludf.DUMMYFUNCTION("""COMPUTED_VALUE"""),"Workshop")</f>
        <v>Workshop</v>
      </c>
      <c r="E144" s="74" t="str">
        <f>IFERROR(__xludf.DUMMYFUNCTION("""COMPUTED_VALUE"""),"Dart Programming")</f>
        <v>Dart Programming</v>
      </c>
      <c r="F144" s="74">
        <f>IFERROR(__xludf.DUMMYFUNCTION("""COMPUTED_VALUE"""),1.0)</f>
        <v>1</v>
      </c>
      <c r="G144" s="79">
        <f>IFERROR(__xludf.DUMMYFUNCTION("""COMPUTED_VALUE"""),44039.0)</f>
        <v>44039</v>
      </c>
      <c r="H144" s="79">
        <f>IFERROR(__xludf.DUMMYFUNCTION("""COMPUTED_VALUE"""),44039.0)</f>
        <v>44039</v>
      </c>
      <c r="I144" s="74" t="str">
        <f>IFERROR(__xludf.DUMMYFUNCTION("""COMPUTED_VALUE"""),"MVGR College of Engineering")</f>
        <v>MVGR College of Engineering</v>
      </c>
      <c r="J144" s="74" t="str">
        <f>IFERROR(__xludf.DUMMYFUNCTION("""COMPUTED_VALUE"""),"Ganesh Nag Doodi, Dr.V. Nagesh")</f>
        <v>Ganesh Nag Doodi, Dr.V. Nagesh</v>
      </c>
      <c r="K144" s="74" t="str">
        <f>IFERROR(__xludf.DUMMYFUNCTION("""COMPUTED_VALUE"""),"International")</f>
        <v>International</v>
      </c>
      <c r="L144" s="74" t="str">
        <f>IFERROR(__xludf.DUMMYFUNCTION("""COMPUTED_VALUE"""),"Free")</f>
        <v>Free</v>
      </c>
      <c r="M144" s="74"/>
      <c r="N144" s="80" t="str">
        <f>IFERROR(__xludf.DUMMYFUNCTION("""COMPUTED_VALUE"""),"https://drive.google.com/open?id=1h4gd8xoDPYhzzLcf81MY1VwSWPJc25_1")</f>
        <v>https://drive.google.com/open?id=1h4gd8xoDPYhzzLcf81MY1VwSWPJc25_1</v>
      </c>
      <c r="O144" s="74" t="str">
        <f>IFERROR(__xludf.DUMMYFUNCTION("""COMPUTED_VALUE"""),"2019-2023")</f>
        <v>2019-2023</v>
      </c>
      <c r="P144" s="74" t="str">
        <f>IFERROR(__xludf.DUMMYFUNCTION("""COMPUTED_VALUE"""),"S5: Student Workshops/Conf attended")</f>
        <v>S5: Student Workshops/Conf attended</v>
      </c>
      <c r="Q144" s="74" t="str">
        <f>IFERROR(__xludf.DUMMYFUNCTION("""COMPUTED_VALUE"""),"thatimallaniveditha@gmail.com")</f>
        <v>thatimallaniveditha@gmail.com</v>
      </c>
      <c r="R144" s="74" t="str">
        <f>IFERROR(__xludf.DUMMYFUNCTION("""COMPUTED_VALUE"""),"SEM-3")</f>
        <v>SEM-3</v>
      </c>
      <c r="S144" s="74"/>
      <c r="T144" s="74"/>
      <c r="U144" s="74"/>
      <c r="V144" s="74"/>
      <c r="W144" s="74"/>
      <c r="X144" s="74"/>
      <c r="Y144" s="74"/>
    </row>
    <row r="145" ht="26.25" customHeight="1">
      <c r="A145" s="74" t="str">
        <f>IFERROR(__xludf.DUMMYFUNCTION("""COMPUTED_VALUE"""),"Niveditha Thatimalla")</f>
        <v>Niveditha Thatimalla</v>
      </c>
      <c r="B145" s="74" t="str">
        <f>IFERROR(__xludf.DUMMYFUNCTION("""COMPUTED_VALUE"""),"19331A05H1")</f>
        <v>19331A05H1</v>
      </c>
      <c r="C145" s="74" t="str">
        <f>IFERROR(__xludf.DUMMYFUNCTION("""COMPUTED_VALUE"""),"2021-2022")</f>
        <v>2021-2022</v>
      </c>
      <c r="D145" s="74" t="str">
        <f>IFERROR(__xludf.DUMMYFUNCTION("""COMPUTED_VALUE"""),"Webinar")</f>
        <v>Webinar</v>
      </c>
      <c r="E145" s="74" t="str">
        <f>IFERROR(__xludf.DUMMYFUNCTION("""COMPUTED_VALUE"""),"Building a Career as an Ethical Hacker")</f>
        <v>Building a Career as an Ethical Hacker</v>
      </c>
      <c r="F145" s="74">
        <f>IFERROR(__xludf.DUMMYFUNCTION("""COMPUTED_VALUE"""),1.0)</f>
        <v>1</v>
      </c>
      <c r="G145" s="79">
        <f>IFERROR(__xludf.DUMMYFUNCTION("""COMPUTED_VALUE"""),44219.0)</f>
        <v>44219</v>
      </c>
      <c r="H145" s="79">
        <f>IFERROR(__xludf.DUMMYFUNCTION("""COMPUTED_VALUE"""),44219.0)</f>
        <v>44219</v>
      </c>
      <c r="I145" s="74" t="str">
        <f>IFERROR(__xludf.DUMMYFUNCTION("""COMPUTED_VALUE"""),"EC-Council")</f>
        <v>EC-Council</v>
      </c>
      <c r="J145" s="74" t="str">
        <f>IFERROR(__xludf.DUMMYFUNCTION("""COMPUTED_VALUE"""),"Akash Agarwal")</f>
        <v>Akash Agarwal</v>
      </c>
      <c r="K145" s="74" t="str">
        <f>IFERROR(__xludf.DUMMYFUNCTION("""COMPUTED_VALUE"""),"National")</f>
        <v>National</v>
      </c>
      <c r="L145" s="74" t="str">
        <f>IFERROR(__xludf.DUMMYFUNCTION("""COMPUTED_VALUE"""),"Free")</f>
        <v>Free</v>
      </c>
      <c r="M145" s="74"/>
      <c r="N145" s="80" t="str">
        <f>IFERROR(__xludf.DUMMYFUNCTION("""COMPUTED_VALUE"""),"https://drive.google.com/open?id=1ABPGUFZhR5Cq4KCDU7vGzx-0QyBObNz9")</f>
        <v>https://drive.google.com/open?id=1ABPGUFZhR5Cq4KCDU7vGzx-0QyBObNz9</v>
      </c>
      <c r="O145" s="74" t="str">
        <f>IFERROR(__xludf.DUMMYFUNCTION("""COMPUTED_VALUE"""),"2019-2023")</f>
        <v>2019-2023</v>
      </c>
      <c r="P145" s="74" t="str">
        <f>IFERROR(__xludf.DUMMYFUNCTION("""COMPUTED_VALUE"""),"S5: Student Workshops/Conf attended")</f>
        <v>S5: Student Workshops/Conf attended</v>
      </c>
      <c r="Q145" s="74" t="str">
        <f>IFERROR(__xludf.DUMMYFUNCTION("""COMPUTED_VALUE"""),"thatimallaniveditha@gmail.com")</f>
        <v>thatimallaniveditha@gmail.com</v>
      </c>
      <c r="R145" s="74" t="str">
        <f>IFERROR(__xludf.DUMMYFUNCTION("""COMPUTED_VALUE"""),"SEM-4")</f>
        <v>SEM-4</v>
      </c>
      <c r="S145" s="74"/>
      <c r="T145" s="74"/>
      <c r="U145" s="74"/>
      <c r="V145" s="74"/>
      <c r="W145" s="74"/>
      <c r="X145" s="74"/>
      <c r="Y145" s="74"/>
    </row>
    <row r="146" ht="26.25" customHeight="1">
      <c r="A146" s="74" t="str">
        <f>IFERROR(__xludf.DUMMYFUNCTION("""COMPUTED_VALUE"""),"Niveditha Thatimalla")</f>
        <v>Niveditha Thatimalla</v>
      </c>
      <c r="B146" s="74" t="str">
        <f>IFERROR(__xludf.DUMMYFUNCTION("""COMPUTED_VALUE"""),"19331A05H1")</f>
        <v>19331A05H1</v>
      </c>
      <c r="C146" s="74" t="str">
        <f>IFERROR(__xludf.DUMMYFUNCTION("""COMPUTED_VALUE"""),"2021-2022")</f>
        <v>2021-2022</v>
      </c>
      <c r="D146" s="74" t="str">
        <f>IFERROR(__xludf.DUMMYFUNCTION("""COMPUTED_VALUE"""),"Webinar")</f>
        <v>Webinar</v>
      </c>
      <c r="E146" s="74" t="str">
        <f>IFERROR(__xludf.DUMMYFUNCTION("""COMPUTED_VALUE"""),"GDC DevFest ")</f>
        <v>GDC DevFest </v>
      </c>
      <c r="F146" s="74">
        <f>IFERROR(__xludf.DUMMYFUNCTION("""COMPUTED_VALUE"""),3.0)</f>
        <v>3</v>
      </c>
      <c r="G146" s="79">
        <f>IFERROR(__xludf.DUMMYFUNCTION("""COMPUTED_VALUE"""),44491.0)</f>
        <v>44491</v>
      </c>
      <c r="H146" s="79">
        <f>IFERROR(__xludf.DUMMYFUNCTION("""COMPUTED_VALUE"""),44493.0)</f>
        <v>44493</v>
      </c>
      <c r="I146" s="74" t="str">
        <f>IFERROR(__xludf.DUMMYFUNCTION("""COMPUTED_VALUE"""),"Google Developer Groups")</f>
        <v>Google Developer Groups</v>
      </c>
      <c r="J146" s="74" t="str">
        <f>IFERROR(__xludf.DUMMYFUNCTION("""COMPUTED_VALUE"""),"-")</f>
        <v>-</v>
      </c>
      <c r="K146" s="74" t="str">
        <f>IFERROR(__xludf.DUMMYFUNCTION("""COMPUTED_VALUE"""),"National")</f>
        <v>National</v>
      </c>
      <c r="L146" s="74" t="str">
        <f>IFERROR(__xludf.DUMMYFUNCTION("""COMPUTED_VALUE"""),"Free")</f>
        <v>Free</v>
      </c>
      <c r="M146" s="74"/>
      <c r="N146" s="80" t="str">
        <f>IFERROR(__xludf.DUMMYFUNCTION("""COMPUTED_VALUE"""),"https://drive.google.com/open?id=17SD70zzxmpbRm7mVkPV4D36JyOf_2ru1")</f>
        <v>https://drive.google.com/open?id=17SD70zzxmpbRm7mVkPV4D36JyOf_2ru1</v>
      </c>
      <c r="O146" s="74" t="str">
        <f>IFERROR(__xludf.DUMMYFUNCTION("""COMPUTED_VALUE"""),"2019-2023")</f>
        <v>2019-2023</v>
      </c>
      <c r="P146" s="74" t="str">
        <f>IFERROR(__xludf.DUMMYFUNCTION("""COMPUTED_VALUE"""),"S5: Student Workshops/Conf attended")</f>
        <v>S5: Student Workshops/Conf attended</v>
      </c>
      <c r="Q146" s="74" t="str">
        <f>IFERROR(__xludf.DUMMYFUNCTION("""COMPUTED_VALUE"""),"thatimallaniveditha@gmail.com")</f>
        <v>thatimallaniveditha@gmail.com</v>
      </c>
      <c r="R146" s="74" t="str">
        <f>IFERROR(__xludf.DUMMYFUNCTION("""COMPUTED_VALUE"""),"SEM-5")</f>
        <v>SEM-5</v>
      </c>
      <c r="S146" s="74"/>
      <c r="T146" s="74"/>
      <c r="U146" s="74"/>
      <c r="V146" s="74"/>
      <c r="W146" s="74"/>
      <c r="X146" s="74"/>
      <c r="Y146" s="74"/>
    </row>
    <row r="147" ht="26.25" customHeight="1">
      <c r="A147" s="74" t="str">
        <f>IFERROR(__xludf.DUMMYFUNCTION("""COMPUTED_VALUE"""),"Kalla Bhagya Sri")</f>
        <v>Kalla Bhagya Sri</v>
      </c>
      <c r="B147" s="74" t="str">
        <f>IFERROR(__xludf.DUMMYFUNCTION("""COMPUTED_VALUE"""),"19331A0570")</f>
        <v>19331A0570</v>
      </c>
      <c r="C147" s="74" t="str">
        <f>IFERROR(__xludf.DUMMYFUNCTION("""COMPUTED_VALUE"""),"2020-2021")</f>
        <v>2020-2021</v>
      </c>
      <c r="D147" s="74" t="str">
        <f>IFERROR(__xludf.DUMMYFUNCTION("""COMPUTED_VALUE"""),"Workshop")</f>
        <v>Workshop</v>
      </c>
      <c r="E147" s="74" t="str">
        <f>IFERROR(__xludf.DUMMYFUNCTION("""COMPUTED_VALUE"""),"Internet of things online")</f>
        <v>Internet of things online</v>
      </c>
      <c r="F147" s="74">
        <f>IFERROR(__xludf.DUMMYFUNCTION("""COMPUTED_VALUE"""),20.0)</f>
        <v>20</v>
      </c>
      <c r="G147" s="79">
        <f>IFERROR(__xludf.DUMMYFUNCTION("""COMPUTED_VALUE"""),44375.0)</f>
        <v>44375</v>
      </c>
      <c r="H147" s="79">
        <f>IFERROR(__xludf.DUMMYFUNCTION("""COMPUTED_VALUE"""),44303.0)</f>
        <v>44303</v>
      </c>
      <c r="I147" s="74" t="str">
        <f>IFERROR(__xludf.DUMMYFUNCTION("""COMPUTED_VALUE"""),"APSSDC")</f>
        <v>APSSDC</v>
      </c>
      <c r="J147" s="74" t="str">
        <f>IFERROR(__xludf.DUMMYFUNCTION("""COMPUTED_VALUE"""),"APSSDC")</f>
        <v>APSSDC</v>
      </c>
      <c r="K147" s="74" t="str">
        <f>IFERROR(__xludf.DUMMYFUNCTION("""COMPUTED_VALUE"""),"State")</f>
        <v>State</v>
      </c>
      <c r="L147" s="74" t="str">
        <f>IFERROR(__xludf.DUMMYFUNCTION("""COMPUTED_VALUE"""),"Paid")</f>
        <v>Paid</v>
      </c>
      <c r="M147" s="74">
        <f>IFERROR(__xludf.DUMMYFUNCTION("""COMPUTED_VALUE"""),200.0)</f>
        <v>200</v>
      </c>
      <c r="N147" s="80" t="str">
        <f>IFERROR(__xludf.DUMMYFUNCTION("""COMPUTED_VALUE"""),"https://drive.google.com/open?id=1EAN0q6ovuitM-sw5J_yuweXnwwizmNJZ")</f>
        <v>https://drive.google.com/open?id=1EAN0q6ovuitM-sw5J_yuweXnwwizmNJZ</v>
      </c>
      <c r="O147" s="74" t="str">
        <f>IFERROR(__xludf.DUMMYFUNCTION("""COMPUTED_VALUE"""),"2019-2023")</f>
        <v>2019-2023</v>
      </c>
      <c r="P147" s="74" t="str">
        <f>IFERROR(__xludf.DUMMYFUNCTION("""COMPUTED_VALUE"""),"S5: Student Workshops/Conf attended")</f>
        <v>S5: Student Workshops/Conf attended</v>
      </c>
      <c r="Q147" s="74" t="str">
        <f>IFERROR(__xludf.DUMMYFUNCTION("""COMPUTED_VALUE"""),"bhagyasrikalla1234@gmail.com")</f>
        <v>bhagyasrikalla1234@gmail.com</v>
      </c>
      <c r="R147" s="74" t="str">
        <f>IFERROR(__xludf.DUMMYFUNCTION("""COMPUTED_VALUE"""),"SEM-6")</f>
        <v>SEM-6</v>
      </c>
      <c r="S147" s="74"/>
      <c r="T147" s="74"/>
      <c r="U147" s="74"/>
      <c r="V147" s="74"/>
      <c r="W147" s="74"/>
      <c r="X147" s="74"/>
      <c r="Y147" s="74"/>
    </row>
    <row r="148" ht="26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</row>
    <row r="149" ht="26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</row>
    <row r="150" ht="26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</row>
    <row r="151" ht="26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</row>
    <row r="152" ht="26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</row>
    <row r="153" ht="26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</row>
    <row r="154" ht="26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</row>
    <row r="155" ht="26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</row>
    <row r="156" ht="26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</row>
    <row r="157" ht="26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ht="26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</row>
    <row r="159" ht="26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</row>
    <row r="160" ht="26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</row>
    <row r="161" ht="26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</row>
    <row r="162" ht="26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</row>
    <row r="163" ht="26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</row>
    <row r="164" ht="26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</row>
    <row r="165" ht="26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</row>
    <row r="166" ht="26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</row>
    <row r="167" ht="26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</row>
    <row r="168" ht="26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</row>
    <row r="169" ht="26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</row>
    <row r="170" ht="26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</row>
    <row r="171" ht="26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</row>
    <row r="172" ht="26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ht="26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</row>
    <row r="174" ht="26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</row>
    <row r="175" ht="26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</row>
    <row r="176" ht="26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</row>
    <row r="177" ht="26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</row>
    <row r="178" ht="26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</row>
    <row r="179" ht="26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</row>
    <row r="180" ht="26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</row>
    <row r="181" ht="26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</row>
    <row r="182" ht="26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</row>
    <row r="183" ht="26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</row>
    <row r="184" ht="26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</row>
    <row r="185" ht="26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</row>
    <row r="186" ht="26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</row>
    <row r="187" ht="26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8" ht="26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</row>
    <row r="189" ht="26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</row>
    <row r="190" ht="26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</row>
    <row r="191" ht="26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</row>
    <row r="192" ht="26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ht="26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</row>
    <row r="194" ht="26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</row>
    <row r="195" ht="26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</row>
    <row r="196" ht="26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</row>
    <row r="197" ht="26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ht="26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</row>
    <row r="199" ht="26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</row>
    <row r="200" ht="26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</row>
    <row r="201" ht="26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</row>
    <row r="202" ht="26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</row>
    <row r="203" ht="26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</row>
    <row r="204" ht="26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</row>
    <row r="205" ht="26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</row>
    <row r="206" ht="26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</row>
    <row r="207" ht="26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</row>
    <row r="208" ht="26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</row>
    <row r="209" ht="26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</row>
    <row r="210" ht="26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</row>
    <row r="211" ht="26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</row>
    <row r="212" ht="26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</row>
    <row r="213" ht="26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</row>
    <row r="214" ht="26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</row>
    <row r="215" ht="26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</row>
    <row r="216" ht="26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</row>
    <row r="217" ht="26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</row>
    <row r="218" ht="26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</row>
    <row r="219" ht="26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</row>
    <row r="220" ht="26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</row>
    <row r="221" ht="26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</row>
    <row r="222" ht="26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</row>
    <row r="223" ht="26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</row>
    <row r="224" ht="26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</row>
    <row r="225" ht="26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</row>
    <row r="226" ht="26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</row>
    <row r="227" ht="26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</row>
    <row r="228" ht="26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</row>
    <row r="229" ht="26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</row>
    <row r="230" ht="26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</row>
    <row r="231" ht="26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</row>
    <row r="232" ht="26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</row>
    <row r="233" ht="26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</row>
    <row r="234" ht="26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</row>
    <row r="235" ht="26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</row>
    <row r="236" ht="26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</row>
    <row r="237" ht="26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</row>
    <row r="238" ht="26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</row>
    <row r="239" ht="26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</row>
    <row r="240" ht="26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</row>
    <row r="241" ht="26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</row>
    <row r="242" ht="26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</row>
    <row r="243" ht="26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</row>
    <row r="244" ht="26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</row>
    <row r="245" ht="26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</row>
    <row r="246" ht="26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</row>
    <row r="247" ht="26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</row>
    <row r="248" ht="26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</row>
    <row r="249" ht="26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</row>
    <row r="250" ht="26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</row>
    <row r="251" ht="26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</row>
    <row r="252" ht="26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</row>
    <row r="253" ht="26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</row>
    <row r="254" ht="26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</row>
    <row r="255" ht="26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</row>
    <row r="256" ht="26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</row>
    <row r="257" ht="26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</row>
    <row r="258" ht="26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</row>
    <row r="259" ht="26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</row>
    <row r="260" ht="26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</row>
    <row r="261" ht="26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</row>
    <row r="262" ht="26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</row>
    <row r="263" ht="26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</row>
    <row r="264" ht="26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</row>
    <row r="265" ht="26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</row>
    <row r="266" ht="26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</row>
    <row r="267" ht="26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</row>
    <row r="268" ht="26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</row>
    <row r="269" ht="26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</row>
    <row r="270" ht="26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</row>
    <row r="271" ht="26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</row>
    <row r="272" ht="26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</row>
    <row r="273" ht="26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</row>
    <row r="274" ht="26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</row>
    <row r="275" ht="26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</row>
    <row r="276" ht="26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</row>
    <row r="277" ht="26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</row>
    <row r="278" ht="26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</row>
    <row r="279" ht="26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</row>
    <row r="280" ht="26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</row>
    <row r="281" ht="26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</row>
    <row r="282" ht="26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</row>
    <row r="283" ht="26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</row>
    <row r="284" ht="26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</row>
    <row r="285" ht="26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</row>
    <row r="286" ht="26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</row>
    <row r="287" ht="26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</row>
    <row r="288" ht="26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</row>
    <row r="289" ht="26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</row>
    <row r="290" ht="26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</row>
    <row r="291" ht="26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</row>
    <row r="292" ht="26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</row>
    <row r="293" ht="26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</row>
    <row r="294" ht="26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</row>
    <row r="295" ht="26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</row>
    <row r="296" ht="26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</row>
    <row r="297" ht="26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</row>
    <row r="298" ht="26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</row>
    <row r="299" ht="26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</row>
    <row r="300" ht="26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</row>
    <row r="301" ht="26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</row>
    <row r="302" ht="26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</row>
    <row r="303" ht="26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</row>
    <row r="304" ht="26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</row>
    <row r="305" ht="26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</row>
    <row r="306" ht="26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</row>
    <row r="307" ht="26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</row>
    <row r="308" ht="26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</row>
    <row r="309" ht="26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</row>
    <row r="310" ht="26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</row>
    <row r="311" ht="26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</row>
    <row r="312" ht="26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</row>
    <row r="313" ht="26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</row>
    <row r="314" ht="26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</row>
    <row r="315" ht="26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</row>
    <row r="316" ht="26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</row>
    <row r="317" ht="26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</row>
    <row r="318" ht="26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</row>
    <row r="319" ht="26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</row>
    <row r="320" ht="26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</row>
    <row r="321" ht="26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</row>
    <row r="322" ht="26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</row>
    <row r="323" ht="26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</row>
    <row r="324" ht="26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</row>
    <row r="325" ht="26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</row>
    <row r="326" ht="26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</row>
    <row r="327" ht="26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</row>
    <row r="328" ht="26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</row>
    <row r="329" ht="26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</row>
    <row r="330" ht="26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</row>
    <row r="331" ht="26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</row>
    <row r="332" ht="26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</row>
    <row r="333" ht="26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</row>
    <row r="334" ht="26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</row>
    <row r="335" ht="26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</row>
    <row r="336" ht="26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</row>
    <row r="337" ht="26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</row>
    <row r="338" ht="26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</row>
    <row r="339" ht="26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</row>
    <row r="340" ht="26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</row>
    <row r="341" ht="26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</row>
    <row r="342" ht="26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</row>
    <row r="343" ht="26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</row>
    <row r="344" ht="26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</row>
    <row r="345" ht="26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</row>
    <row r="346" ht="26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</row>
    <row r="347" ht="26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</row>
    <row r="348" ht="26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</row>
    <row r="349" ht="26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</row>
    <row r="350" ht="26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</row>
    <row r="351" ht="26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</row>
    <row r="352" ht="26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</row>
    <row r="353" ht="26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</row>
    <row r="354" ht="26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</row>
    <row r="355" ht="26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</row>
    <row r="356" ht="26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</row>
    <row r="357" ht="26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</row>
    <row r="358" ht="26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</row>
    <row r="359" ht="26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</row>
    <row r="360" ht="26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</row>
    <row r="361" ht="26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</row>
    <row r="362" ht="26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</row>
    <row r="363" ht="26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</row>
    <row r="364" ht="26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</row>
    <row r="365" ht="26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</row>
    <row r="366" ht="26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</row>
    <row r="367" ht="26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</row>
    <row r="368" ht="26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</row>
    <row r="369" ht="26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</row>
    <row r="370" ht="26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</row>
    <row r="371" ht="26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</row>
    <row r="372" ht="26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</row>
    <row r="373" ht="26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</row>
    <row r="374" ht="26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</row>
    <row r="375" ht="26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</row>
    <row r="376" ht="26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</row>
    <row r="377" ht="26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</row>
    <row r="378" ht="26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</row>
    <row r="379" ht="26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</row>
    <row r="380" ht="26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</row>
    <row r="381" ht="26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</row>
    <row r="382" ht="26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</row>
    <row r="383" ht="26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</row>
    <row r="384" ht="26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</row>
    <row r="385" ht="26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</row>
    <row r="386" ht="26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</row>
    <row r="387" ht="26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</row>
    <row r="388" ht="26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</row>
    <row r="389" ht="26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</row>
    <row r="390" ht="26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</row>
    <row r="391" ht="26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</row>
    <row r="392" ht="26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</row>
    <row r="393" ht="26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</row>
    <row r="394" ht="26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</row>
    <row r="395" ht="26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</row>
    <row r="396" ht="26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</row>
    <row r="397" ht="26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</row>
    <row r="398" ht="26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</row>
    <row r="399" ht="26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</row>
    <row r="400" ht="26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</row>
    <row r="401" ht="26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</row>
    <row r="402" ht="26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</row>
    <row r="403" ht="26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</row>
    <row r="404" ht="26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</row>
    <row r="405" ht="26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</row>
    <row r="406" ht="26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</row>
    <row r="407" ht="26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</row>
    <row r="408" ht="26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</row>
    <row r="409" ht="26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</row>
    <row r="410" ht="26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</row>
    <row r="411" ht="26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</row>
    <row r="412" ht="26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</row>
    <row r="413" ht="26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</row>
    <row r="414" ht="26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</row>
    <row r="415" ht="26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</row>
    <row r="416" ht="26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</row>
    <row r="417" ht="26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</row>
    <row r="418" ht="26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</row>
    <row r="419" ht="26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</row>
    <row r="420" ht="26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</row>
    <row r="421" ht="26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</row>
    <row r="422" ht="26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</row>
    <row r="423" ht="26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</row>
    <row r="424" ht="26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</row>
    <row r="425" ht="26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</row>
    <row r="426" ht="26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</row>
    <row r="427" ht="26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</row>
    <row r="428" ht="26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</row>
    <row r="429" ht="26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</row>
    <row r="430" ht="26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</row>
    <row r="431" ht="26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</row>
    <row r="432" ht="26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</row>
    <row r="433" ht="26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</row>
    <row r="434" ht="26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</row>
    <row r="435" ht="26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</row>
    <row r="436" ht="26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</row>
    <row r="437" ht="26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</row>
    <row r="438" ht="26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</row>
    <row r="439" ht="26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</row>
    <row r="440" ht="26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</row>
    <row r="441" ht="26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</row>
    <row r="442" ht="26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</row>
    <row r="443" ht="26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</row>
    <row r="444" ht="26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</row>
    <row r="445" ht="26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</row>
    <row r="446" ht="26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</row>
    <row r="447" ht="26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</row>
    <row r="448" ht="26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</row>
    <row r="449" ht="26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</row>
    <row r="450" ht="26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</row>
    <row r="451" ht="26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</row>
    <row r="452" ht="26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</row>
    <row r="453" ht="26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</row>
    <row r="454" ht="26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</row>
    <row r="455" ht="26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</row>
    <row r="456" ht="26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</row>
    <row r="457" ht="26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</row>
    <row r="458" ht="26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</row>
    <row r="459" ht="26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</row>
    <row r="460" ht="26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</row>
    <row r="461" ht="26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</row>
    <row r="462" ht="26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</row>
    <row r="463" ht="26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</row>
    <row r="464" ht="26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</row>
    <row r="465" ht="26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</row>
    <row r="466" ht="26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</row>
    <row r="467" ht="26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</row>
    <row r="468" ht="26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</row>
    <row r="469" ht="26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</row>
    <row r="470" ht="26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</row>
    <row r="471" ht="26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</row>
    <row r="472" ht="26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</row>
    <row r="473" ht="26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</row>
    <row r="474" ht="26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</row>
    <row r="475" ht="26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</row>
    <row r="476" ht="26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</row>
    <row r="477" ht="26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</row>
    <row r="478" ht="26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</row>
    <row r="479" ht="26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</row>
    <row r="480" ht="26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</row>
    <row r="481" ht="26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</row>
    <row r="482" ht="26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</row>
    <row r="483" ht="26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</row>
    <row r="484" ht="26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</row>
    <row r="485" ht="26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</row>
    <row r="486" ht="26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</row>
    <row r="487" ht="26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</row>
    <row r="488" ht="26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</row>
    <row r="489" ht="26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</row>
    <row r="490" ht="26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</row>
    <row r="491" ht="26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</row>
    <row r="492" ht="26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</row>
    <row r="493" ht="26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</row>
    <row r="494" ht="26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</row>
    <row r="495" ht="26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</row>
    <row r="496" ht="26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</row>
    <row r="497" ht="26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</row>
    <row r="498" ht="26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</row>
    <row r="499" ht="26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</row>
    <row r="500" ht="26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</row>
    <row r="501" ht="26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</row>
    <row r="502" ht="26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</row>
    <row r="503" ht="26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</row>
    <row r="504" ht="26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</row>
    <row r="505" ht="26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</row>
    <row r="506" ht="26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</row>
    <row r="507" ht="26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</row>
    <row r="508" ht="26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</row>
    <row r="509" ht="26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</row>
    <row r="510" ht="26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</row>
    <row r="511" ht="26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</row>
    <row r="512" ht="26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</row>
    <row r="513" ht="26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</row>
    <row r="514" ht="26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</row>
    <row r="515" ht="26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</row>
    <row r="516" ht="26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</row>
    <row r="517" ht="26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</row>
    <row r="518" ht="26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</row>
    <row r="519" ht="26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</row>
    <row r="520" ht="26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</row>
    <row r="521" ht="26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</row>
    <row r="522" ht="26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</row>
    <row r="523" ht="26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</row>
    <row r="524" ht="26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</row>
    <row r="525" ht="26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</row>
    <row r="526" ht="26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</row>
    <row r="527" ht="26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</row>
    <row r="528" ht="26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</row>
    <row r="529" ht="26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</row>
    <row r="530" ht="26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</row>
    <row r="531" ht="26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</row>
    <row r="532" ht="26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</row>
    <row r="533" ht="26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</row>
    <row r="534" ht="26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</row>
    <row r="535" ht="26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</row>
    <row r="536" ht="26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</row>
    <row r="537" ht="26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</row>
    <row r="538" ht="26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</row>
    <row r="539" ht="26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</row>
    <row r="540" ht="26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</row>
    <row r="541" ht="26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</row>
    <row r="542" ht="26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</row>
    <row r="543" ht="26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</row>
    <row r="544" ht="26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</row>
    <row r="545" ht="26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</row>
    <row r="546" ht="26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</row>
    <row r="547" ht="26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</row>
    <row r="548" ht="26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</row>
    <row r="549" ht="26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</row>
    <row r="550" ht="26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</row>
    <row r="551" ht="26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</row>
    <row r="552" ht="26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</row>
    <row r="553" ht="26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</row>
    <row r="554" ht="26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</row>
    <row r="555" ht="26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</row>
    <row r="556" ht="26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</row>
    <row r="557" ht="26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</row>
    <row r="558" ht="26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</row>
    <row r="559" ht="26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</row>
    <row r="560" ht="26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</row>
    <row r="561" ht="26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</row>
    <row r="562" ht="26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</row>
    <row r="563" ht="26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</row>
    <row r="564" ht="26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</row>
    <row r="565" ht="26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</row>
    <row r="566" ht="26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</row>
    <row r="567" ht="26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</row>
    <row r="568" ht="26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</row>
    <row r="569" ht="26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</row>
    <row r="570" ht="26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</row>
    <row r="571" ht="26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</row>
    <row r="572" ht="26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</row>
    <row r="573" ht="26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</row>
    <row r="574" ht="26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</row>
    <row r="575" ht="26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</row>
    <row r="576" ht="26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</row>
    <row r="577" ht="26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</row>
    <row r="578" ht="26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</row>
    <row r="579" ht="26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</row>
    <row r="580" ht="26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</row>
    <row r="581" ht="26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</row>
    <row r="582" ht="26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</row>
    <row r="583" ht="26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</row>
    <row r="584" ht="26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</row>
    <row r="585" ht="26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</row>
    <row r="586" ht="26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</row>
    <row r="587" ht="26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</row>
    <row r="588" ht="26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</row>
    <row r="589" ht="26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</row>
    <row r="590" ht="26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</row>
    <row r="591" ht="26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</row>
    <row r="592" ht="26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</row>
    <row r="593" ht="26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</row>
    <row r="594" ht="26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</row>
    <row r="595" ht="26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</row>
    <row r="596" ht="26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</row>
    <row r="597" ht="26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</row>
    <row r="598" ht="26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</row>
    <row r="599" ht="26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</row>
    <row r="600" ht="26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</row>
    <row r="601" ht="26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</row>
    <row r="602" ht="26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</row>
    <row r="603" ht="26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</row>
    <row r="604" ht="26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</row>
    <row r="605" ht="26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</row>
    <row r="606" ht="26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</row>
    <row r="607" ht="26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</row>
    <row r="608" ht="26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</row>
    <row r="609" ht="26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</row>
    <row r="610" ht="26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</row>
    <row r="611" ht="26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</row>
    <row r="612" ht="26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</row>
    <row r="613" ht="26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</row>
    <row r="614" ht="26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</row>
    <row r="615" ht="26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</row>
    <row r="616" ht="26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</row>
    <row r="617" ht="26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</row>
    <row r="618" ht="26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</row>
    <row r="619" ht="26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</row>
    <row r="620" ht="26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</row>
    <row r="621" ht="26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</row>
    <row r="622" ht="26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</row>
    <row r="623" ht="26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</row>
    <row r="624" ht="26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</row>
    <row r="625" ht="26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</row>
    <row r="626" ht="26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</row>
    <row r="627" ht="26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</row>
    <row r="628" ht="26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</row>
    <row r="629" ht="26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</row>
    <row r="630" ht="26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</row>
    <row r="631" ht="26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</row>
    <row r="632" ht="26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</row>
    <row r="633" ht="26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</row>
    <row r="634" ht="26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</row>
    <row r="635" ht="26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</row>
    <row r="636" ht="26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</row>
    <row r="637" ht="26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</row>
    <row r="638" ht="26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</row>
    <row r="639" ht="26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</row>
    <row r="640" ht="26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</row>
    <row r="641" ht="26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</row>
    <row r="642" ht="26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</row>
    <row r="643" ht="26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</row>
    <row r="644" ht="26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</row>
    <row r="645" ht="26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</row>
    <row r="646" ht="26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</row>
    <row r="647" ht="26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</row>
    <row r="648" ht="26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</row>
    <row r="649" ht="26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</row>
    <row r="650" ht="26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</row>
    <row r="651" ht="26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</row>
    <row r="652" ht="26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</row>
    <row r="653" ht="26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</row>
    <row r="654" ht="26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</row>
    <row r="655" ht="26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</row>
    <row r="656" ht="26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</row>
    <row r="657" ht="26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</row>
    <row r="658" ht="26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</row>
    <row r="659" ht="26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</row>
    <row r="660" ht="26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</row>
    <row r="661" ht="26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</row>
    <row r="662" ht="26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</row>
    <row r="663" ht="26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</row>
    <row r="664" ht="26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</row>
    <row r="665" ht="26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</row>
    <row r="666" ht="26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</row>
    <row r="667" ht="26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</row>
    <row r="668" ht="26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</row>
    <row r="669" ht="26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</row>
    <row r="670" ht="26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</row>
    <row r="671" ht="26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</row>
    <row r="672" ht="26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</row>
    <row r="673" ht="26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</row>
    <row r="674" ht="26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</row>
    <row r="675" ht="26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</row>
    <row r="676" ht="26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</row>
    <row r="677" ht="26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</row>
    <row r="678" ht="26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</row>
    <row r="679" ht="26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</row>
    <row r="680" ht="26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</row>
    <row r="681" ht="26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</row>
    <row r="682" ht="26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</row>
    <row r="683" ht="26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</row>
    <row r="684" ht="26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</row>
    <row r="685" ht="26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</row>
    <row r="686" ht="26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</row>
    <row r="687" ht="26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</row>
    <row r="688" ht="26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</row>
    <row r="689" ht="26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</row>
    <row r="690" ht="26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</row>
    <row r="691" ht="26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</row>
    <row r="692" ht="26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</row>
    <row r="693" ht="26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</row>
    <row r="694" ht="26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</row>
    <row r="695" ht="26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</row>
    <row r="696" ht="26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</row>
    <row r="697" ht="26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</row>
    <row r="698" ht="26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</row>
    <row r="699" ht="26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</row>
    <row r="700" ht="26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</row>
    <row r="701" ht="26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</row>
    <row r="702" ht="26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</row>
    <row r="703" ht="26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</row>
    <row r="704" ht="26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</row>
    <row r="705" ht="26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</row>
    <row r="706" ht="26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</row>
    <row r="707" ht="26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</row>
    <row r="708" ht="26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</row>
    <row r="709" ht="26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</row>
    <row r="710" ht="26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</row>
    <row r="711" ht="26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</row>
    <row r="712" ht="26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</row>
    <row r="713" ht="26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</row>
    <row r="714" ht="26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</row>
    <row r="715" ht="26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</row>
    <row r="716" ht="26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</row>
    <row r="717" ht="26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</row>
    <row r="718" ht="26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</row>
    <row r="719" ht="26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</row>
    <row r="720" ht="26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</row>
    <row r="721" ht="26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</row>
    <row r="722" ht="26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</row>
    <row r="723" ht="26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</row>
    <row r="724" ht="26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</row>
    <row r="725" ht="26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</row>
    <row r="726" ht="26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</row>
    <row r="727" ht="26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</row>
    <row r="728" ht="26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</row>
    <row r="729" ht="26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</row>
    <row r="730" ht="26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</row>
    <row r="731" ht="26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</row>
    <row r="732" ht="26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</row>
    <row r="733" ht="26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</row>
    <row r="734" ht="26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</row>
    <row r="735" ht="26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</row>
    <row r="736" ht="26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</row>
    <row r="737" ht="26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</row>
    <row r="738" ht="26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</row>
    <row r="739" ht="26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</row>
    <row r="740" ht="26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</row>
    <row r="741" ht="26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</row>
    <row r="742" ht="26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</row>
    <row r="743" ht="26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</row>
    <row r="744" ht="26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</row>
    <row r="745" ht="26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</row>
    <row r="746" ht="26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</row>
    <row r="747" ht="26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</row>
    <row r="748" ht="26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</row>
    <row r="749" ht="26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</row>
    <row r="750" ht="26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</row>
    <row r="751" ht="26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</row>
    <row r="752" ht="26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</row>
    <row r="753" ht="26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</row>
    <row r="754" ht="26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</row>
    <row r="755" ht="26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</row>
    <row r="756" ht="26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</row>
    <row r="757" ht="26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</row>
    <row r="758" ht="26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</row>
    <row r="759" ht="26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</row>
    <row r="760" ht="26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</row>
    <row r="761" ht="26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</row>
    <row r="762" ht="26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</row>
    <row r="763" ht="26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</row>
    <row r="764" ht="26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</row>
    <row r="765" ht="26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</row>
    <row r="766" ht="26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</row>
    <row r="767" ht="26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</row>
    <row r="768" ht="26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</row>
    <row r="769" ht="26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</row>
    <row r="770" ht="26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</row>
    <row r="771" ht="26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</row>
    <row r="772" ht="26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</row>
    <row r="773" ht="26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</row>
    <row r="774" ht="26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</row>
    <row r="775" ht="26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</row>
    <row r="776" ht="26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</row>
    <row r="777" ht="26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</row>
    <row r="778" ht="26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</row>
    <row r="779" ht="26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</row>
    <row r="780" ht="26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</row>
    <row r="781" ht="26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</row>
    <row r="782" ht="26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</row>
    <row r="783" ht="26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</row>
    <row r="784" ht="26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</row>
    <row r="785" ht="26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</row>
    <row r="786" ht="26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</row>
    <row r="787" ht="26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</row>
    <row r="788" ht="26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</row>
    <row r="789" ht="26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</row>
    <row r="790" ht="26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</row>
    <row r="791" ht="26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</row>
    <row r="792" ht="26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</row>
    <row r="793" ht="26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</row>
    <row r="794" ht="26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</row>
    <row r="795" ht="26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</row>
    <row r="796" ht="26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</row>
    <row r="797" ht="26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</row>
    <row r="798" ht="26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</row>
    <row r="799" ht="26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</row>
    <row r="800" ht="26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</row>
    <row r="801" ht="26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</row>
    <row r="802" ht="26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</row>
    <row r="803" ht="26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</row>
    <row r="804" ht="26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</row>
    <row r="805" ht="26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</row>
    <row r="806" ht="26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</row>
    <row r="807" ht="26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</row>
    <row r="808" ht="26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</row>
    <row r="809" ht="26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</row>
    <row r="810" ht="26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</row>
    <row r="811" ht="26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</row>
    <row r="812" ht="26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</row>
    <row r="813" ht="26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</row>
    <row r="814" ht="26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</row>
    <row r="815" ht="26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</row>
    <row r="816" ht="26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</row>
    <row r="817" ht="26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</row>
    <row r="818" ht="26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</row>
    <row r="819" ht="26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</row>
    <row r="820" ht="26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</row>
    <row r="821" ht="26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</row>
    <row r="822" ht="26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</row>
    <row r="823" ht="26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</row>
    <row r="824" ht="26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</row>
    <row r="825" ht="26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</row>
    <row r="826" ht="26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</row>
    <row r="827" ht="26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</row>
    <row r="828" ht="26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</row>
    <row r="829" ht="26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</row>
    <row r="830" ht="26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</row>
    <row r="831" ht="26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</row>
    <row r="832" ht="26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</row>
    <row r="833" ht="26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</row>
    <row r="834" ht="26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</row>
    <row r="835" ht="26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</row>
    <row r="836" ht="26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</row>
    <row r="837" ht="26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</row>
    <row r="838" ht="26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</row>
    <row r="839" ht="26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</row>
    <row r="840" ht="26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</row>
    <row r="841" ht="26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</row>
    <row r="842" ht="26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</row>
    <row r="843" ht="26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</row>
    <row r="844" ht="26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</row>
    <row r="845" ht="26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</row>
    <row r="846" ht="26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</row>
    <row r="847" ht="26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</row>
    <row r="848" ht="26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</row>
    <row r="849" ht="26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</row>
    <row r="850" ht="26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</row>
    <row r="851" ht="26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</row>
    <row r="852" ht="26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</row>
    <row r="853" ht="26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</row>
    <row r="854" ht="26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</row>
    <row r="855" ht="26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</row>
    <row r="856" ht="26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</row>
    <row r="857" ht="26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</row>
    <row r="858" ht="26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</row>
    <row r="859" ht="26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</row>
    <row r="860" ht="26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</row>
    <row r="861" ht="26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</row>
    <row r="862" ht="26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</row>
    <row r="863" ht="26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</row>
    <row r="864" ht="26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</row>
    <row r="865" ht="26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</row>
    <row r="866" ht="26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</row>
    <row r="867" ht="26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</row>
    <row r="868" ht="26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</row>
    <row r="869" ht="26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</row>
    <row r="870" ht="26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</row>
    <row r="871" ht="26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</row>
    <row r="872" ht="26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</row>
    <row r="873" ht="26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</row>
    <row r="874" ht="26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</row>
    <row r="875" ht="26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</row>
    <row r="876" ht="26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</row>
    <row r="877" ht="26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</row>
    <row r="878" ht="26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</row>
    <row r="879" ht="26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</row>
    <row r="880" ht="26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</row>
    <row r="881" ht="26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</row>
    <row r="882" ht="26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</row>
    <row r="883" ht="26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</row>
    <row r="884" ht="26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</row>
    <row r="885" ht="26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</row>
    <row r="886" ht="26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</row>
    <row r="887" ht="26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</row>
    <row r="888" ht="26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</row>
    <row r="889" ht="26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</row>
    <row r="890" ht="26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</row>
    <row r="891" ht="26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</row>
    <row r="892" ht="26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</row>
    <row r="893" ht="26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</row>
    <row r="894" ht="26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</row>
    <row r="895" ht="26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</row>
    <row r="896" ht="26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</row>
    <row r="897" ht="26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</row>
    <row r="898" ht="26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</row>
    <row r="899" ht="26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</row>
    <row r="900" ht="26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</row>
    <row r="901" ht="26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</row>
    <row r="902" ht="26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</row>
    <row r="903" ht="26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</row>
    <row r="904" ht="26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</row>
    <row r="905" ht="26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</row>
    <row r="906" ht="26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</row>
    <row r="907" ht="26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</row>
    <row r="908" ht="26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</row>
    <row r="909" ht="26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</row>
    <row r="910" ht="26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</row>
    <row r="911" ht="26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</row>
    <row r="912" ht="26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</row>
    <row r="913" ht="26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</row>
    <row r="914" ht="26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</row>
    <row r="915" ht="26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</row>
    <row r="916" ht="26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</row>
    <row r="917" ht="26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</row>
    <row r="918" ht="26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</row>
    <row r="919" ht="26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</row>
    <row r="920" ht="26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</row>
    <row r="921" ht="26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</row>
    <row r="922" ht="26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</row>
    <row r="923" ht="26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</row>
    <row r="924" ht="26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</row>
    <row r="925" ht="26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</row>
    <row r="926" ht="26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</row>
    <row r="927" ht="26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</row>
    <row r="928" ht="26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</row>
    <row r="929" ht="26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</row>
    <row r="930" ht="26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</row>
    <row r="931" ht="26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</row>
    <row r="932" ht="26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</row>
    <row r="933" ht="26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</row>
    <row r="934" ht="26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</row>
    <row r="935" ht="26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</row>
    <row r="936" ht="26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</row>
    <row r="937" ht="26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</row>
    <row r="938" ht="26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</row>
    <row r="939" ht="26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</row>
    <row r="940" ht="26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</row>
    <row r="941" ht="26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</row>
    <row r="942" ht="26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</row>
    <row r="943" ht="26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</row>
    <row r="944" ht="26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</row>
    <row r="945" ht="26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</row>
    <row r="946" ht="26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</row>
    <row r="947" ht="26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</row>
    <row r="948" ht="26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</row>
    <row r="949" ht="26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</row>
    <row r="950" ht="26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</row>
    <row r="951" ht="26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</row>
    <row r="952" ht="26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</row>
    <row r="953" ht="26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</row>
    <row r="954" ht="26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</row>
    <row r="955" ht="26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</row>
    <row r="956" ht="26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</row>
    <row r="957" ht="26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</row>
    <row r="958" ht="26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</row>
    <row r="959" ht="26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</row>
    <row r="960" ht="26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</row>
    <row r="961" ht="26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</row>
    <row r="962" ht="26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</row>
    <row r="963" ht="26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</row>
    <row r="964" ht="26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</row>
    <row r="965" ht="26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</row>
    <row r="966" ht="26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</row>
    <row r="967" ht="26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</row>
    <row r="968" ht="26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</row>
    <row r="969" ht="26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</row>
    <row r="970" ht="26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</row>
    <row r="971" ht="26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</row>
    <row r="972" ht="26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</row>
    <row r="973" ht="26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</row>
    <row r="974" ht="26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</row>
    <row r="975" ht="26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</row>
    <row r="976" ht="26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</row>
    <row r="977" ht="26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</row>
    <row r="978" ht="26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</row>
    <row r="979" ht="26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</row>
    <row r="980" ht="26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</row>
    <row r="981" ht="26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</row>
    <row r="982" ht="26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</row>
    <row r="983" ht="26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</row>
    <row r="984" ht="26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</row>
    <row r="985" ht="26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</row>
    <row r="986" ht="26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</row>
    <row r="987" ht="26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</row>
    <row r="988" ht="26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</row>
    <row r="989" ht="26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</row>
    <row r="990" ht="26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</row>
    <row r="991" ht="26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</row>
    <row r="992" ht="26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</row>
    <row r="993" ht="26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</row>
    <row r="994" ht="26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</row>
    <row r="995" ht="26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</row>
    <row r="996" ht="26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I88"/>
    <hyperlink r:id="rId88" ref="N88"/>
    <hyperlink r:id="rId89" ref="I89"/>
    <hyperlink r:id="rId90" ref="N89"/>
    <hyperlink r:id="rId91" ref="N90"/>
    <hyperlink r:id="rId92" ref="N91"/>
    <hyperlink r:id="rId93" ref="N92"/>
    <hyperlink r:id="rId94" ref="N93"/>
    <hyperlink r:id="rId95" ref="N94"/>
    <hyperlink r:id="rId96" ref="N95"/>
    <hyperlink r:id="rId97" ref="N96"/>
    <hyperlink r:id="rId98" ref="N97"/>
    <hyperlink r:id="rId99" ref="N98"/>
    <hyperlink r:id="rId100" ref="N99"/>
    <hyperlink r:id="rId101" ref="N100"/>
    <hyperlink r:id="rId102" ref="N101"/>
    <hyperlink r:id="rId103" ref="N102"/>
    <hyperlink r:id="rId104" ref="N103"/>
    <hyperlink r:id="rId105" ref="N104"/>
    <hyperlink r:id="rId106" ref="N105"/>
    <hyperlink r:id="rId107" ref="N106"/>
    <hyperlink r:id="rId108" ref="N107"/>
    <hyperlink r:id="rId109" ref="N108"/>
    <hyperlink r:id="rId110" ref="N109"/>
    <hyperlink r:id="rId111" ref="N110"/>
    <hyperlink r:id="rId112" ref="N111"/>
    <hyperlink r:id="rId113" ref="N112"/>
    <hyperlink r:id="rId114" ref="N113"/>
    <hyperlink r:id="rId115" ref="N114"/>
    <hyperlink r:id="rId116" ref="N115"/>
    <hyperlink r:id="rId117" ref="N116"/>
    <hyperlink r:id="rId118" ref="N117"/>
    <hyperlink r:id="rId119" ref="N118"/>
    <hyperlink r:id="rId120" ref="N119"/>
    <hyperlink r:id="rId121" ref="N120"/>
    <hyperlink r:id="rId122" ref="N121"/>
    <hyperlink r:id="rId123" ref="N122"/>
    <hyperlink r:id="rId124" ref="N123"/>
    <hyperlink r:id="rId125" ref="N124"/>
    <hyperlink r:id="rId126" ref="N125"/>
    <hyperlink r:id="rId127" ref="N126"/>
    <hyperlink r:id="rId128" ref="N127"/>
    <hyperlink r:id="rId129" ref="N128"/>
    <hyperlink r:id="rId130" ref="N129"/>
    <hyperlink r:id="rId131" ref="N130"/>
    <hyperlink r:id="rId132" ref="N131"/>
    <hyperlink r:id="rId133" ref="N132"/>
    <hyperlink r:id="rId134" ref="N133"/>
    <hyperlink r:id="rId135" ref="N134"/>
    <hyperlink r:id="rId136" ref="N135"/>
    <hyperlink r:id="rId137" ref="N136"/>
    <hyperlink r:id="rId138" ref="N137"/>
    <hyperlink r:id="rId139" ref="N138"/>
    <hyperlink r:id="rId140" ref="N139"/>
    <hyperlink r:id="rId141" ref="N140"/>
    <hyperlink r:id="rId142" ref="N141"/>
    <hyperlink r:id="rId143" ref="N142"/>
    <hyperlink r:id="rId144" ref="N143"/>
    <hyperlink r:id="rId145" ref="N144"/>
    <hyperlink r:id="rId146" ref="N145"/>
    <hyperlink r:id="rId147" ref="N146"/>
    <hyperlink r:id="rId148" ref="N147"/>
  </hyperlinks>
  <drawing r:id="rId14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13.88"/>
    <col customWidth="1" min="3" max="3" width="15.63"/>
    <col customWidth="1" min="4" max="4" width="56.13"/>
    <col customWidth="1" min="5" max="5" width="33.13"/>
    <col customWidth="1" min="6" max="6" width="14.38"/>
    <col customWidth="1" min="7" max="7" width="11.63"/>
    <col customWidth="1" min="8" max="8" width="10.75"/>
    <col customWidth="1" min="9" max="9" width="7.88"/>
    <col customWidth="1" min="10" max="10" width="64.25"/>
    <col customWidth="1" min="11" max="11" width="17.63"/>
    <col customWidth="1" min="12" max="12" width="23.88"/>
    <col customWidth="1" min="13" max="13" width="28.25"/>
    <col customWidth="1" min="14" max="14" width="12.63"/>
  </cols>
  <sheetData>
    <row r="1" ht="33.0" customHeight="1">
      <c r="A1" s="116" t="s">
        <v>30</v>
      </c>
      <c r="B1" s="116" t="s">
        <v>31</v>
      </c>
      <c r="C1" s="116" t="s">
        <v>73</v>
      </c>
      <c r="D1" s="116" t="s">
        <v>83</v>
      </c>
      <c r="E1" s="116" t="s">
        <v>5279</v>
      </c>
      <c r="F1" s="116" t="s">
        <v>85</v>
      </c>
      <c r="G1" s="116" t="s">
        <v>60</v>
      </c>
      <c r="H1" s="116" t="s">
        <v>61</v>
      </c>
      <c r="I1" s="116" t="s">
        <v>86</v>
      </c>
      <c r="J1" s="116" t="s">
        <v>5280</v>
      </c>
      <c r="K1" s="18" t="s">
        <v>29</v>
      </c>
      <c r="L1" s="17" t="s">
        <v>1</v>
      </c>
      <c r="M1" s="18" t="s">
        <v>118</v>
      </c>
      <c r="N1" s="18" t="s">
        <v>119</v>
      </c>
      <c r="O1" s="12"/>
      <c r="P1" s="12"/>
      <c r="Q1" s="12"/>
      <c r="R1" s="12"/>
      <c r="S1" s="12"/>
      <c r="T1" s="12"/>
      <c r="U1" s="12"/>
      <c r="V1" s="12"/>
      <c r="W1" s="12"/>
      <c r="X1" s="12"/>
    </row>
    <row r="2" ht="33.0" customHeight="1">
      <c r="A2" s="74" t="str">
        <f>IFERROR(__xludf.DUMMYFUNCTION("QUERY(MasterData!A1:NK11797,""select BW,BX,BZ,CA,CB,CC,CD,CE,CF,CG,B,C,FL,FM where C='S6: Student NPTEL'"",0)"),"Bogapurapu Rahul")</f>
        <v>Bogapurapu Rahul</v>
      </c>
      <c r="B2" s="74" t="str">
        <f>IFERROR(__xludf.DUMMYFUNCTION("""COMPUTED_VALUE"""),"18331A0516")</f>
        <v>18331A0516</v>
      </c>
      <c r="C2" s="74" t="str">
        <f>IFERROR(__xludf.DUMMYFUNCTION("""COMPUTED_VALUE"""),"2021-2022")</f>
        <v>2021-2022</v>
      </c>
      <c r="D2" s="74" t="str">
        <f>IFERROR(__xludf.DUMMYFUNCTION("""COMPUTED_VALUE"""),"Soft Skills")</f>
        <v>Soft Skills</v>
      </c>
      <c r="E2" s="74" t="str">
        <f>IFERROR(__xludf.DUMMYFUNCTION("""COMPUTED_VALUE"""),"NPTEL")</f>
        <v>NPTEL</v>
      </c>
      <c r="F2" s="74" t="str">
        <f>IFERROR(__xludf.DUMMYFUNCTION("""COMPUTED_VALUE"""),"12 Weeks")</f>
        <v>12 Weeks</v>
      </c>
      <c r="G2" s="91">
        <f>IFERROR(__xludf.DUMMYFUNCTION("""COMPUTED_VALUE"""),44444.0)</f>
        <v>44444</v>
      </c>
      <c r="H2" s="91">
        <f>IFERROR(__xludf.DUMMYFUNCTION("""COMPUTED_VALUE"""),44535.0)</f>
        <v>44535</v>
      </c>
      <c r="I2" s="74">
        <f>IFERROR(__xludf.DUMMYFUNCTION("""COMPUTED_VALUE"""),62.0)</f>
        <v>62</v>
      </c>
      <c r="J2" s="80" t="str">
        <f>IFERROR(__xludf.DUMMYFUNCTION("""COMPUTED_VALUE"""),"https://drive.google.com/open?id=1piWHs3Y2Ya4_4oUq9AiKaWdJA4SIpaiH")</f>
        <v>https://drive.google.com/open?id=1piWHs3Y2Ya4_4oUq9AiKaWdJA4SIpaiH</v>
      </c>
      <c r="K2" s="74" t="str">
        <f>IFERROR(__xludf.DUMMYFUNCTION("""COMPUTED_VALUE"""),"2018-2022")</f>
        <v>2018-2022</v>
      </c>
      <c r="L2" s="74" t="str">
        <f>IFERROR(__xludf.DUMMYFUNCTION("""COMPUTED_VALUE"""),"S6: Student NPTEL")</f>
        <v>S6: Student NPTEL</v>
      </c>
      <c r="M2" s="74" t="str">
        <f>IFERROR(__xludf.DUMMYFUNCTION("""COMPUTED_VALUE"""),"rrahul94772@gmail.com")</f>
        <v>rrahul94772@gmail.com</v>
      </c>
      <c r="N2" s="74" t="str">
        <f>IFERROR(__xludf.DUMMYFUNCTION("""COMPUTED_VALUE"""),"SEM-8")</f>
        <v>SEM-8</v>
      </c>
      <c r="O2" s="74"/>
      <c r="P2" s="74"/>
      <c r="Q2" s="74"/>
      <c r="R2" s="74"/>
      <c r="S2" s="74"/>
      <c r="T2" s="74"/>
      <c r="U2" s="74"/>
      <c r="V2" s="74"/>
      <c r="W2" s="74"/>
      <c r="X2" s="74"/>
    </row>
    <row r="3" ht="33.0" customHeight="1">
      <c r="A3" s="74" t="str">
        <f>IFERROR(__xludf.DUMMYFUNCTION("""COMPUTED_VALUE"""),"L.Kavya")</f>
        <v>L.Kavya</v>
      </c>
      <c r="B3" s="74" t="str">
        <f>IFERROR(__xludf.DUMMYFUNCTION("""COMPUTED_VALUE"""),"18331A0585")</f>
        <v>18331A0585</v>
      </c>
      <c r="C3" s="74" t="str">
        <f>IFERROR(__xludf.DUMMYFUNCTION("""COMPUTED_VALUE"""),"2020-2021")</f>
        <v>2020-2021</v>
      </c>
      <c r="D3" s="74" t="str">
        <f>IFERROR(__xludf.DUMMYFUNCTION("""COMPUTED_VALUE"""),"Soft Skills")</f>
        <v>Soft Skills</v>
      </c>
      <c r="E3" s="74" t="str">
        <f>IFERROR(__xludf.DUMMYFUNCTION("""COMPUTED_VALUE"""),"NPTEL")</f>
        <v>NPTEL</v>
      </c>
      <c r="F3" s="74" t="str">
        <f>IFERROR(__xludf.DUMMYFUNCTION("""COMPUTED_VALUE"""),"12 weeks")</f>
        <v>12 weeks</v>
      </c>
      <c r="G3" s="91">
        <f>IFERROR(__xludf.DUMMYFUNCTION("""COMPUTED_VALUE"""),44089.0)</f>
        <v>44089</v>
      </c>
      <c r="H3" s="91">
        <f>IFERROR(__xludf.DUMMYFUNCTION("""COMPUTED_VALUE"""),44190.0)</f>
        <v>44190</v>
      </c>
      <c r="I3" s="74">
        <f>IFERROR(__xludf.DUMMYFUNCTION("""COMPUTED_VALUE"""),63.0)</f>
        <v>63</v>
      </c>
      <c r="J3" s="80" t="str">
        <f>IFERROR(__xludf.DUMMYFUNCTION("""COMPUTED_VALUE"""),"https://drive.google.com/open?id=10hLmuCevcj4rym65LtXH_pBpFzZsdz2h")</f>
        <v>https://drive.google.com/open?id=10hLmuCevcj4rym65LtXH_pBpFzZsdz2h</v>
      </c>
      <c r="K3" s="74" t="str">
        <f>IFERROR(__xludf.DUMMYFUNCTION("""COMPUTED_VALUE"""),"2018-2022")</f>
        <v>2018-2022</v>
      </c>
      <c r="L3" s="74" t="str">
        <f>IFERROR(__xludf.DUMMYFUNCTION("""COMPUTED_VALUE"""),"S6: Student NPTEL")</f>
        <v>S6: Student NPTEL</v>
      </c>
      <c r="M3" s="74" t="str">
        <f>IFERROR(__xludf.DUMMYFUNCTION("""COMPUTED_VALUE"""),"lakhanapuramkavya@gmail.com")</f>
        <v>lakhanapuramkavya@gmail.com</v>
      </c>
      <c r="N3" s="74" t="str">
        <f>IFERROR(__xludf.DUMMYFUNCTION("""COMPUTED_VALUE"""),"SEM-8")</f>
        <v>SEM-8</v>
      </c>
      <c r="O3" s="74"/>
      <c r="P3" s="74"/>
      <c r="Q3" s="74"/>
      <c r="R3" s="74"/>
      <c r="S3" s="74"/>
      <c r="T3" s="74"/>
      <c r="U3" s="74"/>
      <c r="V3" s="74"/>
      <c r="W3" s="74"/>
      <c r="X3" s="74"/>
    </row>
    <row r="4" ht="33.0" customHeight="1">
      <c r="A4" s="74" t="str">
        <f>IFERROR(__xludf.DUMMYFUNCTION("""COMPUTED_VALUE"""),"LATCHUBUKTHA SUTESH")</f>
        <v>LATCHUBUKTHA SUTESH</v>
      </c>
      <c r="B4" s="74" t="str">
        <f>IFERROR(__xludf.DUMMYFUNCTION("""COMPUTED_VALUE"""),"18331A0588")</f>
        <v>18331A0588</v>
      </c>
      <c r="C4" s="74" t="str">
        <f>IFERROR(__xludf.DUMMYFUNCTION("""COMPUTED_VALUE"""),"2019-2020")</f>
        <v>2019-2020</v>
      </c>
      <c r="D4" s="74" t="str">
        <f>IFERROR(__xludf.DUMMYFUNCTION("""COMPUTED_VALUE"""),"Programming in C")</f>
        <v>Programming in C</v>
      </c>
      <c r="E4" s="74" t="str">
        <f>IFERROR(__xludf.DUMMYFUNCTION("""COMPUTED_VALUE"""),"NPTEL")</f>
        <v>NPTEL</v>
      </c>
      <c r="F4" s="74" t="str">
        <f>IFERROR(__xludf.DUMMYFUNCTION("""COMPUTED_VALUE"""),"8 weeks")</f>
        <v>8 weeks</v>
      </c>
      <c r="G4" s="91">
        <f>IFERROR(__xludf.DUMMYFUNCTION("""COMPUTED_VALUE"""),43647.0)</f>
        <v>43647</v>
      </c>
      <c r="H4" s="91">
        <f>IFERROR(__xludf.DUMMYFUNCTION("""COMPUTED_VALUE"""),43709.0)</f>
        <v>43709</v>
      </c>
      <c r="I4" s="74">
        <f>IFERROR(__xludf.DUMMYFUNCTION("""COMPUTED_VALUE"""),84.0)</f>
        <v>84</v>
      </c>
      <c r="J4" s="80" t="str">
        <f>IFERROR(__xludf.DUMMYFUNCTION("""COMPUTED_VALUE"""),"https://drive.google.com/open?id=1Rv0duWK5org1VQf4Lv2k64_LZkKBgSPi")</f>
        <v>https://drive.google.com/open?id=1Rv0duWK5org1VQf4Lv2k64_LZkKBgSPi</v>
      </c>
      <c r="K4" s="74" t="str">
        <f>IFERROR(__xludf.DUMMYFUNCTION("""COMPUTED_VALUE"""),"2018-2022")</f>
        <v>2018-2022</v>
      </c>
      <c r="L4" s="74" t="str">
        <f>IFERROR(__xludf.DUMMYFUNCTION("""COMPUTED_VALUE"""),"S6: Student NPTEL")</f>
        <v>S6: Student NPTEL</v>
      </c>
      <c r="M4" s="74" t="str">
        <f>IFERROR(__xludf.DUMMYFUNCTION("""COMPUTED_VALUE"""),"latchubukthasutesh9@gmail.com")</f>
        <v>latchubukthasutesh9@gmail.com</v>
      </c>
      <c r="N4" s="74" t="str">
        <f>IFERROR(__xludf.DUMMYFUNCTION("""COMPUTED_VALUE"""),"SEM-3")</f>
        <v>SEM-3</v>
      </c>
      <c r="O4" s="74"/>
      <c r="P4" s="74"/>
      <c r="Q4" s="74"/>
      <c r="R4" s="74"/>
      <c r="S4" s="74"/>
      <c r="T4" s="74"/>
      <c r="U4" s="74"/>
      <c r="V4" s="74"/>
      <c r="W4" s="74"/>
      <c r="X4" s="74"/>
    </row>
    <row r="5" ht="33.0" customHeight="1">
      <c r="A5" s="74" t="str">
        <f>IFERROR(__xludf.DUMMYFUNCTION("""COMPUTED_VALUE"""),"LATCHUBUKTHA SUTESH")</f>
        <v>LATCHUBUKTHA SUTESH</v>
      </c>
      <c r="B5" s="74" t="str">
        <f>IFERROR(__xludf.DUMMYFUNCTION("""COMPUTED_VALUE"""),"18331A0588")</f>
        <v>18331A0588</v>
      </c>
      <c r="C5" s="74" t="str">
        <f>IFERROR(__xludf.DUMMYFUNCTION("""COMPUTED_VALUE"""),"2019-2020")</f>
        <v>2019-2020</v>
      </c>
      <c r="D5" s="74" t="str">
        <f>IFERROR(__xludf.DUMMYFUNCTION("""COMPUTED_VALUE"""),"Programming in java")</f>
        <v>Programming in java</v>
      </c>
      <c r="E5" s="74" t="str">
        <f>IFERROR(__xludf.DUMMYFUNCTION("""COMPUTED_VALUE"""),"NPTEL")</f>
        <v>NPTEL</v>
      </c>
      <c r="F5" s="74" t="str">
        <f>IFERROR(__xludf.DUMMYFUNCTION("""COMPUTED_VALUE"""),"12 weeks")</f>
        <v>12 weeks</v>
      </c>
      <c r="G5" s="91">
        <f>IFERROR(__xludf.DUMMYFUNCTION("""COMPUTED_VALUE"""),43831.0)</f>
        <v>43831</v>
      </c>
      <c r="H5" s="91">
        <f>IFERROR(__xludf.DUMMYFUNCTION("""COMPUTED_VALUE"""),43921.0)</f>
        <v>43921</v>
      </c>
      <c r="I5" s="74">
        <f>IFERROR(__xludf.DUMMYFUNCTION("""COMPUTED_VALUE"""),96.0)</f>
        <v>96</v>
      </c>
      <c r="J5" s="80" t="str">
        <f>IFERROR(__xludf.DUMMYFUNCTION("""COMPUTED_VALUE"""),"https://drive.google.com/open?id=1Ljw76TOEBELwkGryhr8VqCI-2coBs_iX")</f>
        <v>https://drive.google.com/open?id=1Ljw76TOEBELwkGryhr8VqCI-2coBs_iX</v>
      </c>
      <c r="K5" s="74" t="str">
        <f>IFERROR(__xludf.DUMMYFUNCTION("""COMPUTED_VALUE"""),"2018-2022")</f>
        <v>2018-2022</v>
      </c>
      <c r="L5" s="74" t="str">
        <f>IFERROR(__xludf.DUMMYFUNCTION("""COMPUTED_VALUE"""),"S6: Student NPTEL")</f>
        <v>S6: Student NPTEL</v>
      </c>
      <c r="M5" s="74" t="str">
        <f>IFERROR(__xludf.DUMMYFUNCTION("""COMPUTED_VALUE"""),"latchubukthasutesh9@gmail.com")</f>
        <v>latchubukthasutesh9@gmail.com</v>
      </c>
      <c r="N5" s="74" t="str">
        <f>IFERROR(__xludf.DUMMYFUNCTION("""COMPUTED_VALUE"""),"SEM-4")</f>
        <v>SEM-4</v>
      </c>
      <c r="O5" s="74"/>
      <c r="P5" s="74"/>
      <c r="Q5" s="74"/>
      <c r="R5" s="74"/>
      <c r="S5" s="74"/>
      <c r="T5" s="74"/>
      <c r="U5" s="74"/>
      <c r="V5" s="74"/>
      <c r="W5" s="74"/>
      <c r="X5" s="74"/>
    </row>
    <row r="6" ht="33.0" customHeight="1">
      <c r="A6" s="74" t="str">
        <f>IFERROR(__xludf.DUMMYFUNCTION("""COMPUTED_VALUE"""),"Yuvaraj Chowdary Ratnala")</f>
        <v>Yuvaraj Chowdary Ratnala</v>
      </c>
      <c r="B6" s="74" t="str">
        <f>IFERROR(__xludf.DUMMYFUNCTION("""COMPUTED_VALUE"""),"18331A05C3")</f>
        <v>18331A05C3</v>
      </c>
      <c r="C6" s="74" t="str">
        <f>IFERROR(__xludf.DUMMYFUNCTION("""COMPUTED_VALUE"""),"2019-2020")</f>
        <v>2019-2020</v>
      </c>
      <c r="D6" s="74" t="str">
        <f>IFERROR(__xludf.DUMMYFUNCTION("""COMPUTED_VALUE"""),"Joy of Computing using Python")</f>
        <v>Joy of Computing using Python</v>
      </c>
      <c r="E6" s="74" t="str">
        <f>IFERROR(__xludf.DUMMYFUNCTION("""COMPUTED_VALUE"""),"NPTEL")</f>
        <v>NPTEL</v>
      </c>
      <c r="F6" s="74" t="str">
        <f>IFERROR(__xludf.DUMMYFUNCTION("""COMPUTED_VALUE"""),"12 weeks")</f>
        <v>12 weeks</v>
      </c>
      <c r="G6" s="91">
        <f>IFERROR(__xludf.DUMMYFUNCTION("""COMPUTED_VALUE"""),44075.0)</f>
        <v>44075</v>
      </c>
      <c r="H6" s="91">
        <f>IFERROR(__xludf.DUMMYFUNCTION("""COMPUTED_VALUE"""),44196.0)</f>
        <v>44196</v>
      </c>
      <c r="I6" s="74">
        <f>IFERROR(__xludf.DUMMYFUNCTION("""COMPUTED_VALUE"""),89.0)</f>
        <v>89</v>
      </c>
      <c r="J6" s="80" t="str">
        <f>IFERROR(__xludf.DUMMYFUNCTION("""COMPUTED_VALUE"""),"https://drive.google.com/open?id=1tzckmNokaVHGruMN6Hc_EC3u6-od9oOJ")</f>
        <v>https://drive.google.com/open?id=1tzckmNokaVHGruMN6Hc_EC3u6-od9oOJ</v>
      </c>
      <c r="K6" s="74" t="str">
        <f>IFERROR(__xludf.DUMMYFUNCTION("""COMPUTED_VALUE"""),"2018-2022")</f>
        <v>2018-2022</v>
      </c>
      <c r="L6" s="74" t="str">
        <f>IFERROR(__xludf.DUMMYFUNCTION("""COMPUTED_VALUE"""),"S6: Student NPTEL")</f>
        <v>S6: Student NPTEL</v>
      </c>
      <c r="M6" s="74" t="str">
        <f>IFERROR(__xludf.DUMMYFUNCTION("""COMPUTED_VALUE"""),"18331A05C3@mvgrce.edu.in")</f>
        <v>18331A05C3@mvgrce.edu.in</v>
      </c>
      <c r="N6" s="74" t="str">
        <f>IFERROR(__xludf.DUMMYFUNCTION("""COMPUTED_VALUE"""),"SEM-8")</f>
        <v>SEM-8</v>
      </c>
      <c r="O6" s="74"/>
      <c r="P6" s="74"/>
      <c r="Q6" s="74"/>
      <c r="R6" s="74"/>
      <c r="S6" s="74"/>
      <c r="T6" s="74"/>
      <c r="U6" s="74"/>
      <c r="V6" s="74"/>
      <c r="W6" s="74"/>
      <c r="X6" s="74"/>
    </row>
    <row r="7" ht="33.0" customHeight="1">
      <c r="A7" s="74" t="str">
        <f>IFERROR(__xludf.DUMMYFUNCTION("""COMPUTED_VALUE"""),"Yuvaraj Chowdary Ratnala")</f>
        <v>Yuvaraj Chowdary Ratnala</v>
      </c>
      <c r="B7" s="74" t="str">
        <f>IFERROR(__xludf.DUMMYFUNCTION("""COMPUTED_VALUE"""),"18331A05C3")</f>
        <v>18331A05C3</v>
      </c>
      <c r="C7" s="74" t="str">
        <f>IFERROR(__xludf.DUMMYFUNCTION("""COMPUTED_VALUE"""),"2019-2020")</f>
        <v>2019-2020</v>
      </c>
      <c r="D7" s="74" t="str">
        <f>IFERROR(__xludf.DUMMYFUNCTION("""COMPUTED_VALUE"""),"Biology for Engineers and other Non-biologists")</f>
        <v>Biology for Engineers and other Non-biologists</v>
      </c>
      <c r="E7" s="74" t="str">
        <f>IFERROR(__xludf.DUMMYFUNCTION("""COMPUTED_VALUE"""),"NPTEL")</f>
        <v>NPTEL</v>
      </c>
      <c r="F7" s="74" t="str">
        <f>IFERROR(__xludf.DUMMYFUNCTION("""COMPUTED_VALUE"""),"4 weeks")</f>
        <v>4 weeks</v>
      </c>
      <c r="G7" s="91">
        <f>IFERROR(__xludf.DUMMYFUNCTION("""COMPUTED_VALUE"""),43647.0)</f>
        <v>43647</v>
      </c>
      <c r="H7" s="91">
        <f>IFERROR(__xludf.DUMMYFUNCTION("""COMPUTED_VALUE"""),43678.0)</f>
        <v>43678</v>
      </c>
      <c r="I7" s="74">
        <f>IFERROR(__xludf.DUMMYFUNCTION("""COMPUTED_VALUE"""),79.0)</f>
        <v>79</v>
      </c>
      <c r="J7" s="80" t="str">
        <f>IFERROR(__xludf.DUMMYFUNCTION("""COMPUTED_VALUE"""),"https://drive.google.com/open?id=1rNKTlVQ1Mg-UyM2vSMSBZCEV7h0azLbL")</f>
        <v>https://drive.google.com/open?id=1rNKTlVQ1Mg-UyM2vSMSBZCEV7h0azLbL</v>
      </c>
      <c r="K7" s="74" t="str">
        <f>IFERROR(__xludf.DUMMYFUNCTION("""COMPUTED_VALUE"""),"2018-2022")</f>
        <v>2018-2022</v>
      </c>
      <c r="L7" s="74" t="str">
        <f>IFERROR(__xludf.DUMMYFUNCTION("""COMPUTED_VALUE"""),"S6: Student NPTEL")</f>
        <v>S6: Student NPTEL</v>
      </c>
      <c r="M7" s="74" t="str">
        <f>IFERROR(__xludf.DUMMYFUNCTION("""COMPUTED_VALUE"""),"18331A05C3@mvgrce.edu.in")</f>
        <v>18331A05C3@mvgrce.edu.in</v>
      </c>
      <c r="N7" s="74" t="str">
        <f>IFERROR(__xludf.DUMMYFUNCTION("""COMPUTED_VALUE"""),"SEM-8")</f>
        <v>SEM-8</v>
      </c>
      <c r="O7" s="74"/>
      <c r="P7" s="74"/>
      <c r="Q7" s="74"/>
      <c r="R7" s="74"/>
      <c r="S7" s="74"/>
      <c r="T7" s="74"/>
      <c r="U7" s="74"/>
      <c r="V7" s="74"/>
      <c r="W7" s="74"/>
      <c r="X7" s="74"/>
    </row>
    <row r="8" ht="33.0" customHeight="1">
      <c r="A8" s="74" t="str">
        <f>IFERROR(__xludf.DUMMYFUNCTION("""COMPUTED_VALUE"""),"Kusuma Patnaik Murahari")</f>
        <v>Kusuma Patnaik Murahari</v>
      </c>
      <c r="B8" s="74" t="str">
        <f>IFERROR(__xludf.DUMMYFUNCTION("""COMPUTED_VALUE"""),"18331A0584")</f>
        <v>18331A0584</v>
      </c>
      <c r="C8" s="74" t="str">
        <f>IFERROR(__xludf.DUMMYFUNCTION("""COMPUTED_VALUE"""),"2019-2020")</f>
        <v>2019-2020</v>
      </c>
      <c r="D8" s="74" t="str">
        <f>IFERROR(__xludf.DUMMYFUNCTION("""COMPUTED_VALUE"""),"Developing Soft Skills and Personality")</f>
        <v>Developing Soft Skills and Personality</v>
      </c>
      <c r="E8" s="74" t="str">
        <f>IFERROR(__xludf.DUMMYFUNCTION("""COMPUTED_VALUE"""),"NPTEL")</f>
        <v>NPTEL</v>
      </c>
      <c r="F8" s="74" t="str">
        <f>IFERROR(__xludf.DUMMYFUNCTION("""COMPUTED_VALUE"""),"2 months")</f>
        <v>2 months</v>
      </c>
      <c r="G8" s="91">
        <f>IFERROR(__xludf.DUMMYFUNCTION("""COMPUTED_VALUE"""),43678.0)</f>
        <v>43678</v>
      </c>
      <c r="H8" s="91">
        <f>IFERROR(__xludf.DUMMYFUNCTION("""COMPUTED_VALUE"""),43739.0)</f>
        <v>43739</v>
      </c>
      <c r="I8" s="74">
        <f>IFERROR(__xludf.DUMMYFUNCTION("""COMPUTED_VALUE"""),90.0)</f>
        <v>90</v>
      </c>
      <c r="J8" s="80" t="str">
        <f>IFERROR(__xludf.DUMMYFUNCTION("""COMPUTED_VALUE"""),"https://drive.google.com/open?id=1mGpPuvf5TuUWPtLTJqcAplQbHfswZDei")</f>
        <v>https://drive.google.com/open?id=1mGpPuvf5TuUWPtLTJqcAplQbHfswZDei</v>
      </c>
      <c r="K8" s="74" t="str">
        <f>IFERROR(__xludf.DUMMYFUNCTION("""COMPUTED_VALUE"""),"2018-2022")</f>
        <v>2018-2022</v>
      </c>
      <c r="L8" s="74" t="str">
        <f>IFERROR(__xludf.DUMMYFUNCTION("""COMPUTED_VALUE"""),"S6: Student NPTEL")</f>
        <v>S6: Student NPTEL</v>
      </c>
      <c r="M8" s="74" t="str">
        <f>IFERROR(__xludf.DUMMYFUNCTION("""COMPUTED_VALUE"""),"muraharikusum2000@gmail.com")</f>
        <v>muraharikusum2000@gmail.com</v>
      </c>
      <c r="N8" s="74" t="str">
        <f>IFERROR(__xludf.DUMMYFUNCTION("""COMPUTED_VALUE"""),"SEM-8")</f>
        <v>SEM-8</v>
      </c>
      <c r="O8" s="74"/>
      <c r="P8" s="74"/>
      <c r="Q8" s="74"/>
      <c r="R8" s="74"/>
      <c r="S8" s="74"/>
      <c r="T8" s="74"/>
      <c r="U8" s="74"/>
      <c r="V8" s="74"/>
      <c r="W8" s="74"/>
      <c r="X8" s="74"/>
    </row>
    <row r="9" ht="33.0" customHeight="1">
      <c r="A9" s="74" t="str">
        <f>IFERROR(__xludf.DUMMYFUNCTION("""COMPUTED_VALUE"""),"UMANANDAN SAGAR CHUKKA")</f>
        <v>UMANANDAN SAGAR CHUKKA</v>
      </c>
      <c r="B9" s="74" t="str">
        <f>IFERROR(__xludf.DUMMYFUNCTION("""COMPUTED_VALUE"""),"18331A05G1")</f>
        <v>18331A05G1</v>
      </c>
      <c r="C9" s="74" t="str">
        <f>IFERROR(__xludf.DUMMYFUNCTION("""COMPUTED_VALUE"""),"2019-2020")</f>
        <v>2019-2020</v>
      </c>
      <c r="D9" s="74" t="str">
        <f>IFERROR(__xludf.DUMMYFUNCTION("""COMPUTED_VALUE"""),"THE JOY OF COMPUTING WITH PYTHON")</f>
        <v>THE JOY OF COMPUTING WITH PYTHON</v>
      </c>
      <c r="E9" s="74" t="str">
        <f>IFERROR(__xludf.DUMMYFUNCTION("""COMPUTED_VALUE"""),"SWAYAM")</f>
        <v>SWAYAM</v>
      </c>
      <c r="F9" s="74" t="str">
        <f>IFERROR(__xludf.DUMMYFUNCTION("""COMPUTED_VALUE"""),"12 week")</f>
        <v>12 week</v>
      </c>
      <c r="G9" s="91">
        <f>IFERROR(__xludf.DUMMYFUNCTION("""COMPUTED_VALUE"""),44750.0)</f>
        <v>44750</v>
      </c>
      <c r="H9" s="91">
        <f>IFERROR(__xludf.DUMMYFUNCTION("""COMPUTED_VALUE"""),44843.0)</f>
        <v>44843</v>
      </c>
      <c r="I9" s="74">
        <f>IFERROR(__xludf.DUMMYFUNCTION("""COMPUTED_VALUE"""),87.0)</f>
        <v>87</v>
      </c>
      <c r="J9" s="80" t="str">
        <f>IFERROR(__xludf.DUMMYFUNCTION("""COMPUTED_VALUE"""),"https://drive.google.com/open?id=16HY80oc6HtCuuvj5JewUNCelUtFbxbkg")</f>
        <v>https://drive.google.com/open?id=16HY80oc6HtCuuvj5JewUNCelUtFbxbkg</v>
      </c>
      <c r="K9" s="74" t="str">
        <f>IFERROR(__xludf.DUMMYFUNCTION("""COMPUTED_VALUE"""),"2018-2022")</f>
        <v>2018-2022</v>
      </c>
      <c r="L9" s="74" t="str">
        <f>IFERROR(__xludf.DUMMYFUNCTION("""COMPUTED_VALUE"""),"S6: Student NPTEL")</f>
        <v>S6: Student NPTEL</v>
      </c>
      <c r="M9" s="74" t="str">
        <f>IFERROR(__xludf.DUMMYFUNCTION("""COMPUTED_VALUE"""),"cusagar@gmail.com")</f>
        <v>cusagar@gmail.com</v>
      </c>
      <c r="N9" s="74" t="str">
        <f>IFERROR(__xludf.DUMMYFUNCTION("""COMPUTED_VALUE"""),"SEM-8")</f>
        <v>SEM-8</v>
      </c>
      <c r="O9" s="74"/>
      <c r="P9" s="74"/>
      <c r="Q9" s="74"/>
      <c r="R9" s="74"/>
      <c r="S9" s="74"/>
      <c r="T9" s="74"/>
      <c r="U9" s="74"/>
      <c r="V9" s="74"/>
      <c r="W9" s="74"/>
      <c r="X9" s="74"/>
    </row>
    <row r="10" ht="33.0" customHeight="1">
      <c r="A10" s="74" t="str">
        <f>IFERROR(__xludf.DUMMYFUNCTION("""COMPUTED_VALUE"""),"Penumatcha sai vamsi krishna varma")</f>
        <v>Penumatcha sai vamsi krishna varma</v>
      </c>
      <c r="B10" s="74" t="str">
        <f>IFERROR(__xludf.DUMMYFUNCTION("""COMPUTED_VALUE"""),"18331A05B9")</f>
        <v>18331A05B9</v>
      </c>
      <c r="C10" s="74" t="str">
        <f>IFERROR(__xludf.DUMMYFUNCTION("""COMPUTED_VALUE"""),"2020-2021")</f>
        <v>2020-2021</v>
      </c>
      <c r="D10" s="74" t="str">
        <f>IFERROR(__xludf.DUMMYFUNCTION("""COMPUTED_VALUE"""),"The joy of computing python")</f>
        <v>The joy of computing python</v>
      </c>
      <c r="E10" s="74" t="str">
        <f>IFERROR(__xludf.DUMMYFUNCTION("""COMPUTED_VALUE"""),"Nptel")</f>
        <v>Nptel</v>
      </c>
      <c r="F10" s="74" t="str">
        <f>IFERROR(__xludf.DUMMYFUNCTION("""COMPUTED_VALUE"""),"12 weeks")</f>
        <v>12 weeks</v>
      </c>
      <c r="G10" s="91">
        <f>IFERROR(__xludf.DUMMYFUNCTION("""COMPUTED_VALUE"""),44201.0)</f>
        <v>44201</v>
      </c>
      <c r="H10" s="91">
        <f>IFERROR(__xludf.DUMMYFUNCTION("""COMPUTED_VALUE"""),44656.0)</f>
        <v>44656</v>
      </c>
      <c r="I10" s="74">
        <f>IFERROR(__xludf.DUMMYFUNCTION("""COMPUTED_VALUE"""),70.0)</f>
        <v>70</v>
      </c>
      <c r="J10" s="80" t="str">
        <f>IFERROR(__xludf.DUMMYFUNCTION("""COMPUTED_VALUE"""),"https://drive.google.com/open?id=1cxNgSdtZCgxXJy14XYM9W6ctcNxeemck")</f>
        <v>https://drive.google.com/open?id=1cxNgSdtZCgxXJy14XYM9W6ctcNxeemck</v>
      </c>
      <c r="K10" s="74" t="str">
        <f>IFERROR(__xludf.DUMMYFUNCTION("""COMPUTED_VALUE"""),"2018-2022")</f>
        <v>2018-2022</v>
      </c>
      <c r="L10" s="74" t="str">
        <f>IFERROR(__xludf.DUMMYFUNCTION("""COMPUTED_VALUE"""),"S6: Student NPTEL")</f>
        <v>S6: Student NPTEL</v>
      </c>
      <c r="M10" s="74" t="str">
        <f>IFERROR(__xludf.DUMMYFUNCTION("""COMPUTED_VALUE"""),"varmavamsi38@gmail.com")</f>
        <v>varmavamsi38@gmail.com</v>
      </c>
      <c r="N10" s="74" t="str">
        <f>IFERROR(__xludf.DUMMYFUNCTION("""COMPUTED_VALUE"""),"SEM-4")</f>
        <v>SEM-4</v>
      </c>
      <c r="O10" s="74"/>
      <c r="P10" s="74"/>
      <c r="Q10" s="74"/>
      <c r="R10" s="74"/>
      <c r="S10" s="74"/>
      <c r="T10" s="74"/>
      <c r="U10" s="74"/>
      <c r="V10" s="74"/>
      <c r="W10" s="74"/>
      <c r="X10" s="74"/>
    </row>
    <row r="11" ht="33.0" customHeight="1">
      <c r="A11" s="74" t="str">
        <f>IFERROR(__xludf.DUMMYFUNCTION("""COMPUTED_VALUE""")," BUDIDI SURYA SAI MAHESWAR")</f>
        <v> BUDIDI SURYA SAI MAHESWAR</v>
      </c>
      <c r="B11" s="74" t="str">
        <f>IFERROR(__xludf.DUMMYFUNCTION("""COMPUTED_VALUE"""),"18331A0521")</f>
        <v>18331A0521</v>
      </c>
      <c r="C11" s="74" t="str">
        <f>IFERROR(__xludf.DUMMYFUNCTION("""COMPUTED_VALUE"""),"2020-2021")</f>
        <v>2020-2021</v>
      </c>
      <c r="D11" s="74" t="str">
        <f>IFERROR(__xludf.DUMMYFUNCTION("""COMPUTED_VALUE"""),"The joy of computing using python")</f>
        <v>The joy of computing using python</v>
      </c>
      <c r="E11" s="74" t="str">
        <f>IFERROR(__xludf.DUMMYFUNCTION("""COMPUTED_VALUE"""),"NPTEL")</f>
        <v>NPTEL</v>
      </c>
      <c r="F11" s="74" t="str">
        <f>IFERROR(__xludf.DUMMYFUNCTION("""COMPUTED_VALUE"""),"3 MONTHS")</f>
        <v>3 MONTHS</v>
      </c>
      <c r="G11" s="91">
        <f>IFERROR(__xludf.DUMMYFUNCTION("""COMPUTED_VALUE"""),44203.0)</f>
        <v>44203</v>
      </c>
      <c r="H11" s="91">
        <f>IFERROR(__xludf.DUMMYFUNCTION("""COMPUTED_VALUE"""),44293.0)</f>
        <v>44293</v>
      </c>
      <c r="I11" s="74">
        <f>IFERROR(__xludf.DUMMYFUNCTION("""COMPUTED_VALUE"""),78.0)</f>
        <v>78</v>
      </c>
      <c r="J11" s="80" t="str">
        <f>IFERROR(__xludf.DUMMYFUNCTION("""COMPUTED_VALUE"""),"https://drive.google.com/open?id=1SWhau6BZsYrQW2m8wvGigOczG7S684k8")</f>
        <v>https://drive.google.com/open?id=1SWhau6BZsYrQW2m8wvGigOczG7S684k8</v>
      </c>
      <c r="K11" s="74" t="str">
        <f>IFERROR(__xludf.DUMMYFUNCTION("""COMPUTED_VALUE"""),"2018-2022")</f>
        <v>2018-2022</v>
      </c>
      <c r="L11" s="74" t="str">
        <f>IFERROR(__xludf.DUMMYFUNCTION("""COMPUTED_VALUE"""),"S6: Student NPTEL")</f>
        <v>S6: Student NPTEL</v>
      </c>
      <c r="M11" s="74" t="str">
        <f>IFERROR(__xludf.DUMMYFUNCTION("""COMPUTED_VALUE"""),"suryamahesh2000@gmail.com")</f>
        <v>suryamahesh2000@gmail.com</v>
      </c>
      <c r="N11" s="74" t="str">
        <f>IFERROR(__xludf.DUMMYFUNCTION("""COMPUTED_VALUE"""),"SEM-5")</f>
        <v>SEM-5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</row>
    <row r="12" ht="33.0" customHeight="1">
      <c r="A12" s="74" t="str">
        <f>IFERROR(__xludf.DUMMYFUNCTION("""COMPUTED_VALUE"""),"Telaprolu Anusha")</f>
        <v>Telaprolu Anusha</v>
      </c>
      <c r="B12" s="74" t="str">
        <f>IFERROR(__xludf.DUMMYFUNCTION("""COMPUTED_VALUE"""),"18331A05F3")</f>
        <v>18331A05F3</v>
      </c>
      <c r="C12" s="74" t="str">
        <f>IFERROR(__xludf.DUMMYFUNCTION("""COMPUTED_VALUE"""),"2021-2022")</f>
        <v>2021-2022</v>
      </c>
      <c r="D12" s="74" t="str">
        <f>IFERROR(__xludf.DUMMYFUNCTION("""COMPUTED_VALUE"""),"DEVELOPING SOFT SKILLS AND PERSONALITY")</f>
        <v>DEVELOPING SOFT SKILLS AND PERSONALITY</v>
      </c>
      <c r="E12" s="74" t="str">
        <f>IFERROR(__xludf.DUMMYFUNCTION("""COMPUTED_VALUE"""),"NPTEL")</f>
        <v>NPTEL</v>
      </c>
      <c r="F12" s="74" t="str">
        <f>IFERROR(__xludf.DUMMYFUNCTION("""COMPUTED_VALUE"""),"18 WEEKS")</f>
        <v>18 WEEKS</v>
      </c>
      <c r="G12" s="91">
        <f>IFERROR(__xludf.DUMMYFUNCTION("""COMPUTED_VALUE"""),43687.0)</f>
        <v>43687</v>
      </c>
      <c r="H12" s="91">
        <f>IFERROR(__xludf.DUMMYFUNCTION("""COMPUTED_VALUE"""),43748.0)</f>
        <v>43748</v>
      </c>
      <c r="I12" s="74">
        <f>IFERROR(__xludf.DUMMYFUNCTION("""COMPUTED_VALUE"""),78.0)</f>
        <v>78</v>
      </c>
      <c r="J12" s="80" t="str">
        <f>IFERROR(__xludf.DUMMYFUNCTION("""COMPUTED_VALUE"""),"https://drive.google.com/open?id=10ICl2iGnFmohHhEghsK1kCY2vbKE3S4V")</f>
        <v>https://drive.google.com/open?id=10ICl2iGnFmohHhEghsK1kCY2vbKE3S4V</v>
      </c>
      <c r="K12" s="74" t="str">
        <f>IFERROR(__xludf.DUMMYFUNCTION("""COMPUTED_VALUE"""),"2018-2022")</f>
        <v>2018-2022</v>
      </c>
      <c r="L12" s="74" t="str">
        <f>IFERROR(__xludf.DUMMYFUNCTION("""COMPUTED_VALUE"""),"S6: Student NPTEL")</f>
        <v>S6: Student NPTEL</v>
      </c>
      <c r="M12" s="74" t="str">
        <f>IFERROR(__xludf.DUMMYFUNCTION("""COMPUTED_VALUE"""),"anushatelaprolu04@gmail.com")</f>
        <v>anushatelaprolu04@gmail.com</v>
      </c>
      <c r="N12" s="74" t="str">
        <f>IFERROR(__xludf.DUMMYFUNCTION("""COMPUTED_VALUE"""),"SEM-8")</f>
        <v>SEM-8</v>
      </c>
      <c r="O12" s="74"/>
      <c r="P12" s="74"/>
      <c r="Q12" s="74"/>
      <c r="R12" s="74"/>
      <c r="S12" s="74"/>
      <c r="T12" s="74"/>
      <c r="U12" s="74"/>
      <c r="V12" s="74"/>
      <c r="W12" s="74"/>
      <c r="X12" s="74"/>
    </row>
    <row r="13" ht="33.0" customHeight="1">
      <c r="A13" s="74" t="str">
        <f>IFERROR(__xludf.DUMMYFUNCTION("""COMPUTED_VALUE"""),"Telaprolu Anusha")</f>
        <v>Telaprolu Anusha</v>
      </c>
      <c r="B13" s="74" t="str">
        <f>IFERROR(__xludf.DUMMYFUNCTION("""COMPUTED_VALUE"""),"18331A05F3")</f>
        <v>18331A05F3</v>
      </c>
      <c r="C13" s="74" t="str">
        <f>IFERROR(__xludf.DUMMYFUNCTION("""COMPUTED_VALUE"""),"2021-2022")</f>
        <v>2021-2022</v>
      </c>
      <c r="D13" s="74" t="str">
        <f>IFERROR(__xludf.DUMMYFUNCTION("""COMPUTED_VALUE"""),"DATABASE MANAGEMENT SYSTEM")</f>
        <v>DATABASE MANAGEMENT SYSTEM</v>
      </c>
      <c r="E13" s="74" t="str">
        <f>IFERROR(__xludf.DUMMYFUNCTION("""COMPUTED_VALUE"""),"NPTEL")</f>
        <v>NPTEL</v>
      </c>
      <c r="F13" s="74" t="str">
        <f>IFERROR(__xludf.DUMMYFUNCTION("""COMPUTED_VALUE"""),"8 weeks")</f>
        <v>8 weeks</v>
      </c>
      <c r="G13" s="91">
        <f>IFERROR(__xludf.DUMMYFUNCTION("""COMPUTED_VALUE"""),43849.0)</f>
        <v>43849</v>
      </c>
      <c r="H13" s="91">
        <f>IFERROR(__xludf.DUMMYFUNCTION("""COMPUTED_VALUE"""),43909.0)</f>
        <v>43909</v>
      </c>
      <c r="I13" s="74">
        <f>IFERROR(__xludf.DUMMYFUNCTION("""COMPUTED_VALUE"""),90.0)</f>
        <v>90</v>
      </c>
      <c r="J13" s="80" t="str">
        <f>IFERROR(__xludf.DUMMYFUNCTION("""COMPUTED_VALUE"""),"https://drive.google.com/open?id=1CgkJja-xS0LqyyIfSu4y9kgIUYuvt0gx")</f>
        <v>https://drive.google.com/open?id=1CgkJja-xS0LqyyIfSu4y9kgIUYuvt0gx</v>
      </c>
      <c r="K13" s="74" t="str">
        <f>IFERROR(__xludf.DUMMYFUNCTION("""COMPUTED_VALUE"""),"2018-2022")</f>
        <v>2018-2022</v>
      </c>
      <c r="L13" s="74" t="str">
        <f>IFERROR(__xludf.DUMMYFUNCTION("""COMPUTED_VALUE"""),"S6: Student NPTEL")</f>
        <v>S6: Student NPTEL</v>
      </c>
      <c r="M13" s="74" t="str">
        <f>IFERROR(__xludf.DUMMYFUNCTION("""COMPUTED_VALUE"""),"anushatelaprolu04@gmail.com")</f>
        <v>anushatelaprolu04@gmail.com</v>
      </c>
      <c r="N13" s="74" t="str">
        <f>IFERROR(__xludf.DUMMYFUNCTION("""COMPUTED_VALUE"""),"SEM-8")</f>
        <v>SEM-8</v>
      </c>
      <c r="O13" s="74"/>
      <c r="P13" s="74"/>
      <c r="Q13" s="74"/>
      <c r="R13" s="74"/>
      <c r="S13" s="74"/>
      <c r="T13" s="74"/>
      <c r="U13" s="74"/>
      <c r="V13" s="74"/>
      <c r="W13" s="74"/>
      <c r="X13" s="74"/>
    </row>
    <row r="14" ht="33.0" customHeight="1">
      <c r="A14" s="74" t="str">
        <f>IFERROR(__xludf.DUMMYFUNCTION("""COMPUTED_VALUE"""),"Telaprolu Anusha")</f>
        <v>Telaprolu Anusha</v>
      </c>
      <c r="B14" s="74" t="str">
        <f>IFERROR(__xludf.DUMMYFUNCTION("""COMPUTED_VALUE"""),"18331A05F3")</f>
        <v>18331A05F3</v>
      </c>
      <c r="C14" s="74" t="str">
        <f>IFERROR(__xludf.DUMMYFUNCTION("""COMPUTED_VALUE"""),"2021-2022")</f>
        <v>2021-2022</v>
      </c>
      <c r="D14" s="74" t="str">
        <f>IFERROR(__xludf.DUMMYFUNCTION("""COMPUTED_VALUE"""),"PROGRAMMING IN JAVA")</f>
        <v>PROGRAMMING IN JAVA</v>
      </c>
      <c r="E14" s="74" t="str">
        <f>IFERROR(__xludf.DUMMYFUNCTION("""COMPUTED_VALUE"""),"NPTEL")</f>
        <v>NPTEL</v>
      </c>
      <c r="F14" s="74" t="str">
        <f>IFERROR(__xludf.DUMMYFUNCTION("""COMPUTED_VALUE"""),"12 WEEKS")</f>
        <v>12 WEEKS</v>
      </c>
      <c r="G14" s="91">
        <f>IFERROR(__xludf.DUMMYFUNCTION("""COMPUTED_VALUE"""),43848.0)</f>
        <v>43848</v>
      </c>
      <c r="H14" s="91">
        <f>IFERROR(__xludf.DUMMYFUNCTION("""COMPUTED_VALUE"""),43939.0)</f>
        <v>43939</v>
      </c>
      <c r="I14" s="74">
        <f>IFERROR(__xludf.DUMMYFUNCTION("""COMPUTED_VALUE"""),100.0)</f>
        <v>100</v>
      </c>
      <c r="J14" s="80" t="str">
        <f>IFERROR(__xludf.DUMMYFUNCTION("""COMPUTED_VALUE"""),"https://drive.google.com/open?id=1ZG1YYMjQ4TXCkBaoZqizj2_VmRSfoIKO")</f>
        <v>https://drive.google.com/open?id=1ZG1YYMjQ4TXCkBaoZqizj2_VmRSfoIKO</v>
      </c>
      <c r="K14" s="74" t="str">
        <f>IFERROR(__xludf.DUMMYFUNCTION("""COMPUTED_VALUE"""),"2018-2022")</f>
        <v>2018-2022</v>
      </c>
      <c r="L14" s="74" t="str">
        <f>IFERROR(__xludf.DUMMYFUNCTION("""COMPUTED_VALUE"""),"S6: Student NPTEL")</f>
        <v>S6: Student NPTEL</v>
      </c>
      <c r="M14" s="74" t="str">
        <f>IFERROR(__xludf.DUMMYFUNCTION("""COMPUTED_VALUE"""),"anushatelaprolu04@gmail.com")</f>
        <v>anushatelaprolu04@gmail.com</v>
      </c>
      <c r="N14" s="74" t="str">
        <f>IFERROR(__xludf.DUMMYFUNCTION("""COMPUTED_VALUE"""),"SEM-8")</f>
        <v>SEM-8</v>
      </c>
      <c r="O14" s="74"/>
      <c r="P14" s="74"/>
      <c r="Q14" s="74"/>
      <c r="R14" s="74"/>
      <c r="S14" s="74"/>
      <c r="T14" s="74"/>
      <c r="U14" s="74"/>
      <c r="V14" s="74"/>
      <c r="W14" s="74"/>
      <c r="X14" s="74"/>
    </row>
    <row r="15" ht="33.0" customHeight="1">
      <c r="A15" s="74" t="str">
        <f>IFERROR(__xludf.DUMMYFUNCTION("""COMPUTED_VALUE"""),"Telaprolu Anusha")</f>
        <v>Telaprolu Anusha</v>
      </c>
      <c r="B15" s="74" t="str">
        <f>IFERROR(__xludf.DUMMYFUNCTION("""COMPUTED_VALUE"""),"18331A05F3")</f>
        <v>18331A05F3</v>
      </c>
      <c r="C15" s="74" t="str">
        <f>IFERROR(__xludf.DUMMYFUNCTION("""COMPUTED_VALUE"""),"2021-2022")</f>
        <v>2021-2022</v>
      </c>
      <c r="D15" s="74" t="str">
        <f>IFERROR(__xludf.DUMMYFUNCTION("""COMPUTED_VALUE"""),"THE JOY OF COMPUTING USING PYTHON")</f>
        <v>THE JOY OF COMPUTING USING PYTHON</v>
      </c>
      <c r="E15" s="74" t="str">
        <f>IFERROR(__xludf.DUMMYFUNCTION("""COMPUTED_VALUE"""),"NPTEL")</f>
        <v>NPTEL</v>
      </c>
      <c r="F15" s="74" t="str">
        <f>IFERROR(__xludf.DUMMYFUNCTION("""COMPUTED_VALUE"""),"12 WEEKS")</f>
        <v>12 WEEKS</v>
      </c>
      <c r="G15" s="91">
        <f>IFERROR(__xludf.DUMMYFUNCTION("""COMPUTED_VALUE"""),43653.0)</f>
        <v>43653</v>
      </c>
      <c r="H15" s="91">
        <f>IFERROR(__xludf.DUMMYFUNCTION("""COMPUTED_VALUE"""),43743.0)</f>
        <v>43743</v>
      </c>
      <c r="I15" s="74">
        <f>IFERROR(__xludf.DUMMYFUNCTION("""COMPUTED_VALUE"""),80.0)</f>
        <v>80</v>
      </c>
      <c r="J15" s="80" t="str">
        <f>IFERROR(__xludf.DUMMYFUNCTION("""COMPUTED_VALUE"""),"https://drive.google.com/open?id=1TA671kxGBe6lEKNctxZgT38P8oIqNMJb")</f>
        <v>https://drive.google.com/open?id=1TA671kxGBe6lEKNctxZgT38P8oIqNMJb</v>
      </c>
      <c r="K15" s="74" t="str">
        <f>IFERROR(__xludf.DUMMYFUNCTION("""COMPUTED_VALUE"""),"2018-2022")</f>
        <v>2018-2022</v>
      </c>
      <c r="L15" s="74" t="str">
        <f>IFERROR(__xludf.DUMMYFUNCTION("""COMPUTED_VALUE"""),"S6: Student NPTEL")</f>
        <v>S6: Student NPTEL</v>
      </c>
      <c r="M15" s="74" t="str">
        <f>IFERROR(__xludf.DUMMYFUNCTION("""COMPUTED_VALUE"""),"anushatelaprolu04@gmail.com")</f>
        <v>anushatelaprolu04@gmail.com</v>
      </c>
      <c r="N15" s="74" t="str">
        <f>IFERROR(__xludf.DUMMYFUNCTION("""COMPUTED_VALUE"""),"SEM-8")</f>
        <v>SEM-8</v>
      </c>
      <c r="O15" s="74"/>
      <c r="P15" s="74"/>
      <c r="Q15" s="74"/>
      <c r="R15" s="74"/>
      <c r="S15" s="74"/>
      <c r="T15" s="74"/>
      <c r="U15" s="74"/>
      <c r="V15" s="74"/>
      <c r="W15" s="74"/>
      <c r="X15" s="74"/>
    </row>
    <row r="16" ht="33.0" customHeight="1">
      <c r="A16" s="74" t="str">
        <f>IFERROR(__xludf.DUMMYFUNCTION("""COMPUTED_VALUE"""),"Gayatri Devi Datla")</f>
        <v>Gayatri Devi Datla</v>
      </c>
      <c r="B16" s="74" t="str">
        <f>IFERROR(__xludf.DUMMYFUNCTION("""COMPUTED_VALUE"""),"18331A0545")</f>
        <v>18331A0545</v>
      </c>
      <c r="C16" s="74" t="str">
        <f>IFERROR(__xludf.DUMMYFUNCTION("""COMPUTED_VALUE"""),"2021-2022")</f>
        <v>2021-2022</v>
      </c>
      <c r="D16" s="74" t="str">
        <f>IFERROR(__xludf.DUMMYFUNCTION("""COMPUTED_VALUE"""),"Development of softskills and personality ")</f>
        <v>Development of softskills and personality </v>
      </c>
      <c r="E16" s="74" t="str">
        <f>IFERROR(__xludf.DUMMYFUNCTION("""COMPUTED_VALUE"""),"Nptel")</f>
        <v>Nptel</v>
      </c>
      <c r="F16" s="74" t="str">
        <f>IFERROR(__xludf.DUMMYFUNCTION("""COMPUTED_VALUE"""),"8 weeks")</f>
        <v>8 weeks</v>
      </c>
      <c r="G16" s="91">
        <f>IFERROR(__xludf.DUMMYFUNCTION("""COMPUTED_VALUE"""),43685.0)</f>
        <v>43685</v>
      </c>
      <c r="H16" s="91">
        <f>IFERROR(__xludf.DUMMYFUNCTION("""COMPUTED_VALUE"""),43746.0)</f>
        <v>43746</v>
      </c>
      <c r="I16" s="74">
        <f>IFERROR(__xludf.DUMMYFUNCTION("""COMPUTED_VALUE"""),51.0)</f>
        <v>51</v>
      </c>
      <c r="J16" s="80" t="str">
        <f>IFERROR(__xludf.DUMMYFUNCTION("""COMPUTED_VALUE"""),"https://drive.google.com/open?id=1TUDXE9LzcTF8LfMkXxNqJqzwyfWVxVjM")</f>
        <v>https://drive.google.com/open?id=1TUDXE9LzcTF8LfMkXxNqJqzwyfWVxVjM</v>
      </c>
      <c r="K16" s="74" t="str">
        <f>IFERROR(__xludf.DUMMYFUNCTION("""COMPUTED_VALUE"""),"2018-2022")</f>
        <v>2018-2022</v>
      </c>
      <c r="L16" s="74" t="str">
        <f>IFERROR(__xludf.DUMMYFUNCTION("""COMPUTED_VALUE"""),"S6: Student NPTEL")</f>
        <v>S6: Student NPTEL</v>
      </c>
      <c r="M16" s="74" t="str">
        <f>IFERROR(__xludf.DUMMYFUNCTION("""COMPUTED_VALUE"""),"gayatridevidatla2001@gmail.com")</f>
        <v>gayatridevidatla2001@gmail.com</v>
      </c>
      <c r="N16" s="74" t="str">
        <f>IFERROR(__xludf.DUMMYFUNCTION("""COMPUTED_VALUE"""),"SEM-8")</f>
        <v>SEM-8</v>
      </c>
      <c r="O16" s="74"/>
      <c r="P16" s="74"/>
      <c r="Q16" s="74"/>
      <c r="R16" s="74"/>
      <c r="S16" s="74"/>
      <c r="T16" s="74"/>
      <c r="U16" s="74"/>
      <c r="V16" s="74"/>
      <c r="W16" s="74"/>
      <c r="X16" s="74"/>
    </row>
    <row r="17" ht="33.0" customHeight="1">
      <c r="A17" s="74" t="str">
        <f>IFERROR(__xludf.DUMMYFUNCTION("""COMPUTED_VALUE"""),"Gayatri Devi Datla")</f>
        <v>Gayatri Devi Datla</v>
      </c>
      <c r="B17" s="74" t="str">
        <f>IFERROR(__xludf.DUMMYFUNCTION("""COMPUTED_VALUE"""),"18331A0545")</f>
        <v>18331A0545</v>
      </c>
      <c r="C17" s="74" t="str">
        <f>IFERROR(__xludf.DUMMYFUNCTION("""COMPUTED_VALUE"""),"2021-2022")</f>
        <v>2021-2022</v>
      </c>
      <c r="D17" s="74" t="str">
        <f>IFERROR(__xludf.DUMMYFUNCTION("""COMPUTED_VALUE"""),"Softskills ")</f>
        <v>Softskills </v>
      </c>
      <c r="E17" s="74" t="str">
        <f>IFERROR(__xludf.DUMMYFUNCTION("""COMPUTED_VALUE"""),"Nptel")</f>
        <v>Nptel</v>
      </c>
      <c r="F17" s="74" t="str">
        <f>IFERROR(__xludf.DUMMYFUNCTION("""COMPUTED_VALUE"""),"12weeks")</f>
        <v>12weeks</v>
      </c>
      <c r="G17" s="91">
        <f>IFERROR(__xludf.DUMMYFUNCTION("""COMPUTED_VALUE"""),44088.0)</f>
        <v>44088</v>
      </c>
      <c r="H17" s="91">
        <f>IFERROR(__xludf.DUMMYFUNCTION("""COMPUTED_VALUE"""),44181.0)</f>
        <v>44181</v>
      </c>
      <c r="I17" s="74">
        <f>IFERROR(__xludf.DUMMYFUNCTION("""COMPUTED_VALUE"""),52.0)</f>
        <v>52</v>
      </c>
      <c r="J17" s="80" t="str">
        <f>IFERROR(__xludf.DUMMYFUNCTION("""COMPUTED_VALUE"""),"https://drive.google.com/open?id=1GYGDiZixLyORKX67jOnV6DN7WueVpLsm")</f>
        <v>https://drive.google.com/open?id=1GYGDiZixLyORKX67jOnV6DN7WueVpLsm</v>
      </c>
      <c r="K17" s="74" t="str">
        <f>IFERROR(__xludf.DUMMYFUNCTION("""COMPUTED_VALUE"""),"2018-2022")</f>
        <v>2018-2022</v>
      </c>
      <c r="L17" s="74" t="str">
        <f>IFERROR(__xludf.DUMMYFUNCTION("""COMPUTED_VALUE"""),"S6: Student NPTEL")</f>
        <v>S6: Student NPTEL</v>
      </c>
      <c r="M17" s="74" t="str">
        <f>IFERROR(__xludf.DUMMYFUNCTION("""COMPUTED_VALUE"""),"gayatridevidatla2001@gmail.com")</f>
        <v>gayatridevidatla2001@gmail.com</v>
      </c>
      <c r="N17" s="74" t="str">
        <f>IFERROR(__xludf.DUMMYFUNCTION("""COMPUTED_VALUE"""),"SEM-8")</f>
        <v>SEM-8</v>
      </c>
      <c r="O17" s="74"/>
      <c r="P17" s="74"/>
      <c r="Q17" s="74"/>
      <c r="R17" s="74"/>
      <c r="S17" s="74"/>
      <c r="T17" s="74"/>
      <c r="U17" s="74"/>
      <c r="V17" s="74"/>
      <c r="W17" s="74"/>
      <c r="X17" s="74"/>
    </row>
    <row r="18" ht="33.0" customHeight="1">
      <c r="A18" s="74" t="str">
        <f>IFERROR(__xludf.DUMMYFUNCTION("""COMPUTED_VALUE"""),"MUKHEE JYOTHSNA")</f>
        <v>MUKHEE JYOTHSNA</v>
      </c>
      <c r="B18" s="74" t="str">
        <f>IFERROR(__xludf.DUMMYFUNCTION("""COMPUTED_VALUE"""),"18331A05A2")</f>
        <v>18331A05A2</v>
      </c>
      <c r="C18" s="74" t="str">
        <f>IFERROR(__xludf.DUMMYFUNCTION("""COMPUTED_VALUE"""),"2021-2022")</f>
        <v>2021-2022</v>
      </c>
      <c r="D18" s="74" t="str">
        <f>IFERROR(__xludf.DUMMYFUNCTION("""COMPUTED_VALUE"""),"Introduction to Programming in C")</f>
        <v>Introduction to Programming in C</v>
      </c>
      <c r="E18" s="74" t="str">
        <f>IFERROR(__xludf.DUMMYFUNCTION("""COMPUTED_VALUE"""),"NPTEL")</f>
        <v>NPTEL</v>
      </c>
      <c r="F18" s="74" t="str">
        <f>IFERROR(__xludf.DUMMYFUNCTION("""COMPUTED_VALUE"""),"2 Months")</f>
        <v>2 Months</v>
      </c>
      <c r="G18" s="91">
        <f>IFERROR(__xludf.DUMMYFUNCTION("""COMPUTED_VALUE"""),43664.0)</f>
        <v>43664</v>
      </c>
      <c r="H18" s="91">
        <f>IFERROR(__xludf.DUMMYFUNCTION("""COMPUTED_VALUE"""),43717.0)</f>
        <v>43717</v>
      </c>
      <c r="I18" s="74">
        <f>IFERROR(__xludf.DUMMYFUNCTION("""COMPUTED_VALUE"""),77.0)</f>
        <v>77</v>
      </c>
      <c r="J18" s="80" t="str">
        <f>IFERROR(__xludf.DUMMYFUNCTION("""COMPUTED_VALUE"""),"https://drive.google.com/open?id=100ON6FXXFJQCTUfsWvvxEkja3pplX6TH")</f>
        <v>https://drive.google.com/open?id=100ON6FXXFJQCTUfsWvvxEkja3pplX6TH</v>
      </c>
      <c r="K18" s="74" t="str">
        <f>IFERROR(__xludf.DUMMYFUNCTION("""COMPUTED_VALUE"""),"2018-2022")</f>
        <v>2018-2022</v>
      </c>
      <c r="L18" s="74" t="str">
        <f>IFERROR(__xludf.DUMMYFUNCTION("""COMPUTED_VALUE"""),"S6: Student NPTEL")</f>
        <v>S6: Student NPTEL</v>
      </c>
      <c r="M18" s="74" t="str">
        <f>IFERROR(__xludf.DUMMYFUNCTION("""COMPUTED_VALUE"""),"jyothsnamukhee03@gmail.com")</f>
        <v>jyothsnamukhee03@gmail.com</v>
      </c>
      <c r="N18" s="74" t="str">
        <f>IFERROR(__xludf.DUMMYFUNCTION("""COMPUTED_VALUE"""),"SEM-8")</f>
        <v>SEM-8</v>
      </c>
      <c r="O18" s="74"/>
      <c r="P18" s="74"/>
      <c r="Q18" s="74"/>
      <c r="R18" s="74"/>
      <c r="S18" s="74"/>
      <c r="T18" s="74"/>
      <c r="U18" s="74"/>
      <c r="V18" s="74"/>
      <c r="W18" s="74"/>
      <c r="X18" s="74"/>
    </row>
    <row r="19" ht="33.0" customHeight="1">
      <c r="A19" s="74" t="str">
        <f>IFERROR(__xludf.DUMMYFUNCTION("""COMPUTED_VALUE"""),"Sai Yogesh Bhasuru")</f>
        <v>Sai Yogesh Bhasuru</v>
      </c>
      <c r="B19" s="74" t="str">
        <f>IFERROR(__xludf.DUMMYFUNCTION("""COMPUTED_VALUE"""),"18331A05D4")</f>
        <v>18331A05D4</v>
      </c>
      <c r="C19" s="74" t="str">
        <f>IFERROR(__xludf.DUMMYFUNCTION("""COMPUTED_VALUE"""),"2020-2021")</f>
        <v>2020-2021</v>
      </c>
      <c r="D19" s="74" t="str">
        <f>IFERROR(__xludf.DUMMYFUNCTION("""COMPUTED_VALUE"""),"Joy of Computing with Python")</f>
        <v>Joy of Computing with Python</v>
      </c>
      <c r="E19" s="74" t="str">
        <f>IFERROR(__xludf.DUMMYFUNCTION("""COMPUTED_VALUE"""),"NPTEL")</f>
        <v>NPTEL</v>
      </c>
      <c r="F19" s="74" t="str">
        <f>IFERROR(__xludf.DUMMYFUNCTION("""COMPUTED_VALUE"""),"3 Months")</f>
        <v>3 Months</v>
      </c>
      <c r="G19" s="91">
        <f>IFERROR(__xludf.DUMMYFUNCTION("""COMPUTED_VALUE"""),44216.0)</f>
        <v>44216</v>
      </c>
      <c r="H19" s="91">
        <f>IFERROR(__xludf.DUMMYFUNCTION("""COMPUTED_VALUE"""),44288.0)</f>
        <v>44288</v>
      </c>
      <c r="I19" s="74">
        <f>IFERROR(__xludf.DUMMYFUNCTION("""COMPUTED_VALUE"""),89.0)</f>
        <v>89</v>
      </c>
      <c r="J19" s="80" t="str">
        <f>IFERROR(__xludf.DUMMYFUNCTION("""COMPUTED_VALUE"""),"https://drive.google.com/open?id=1ycpGI9ww9o25WRe9xh6ExTvdOLI-e72k")</f>
        <v>https://drive.google.com/open?id=1ycpGI9ww9o25WRe9xh6ExTvdOLI-e72k</v>
      </c>
      <c r="K19" s="74" t="str">
        <f>IFERROR(__xludf.DUMMYFUNCTION("""COMPUTED_VALUE"""),"2018-2022")</f>
        <v>2018-2022</v>
      </c>
      <c r="L19" s="74" t="str">
        <f>IFERROR(__xludf.DUMMYFUNCTION("""COMPUTED_VALUE"""),"S6: Student NPTEL")</f>
        <v>S6: Student NPTEL</v>
      </c>
      <c r="M19" s="74" t="str">
        <f>IFERROR(__xludf.DUMMYFUNCTION("""COMPUTED_VALUE"""),"saiyogeshbhasuru16@gmail.com")</f>
        <v>saiyogeshbhasuru16@gmail.com</v>
      </c>
      <c r="N19" s="74" t="str">
        <f>IFERROR(__xludf.DUMMYFUNCTION("""COMPUTED_VALUE"""),"SEM-8")</f>
        <v>SEM-8</v>
      </c>
      <c r="O19" s="74"/>
      <c r="P19" s="74"/>
      <c r="Q19" s="74"/>
      <c r="R19" s="74"/>
      <c r="S19" s="74"/>
      <c r="T19" s="74"/>
      <c r="U19" s="74"/>
      <c r="V19" s="74"/>
      <c r="W19" s="74"/>
      <c r="X19" s="74"/>
    </row>
    <row r="20" ht="33.0" customHeight="1">
      <c r="A20" s="74" t="str">
        <f>IFERROR(__xludf.DUMMYFUNCTION("""COMPUTED_VALUE"""),"Gara Ranjeet kumar")</f>
        <v>Gara Ranjeet kumar</v>
      </c>
      <c r="B20" s="74" t="str">
        <f>IFERROR(__xludf.DUMMYFUNCTION("""COMPUTED_VALUE"""),"18331A0544")</f>
        <v>18331A0544</v>
      </c>
      <c r="C20" s="74" t="str">
        <f>IFERROR(__xludf.DUMMYFUNCTION("""COMPUTED_VALUE"""),"2018-2019")</f>
        <v>2018-2019</v>
      </c>
      <c r="D20" s="74" t="str">
        <f>IFERROR(__xludf.DUMMYFUNCTION("""COMPUTED_VALUE"""),"Introduction to programing in C")</f>
        <v>Introduction to programing in C</v>
      </c>
      <c r="E20" s="74" t="str">
        <f>IFERROR(__xludf.DUMMYFUNCTION("""COMPUTED_VALUE"""),"NPTEL")</f>
        <v>NPTEL</v>
      </c>
      <c r="F20" s="74" t="str">
        <f>IFERROR(__xludf.DUMMYFUNCTION("""COMPUTED_VALUE"""),"8 weeks")</f>
        <v>8 weeks</v>
      </c>
      <c r="G20" s="91">
        <f>IFERROR(__xludf.DUMMYFUNCTION("""COMPUTED_VALUE"""),43282.0)</f>
        <v>43282</v>
      </c>
      <c r="H20" s="91">
        <f>IFERROR(__xludf.DUMMYFUNCTION("""COMPUTED_VALUE"""),43342.0)</f>
        <v>43342</v>
      </c>
      <c r="I20" s="74">
        <f>IFERROR(__xludf.DUMMYFUNCTION("""COMPUTED_VALUE"""),40.0)</f>
        <v>40</v>
      </c>
      <c r="J20" s="80" t="str">
        <f>IFERROR(__xludf.DUMMYFUNCTION("""COMPUTED_VALUE"""),"https://drive.google.com/open?id=1g39anyffvpUh0R9NdOuTGXraa6W7E7g-")</f>
        <v>https://drive.google.com/open?id=1g39anyffvpUh0R9NdOuTGXraa6W7E7g-</v>
      </c>
      <c r="K20" s="74" t="str">
        <f>IFERROR(__xludf.DUMMYFUNCTION("""COMPUTED_VALUE"""),"2018-2022")</f>
        <v>2018-2022</v>
      </c>
      <c r="L20" s="74" t="str">
        <f>IFERROR(__xludf.DUMMYFUNCTION("""COMPUTED_VALUE"""),"S6: Student NPTEL")</f>
        <v>S6: Student NPTEL</v>
      </c>
      <c r="M20" s="74" t="str">
        <f>IFERROR(__xludf.DUMMYFUNCTION("""COMPUTED_VALUE"""),"ranjeetgara123@gmail.com")</f>
        <v>ranjeetgara123@gmail.com</v>
      </c>
      <c r="N20" s="74" t="str">
        <f>IFERROR(__xludf.DUMMYFUNCTION("""COMPUTED_VALUE"""),"SEM-1")</f>
        <v>SEM-1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</row>
    <row r="21" ht="33.0" customHeight="1">
      <c r="A21" s="74" t="str">
        <f>IFERROR(__xludf.DUMMYFUNCTION("""COMPUTED_VALUE"""),"Killana Gayatri Venkata Manikanta")</f>
        <v>Killana Gayatri Venkata Manikanta</v>
      </c>
      <c r="B21" s="74" t="str">
        <f>IFERROR(__xludf.DUMMYFUNCTION("""COMPUTED_VALUE"""),"18331A0576")</f>
        <v>18331A0576</v>
      </c>
      <c r="C21" s="74" t="str">
        <f>IFERROR(__xludf.DUMMYFUNCTION("""COMPUTED_VALUE"""),"2019-2020")</f>
        <v>2019-2020</v>
      </c>
      <c r="D21" s="74" t="str">
        <f>IFERROR(__xludf.DUMMYFUNCTION("""COMPUTED_VALUE"""),"C certitficate")</f>
        <v>C certitficate</v>
      </c>
      <c r="E21" s="74" t="str">
        <f>IFERROR(__xludf.DUMMYFUNCTION("""COMPUTED_VALUE"""),"NPTEL")</f>
        <v>NPTEL</v>
      </c>
      <c r="F21" s="74" t="str">
        <f>IFERROR(__xludf.DUMMYFUNCTION("""COMPUTED_VALUE"""),"2 months")</f>
        <v>2 months</v>
      </c>
      <c r="G21" s="91">
        <f>IFERROR(__xludf.DUMMYFUNCTION("""COMPUTED_VALUE"""),43657.0)</f>
        <v>43657</v>
      </c>
      <c r="H21" s="91">
        <f>IFERROR(__xludf.DUMMYFUNCTION("""COMPUTED_VALUE"""),43720.0)</f>
        <v>43720</v>
      </c>
      <c r="I21" s="74">
        <f>IFERROR(__xludf.DUMMYFUNCTION("""COMPUTED_VALUE"""),67.0)</f>
        <v>67</v>
      </c>
      <c r="J21" s="80" t="str">
        <f>IFERROR(__xludf.DUMMYFUNCTION("""COMPUTED_VALUE"""),"https://drive.google.com/open?id=1n51ksBrcJzu8FL6s0RaMBBoDHsOxzL4B")</f>
        <v>https://drive.google.com/open?id=1n51ksBrcJzu8FL6s0RaMBBoDHsOxzL4B</v>
      </c>
      <c r="K21" s="74" t="str">
        <f>IFERROR(__xludf.DUMMYFUNCTION("""COMPUTED_VALUE"""),"2018-2022")</f>
        <v>2018-2022</v>
      </c>
      <c r="L21" s="74" t="str">
        <f>IFERROR(__xludf.DUMMYFUNCTION("""COMPUTED_VALUE"""),"S6: Student NPTEL")</f>
        <v>S6: Student NPTEL</v>
      </c>
      <c r="M21" s="74" t="str">
        <f>IFERROR(__xludf.DUMMYFUNCTION("""COMPUTED_VALUE"""),"manikantakillana22@gmail.com")</f>
        <v>manikantakillana22@gmail.com</v>
      </c>
      <c r="N21" s="74" t="str">
        <f>IFERROR(__xludf.DUMMYFUNCTION("""COMPUTED_VALUE"""),"SEM-3")</f>
        <v>SEM-3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</row>
    <row r="22" ht="33.0" customHeight="1">
      <c r="A22" s="74" t="str">
        <f>IFERROR(__xludf.DUMMYFUNCTION("""COMPUTED_VALUE"""),"Jaswanth Vajrapu")</f>
        <v>Jaswanth Vajrapu</v>
      </c>
      <c r="B22" s="74" t="str">
        <f>IFERROR(__xludf.DUMMYFUNCTION("""COMPUTED_VALUE"""),"18331A05G5")</f>
        <v>18331A05G5</v>
      </c>
      <c r="C22" s="74" t="str">
        <f>IFERROR(__xludf.DUMMYFUNCTION("""COMPUTED_VALUE"""),"2019-2020")</f>
        <v>2019-2020</v>
      </c>
      <c r="D22" s="74" t="str">
        <f>IFERROR(__xludf.DUMMYFUNCTION("""COMPUTED_VALUE"""),"Problem Solving in C")</f>
        <v>Problem Solving in C</v>
      </c>
      <c r="E22" s="74" t="str">
        <f>IFERROR(__xludf.DUMMYFUNCTION("""COMPUTED_VALUE"""),"NPTEL")</f>
        <v>NPTEL</v>
      </c>
      <c r="F22" s="74" t="str">
        <f>IFERROR(__xludf.DUMMYFUNCTION("""COMPUTED_VALUE"""),"12 Weeks")</f>
        <v>12 Weeks</v>
      </c>
      <c r="G22" s="91">
        <f>IFERROR(__xludf.DUMMYFUNCTION("""COMPUTED_VALUE"""),43476.0)</f>
        <v>43476</v>
      </c>
      <c r="H22" s="91">
        <f>IFERROR(__xludf.DUMMYFUNCTION("""COMPUTED_VALUE"""),43566.0)</f>
        <v>43566</v>
      </c>
      <c r="I22" s="74">
        <f>IFERROR(__xludf.DUMMYFUNCTION("""COMPUTED_VALUE"""),73.0)</f>
        <v>73</v>
      </c>
      <c r="J22" s="80" t="str">
        <f>IFERROR(__xludf.DUMMYFUNCTION("""COMPUTED_VALUE"""),"https://drive.google.com/open?id=1Ge4SRokCJY04Io2zfoiUhLhrAKh00_Ga")</f>
        <v>https://drive.google.com/open?id=1Ge4SRokCJY04Io2zfoiUhLhrAKh00_Ga</v>
      </c>
      <c r="K22" s="74" t="str">
        <f>IFERROR(__xludf.DUMMYFUNCTION("""COMPUTED_VALUE"""),"2018-2022")</f>
        <v>2018-2022</v>
      </c>
      <c r="L22" s="74" t="str">
        <f>IFERROR(__xludf.DUMMYFUNCTION("""COMPUTED_VALUE"""),"S6: Student NPTEL")</f>
        <v>S6: Student NPTEL</v>
      </c>
      <c r="M22" s="74" t="str">
        <f>IFERROR(__xludf.DUMMYFUNCTION("""COMPUTED_VALUE"""),"jaswanth.vjp13@gmail.com")</f>
        <v>jaswanth.vjp13@gmail.com</v>
      </c>
      <c r="N22" s="74" t="str">
        <f>IFERROR(__xludf.DUMMYFUNCTION("""COMPUTED_VALUE"""),"SEM-3")</f>
        <v>SEM-3</v>
      </c>
      <c r="O22" s="74"/>
      <c r="P22" s="74"/>
      <c r="Q22" s="74"/>
      <c r="R22" s="74"/>
      <c r="S22" s="74"/>
      <c r="T22" s="74"/>
      <c r="U22" s="74"/>
      <c r="V22" s="74"/>
      <c r="W22" s="74"/>
      <c r="X22" s="74"/>
    </row>
    <row r="23" ht="33.0" customHeight="1">
      <c r="A23" s="74" t="str">
        <f>IFERROR(__xludf.DUMMYFUNCTION("""COMPUTED_VALUE"""),"Chaitra Mudili")</f>
        <v>Chaitra Mudili</v>
      </c>
      <c r="B23" s="74" t="str">
        <f>IFERROR(__xludf.DUMMYFUNCTION("""COMPUTED_VALUE"""),"18331A05A0")</f>
        <v>18331A05A0</v>
      </c>
      <c r="C23" s="74" t="str">
        <f>IFERROR(__xludf.DUMMYFUNCTION("""COMPUTED_VALUE"""),"2020-2021")</f>
        <v>2020-2021</v>
      </c>
      <c r="D23" s="74" t="str">
        <f>IFERROR(__xludf.DUMMYFUNCTION("""COMPUTED_VALUE"""),"Soft Skills")</f>
        <v>Soft Skills</v>
      </c>
      <c r="E23" s="74" t="str">
        <f>IFERROR(__xludf.DUMMYFUNCTION("""COMPUTED_VALUE"""),"NPTEL")</f>
        <v>NPTEL</v>
      </c>
      <c r="F23" s="74" t="str">
        <f>IFERROR(__xludf.DUMMYFUNCTION("""COMPUTED_VALUE"""),"12 weeks")</f>
        <v>12 weeks</v>
      </c>
      <c r="G23" s="91">
        <f>IFERROR(__xludf.DUMMYFUNCTION("""COMPUTED_VALUE"""),44075.0)</f>
        <v>44075</v>
      </c>
      <c r="H23" s="91">
        <f>IFERROR(__xludf.DUMMYFUNCTION("""COMPUTED_VALUE"""),44191.0)</f>
        <v>44191</v>
      </c>
      <c r="I23" s="74">
        <f>IFERROR(__xludf.DUMMYFUNCTION("""COMPUTED_VALUE"""),90.0)</f>
        <v>90</v>
      </c>
      <c r="J23" s="80" t="str">
        <f>IFERROR(__xludf.DUMMYFUNCTION("""COMPUTED_VALUE"""),"https://drive.google.com/open?id=1MifZlr4QTyfjCEJejPJbr5s190TAXprE")</f>
        <v>https://drive.google.com/open?id=1MifZlr4QTyfjCEJejPJbr5s190TAXprE</v>
      </c>
      <c r="K23" s="74" t="str">
        <f>IFERROR(__xludf.DUMMYFUNCTION("""COMPUTED_VALUE"""),"2018-2022")</f>
        <v>2018-2022</v>
      </c>
      <c r="L23" s="74" t="str">
        <f>IFERROR(__xludf.DUMMYFUNCTION("""COMPUTED_VALUE"""),"S6: Student NPTEL")</f>
        <v>S6: Student NPTEL</v>
      </c>
      <c r="M23" s="74" t="str">
        <f>IFERROR(__xludf.DUMMYFUNCTION("""COMPUTED_VALUE"""),"chaitra2026@gmail.com")</f>
        <v>chaitra2026@gmail.com</v>
      </c>
      <c r="N23" s="74" t="str">
        <f>IFERROR(__xludf.DUMMYFUNCTION("""COMPUTED_VALUE"""),"SEM-5")</f>
        <v>SEM-5</v>
      </c>
      <c r="O23" s="74"/>
      <c r="P23" s="74"/>
      <c r="Q23" s="74"/>
      <c r="R23" s="74"/>
      <c r="S23" s="74"/>
      <c r="T23" s="74"/>
      <c r="U23" s="74"/>
      <c r="V23" s="74"/>
      <c r="W23" s="74"/>
      <c r="X23" s="74"/>
    </row>
    <row r="24" ht="33.0" customHeight="1">
      <c r="A24" s="74" t="str">
        <f>IFERROR(__xludf.DUMMYFUNCTION("""COMPUTED_VALUE"""),"PECHETTI MOHAN SUBHA VARSHITH")</f>
        <v>PECHETTI MOHAN SUBHA VARSHITH</v>
      </c>
      <c r="B24" s="74" t="str">
        <f>IFERROR(__xludf.DUMMYFUNCTION("""COMPUTED_VALUE"""),"19331A05C7")</f>
        <v>19331A05C7</v>
      </c>
      <c r="C24" s="74" t="str">
        <f>IFERROR(__xludf.DUMMYFUNCTION("""COMPUTED_VALUE"""),"2019-2020")</f>
        <v>2019-2020</v>
      </c>
      <c r="D24" s="74" t="str">
        <f>IFERROR(__xludf.DUMMYFUNCTION("""COMPUTED_VALUE"""),"Problem solving through programming in C")</f>
        <v>Problem solving through programming in C</v>
      </c>
      <c r="E24" s="74" t="str">
        <f>IFERROR(__xludf.DUMMYFUNCTION("""COMPUTED_VALUE"""),"IIT KHARAGPUR")</f>
        <v>IIT KHARAGPUR</v>
      </c>
      <c r="F24" s="74" t="str">
        <f>IFERROR(__xludf.DUMMYFUNCTION("""COMPUTED_VALUE"""),"12 week")</f>
        <v>12 week</v>
      </c>
      <c r="G24" s="91">
        <f>IFERROR(__xludf.DUMMYFUNCTION("""COMPUTED_VALUE"""),44089.0)</f>
        <v>44089</v>
      </c>
      <c r="H24" s="91">
        <f>IFERROR(__xludf.DUMMYFUNCTION("""COMPUTED_VALUE"""),44185.0)</f>
        <v>44185</v>
      </c>
      <c r="I24" s="74">
        <f>IFERROR(__xludf.DUMMYFUNCTION("""COMPUTED_VALUE"""),67.0)</f>
        <v>67</v>
      </c>
      <c r="J24" s="80" t="str">
        <f>IFERROR(__xludf.DUMMYFUNCTION("""COMPUTED_VALUE"""),"https://drive.google.com/open?id=1LKm_U0qjTvt2Vy-2YOkd3oMmdR_6jwEV")</f>
        <v>https://drive.google.com/open?id=1LKm_U0qjTvt2Vy-2YOkd3oMmdR_6jwEV</v>
      </c>
      <c r="K24" s="74" t="str">
        <f>IFERROR(__xludf.DUMMYFUNCTION("""COMPUTED_VALUE"""),"2019-2023")</f>
        <v>2019-2023</v>
      </c>
      <c r="L24" s="74" t="str">
        <f>IFERROR(__xludf.DUMMYFUNCTION("""COMPUTED_VALUE"""),"S6: Student NPTEL")</f>
        <v>S6: Student NPTEL</v>
      </c>
      <c r="M24" s="74" t="str">
        <f>IFERROR(__xludf.DUMMYFUNCTION("""COMPUTED_VALUE"""),"subhavarshith@gmail.com")</f>
        <v>subhavarshith@gmail.com</v>
      </c>
      <c r="N24" s="74" t="str">
        <f>IFERROR(__xludf.DUMMYFUNCTION("""COMPUTED_VALUE"""),"SEM-6")</f>
        <v>SEM-6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</row>
    <row r="25" ht="33.0" customHeight="1">
      <c r="A25" s="74" t="str">
        <f>IFERROR(__xludf.DUMMYFUNCTION("""COMPUTED_VALUE"""),"PECHETTI MOHAN SUBHA VARSHITH")</f>
        <v>PECHETTI MOHAN SUBHA VARSHITH</v>
      </c>
      <c r="B25" s="74" t="str">
        <f>IFERROR(__xludf.DUMMYFUNCTION("""COMPUTED_VALUE"""),"19331A05C7")</f>
        <v>19331A05C7</v>
      </c>
      <c r="C25" s="74" t="str">
        <f>IFERROR(__xludf.DUMMYFUNCTION("""COMPUTED_VALUE"""),"2020-2021")</f>
        <v>2020-2021</v>
      </c>
      <c r="D25" s="74" t="str">
        <f>IFERROR(__xludf.DUMMYFUNCTION("""COMPUTED_VALUE"""),"Programming Data structures and algorithms using python")</f>
        <v>Programming Data structures and algorithms using python</v>
      </c>
      <c r="E25" s="74" t="str">
        <f>IFERROR(__xludf.DUMMYFUNCTION("""COMPUTED_VALUE"""),"NPTEL(Chennai Mathematical Institute)")</f>
        <v>NPTEL(Chennai Mathematical Institute)</v>
      </c>
      <c r="F25" s="74" t="str">
        <f>IFERROR(__xludf.DUMMYFUNCTION("""COMPUTED_VALUE"""),"8 week")</f>
        <v>8 week</v>
      </c>
      <c r="G25" s="91">
        <f>IFERROR(__xludf.DUMMYFUNCTION("""COMPUTED_VALUE"""),44392.0)</f>
        <v>44392</v>
      </c>
      <c r="H25" s="91">
        <f>IFERROR(__xludf.DUMMYFUNCTION("""COMPUTED_VALUE"""),44457.0)</f>
        <v>44457</v>
      </c>
      <c r="I25" s="74">
        <f>IFERROR(__xludf.DUMMYFUNCTION("""COMPUTED_VALUE"""),73.0)</f>
        <v>73</v>
      </c>
      <c r="J25" s="80" t="str">
        <f>IFERROR(__xludf.DUMMYFUNCTION("""COMPUTED_VALUE"""),"https://drive.google.com/open?id=1Gb7Nfru58Dk2IrLm1JQhSTZz5m2MmvUL")</f>
        <v>https://drive.google.com/open?id=1Gb7Nfru58Dk2IrLm1JQhSTZz5m2MmvUL</v>
      </c>
      <c r="K25" s="74" t="str">
        <f>IFERROR(__xludf.DUMMYFUNCTION("""COMPUTED_VALUE"""),"2019-2023")</f>
        <v>2019-2023</v>
      </c>
      <c r="L25" s="74" t="str">
        <f>IFERROR(__xludf.DUMMYFUNCTION("""COMPUTED_VALUE"""),"S6: Student NPTEL")</f>
        <v>S6: Student NPTEL</v>
      </c>
      <c r="M25" s="74" t="str">
        <f>IFERROR(__xludf.DUMMYFUNCTION("""COMPUTED_VALUE"""),"subhavarshith@gmail.com")</f>
        <v>subhavarshith@gmail.com</v>
      </c>
      <c r="N25" s="74" t="str">
        <f>IFERROR(__xludf.DUMMYFUNCTION("""COMPUTED_VALUE"""),"SEM-6")</f>
        <v>SEM-6</v>
      </c>
      <c r="O25" s="74"/>
      <c r="P25" s="74"/>
      <c r="Q25" s="74"/>
      <c r="R25" s="74"/>
      <c r="S25" s="74"/>
      <c r="T25" s="74"/>
      <c r="U25" s="74"/>
      <c r="V25" s="74"/>
      <c r="W25" s="74"/>
      <c r="X25" s="74"/>
    </row>
    <row r="26" ht="33.0" customHeight="1">
      <c r="A26" s="74" t="str">
        <f>IFERROR(__xludf.DUMMYFUNCTION("""COMPUTED_VALUE"""),"KARUMOJU NEHAL PRAVEEN")</f>
        <v>KARUMOJU NEHAL PRAVEEN</v>
      </c>
      <c r="B26" s="74" t="str">
        <f>IFERROR(__xludf.DUMMYFUNCTION("""COMPUTED_VALUE"""),"19331A0576")</f>
        <v>19331A0576</v>
      </c>
      <c r="C26" s="74" t="str">
        <f>IFERROR(__xludf.DUMMYFUNCTION("""COMPUTED_VALUE"""),"2021-2022")</f>
        <v>2021-2022</v>
      </c>
      <c r="D26" s="74" t="str">
        <f>IFERROR(__xludf.DUMMYFUNCTION("""COMPUTED_VALUE"""),"Programming, Data Structures and Algorithms using Python")</f>
        <v>Programming, Data Structures and Algorithms using Python</v>
      </c>
      <c r="E26" s="74" t="str">
        <f>IFERROR(__xludf.DUMMYFUNCTION("""COMPUTED_VALUE"""),"IIT MADRAS")</f>
        <v>IIT MADRAS</v>
      </c>
      <c r="F26" s="74" t="str">
        <f>IFERROR(__xludf.DUMMYFUNCTION("""COMPUTED_VALUE"""),"8 WEEKS")</f>
        <v>8 WEEKS</v>
      </c>
      <c r="G26" s="91">
        <f>IFERROR(__xludf.DUMMYFUNCTION("""COMPUTED_VALUE"""),44378.0)</f>
        <v>44378</v>
      </c>
      <c r="H26" s="91">
        <f>IFERROR(__xludf.DUMMYFUNCTION("""COMPUTED_VALUE"""),44440.0)</f>
        <v>44440</v>
      </c>
      <c r="I26" s="74">
        <f>IFERROR(__xludf.DUMMYFUNCTION("""COMPUTED_VALUE"""),78.0)</f>
        <v>78</v>
      </c>
      <c r="J26" s="80" t="str">
        <f>IFERROR(__xludf.DUMMYFUNCTION("""COMPUTED_VALUE"""),"https://drive.google.com/open?id=1CpvKw_3hknGMUxhnCIsJD79inwFJJbbx")</f>
        <v>https://drive.google.com/open?id=1CpvKw_3hknGMUxhnCIsJD79inwFJJbbx</v>
      </c>
      <c r="K26" s="74" t="str">
        <f>IFERROR(__xludf.DUMMYFUNCTION("""COMPUTED_VALUE"""),"2019-2023")</f>
        <v>2019-2023</v>
      </c>
      <c r="L26" s="74" t="str">
        <f>IFERROR(__xludf.DUMMYFUNCTION("""COMPUTED_VALUE"""),"S6: Student NPTEL")</f>
        <v>S6: Student NPTEL</v>
      </c>
      <c r="M26" s="74" t="str">
        <f>IFERROR(__xludf.DUMMYFUNCTION("""COMPUTED_VALUE"""),"nehalpraveen@gmail.com")</f>
        <v>nehalpraveen@gmail.com</v>
      </c>
      <c r="N26" s="74" t="str">
        <f>IFERROR(__xludf.DUMMYFUNCTION("""COMPUTED_VALUE"""),"SEM-6")</f>
        <v>SEM-6</v>
      </c>
      <c r="O26" s="74"/>
      <c r="P26" s="74"/>
      <c r="Q26" s="74"/>
      <c r="R26" s="74"/>
      <c r="S26" s="74"/>
      <c r="T26" s="74"/>
      <c r="U26" s="74"/>
      <c r="V26" s="74"/>
      <c r="W26" s="74"/>
      <c r="X26" s="74"/>
    </row>
    <row r="27" ht="33.0" customHeight="1">
      <c r="A27" s="12" t="str">
        <f>IFERROR(__xludf.DUMMYFUNCTION("""COMPUTED_VALUE"""),"CHAITANYA BHASKAR CHALAPAKA")</f>
        <v>CHAITANYA BHASKAR CHALAPAKA</v>
      </c>
      <c r="B27" s="12" t="str">
        <f>IFERROR(__xludf.DUMMYFUNCTION("""COMPUTED_VALUE"""),"19331A0529")</f>
        <v>19331A0529</v>
      </c>
      <c r="C27" s="12" t="str">
        <f>IFERROR(__xludf.DUMMYFUNCTION("""COMPUTED_VALUE"""),"2021-2022")</f>
        <v>2021-2022</v>
      </c>
      <c r="D27" s="12" t="str">
        <f>IFERROR(__xludf.DUMMYFUNCTION("""COMPUTED_VALUE"""),"Programming, Data Structures And Algorithms Using Python")</f>
        <v>Programming, Data Structures And Algorithms Using Python</v>
      </c>
      <c r="E27" s="12" t="str">
        <f>IFERROR(__xludf.DUMMYFUNCTION("""COMPUTED_VALUE"""),"NPTEL")</f>
        <v>NPTEL</v>
      </c>
      <c r="F27" s="12" t="str">
        <f>IFERROR(__xludf.DUMMYFUNCTION("""COMPUTED_VALUE"""),"8 weeks")</f>
        <v>8 weeks</v>
      </c>
      <c r="G27" s="117">
        <f>IFERROR(__xludf.DUMMYFUNCTION("""COMPUTED_VALUE"""),44585.0)</f>
        <v>44585</v>
      </c>
      <c r="H27" s="117">
        <f>IFERROR(__xludf.DUMMYFUNCTION("""COMPUTED_VALUE"""),44638.0)</f>
        <v>44638</v>
      </c>
      <c r="I27" s="12">
        <f>IFERROR(__xludf.DUMMYFUNCTION("""COMPUTED_VALUE"""),85.0)</f>
        <v>85</v>
      </c>
      <c r="J27" s="87" t="str">
        <f>IFERROR(__xludf.DUMMYFUNCTION("""COMPUTED_VALUE"""),"https://drive.google.com/open?id=1NK5yQFx1NfqHhPsGjrgTGh3Kgdt2-Owi")</f>
        <v>https://drive.google.com/open?id=1NK5yQFx1NfqHhPsGjrgTGh3Kgdt2-Owi</v>
      </c>
      <c r="K27" s="12" t="str">
        <f>IFERROR(__xludf.DUMMYFUNCTION("""COMPUTED_VALUE"""),"2019-2023")</f>
        <v>2019-2023</v>
      </c>
      <c r="L27" s="12" t="str">
        <f>IFERROR(__xludf.DUMMYFUNCTION("""COMPUTED_VALUE"""),"S6: Student NPTEL")</f>
        <v>S6: Student NPTEL</v>
      </c>
      <c r="M27" s="12" t="str">
        <f>IFERROR(__xludf.DUMMYFUNCTION("""COMPUTED_VALUE"""),"chalapakachaitanya20@gmail.com")</f>
        <v>chalapakachaitanya20@gmail.com</v>
      </c>
      <c r="N27" s="12" t="str">
        <f>IFERROR(__xludf.DUMMYFUNCTION("""COMPUTED_VALUE"""),"SEM-6")</f>
        <v>SEM-6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</row>
    <row r="28" ht="33.0" customHeight="1">
      <c r="A28" s="12" t="str">
        <f>IFERROR(__xludf.DUMMYFUNCTION("""COMPUTED_VALUE"""),"Chaitra Mudili")</f>
        <v>Chaitra Mudili</v>
      </c>
      <c r="B28" s="12" t="str">
        <f>IFERROR(__xludf.DUMMYFUNCTION("""COMPUTED_VALUE"""),"18331A05A0")</f>
        <v>18331A05A0</v>
      </c>
      <c r="C28" s="12" t="str">
        <f>IFERROR(__xludf.DUMMYFUNCTION("""COMPUTED_VALUE"""),"2019-2020")</f>
        <v>2019-2020</v>
      </c>
      <c r="D28" s="12" t="str">
        <f>IFERROR(__xludf.DUMMYFUNCTION("""COMPUTED_VALUE"""),"Soft Skills")</f>
        <v>Soft Skills</v>
      </c>
      <c r="E28" s="12" t="str">
        <f>IFERROR(__xludf.DUMMYFUNCTION("""COMPUTED_VALUE"""),"IIT, Roorkee")</f>
        <v>IIT, Roorkee</v>
      </c>
      <c r="F28" s="12" t="str">
        <f>IFERROR(__xludf.DUMMYFUNCTION("""COMPUTED_VALUE"""),"12 weeks")</f>
        <v>12 weeks</v>
      </c>
      <c r="G28" s="117">
        <f>IFERROR(__xludf.DUMMYFUNCTION("""COMPUTED_VALUE"""),44075.0)</f>
        <v>44075</v>
      </c>
      <c r="H28" s="117">
        <f>IFERROR(__xludf.DUMMYFUNCTION("""COMPUTED_VALUE"""),44185.0)</f>
        <v>44185</v>
      </c>
      <c r="I28" s="12">
        <f>IFERROR(__xludf.DUMMYFUNCTION("""COMPUTED_VALUE"""),90.0)</f>
        <v>90</v>
      </c>
      <c r="J28" s="87" t="str">
        <f>IFERROR(__xludf.DUMMYFUNCTION("""COMPUTED_VALUE"""),"https://drive.google.com/open?id=1RK-Ygwj5rj2-5UYvDyGOTBJMGcbdqVRT")</f>
        <v>https://drive.google.com/open?id=1RK-Ygwj5rj2-5UYvDyGOTBJMGcbdqVRT</v>
      </c>
      <c r="K28" s="12" t="str">
        <f>IFERROR(__xludf.DUMMYFUNCTION("""COMPUTED_VALUE"""),"2018-2022")</f>
        <v>2018-2022</v>
      </c>
      <c r="L28" s="12" t="str">
        <f>IFERROR(__xludf.DUMMYFUNCTION("""COMPUTED_VALUE"""),"S6: Student NPTEL")</f>
        <v>S6: Student NPTEL</v>
      </c>
      <c r="M28" s="12" t="str">
        <f>IFERROR(__xludf.DUMMYFUNCTION("""COMPUTED_VALUE"""),"chaitra2026@gmail.com")</f>
        <v>chaitra2026@gmail.com</v>
      </c>
      <c r="N28" s="12" t="str">
        <f>IFERROR(__xludf.DUMMYFUNCTION("""COMPUTED_VALUE"""),"SEM-4")</f>
        <v>SEM-4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</row>
    <row r="29" ht="33.0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</row>
    <row r="30" ht="33.0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</row>
    <row r="31" ht="33.0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</row>
    <row r="32" ht="33.0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</row>
    <row r="33" ht="33.0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</row>
    <row r="34" ht="33.0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</row>
    <row r="35" ht="33.0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</row>
    <row r="36" ht="33.0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</row>
    <row r="37" ht="33.0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</row>
    <row r="38" ht="33.0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</row>
    <row r="39" ht="33.0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</row>
    <row r="40" ht="33.0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</row>
    <row r="41" ht="33.0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</row>
    <row r="42" ht="33.0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</row>
    <row r="43" ht="33.0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</row>
    <row r="44" ht="33.0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</row>
    <row r="45" ht="33.0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</row>
    <row r="46" ht="33.0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</row>
    <row r="47" ht="33.0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</row>
    <row r="48" ht="33.0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</row>
    <row r="49" ht="33.0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</row>
    <row r="50" ht="33.0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</row>
    <row r="51" ht="33.0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</row>
    <row r="52" ht="33.0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</row>
    <row r="53" ht="33.0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  <row r="54" ht="33.0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</row>
    <row r="55" ht="33.0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</row>
    <row r="56" ht="33.0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</row>
    <row r="57" ht="33.0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</row>
    <row r="58" ht="33.0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</row>
    <row r="59" ht="33.0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</row>
    <row r="60" ht="33.0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</row>
    <row r="61" ht="33.0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</row>
    <row r="62" ht="33.0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</row>
    <row r="63" ht="33.0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</row>
    <row r="64" ht="33.0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</row>
    <row r="65" ht="33.0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</row>
    <row r="66" ht="33.0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</row>
    <row r="67" ht="33.0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</row>
    <row r="68" ht="33.0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</row>
    <row r="69" ht="33.0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</row>
    <row r="70" ht="33.0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</row>
    <row r="71" ht="33.0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</row>
    <row r="72" ht="33.0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</row>
    <row r="73" ht="33.0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</row>
    <row r="74" ht="33.0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</row>
    <row r="75" ht="33.0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</row>
    <row r="76" ht="33.0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</row>
    <row r="77" ht="33.0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</row>
    <row r="78" ht="33.0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</row>
    <row r="79" ht="33.0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</row>
    <row r="80" ht="33.0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</row>
    <row r="81" ht="33.0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</row>
    <row r="82" ht="33.0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</row>
    <row r="83" ht="33.0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</row>
    <row r="84" ht="33.0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</row>
    <row r="85" ht="33.0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</row>
    <row r="86" ht="33.0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</row>
    <row r="87" ht="33.0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</row>
    <row r="88" ht="33.0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</row>
    <row r="89" ht="33.0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</row>
    <row r="90" ht="33.0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</row>
    <row r="91" ht="33.0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</row>
    <row r="92" ht="33.0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</row>
    <row r="93" ht="33.0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</row>
    <row r="94" ht="33.0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</row>
    <row r="95" ht="33.0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</row>
    <row r="96" ht="33.0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</row>
    <row r="97" ht="33.0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</row>
    <row r="98" ht="33.0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ht="33.0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ht="33.0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ht="33.0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ht="33.0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ht="33.0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ht="33.0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ht="33.0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ht="33.0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ht="33.0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ht="33.0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ht="33.0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ht="33.0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  <row r="111" ht="33.0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</row>
    <row r="112" ht="33.0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</row>
    <row r="113" ht="33.0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</row>
    <row r="114" ht="33.0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</row>
    <row r="115" ht="33.0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</row>
    <row r="116" ht="33.0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</row>
    <row r="117" ht="33.0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</row>
    <row r="118" ht="33.0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</row>
    <row r="119" ht="33.0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</row>
    <row r="120" ht="33.0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</row>
    <row r="121" ht="33.0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</row>
    <row r="122" ht="33.0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</row>
    <row r="123" ht="33.0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</row>
    <row r="124" ht="33.0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</row>
    <row r="125" ht="33.0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</row>
    <row r="126" ht="33.0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</row>
    <row r="127" ht="33.0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</row>
    <row r="128" ht="33.0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</row>
    <row r="129" ht="33.0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</row>
    <row r="130" ht="33.0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</row>
    <row r="131" ht="33.0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</row>
    <row r="132" ht="33.0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</row>
    <row r="133" ht="33.0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</row>
    <row r="134" ht="33.0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</row>
    <row r="135" ht="33.0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</row>
    <row r="136" ht="33.0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</row>
    <row r="137" ht="33.0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</row>
    <row r="138" ht="33.0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</row>
    <row r="139" ht="33.0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</row>
    <row r="140" ht="33.0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</row>
    <row r="141" ht="33.0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</row>
    <row r="142" ht="33.0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</row>
    <row r="143" ht="33.0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</row>
    <row r="144" ht="33.0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</row>
    <row r="145" ht="33.0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</row>
    <row r="146" ht="33.0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</row>
    <row r="147" ht="33.0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</row>
    <row r="148" ht="33.0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</row>
    <row r="149" ht="33.0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</row>
    <row r="150" ht="33.0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</row>
    <row r="151" ht="33.0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</row>
    <row r="152" ht="33.0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</row>
    <row r="153" ht="33.0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</row>
    <row r="154" ht="33.0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</row>
    <row r="155" ht="33.0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</row>
    <row r="156" ht="33.0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</row>
    <row r="157" ht="33.0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</row>
    <row r="158" ht="33.0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</row>
    <row r="159" ht="33.0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</row>
    <row r="160" ht="33.0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</row>
    <row r="161" ht="33.0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</row>
    <row r="162" ht="33.0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</row>
    <row r="163" ht="33.0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</row>
    <row r="164" ht="33.0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</row>
    <row r="165" ht="33.0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</row>
    <row r="166" ht="33.0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</row>
    <row r="167" ht="33.0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</row>
    <row r="168" ht="33.0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</row>
    <row r="169" ht="33.0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</row>
    <row r="170" ht="33.0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</row>
    <row r="171" ht="33.0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</row>
    <row r="172" ht="33.0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</row>
    <row r="173" ht="33.0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</row>
    <row r="174" ht="33.0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</row>
    <row r="175" ht="33.0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</row>
    <row r="176" ht="33.0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</row>
    <row r="177" ht="33.0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</row>
    <row r="178" ht="33.0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</row>
    <row r="179" ht="33.0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</row>
    <row r="180" ht="33.0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</row>
    <row r="181" ht="33.0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</row>
    <row r="182" ht="33.0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</row>
    <row r="183" ht="33.0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</row>
    <row r="184" ht="33.0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</row>
    <row r="185" ht="33.0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</row>
    <row r="186" ht="33.0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</row>
    <row r="187" ht="33.0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</row>
    <row r="188" ht="33.0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</row>
    <row r="189" ht="33.0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</row>
    <row r="190" ht="33.0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</row>
    <row r="191" ht="33.0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</row>
    <row r="192" ht="33.0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</row>
    <row r="193" ht="33.0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</row>
    <row r="194" ht="33.0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</row>
    <row r="195" ht="33.0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</row>
    <row r="196" ht="33.0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</row>
    <row r="197" ht="33.0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</row>
    <row r="198" ht="33.0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</row>
    <row r="199" ht="33.0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</row>
    <row r="200" ht="33.0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</row>
    <row r="201" ht="33.0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</row>
    <row r="202" ht="33.0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</row>
    <row r="203" ht="33.0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</row>
    <row r="204" ht="33.0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</row>
    <row r="205" ht="33.0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</row>
    <row r="206" ht="33.0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</row>
    <row r="207" ht="33.0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</row>
    <row r="208" ht="33.0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</row>
    <row r="209" ht="33.0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</row>
    <row r="210" ht="33.0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</row>
    <row r="211" ht="33.0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</row>
    <row r="212" ht="33.0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</row>
    <row r="213" ht="33.0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</row>
    <row r="214" ht="33.0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</row>
    <row r="215" ht="33.0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</row>
    <row r="216" ht="33.0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</row>
    <row r="217" ht="33.0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</row>
    <row r="218" ht="33.0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</row>
    <row r="219" ht="33.0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</row>
    <row r="220" ht="33.0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</row>
    <row r="221" ht="33.0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</row>
    <row r="222" ht="33.0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</row>
    <row r="223" ht="33.0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</row>
    <row r="224" ht="33.0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</row>
    <row r="225" ht="33.0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</row>
    <row r="226" ht="33.0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</row>
    <row r="227" ht="33.0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</row>
    <row r="228" ht="33.0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</row>
    <row r="229" ht="33.0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</row>
    <row r="230" ht="33.0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</row>
    <row r="231" ht="33.0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</row>
    <row r="232" ht="33.0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</row>
    <row r="233" ht="33.0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</row>
    <row r="234" ht="33.0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</row>
    <row r="235" ht="33.0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</row>
    <row r="236" ht="33.0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</row>
    <row r="237" ht="33.0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</row>
    <row r="238" ht="33.0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</row>
    <row r="239" ht="33.0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</row>
    <row r="240" ht="33.0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</row>
    <row r="241" ht="33.0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</row>
    <row r="242" ht="33.0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</row>
    <row r="243" ht="33.0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</row>
    <row r="244" ht="33.0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</row>
    <row r="245" ht="33.0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</row>
    <row r="246" ht="33.0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</row>
    <row r="247" ht="33.0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</row>
    <row r="248" ht="33.0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</row>
    <row r="249" ht="33.0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</row>
    <row r="250" ht="33.0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</row>
    <row r="251" ht="33.0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</row>
    <row r="252" ht="33.0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</row>
    <row r="253" ht="33.0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</row>
    <row r="254" ht="33.0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</row>
    <row r="255" ht="33.0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</row>
    <row r="256" ht="33.0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</row>
    <row r="257" ht="33.0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</row>
    <row r="258" ht="33.0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</row>
    <row r="259" ht="33.0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</row>
    <row r="260" ht="33.0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</row>
    <row r="261" ht="33.0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</row>
    <row r="262" ht="33.0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</row>
    <row r="263" ht="33.0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</row>
    <row r="264" ht="33.0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</row>
    <row r="265" ht="33.0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</row>
    <row r="266" ht="33.0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</row>
    <row r="267" ht="33.0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</row>
    <row r="268" ht="33.0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</row>
    <row r="269" ht="33.0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</row>
    <row r="270" ht="33.0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</row>
    <row r="271" ht="33.0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</row>
    <row r="272" ht="33.0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</row>
    <row r="273" ht="33.0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</row>
    <row r="274" ht="33.0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</row>
    <row r="275" ht="33.0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ht="33.0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ht="33.0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</row>
    <row r="278" ht="33.0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</row>
    <row r="279" ht="33.0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</row>
    <row r="280" ht="33.0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</row>
    <row r="281" ht="33.0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</row>
    <row r="282" ht="33.0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</row>
    <row r="283" ht="33.0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</row>
    <row r="284" ht="33.0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</row>
    <row r="285" ht="33.0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</row>
    <row r="286" ht="33.0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ht="33.0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ht="33.0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</row>
    <row r="289" ht="33.0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</row>
    <row r="290" ht="33.0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</row>
    <row r="291" ht="33.0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</row>
    <row r="292" ht="33.0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</row>
    <row r="293" ht="33.0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</row>
    <row r="294" ht="33.0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</row>
    <row r="295" ht="33.0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</row>
    <row r="296" ht="33.0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</row>
    <row r="297" ht="33.0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</row>
    <row r="298" ht="33.0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</row>
    <row r="299" ht="33.0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</row>
    <row r="300" ht="33.0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</row>
    <row r="301" ht="33.0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</row>
    <row r="302" ht="33.0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</row>
    <row r="303" ht="33.0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</row>
    <row r="304" ht="33.0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</row>
    <row r="305" ht="33.0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</row>
    <row r="306" ht="33.0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</row>
    <row r="307" ht="33.0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</row>
    <row r="308" ht="33.0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</row>
    <row r="309" ht="33.0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</row>
    <row r="310" ht="33.0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</row>
    <row r="311" ht="33.0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</row>
    <row r="312" ht="33.0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</row>
    <row r="313" ht="33.0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</row>
    <row r="314" ht="33.0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</row>
    <row r="315" ht="33.0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</row>
    <row r="316" ht="33.0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</row>
    <row r="317" ht="33.0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</row>
    <row r="318" ht="33.0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</row>
    <row r="319" ht="33.0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</row>
    <row r="320" ht="33.0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</row>
    <row r="321" ht="33.0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</row>
    <row r="322" ht="33.0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</row>
    <row r="323" ht="33.0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</row>
    <row r="324" ht="33.0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</row>
    <row r="325" ht="33.0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</row>
    <row r="326" ht="33.0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</row>
    <row r="327" ht="33.0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</row>
    <row r="328" ht="33.0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</row>
    <row r="329" ht="33.0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</row>
    <row r="330" ht="33.0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</row>
    <row r="331" ht="33.0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</row>
    <row r="332" ht="33.0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</row>
    <row r="333" ht="33.0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</row>
    <row r="334" ht="33.0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</row>
    <row r="335" ht="33.0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</row>
    <row r="336" ht="33.0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</row>
    <row r="337" ht="33.0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</row>
    <row r="338" ht="33.0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</row>
    <row r="339" ht="33.0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</row>
    <row r="340" ht="33.0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</row>
    <row r="341" ht="33.0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</row>
    <row r="342" ht="33.0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</row>
    <row r="343" ht="33.0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</row>
    <row r="344" ht="33.0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</row>
    <row r="345" ht="33.0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</row>
    <row r="346" ht="33.0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</row>
    <row r="347" ht="33.0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</row>
    <row r="348" ht="33.0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</row>
    <row r="349" ht="33.0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</row>
    <row r="350" ht="33.0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</row>
    <row r="351" ht="33.0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</row>
    <row r="352" ht="33.0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</row>
    <row r="353" ht="33.0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</row>
    <row r="354" ht="33.0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</row>
    <row r="355" ht="33.0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</row>
    <row r="356" ht="33.0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</row>
    <row r="357" ht="33.0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</row>
    <row r="358" ht="33.0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</row>
    <row r="359" ht="33.0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</row>
    <row r="360" ht="33.0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</row>
    <row r="361" ht="33.0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</row>
    <row r="362" ht="33.0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</row>
    <row r="363" ht="33.0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</row>
    <row r="364" ht="33.0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</row>
    <row r="365" ht="33.0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</row>
    <row r="366" ht="33.0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</row>
    <row r="367" ht="33.0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</row>
    <row r="368" ht="33.0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</row>
    <row r="369" ht="33.0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</row>
    <row r="370" ht="33.0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</row>
    <row r="371" ht="33.0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</row>
    <row r="372" ht="33.0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</row>
    <row r="373" ht="33.0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</row>
    <row r="374" ht="33.0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</row>
    <row r="375" ht="33.0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</row>
    <row r="376" ht="33.0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</row>
    <row r="377" ht="33.0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</row>
    <row r="378" ht="33.0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</row>
    <row r="379" ht="33.0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</row>
    <row r="380" ht="33.0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</row>
    <row r="381" ht="33.0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</row>
    <row r="382" ht="33.0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</row>
    <row r="383" ht="33.0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</row>
    <row r="384" ht="33.0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</row>
    <row r="385" ht="33.0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</row>
    <row r="386" ht="33.0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</row>
    <row r="387" ht="33.0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</row>
    <row r="388" ht="33.0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</row>
    <row r="389" ht="33.0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</row>
    <row r="390" ht="33.0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</row>
    <row r="391" ht="33.0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</row>
    <row r="392" ht="33.0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</row>
    <row r="393" ht="33.0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</row>
    <row r="394" ht="33.0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</row>
    <row r="395" ht="33.0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</row>
    <row r="396" ht="33.0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</row>
    <row r="397" ht="33.0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</row>
    <row r="398" ht="33.0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</row>
    <row r="399" ht="33.0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</row>
    <row r="400" ht="33.0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</row>
    <row r="401" ht="33.0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</row>
    <row r="402" ht="33.0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</row>
    <row r="403" ht="33.0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</row>
    <row r="404" ht="33.0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</row>
    <row r="405" ht="33.0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</row>
    <row r="406" ht="33.0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</row>
    <row r="407" ht="33.0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</row>
    <row r="408" ht="33.0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</row>
    <row r="409" ht="33.0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</row>
    <row r="410" ht="33.0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</row>
    <row r="411" ht="33.0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</row>
    <row r="412" ht="33.0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</row>
    <row r="413" ht="33.0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</row>
    <row r="414" ht="33.0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</row>
    <row r="415" ht="33.0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</row>
    <row r="416" ht="33.0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</row>
    <row r="417" ht="33.0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</row>
    <row r="418" ht="33.0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</row>
    <row r="419" ht="33.0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</row>
    <row r="420" ht="33.0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</row>
    <row r="421" ht="33.0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</row>
    <row r="422" ht="33.0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</row>
    <row r="423" ht="33.0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</row>
    <row r="424" ht="33.0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</row>
    <row r="425" ht="33.0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</row>
    <row r="426" ht="33.0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</row>
    <row r="427" ht="33.0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</row>
    <row r="428" ht="33.0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</row>
    <row r="429" ht="33.0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</row>
    <row r="430" ht="33.0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</row>
    <row r="431" ht="33.0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</row>
    <row r="432" ht="33.0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</row>
    <row r="433" ht="33.0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</row>
    <row r="434" ht="33.0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</row>
    <row r="435" ht="33.0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</row>
    <row r="436" ht="33.0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</row>
    <row r="437" ht="33.0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</row>
    <row r="438" ht="33.0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</row>
    <row r="439" ht="33.0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</row>
    <row r="440" ht="33.0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</row>
    <row r="441" ht="33.0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</row>
    <row r="442" ht="33.0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</row>
    <row r="443" ht="33.0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</row>
    <row r="444" ht="33.0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</row>
    <row r="445" ht="33.0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</row>
    <row r="446" ht="33.0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</row>
    <row r="447" ht="33.0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</row>
    <row r="448" ht="33.0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</row>
    <row r="449" ht="33.0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</row>
    <row r="450" ht="33.0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</row>
    <row r="451" ht="33.0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</row>
    <row r="452" ht="33.0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</row>
    <row r="453" ht="33.0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</row>
    <row r="454" ht="33.0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</row>
    <row r="455" ht="33.0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</row>
    <row r="456" ht="33.0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</row>
    <row r="457" ht="33.0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</row>
    <row r="458" ht="33.0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</row>
    <row r="459" ht="33.0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</row>
    <row r="460" ht="33.0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</row>
    <row r="461" ht="33.0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</row>
    <row r="462" ht="33.0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</row>
    <row r="463" ht="33.0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</row>
    <row r="464" ht="33.0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</row>
    <row r="465" ht="33.0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</row>
    <row r="466" ht="33.0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</row>
    <row r="467" ht="33.0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</row>
    <row r="468" ht="33.0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</row>
    <row r="469" ht="33.0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</row>
    <row r="470" ht="33.0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</row>
    <row r="471" ht="33.0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</row>
    <row r="472" ht="33.0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</row>
    <row r="473" ht="33.0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</row>
    <row r="474" ht="33.0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</row>
    <row r="475" ht="33.0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</row>
    <row r="476" ht="33.0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</row>
    <row r="477" ht="33.0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</row>
    <row r="478" ht="33.0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</row>
    <row r="479" ht="33.0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</row>
    <row r="480" ht="33.0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</row>
    <row r="481" ht="33.0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</row>
    <row r="482" ht="33.0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</row>
    <row r="483" ht="33.0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</row>
    <row r="484" ht="33.0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</row>
    <row r="485" ht="33.0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</row>
    <row r="486" ht="33.0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</row>
    <row r="487" ht="33.0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</row>
    <row r="488" ht="33.0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</row>
    <row r="489" ht="33.0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</row>
    <row r="490" ht="33.0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</row>
    <row r="491" ht="33.0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</row>
    <row r="492" ht="33.0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</row>
    <row r="493" ht="33.0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</row>
    <row r="494" ht="33.0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</row>
    <row r="495" ht="33.0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</row>
    <row r="496" ht="33.0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</row>
    <row r="497" ht="33.0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</row>
    <row r="498" ht="33.0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</row>
    <row r="499" ht="33.0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</row>
    <row r="500" ht="33.0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</row>
    <row r="501" ht="33.0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</row>
    <row r="502" ht="33.0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</row>
    <row r="503" ht="33.0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</row>
    <row r="504" ht="33.0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</row>
    <row r="505" ht="33.0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</row>
    <row r="506" ht="33.0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</row>
    <row r="507" ht="33.0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</row>
    <row r="508" ht="33.0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</row>
    <row r="509" ht="33.0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</row>
    <row r="510" ht="33.0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</row>
    <row r="511" ht="33.0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</row>
    <row r="512" ht="33.0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</row>
    <row r="513" ht="33.0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</row>
    <row r="514" ht="33.0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</row>
    <row r="515" ht="33.0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</row>
    <row r="516" ht="33.0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</row>
    <row r="517" ht="33.0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</row>
    <row r="518" ht="33.0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</row>
    <row r="519" ht="33.0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</row>
    <row r="520" ht="33.0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</row>
    <row r="521" ht="33.0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</row>
    <row r="522" ht="33.0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</row>
    <row r="523" ht="33.0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</row>
    <row r="524" ht="33.0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</row>
    <row r="525" ht="33.0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</row>
    <row r="526" ht="33.0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</row>
    <row r="527" ht="33.0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</row>
    <row r="528" ht="33.0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</row>
    <row r="529" ht="33.0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</row>
    <row r="530" ht="33.0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</row>
    <row r="531" ht="33.0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</row>
    <row r="532" ht="33.0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</row>
    <row r="533" ht="33.0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</row>
    <row r="534" ht="33.0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</row>
    <row r="535" ht="33.0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</row>
    <row r="536" ht="33.0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</row>
    <row r="537" ht="33.0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</row>
    <row r="538" ht="33.0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</row>
    <row r="539" ht="33.0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</row>
    <row r="540" ht="33.0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</row>
    <row r="541" ht="33.0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</row>
    <row r="542" ht="33.0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</row>
    <row r="543" ht="33.0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</row>
    <row r="544" ht="33.0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</row>
    <row r="545" ht="33.0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</row>
    <row r="546" ht="33.0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</row>
    <row r="547" ht="33.0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</row>
    <row r="548" ht="33.0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</row>
    <row r="549" ht="33.0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</row>
    <row r="550" ht="33.0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</row>
    <row r="551" ht="33.0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</row>
    <row r="552" ht="33.0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</row>
    <row r="553" ht="33.0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</row>
    <row r="554" ht="33.0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</row>
    <row r="555" ht="33.0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</row>
    <row r="556" ht="33.0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</row>
    <row r="557" ht="33.0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</row>
    <row r="558" ht="33.0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</row>
    <row r="559" ht="33.0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</row>
    <row r="560" ht="33.0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</row>
    <row r="561" ht="33.0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</row>
    <row r="562" ht="33.0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</row>
    <row r="563" ht="33.0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</row>
    <row r="564" ht="33.0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</row>
    <row r="565" ht="33.0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</row>
    <row r="566" ht="33.0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</row>
    <row r="567" ht="33.0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</row>
    <row r="568" ht="33.0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</row>
    <row r="569" ht="33.0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</row>
    <row r="570" ht="33.0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</row>
    <row r="571" ht="33.0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</row>
    <row r="572" ht="33.0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</row>
    <row r="573" ht="33.0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</row>
    <row r="574" ht="33.0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</row>
    <row r="575" ht="33.0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</row>
    <row r="576" ht="33.0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</row>
    <row r="577" ht="33.0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</row>
    <row r="578" ht="33.0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</row>
    <row r="579" ht="33.0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</row>
    <row r="580" ht="33.0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</row>
    <row r="581" ht="33.0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</row>
    <row r="582" ht="33.0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</row>
    <row r="583" ht="33.0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</row>
    <row r="584" ht="33.0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</row>
    <row r="585" ht="33.0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</row>
    <row r="586" ht="33.0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</row>
    <row r="587" ht="33.0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</row>
    <row r="588" ht="33.0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</row>
    <row r="589" ht="33.0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</row>
    <row r="590" ht="33.0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</row>
    <row r="591" ht="33.0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</row>
    <row r="592" ht="33.0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</row>
    <row r="593" ht="33.0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</row>
    <row r="594" ht="33.0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</row>
    <row r="595" ht="33.0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</row>
    <row r="596" ht="33.0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</row>
    <row r="597" ht="33.0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</row>
    <row r="598" ht="33.0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</row>
    <row r="599" ht="33.0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</row>
    <row r="600" ht="33.0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</row>
    <row r="601" ht="33.0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</row>
    <row r="602" ht="33.0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</row>
    <row r="603" ht="33.0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</row>
    <row r="604" ht="33.0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</row>
    <row r="605" ht="33.0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</row>
    <row r="606" ht="33.0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</row>
    <row r="607" ht="33.0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</row>
    <row r="608" ht="33.0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</row>
    <row r="609" ht="33.0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</row>
    <row r="610" ht="33.0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</row>
    <row r="611" ht="33.0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</row>
    <row r="612" ht="33.0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</row>
    <row r="613" ht="33.0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</row>
    <row r="614" ht="33.0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</row>
    <row r="615" ht="33.0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</row>
    <row r="616" ht="33.0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</row>
    <row r="617" ht="33.0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</row>
    <row r="618" ht="33.0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</row>
    <row r="619" ht="33.0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</row>
    <row r="620" ht="33.0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</row>
    <row r="621" ht="33.0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</row>
    <row r="622" ht="33.0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</row>
    <row r="623" ht="33.0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</row>
    <row r="624" ht="33.0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</row>
    <row r="625" ht="33.0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</row>
    <row r="626" ht="33.0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</row>
    <row r="627" ht="33.0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</row>
    <row r="628" ht="33.0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</row>
    <row r="629" ht="33.0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</row>
    <row r="630" ht="33.0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</row>
    <row r="631" ht="33.0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</row>
    <row r="632" ht="33.0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</row>
    <row r="633" ht="33.0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</row>
    <row r="634" ht="33.0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</row>
    <row r="635" ht="33.0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</row>
    <row r="636" ht="33.0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</row>
    <row r="637" ht="33.0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</row>
    <row r="638" ht="33.0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</row>
    <row r="639" ht="33.0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</row>
    <row r="640" ht="33.0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</row>
    <row r="641" ht="33.0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</row>
    <row r="642" ht="33.0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</row>
    <row r="643" ht="33.0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</row>
    <row r="644" ht="33.0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</row>
    <row r="645" ht="33.0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</row>
    <row r="646" ht="33.0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</row>
    <row r="647" ht="33.0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</row>
    <row r="648" ht="33.0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</row>
    <row r="649" ht="33.0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</row>
    <row r="650" ht="33.0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</row>
    <row r="651" ht="33.0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</row>
    <row r="652" ht="33.0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</row>
    <row r="653" ht="33.0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</row>
    <row r="654" ht="33.0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</row>
    <row r="655" ht="33.0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</row>
    <row r="656" ht="33.0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</row>
    <row r="657" ht="33.0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</row>
    <row r="658" ht="33.0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</row>
    <row r="659" ht="33.0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</row>
    <row r="660" ht="33.0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</row>
    <row r="661" ht="33.0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</row>
    <row r="662" ht="33.0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</row>
    <row r="663" ht="33.0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</row>
    <row r="664" ht="33.0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</row>
    <row r="665" ht="33.0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</row>
    <row r="666" ht="33.0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</row>
    <row r="667" ht="33.0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</row>
    <row r="668" ht="33.0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</row>
    <row r="669" ht="33.0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</row>
    <row r="670" ht="33.0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</row>
    <row r="671" ht="33.0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</row>
    <row r="672" ht="33.0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</row>
    <row r="673" ht="33.0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</row>
    <row r="674" ht="33.0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</row>
    <row r="675" ht="33.0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</row>
    <row r="676" ht="33.0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</row>
    <row r="677" ht="33.0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</row>
    <row r="678" ht="33.0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</row>
    <row r="679" ht="33.0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</row>
    <row r="680" ht="33.0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</row>
    <row r="681" ht="33.0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</row>
    <row r="682" ht="33.0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</row>
    <row r="683" ht="33.0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</row>
    <row r="684" ht="33.0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</row>
    <row r="685" ht="33.0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</row>
    <row r="686" ht="33.0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</row>
    <row r="687" ht="33.0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</row>
    <row r="688" ht="33.0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</row>
    <row r="689" ht="33.0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</row>
    <row r="690" ht="33.0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</row>
    <row r="691" ht="33.0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</row>
    <row r="692" ht="33.0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</row>
    <row r="693" ht="33.0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</row>
    <row r="694" ht="33.0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</row>
    <row r="695" ht="33.0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</row>
    <row r="696" ht="33.0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</row>
    <row r="697" ht="33.0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</row>
    <row r="698" ht="33.0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</row>
    <row r="699" ht="33.0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</row>
    <row r="700" ht="33.0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</row>
    <row r="701" ht="33.0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</row>
    <row r="702" ht="33.0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</row>
    <row r="703" ht="33.0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</row>
    <row r="704" ht="33.0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</row>
    <row r="705" ht="33.0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</row>
    <row r="706" ht="33.0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</row>
    <row r="707" ht="33.0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</row>
    <row r="708" ht="33.0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</row>
    <row r="709" ht="33.0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</row>
    <row r="710" ht="33.0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</row>
    <row r="711" ht="33.0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</row>
    <row r="712" ht="33.0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</row>
    <row r="713" ht="33.0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</row>
    <row r="714" ht="33.0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</row>
    <row r="715" ht="33.0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</row>
    <row r="716" ht="33.0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</row>
    <row r="717" ht="33.0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</row>
    <row r="718" ht="33.0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</row>
    <row r="719" ht="33.0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</row>
    <row r="720" ht="33.0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</row>
    <row r="721" ht="33.0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</row>
    <row r="722" ht="33.0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</row>
    <row r="723" ht="33.0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</row>
    <row r="724" ht="33.0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</row>
    <row r="725" ht="33.0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</row>
    <row r="726" ht="33.0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</row>
    <row r="727" ht="33.0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</row>
    <row r="728" ht="33.0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</row>
    <row r="729" ht="33.0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</row>
    <row r="730" ht="33.0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</row>
    <row r="731" ht="33.0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</row>
    <row r="732" ht="33.0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</row>
    <row r="733" ht="33.0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</row>
    <row r="734" ht="33.0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</row>
    <row r="735" ht="33.0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</row>
    <row r="736" ht="33.0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</row>
    <row r="737" ht="33.0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</row>
    <row r="738" ht="33.0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</row>
    <row r="739" ht="33.0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</row>
    <row r="740" ht="33.0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</row>
    <row r="741" ht="33.0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</row>
    <row r="742" ht="33.0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</row>
    <row r="743" ht="33.0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</row>
    <row r="744" ht="33.0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</row>
    <row r="745" ht="33.0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</row>
    <row r="746" ht="33.0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</row>
    <row r="747" ht="33.0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</row>
    <row r="748" ht="33.0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</row>
    <row r="749" ht="33.0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</row>
    <row r="750" ht="33.0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</row>
    <row r="751" ht="33.0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</row>
    <row r="752" ht="33.0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</row>
    <row r="753" ht="33.0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</row>
    <row r="754" ht="33.0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</row>
    <row r="755" ht="33.0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</row>
    <row r="756" ht="33.0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</row>
    <row r="757" ht="33.0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</row>
    <row r="758" ht="33.0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</row>
    <row r="759" ht="33.0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</row>
    <row r="760" ht="33.0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</row>
    <row r="761" ht="33.0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</row>
    <row r="762" ht="33.0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</row>
    <row r="763" ht="33.0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</row>
    <row r="764" ht="33.0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</row>
    <row r="765" ht="33.0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</row>
    <row r="766" ht="33.0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</row>
    <row r="767" ht="33.0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</row>
    <row r="768" ht="33.0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</row>
    <row r="769" ht="33.0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</row>
    <row r="770" ht="33.0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</row>
    <row r="771" ht="33.0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</row>
    <row r="772" ht="33.0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</row>
    <row r="773" ht="33.0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</row>
    <row r="774" ht="33.0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</row>
    <row r="775" ht="33.0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</row>
    <row r="776" ht="33.0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</row>
    <row r="777" ht="33.0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</row>
    <row r="778" ht="33.0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</row>
    <row r="779" ht="33.0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</row>
    <row r="780" ht="33.0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</row>
    <row r="781" ht="33.0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</row>
    <row r="782" ht="33.0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</row>
    <row r="783" ht="33.0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</row>
    <row r="784" ht="33.0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</row>
    <row r="785" ht="33.0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</row>
    <row r="786" ht="33.0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</row>
    <row r="787" ht="33.0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</row>
    <row r="788" ht="33.0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</row>
    <row r="789" ht="33.0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</row>
    <row r="790" ht="33.0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</row>
    <row r="791" ht="33.0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</row>
    <row r="792" ht="33.0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</row>
    <row r="793" ht="33.0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</row>
    <row r="794" ht="33.0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</row>
    <row r="795" ht="33.0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</row>
    <row r="796" ht="33.0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</row>
    <row r="797" ht="33.0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</row>
    <row r="798" ht="33.0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</row>
    <row r="799" ht="33.0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</row>
    <row r="800" ht="33.0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</row>
    <row r="801" ht="33.0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</row>
    <row r="802" ht="33.0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</row>
    <row r="803" ht="33.0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</row>
    <row r="804" ht="33.0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</row>
    <row r="805" ht="33.0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</row>
    <row r="806" ht="33.0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</row>
    <row r="807" ht="33.0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</row>
    <row r="808" ht="33.0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</row>
    <row r="809" ht="33.0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</row>
    <row r="810" ht="33.0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</row>
    <row r="811" ht="33.0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</row>
    <row r="812" ht="33.0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</row>
    <row r="813" ht="33.0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</row>
    <row r="814" ht="33.0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</row>
    <row r="815" ht="33.0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</row>
    <row r="816" ht="33.0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</row>
    <row r="817" ht="33.0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</row>
    <row r="818" ht="33.0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</row>
    <row r="819" ht="33.0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</row>
    <row r="820" ht="33.0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</row>
    <row r="821" ht="33.0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</row>
    <row r="822" ht="33.0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</row>
    <row r="823" ht="33.0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</row>
    <row r="824" ht="33.0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</row>
    <row r="825" ht="33.0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</row>
    <row r="826" ht="33.0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</row>
    <row r="827" ht="33.0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</row>
    <row r="828" ht="33.0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</row>
    <row r="829" ht="33.0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</row>
    <row r="830" ht="33.0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</row>
    <row r="831" ht="33.0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</row>
    <row r="832" ht="33.0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</row>
    <row r="833" ht="33.0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</row>
    <row r="834" ht="33.0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</row>
    <row r="835" ht="33.0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</row>
    <row r="836" ht="33.0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</row>
    <row r="837" ht="33.0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</row>
    <row r="838" ht="33.0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</row>
    <row r="839" ht="33.0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</row>
    <row r="840" ht="33.0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</row>
    <row r="841" ht="33.0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</row>
    <row r="842" ht="33.0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</row>
    <row r="843" ht="33.0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</row>
    <row r="844" ht="33.0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</row>
    <row r="845" ht="33.0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</row>
    <row r="846" ht="33.0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</row>
    <row r="847" ht="33.0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</row>
    <row r="848" ht="33.0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</row>
    <row r="849" ht="33.0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</row>
    <row r="850" ht="33.0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</row>
    <row r="851" ht="33.0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</row>
    <row r="852" ht="33.0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</row>
    <row r="853" ht="33.0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</row>
    <row r="854" ht="33.0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</row>
    <row r="855" ht="33.0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</row>
    <row r="856" ht="33.0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</row>
    <row r="857" ht="33.0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</row>
    <row r="858" ht="33.0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</row>
    <row r="859" ht="33.0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</row>
    <row r="860" ht="33.0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</row>
    <row r="861" ht="33.0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</row>
    <row r="862" ht="33.0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</row>
    <row r="863" ht="33.0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</row>
    <row r="864" ht="33.0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</row>
    <row r="865" ht="33.0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</row>
    <row r="866" ht="33.0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</row>
    <row r="867" ht="33.0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</row>
    <row r="868" ht="33.0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</row>
    <row r="869" ht="33.0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</row>
    <row r="870" ht="33.0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</row>
    <row r="871" ht="33.0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</row>
    <row r="872" ht="33.0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</row>
    <row r="873" ht="33.0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</row>
    <row r="874" ht="33.0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</row>
    <row r="875" ht="33.0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</row>
    <row r="876" ht="33.0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</row>
    <row r="877" ht="33.0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</row>
    <row r="878" ht="33.0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</row>
    <row r="879" ht="33.0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</row>
    <row r="880" ht="33.0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</row>
    <row r="881" ht="33.0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</row>
    <row r="882" ht="33.0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</row>
    <row r="883" ht="33.0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</row>
    <row r="884" ht="33.0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</row>
    <row r="885" ht="33.0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</row>
    <row r="886" ht="33.0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</row>
    <row r="887" ht="33.0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</row>
    <row r="888" ht="33.0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</row>
    <row r="889" ht="33.0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</row>
    <row r="890" ht="33.0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</row>
    <row r="891" ht="33.0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</row>
    <row r="892" ht="33.0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</row>
    <row r="893" ht="33.0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</row>
    <row r="894" ht="33.0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</row>
    <row r="895" ht="33.0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</row>
    <row r="896" ht="33.0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</row>
    <row r="897" ht="33.0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</row>
    <row r="898" ht="33.0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</row>
    <row r="899" ht="33.0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</row>
    <row r="900" ht="33.0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</row>
    <row r="901" ht="33.0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</row>
    <row r="902" ht="33.0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</row>
    <row r="903" ht="33.0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</row>
    <row r="904" ht="33.0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</row>
    <row r="905" ht="33.0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</row>
    <row r="906" ht="33.0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</row>
    <row r="907" ht="33.0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</row>
    <row r="908" ht="33.0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</row>
    <row r="909" ht="33.0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</row>
    <row r="910" ht="33.0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</row>
    <row r="911" ht="33.0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</row>
    <row r="912" ht="33.0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</row>
    <row r="913" ht="33.0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</row>
    <row r="914" ht="33.0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</row>
    <row r="915" ht="33.0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</row>
    <row r="916" ht="33.0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</row>
    <row r="917" ht="33.0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</row>
    <row r="918" ht="33.0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</row>
    <row r="919" ht="33.0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</row>
    <row r="920" ht="33.0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</row>
    <row r="921" ht="33.0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</row>
    <row r="922" ht="33.0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</row>
    <row r="923" ht="33.0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</row>
    <row r="924" ht="33.0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</row>
    <row r="925" ht="33.0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</row>
    <row r="926" ht="33.0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</row>
    <row r="927" ht="33.0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</row>
    <row r="928" ht="33.0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</row>
    <row r="929" ht="33.0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</row>
    <row r="930" ht="33.0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</row>
    <row r="931" ht="33.0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</row>
    <row r="932" ht="33.0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</row>
    <row r="933" ht="33.0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</row>
    <row r="934" ht="33.0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</row>
    <row r="935" ht="33.0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</row>
    <row r="936" ht="33.0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</row>
    <row r="937" ht="33.0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</row>
    <row r="938" ht="33.0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</row>
    <row r="939" ht="33.0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</row>
    <row r="940" ht="33.0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</row>
    <row r="941" ht="33.0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</row>
    <row r="942" ht="33.0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</row>
    <row r="943" ht="33.0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</row>
    <row r="944" ht="33.0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</row>
    <row r="945" ht="33.0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</row>
    <row r="946" ht="33.0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</row>
    <row r="947" ht="33.0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</row>
    <row r="948" ht="33.0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</row>
    <row r="949" ht="33.0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</row>
    <row r="950" ht="33.0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</row>
    <row r="951" ht="33.0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</row>
    <row r="952" ht="33.0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</row>
    <row r="953" ht="33.0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</row>
    <row r="954" ht="33.0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</row>
    <row r="955" ht="33.0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</row>
    <row r="956" ht="33.0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</row>
    <row r="957" ht="33.0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</row>
    <row r="958" ht="33.0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</row>
    <row r="959" ht="33.0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</row>
    <row r="960" ht="33.0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</row>
    <row r="961" ht="33.0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</row>
    <row r="962" ht="33.0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</row>
    <row r="963" ht="33.0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</row>
    <row r="964" ht="33.0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</row>
    <row r="965" ht="33.0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</row>
    <row r="966" ht="33.0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</row>
    <row r="967" ht="33.0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</row>
    <row r="968" ht="33.0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</row>
    <row r="969" ht="33.0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</row>
    <row r="970" ht="33.0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</row>
    <row r="971" ht="33.0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</row>
    <row r="972" ht="33.0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</row>
    <row r="973" ht="33.0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</row>
    <row r="974" ht="33.0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</row>
    <row r="975" ht="33.0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</row>
    <row r="976" ht="33.0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</row>
    <row r="977" ht="33.0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</row>
    <row r="978" ht="33.0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</row>
    <row r="979" ht="33.0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</row>
    <row r="980" ht="33.0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</row>
    <row r="981" ht="33.0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</row>
    <row r="982" ht="33.0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</row>
    <row r="983" ht="33.0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</row>
    <row r="984" ht="33.0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</row>
    <row r="985" ht="33.0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</row>
    <row r="986" ht="33.0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</row>
    <row r="987" ht="33.0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</row>
    <row r="988" ht="33.0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</row>
    <row r="989" ht="33.0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</row>
    <row r="990" ht="33.0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</row>
    <row r="991" ht="33.0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</row>
    <row r="992" ht="33.0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</row>
    <row r="993" ht="33.0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</row>
    <row r="994" ht="33.0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</row>
    <row r="995" ht="33.0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</row>
    <row r="996" ht="33.0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</row>
  </sheetData>
  <customSheetViews>
    <customSheetView guid="{5A3FE551-BE9F-4F73-9636-37149EBA48E4}" filter="1" showAutoFilter="1">
      <autoFilter ref="$A$1:$X$113"/>
    </customSheetView>
  </customSheetViews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</hyperlinks>
  <drawing r:id="rId28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38"/>
    <col customWidth="1" min="2" max="2" width="9.25"/>
    <col customWidth="1" min="3" max="3" width="10.25"/>
    <col customWidth="1" min="4" max="4" width="9.5"/>
    <col customWidth="1" min="5" max="5" width="31.75"/>
    <col customWidth="1" min="6" max="8" width="17.5"/>
    <col customWidth="1" min="9" max="9" width="19.0"/>
    <col customWidth="1" min="10" max="10" width="61.25"/>
    <col customWidth="1" min="11" max="24" width="39.38"/>
  </cols>
  <sheetData>
    <row r="1" ht="31.5" customHeight="1">
      <c r="A1" s="67" t="s">
        <v>88</v>
      </c>
      <c r="B1" s="69" t="s">
        <v>68</v>
      </c>
      <c r="C1" s="69" t="s">
        <v>60</v>
      </c>
      <c r="D1" s="69" t="s">
        <v>61</v>
      </c>
      <c r="E1" s="69" t="s">
        <v>89</v>
      </c>
      <c r="F1" s="69" t="s">
        <v>90</v>
      </c>
      <c r="G1" s="69" t="s">
        <v>91</v>
      </c>
      <c r="H1" s="69" t="s">
        <v>92</v>
      </c>
      <c r="I1" s="69" t="s">
        <v>93</v>
      </c>
      <c r="J1" s="69" t="s">
        <v>95</v>
      </c>
      <c r="K1" s="18" t="s">
        <v>29</v>
      </c>
      <c r="L1" s="17" t="s">
        <v>1</v>
      </c>
      <c r="M1" s="18" t="s">
        <v>118</v>
      </c>
      <c r="N1" s="18" t="s">
        <v>119</v>
      </c>
      <c r="O1" s="64"/>
      <c r="P1" s="64"/>
      <c r="Q1" s="64"/>
      <c r="R1" s="64"/>
      <c r="S1" s="64"/>
      <c r="T1" s="64"/>
      <c r="U1" s="64"/>
      <c r="V1" s="64"/>
      <c r="W1" s="64"/>
      <c r="X1" s="64"/>
    </row>
    <row r="2" ht="31.5" customHeight="1">
      <c r="A2" s="64" t="str">
        <f>IFERROR(__xludf.DUMMYFUNCTION("QUERY(MasterData!A1:NK11797,""select CH,CI,CJ,CK,CL,CM,CN,CO,CP,CQ,CR,B,C,FL,FM where C='S7: Student Workshops Organized'"",0)"),"#N/A")</f>
        <v>#N/A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</row>
    <row r="3" ht="31.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</row>
    <row r="4" ht="31.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</row>
    <row r="5" ht="31.5" customHeight="1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</row>
    <row r="6" ht="31.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ht="31.5" customHeight="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</row>
    <row r="8" ht="31.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</row>
    <row r="9" ht="31.5" customHeight="1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</row>
    <row r="10" ht="31.5" customHeight="1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</row>
    <row r="11" ht="31.5" customHeight="1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</row>
    <row r="12" ht="31.5" customHeight="1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</row>
    <row r="13" ht="31.5" customHeight="1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</row>
    <row r="14" ht="31.5" customHeight="1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</row>
    <row r="15" ht="31.5" customHeight="1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</row>
    <row r="16" ht="31.5" customHeight="1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</row>
    <row r="17" ht="31.5" customHeight="1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</row>
    <row r="18" ht="31.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</row>
    <row r="19" ht="31.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</row>
    <row r="20" ht="31.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</row>
    <row r="21" ht="31.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</row>
    <row r="22" ht="31.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</row>
    <row r="23" ht="31.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</row>
    <row r="24" ht="31.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</row>
    <row r="25" ht="31.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</row>
    <row r="26" ht="31.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</row>
    <row r="27" ht="31.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</row>
    <row r="28" ht="31.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</row>
    <row r="29" ht="31.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</row>
    <row r="30" ht="31.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</row>
    <row r="31" ht="31.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</row>
    <row r="32" ht="31.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</row>
    <row r="33" ht="31.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</row>
    <row r="34" ht="31.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</row>
    <row r="35" ht="31.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</row>
    <row r="36" ht="31.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</row>
    <row r="37" ht="31.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</row>
    <row r="38" ht="31.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</row>
    <row r="39" ht="31.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</row>
    <row r="40" ht="31.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</row>
    <row r="41" ht="31.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</row>
    <row r="42" ht="31.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</row>
    <row r="43" ht="31.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</row>
    <row r="44" ht="31.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</row>
    <row r="45" ht="31.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</row>
    <row r="46" ht="31.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</row>
    <row r="47" ht="31.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</row>
    <row r="48" ht="31.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</row>
    <row r="49" ht="31.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</row>
    <row r="50" ht="31.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</row>
    <row r="51" ht="31.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</row>
    <row r="52" ht="31.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</row>
    <row r="53" ht="31.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</row>
    <row r="54" ht="31.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</row>
    <row r="55" ht="31.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</row>
    <row r="56" ht="31.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</row>
    <row r="57" ht="31.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</row>
    <row r="58" ht="31.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</row>
    <row r="59" ht="31.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</row>
    <row r="60" ht="31.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</row>
    <row r="61" ht="31.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</row>
    <row r="62" ht="31.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</row>
    <row r="63" ht="31.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</row>
    <row r="64" ht="31.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</row>
    <row r="65" ht="31.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</row>
    <row r="66" ht="31.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</row>
    <row r="67" ht="31.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</row>
    <row r="68" ht="31.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</row>
    <row r="69" ht="31.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</row>
    <row r="70" ht="31.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</row>
    <row r="71" ht="31.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</row>
    <row r="72" ht="31.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</row>
    <row r="73" ht="31.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</row>
    <row r="74" ht="31.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</row>
    <row r="75" ht="31.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</row>
    <row r="76" ht="31.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</row>
    <row r="77" ht="31.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</row>
    <row r="78" ht="31.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</row>
    <row r="79" ht="31.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</row>
    <row r="80" ht="31.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</row>
    <row r="81" ht="31.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</row>
    <row r="82" ht="31.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</row>
    <row r="83" ht="31.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</row>
    <row r="84" ht="31.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</row>
    <row r="85" ht="31.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</row>
    <row r="86" ht="31.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</row>
    <row r="87" ht="31.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</row>
    <row r="88" ht="31.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</row>
    <row r="89" ht="31.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</row>
    <row r="90" ht="31.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</row>
    <row r="91" ht="31.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</row>
    <row r="92" ht="31.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</row>
    <row r="93" ht="31.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</row>
    <row r="94" ht="31.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</row>
    <row r="95" ht="31.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</row>
    <row r="96" ht="31.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</row>
    <row r="97" ht="31.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</row>
    <row r="98" ht="31.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</row>
    <row r="99" ht="31.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</row>
    <row r="100" ht="31.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</row>
    <row r="101" ht="31.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</row>
    <row r="102" ht="31.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</row>
    <row r="103" ht="31.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</row>
    <row r="104" ht="31.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</row>
    <row r="105" ht="31.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</row>
    <row r="106" ht="31.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</row>
    <row r="107" ht="31.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</row>
    <row r="108" ht="31.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</row>
    <row r="109" ht="31.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</row>
    <row r="110" ht="31.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</row>
    <row r="111" ht="31.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</row>
    <row r="112" ht="31.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</row>
    <row r="113" ht="31.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</row>
    <row r="114" ht="31.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</row>
    <row r="115" ht="31.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</row>
    <row r="116" ht="31.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</row>
    <row r="117" ht="31.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</row>
    <row r="118" ht="31.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</row>
    <row r="119" ht="31.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</row>
    <row r="120" ht="31.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</row>
    <row r="121" ht="31.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</row>
    <row r="122" ht="31.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</row>
    <row r="123" ht="31.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</row>
    <row r="124" ht="31.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</row>
    <row r="125" ht="31.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</row>
    <row r="126" ht="31.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</row>
    <row r="127" ht="31.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</row>
    <row r="128" ht="31.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</row>
    <row r="129" ht="31.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</row>
    <row r="130" ht="31.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</row>
    <row r="131" ht="31.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</row>
    <row r="132" ht="31.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</row>
    <row r="133" ht="31.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</row>
    <row r="134" ht="31.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</row>
    <row r="135" ht="31.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</row>
    <row r="136" ht="31.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</row>
    <row r="137" ht="31.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</row>
    <row r="138" ht="31.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</row>
    <row r="139" ht="31.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</row>
    <row r="140" ht="31.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</row>
    <row r="141" ht="31.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</row>
    <row r="142" ht="31.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</row>
    <row r="143" ht="31.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</row>
    <row r="144" ht="31.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</row>
    <row r="145" ht="31.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</row>
    <row r="146" ht="31.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</row>
    <row r="147" ht="31.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</row>
    <row r="148" ht="31.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</row>
    <row r="149" ht="31.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</row>
    <row r="150" ht="31.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</row>
    <row r="151" ht="31.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</row>
    <row r="152" ht="31.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</row>
    <row r="153" ht="31.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</row>
    <row r="154" ht="31.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</row>
    <row r="155" ht="31.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</row>
    <row r="156" ht="31.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</row>
    <row r="157" ht="31.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</row>
    <row r="158" ht="31.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</row>
    <row r="159" ht="31.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</row>
    <row r="160" ht="31.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</row>
    <row r="161" ht="31.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</row>
    <row r="162" ht="31.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</row>
    <row r="163" ht="31.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</row>
    <row r="164" ht="31.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</row>
    <row r="165" ht="31.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</row>
    <row r="166" ht="31.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</row>
    <row r="167" ht="31.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</row>
    <row r="168" ht="31.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</row>
    <row r="169" ht="31.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</row>
    <row r="170" ht="31.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</row>
    <row r="171" ht="31.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</row>
    <row r="172" ht="31.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</row>
    <row r="173" ht="31.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</row>
    <row r="174" ht="31.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</row>
    <row r="175" ht="31.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</row>
    <row r="176" ht="31.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</row>
    <row r="177" ht="31.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</row>
    <row r="178" ht="31.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</row>
    <row r="179" ht="31.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</row>
    <row r="180" ht="31.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</row>
    <row r="181" ht="31.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</row>
    <row r="182" ht="31.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</row>
    <row r="183" ht="31.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</row>
    <row r="184" ht="31.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</row>
    <row r="185" ht="31.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</row>
    <row r="186" ht="31.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</row>
    <row r="187" ht="31.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</row>
    <row r="188" ht="31.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</row>
    <row r="189" ht="31.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</row>
    <row r="190" ht="31.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</row>
    <row r="191" ht="31.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</row>
    <row r="192" ht="31.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</row>
    <row r="193" ht="31.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</row>
    <row r="194" ht="31.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</row>
    <row r="195" ht="31.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</row>
    <row r="196" ht="31.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</row>
    <row r="197" ht="31.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</row>
    <row r="198" ht="31.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</row>
    <row r="199" ht="31.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</row>
    <row r="200" ht="31.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</row>
    <row r="201" ht="31.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</row>
    <row r="202" ht="31.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</row>
    <row r="203" ht="31.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</row>
    <row r="204" ht="31.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</row>
    <row r="205" ht="31.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</row>
    <row r="206" ht="31.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</row>
    <row r="207" ht="31.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</row>
    <row r="208" ht="31.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</row>
    <row r="209" ht="31.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</row>
    <row r="210" ht="31.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</row>
    <row r="211" ht="31.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</row>
    <row r="212" ht="31.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</row>
    <row r="213" ht="31.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</row>
    <row r="214" ht="31.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</row>
    <row r="215" ht="31.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</row>
    <row r="216" ht="31.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</row>
    <row r="217" ht="31.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</row>
    <row r="218" ht="31.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</row>
    <row r="219" ht="31.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</row>
    <row r="220" ht="31.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</row>
    <row r="221" ht="31.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</row>
    <row r="222" ht="31.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</row>
    <row r="223" ht="31.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</row>
    <row r="224" ht="31.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</row>
    <row r="225" ht="31.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</row>
    <row r="226" ht="31.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</row>
    <row r="227" ht="31.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</row>
    <row r="228" ht="31.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</row>
    <row r="229" ht="31.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</row>
    <row r="230" ht="31.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</row>
    <row r="231" ht="31.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</row>
    <row r="232" ht="31.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</row>
    <row r="233" ht="31.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</row>
    <row r="234" ht="31.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</row>
    <row r="235" ht="31.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</row>
    <row r="236" ht="31.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</row>
    <row r="237" ht="31.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</row>
    <row r="238" ht="31.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</row>
    <row r="239" ht="31.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</row>
    <row r="240" ht="31.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</row>
    <row r="241" ht="31.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</row>
    <row r="242" ht="31.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</row>
    <row r="243" ht="31.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</row>
    <row r="244" ht="31.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</row>
    <row r="245" ht="31.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</row>
    <row r="246" ht="31.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</row>
    <row r="247" ht="31.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</row>
    <row r="248" ht="31.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</row>
    <row r="249" ht="31.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</row>
    <row r="250" ht="31.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</row>
    <row r="251" ht="31.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</row>
    <row r="252" ht="31.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</row>
    <row r="253" ht="31.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</row>
    <row r="254" ht="31.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</row>
    <row r="255" ht="31.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</row>
    <row r="256" ht="31.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</row>
    <row r="257" ht="31.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</row>
    <row r="258" ht="31.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</row>
    <row r="259" ht="31.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</row>
    <row r="260" ht="31.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</row>
    <row r="261" ht="31.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</row>
    <row r="262" ht="31.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</row>
    <row r="263" ht="31.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</row>
    <row r="264" ht="31.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</row>
    <row r="265" ht="31.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</row>
    <row r="266" ht="31.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</row>
    <row r="267" ht="31.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</row>
    <row r="268" ht="31.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</row>
    <row r="269" ht="31.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</row>
    <row r="270" ht="31.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</row>
    <row r="271" ht="31.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</row>
    <row r="272" ht="31.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</row>
    <row r="273" ht="31.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</row>
    <row r="274" ht="31.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</row>
    <row r="275" ht="31.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</row>
    <row r="276" ht="31.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</row>
    <row r="277" ht="31.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</row>
    <row r="278" ht="31.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</row>
    <row r="279" ht="31.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</row>
    <row r="280" ht="31.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</row>
    <row r="281" ht="31.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</row>
    <row r="282" ht="31.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</row>
    <row r="283" ht="31.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</row>
    <row r="284" ht="31.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</row>
    <row r="285" ht="31.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</row>
    <row r="286" ht="31.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</row>
    <row r="287" ht="31.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</row>
    <row r="288" ht="31.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</row>
    <row r="289" ht="31.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</row>
    <row r="290" ht="31.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</row>
    <row r="291" ht="31.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</row>
    <row r="292" ht="31.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</row>
    <row r="293" ht="31.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</row>
    <row r="294" ht="31.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</row>
    <row r="295" ht="31.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</row>
    <row r="296" ht="31.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</row>
    <row r="297" ht="31.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</row>
    <row r="298" ht="31.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</row>
    <row r="299" ht="31.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</row>
    <row r="300" ht="31.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</row>
    <row r="301" ht="31.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</row>
    <row r="302" ht="31.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</row>
    <row r="303" ht="31.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</row>
    <row r="304" ht="31.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</row>
    <row r="305" ht="31.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</row>
    <row r="306" ht="31.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</row>
    <row r="307" ht="31.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</row>
    <row r="308" ht="31.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</row>
    <row r="309" ht="31.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</row>
    <row r="310" ht="31.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</row>
    <row r="311" ht="31.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</row>
    <row r="312" ht="31.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</row>
    <row r="313" ht="31.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</row>
    <row r="314" ht="31.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</row>
    <row r="315" ht="31.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</row>
    <row r="316" ht="31.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</row>
    <row r="317" ht="31.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</row>
    <row r="318" ht="31.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</row>
    <row r="319" ht="31.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</row>
    <row r="320" ht="31.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</row>
    <row r="321" ht="31.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</row>
    <row r="322" ht="31.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</row>
    <row r="323" ht="31.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</row>
    <row r="324" ht="31.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</row>
    <row r="325" ht="31.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</row>
    <row r="326" ht="31.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</row>
    <row r="327" ht="31.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</row>
    <row r="328" ht="31.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</row>
    <row r="329" ht="31.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</row>
    <row r="330" ht="31.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</row>
    <row r="331" ht="31.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</row>
    <row r="332" ht="31.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</row>
    <row r="333" ht="31.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</row>
    <row r="334" ht="31.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</row>
    <row r="335" ht="31.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</row>
    <row r="336" ht="31.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</row>
    <row r="337" ht="31.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</row>
    <row r="338" ht="31.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</row>
    <row r="339" ht="31.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</row>
    <row r="340" ht="31.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</row>
    <row r="341" ht="31.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</row>
    <row r="342" ht="31.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</row>
    <row r="343" ht="31.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</row>
    <row r="344" ht="31.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</row>
    <row r="345" ht="31.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</row>
    <row r="346" ht="31.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</row>
    <row r="347" ht="31.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</row>
    <row r="348" ht="31.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</row>
    <row r="349" ht="31.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</row>
    <row r="350" ht="31.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</row>
    <row r="351" ht="31.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</row>
    <row r="352" ht="31.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</row>
    <row r="353" ht="31.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</row>
    <row r="354" ht="31.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</row>
    <row r="355" ht="31.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</row>
    <row r="356" ht="31.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</row>
    <row r="357" ht="31.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</row>
    <row r="358" ht="31.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</row>
    <row r="359" ht="31.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</row>
    <row r="360" ht="31.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</row>
    <row r="361" ht="31.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</row>
    <row r="362" ht="31.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</row>
    <row r="363" ht="31.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</row>
    <row r="364" ht="31.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</row>
    <row r="365" ht="31.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</row>
    <row r="366" ht="31.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</row>
    <row r="367" ht="31.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</row>
    <row r="368" ht="31.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</row>
    <row r="369" ht="31.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</row>
    <row r="370" ht="31.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</row>
    <row r="371" ht="31.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</row>
    <row r="372" ht="31.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</row>
    <row r="373" ht="31.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</row>
    <row r="374" ht="31.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</row>
    <row r="375" ht="31.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</row>
    <row r="376" ht="31.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</row>
    <row r="377" ht="31.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</row>
    <row r="378" ht="31.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</row>
    <row r="379" ht="31.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</row>
    <row r="380" ht="31.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</row>
    <row r="381" ht="31.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</row>
    <row r="382" ht="31.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</row>
    <row r="383" ht="31.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</row>
    <row r="384" ht="31.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</row>
    <row r="385" ht="31.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</row>
    <row r="386" ht="31.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</row>
    <row r="387" ht="31.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</row>
    <row r="388" ht="31.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</row>
    <row r="389" ht="31.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</row>
    <row r="390" ht="31.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</row>
    <row r="391" ht="31.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</row>
    <row r="392" ht="31.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</row>
    <row r="393" ht="31.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</row>
    <row r="394" ht="31.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</row>
    <row r="395" ht="31.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</row>
    <row r="396" ht="31.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</row>
    <row r="397" ht="31.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</row>
    <row r="398" ht="31.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</row>
    <row r="399" ht="31.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</row>
    <row r="400" ht="31.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</row>
    <row r="401" ht="31.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</row>
    <row r="402" ht="31.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</row>
    <row r="403" ht="31.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</row>
    <row r="404" ht="31.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</row>
    <row r="405" ht="31.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</row>
    <row r="406" ht="31.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</row>
    <row r="407" ht="31.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</row>
    <row r="408" ht="31.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</row>
    <row r="409" ht="31.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</row>
    <row r="410" ht="31.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</row>
    <row r="411" ht="31.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</row>
    <row r="412" ht="31.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</row>
    <row r="413" ht="31.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</row>
    <row r="414" ht="31.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</row>
    <row r="415" ht="31.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</row>
    <row r="416" ht="31.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</row>
    <row r="417" ht="31.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</row>
    <row r="418" ht="31.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</row>
    <row r="419" ht="31.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</row>
    <row r="420" ht="31.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</row>
    <row r="421" ht="31.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</row>
    <row r="422" ht="31.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</row>
    <row r="423" ht="31.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</row>
    <row r="424" ht="31.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</row>
    <row r="425" ht="31.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</row>
    <row r="426" ht="31.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</row>
    <row r="427" ht="31.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</row>
    <row r="428" ht="31.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</row>
    <row r="429" ht="31.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</row>
    <row r="430" ht="31.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</row>
    <row r="431" ht="31.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</row>
    <row r="432" ht="31.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</row>
    <row r="433" ht="31.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</row>
    <row r="434" ht="31.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</row>
    <row r="435" ht="31.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</row>
    <row r="436" ht="31.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</row>
    <row r="437" ht="31.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</row>
    <row r="438" ht="31.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</row>
    <row r="439" ht="31.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</row>
    <row r="440" ht="31.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</row>
    <row r="441" ht="31.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</row>
    <row r="442" ht="31.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</row>
    <row r="443" ht="31.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</row>
    <row r="444" ht="31.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</row>
    <row r="445" ht="31.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</row>
    <row r="446" ht="31.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</row>
    <row r="447" ht="31.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</row>
    <row r="448" ht="31.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</row>
    <row r="449" ht="31.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</row>
    <row r="450" ht="31.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</row>
    <row r="451" ht="31.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</row>
    <row r="452" ht="31.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</row>
    <row r="453" ht="31.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</row>
    <row r="454" ht="31.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</row>
    <row r="455" ht="31.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</row>
    <row r="456" ht="31.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</row>
    <row r="457" ht="31.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</row>
    <row r="458" ht="31.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</row>
    <row r="459" ht="31.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</row>
    <row r="460" ht="31.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</row>
    <row r="461" ht="31.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</row>
    <row r="462" ht="31.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</row>
    <row r="463" ht="31.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</row>
    <row r="464" ht="31.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</row>
    <row r="465" ht="31.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</row>
    <row r="466" ht="31.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</row>
    <row r="467" ht="31.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</row>
    <row r="468" ht="31.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</row>
    <row r="469" ht="31.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</row>
    <row r="470" ht="31.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</row>
    <row r="471" ht="31.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</row>
    <row r="472" ht="31.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</row>
    <row r="473" ht="31.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</row>
    <row r="474" ht="31.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</row>
    <row r="475" ht="31.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</row>
    <row r="476" ht="31.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</row>
    <row r="477" ht="31.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</row>
    <row r="478" ht="31.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</row>
    <row r="479" ht="31.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</row>
    <row r="480" ht="31.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</row>
    <row r="481" ht="31.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</row>
    <row r="482" ht="31.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</row>
    <row r="483" ht="31.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</row>
    <row r="484" ht="31.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</row>
    <row r="485" ht="31.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</row>
    <row r="486" ht="31.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</row>
    <row r="487" ht="31.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</row>
    <row r="488" ht="31.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</row>
    <row r="489" ht="31.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</row>
    <row r="490" ht="31.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</row>
    <row r="491" ht="31.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</row>
    <row r="492" ht="31.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</row>
    <row r="493" ht="31.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</row>
    <row r="494" ht="31.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</row>
    <row r="495" ht="31.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</row>
    <row r="496" ht="31.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</row>
    <row r="497" ht="31.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</row>
    <row r="498" ht="31.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</row>
    <row r="499" ht="31.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</row>
    <row r="500" ht="31.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</row>
    <row r="501" ht="31.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</row>
    <row r="502" ht="31.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</row>
    <row r="503" ht="31.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</row>
    <row r="504" ht="31.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</row>
    <row r="505" ht="31.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</row>
    <row r="506" ht="31.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</row>
    <row r="507" ht="31.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</row>
    <row r="508" ht="31.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</row>
    <row r="509" ht="31.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</row>
    <row r="510" ht="31.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</row>
    <row r="511" ht="31.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</row>
    <row r="512" ht="31.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</row>
    <row r="513" ht="31.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</row>
    <row r="514" ht="31.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</row>
    <row r="515" ht="31.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</row>
    <row r="516" ht="31.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</row>
    <row r="517" ht="31.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</row>
    <row r="518" ht="31.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</row>
    <row r="519" ht="31.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</row>
    <row r="520" ht="31.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</row>
    <row r="521" ht="31.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</row>
    <row r="522" ht="31.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</row>
    <row r="523" ht="31.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</row>
    <row r="524" ht="31.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</row>
    <row r="525" ht="31.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</row>
    <row r="526" ht="31.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</row>
    <row r="527" ht="31.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</row>
    <row r="528" ht="31.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</row>
    <row r="529" ht="31.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</row>
    <row r="530" ht="31.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</row>
    <row r="531" ht="31.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</row>
    <row r="532" ht="31.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</row>
    <row r="533" ht="31.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</row>
    <row r="534" ht="31.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</row>
    <row r="535" ht="31.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</row>
    <row r="536" ht="31.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</row>
    <row r="537" ht="31.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</row>
    <row r="538" ht="31.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</row>
    <row r="539" ht="31.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</row>
    <row r="540" ht="31.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</row>
    <row r="541" ht="31.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</row>
    <row r="542" ht="31.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</row>
    <row r="543" ht="31.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</row>
    <row r="544" ht="31.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</row>
    <row r="545" ht="31.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</row>
    <row r="546" ht="31.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</row>
    <row r="547" ht="31.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</row>
    <row r="548" ht="31.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</row>
    <row r="549" ht="31.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</row>
    <row r="550" ht="31.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</row>
    <row r="551" ht="31.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</row>
    <row r="552" ht="31.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</row>
    <row r="553" ht="31.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</row>
    <row r="554" ht="31.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</row>
    <row r="555" ht="31.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</row>
    <row r="556" ht="31.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</row>
    <row r="557" ht="31.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</row>
    <row r="558" ht="31.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</row>
    <row r="559" ht="31.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</row>
    <row r="560" ht="31.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</row>
    <row r="561" ht="31.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</row>
    <row r="562" ht="31.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</row>
    <row r="563" ht="31.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</row>
    <row r="564" ht="31.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</row>
    <row r="565" ht="31.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</row>
    <row r="566" ht="31.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</row>
    <row r="567" ht="31.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</row>
    <row r="568" ht="31.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</row>
    <row r="569" ht="31.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</row>
    <row r="570" ht="31.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</row>
    <row r="571" ht="31.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</row>
    <row r="572" ht="31.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</row>
    <row r="573" ht="31.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</row>
    <row r="574" ht="31.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</row>
    <row r="575" ht="31.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</row>
    <row r="576" ht="31.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</row>
    <row r="577" ht="31.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</row>
    <row r="578" ht="31.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</row>
    <row r="579" ht="31.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</row>
    <row r="580" ht="31.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</row>
    <row r="581" ht="31.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</row>
    <row r="582" ht="31.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</row>
    <row r="583" ht="31.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</row>
    <row r="584" ht="31.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</row>
    <row r="585" ht="31.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</row>
    <row r="586" ht="31.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</row>
    <row r="587" ht="31.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</row>
    <row r="588" ht="31.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</row>
    <row r="589" ht="31.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</row>
    <row r="590" ht="31.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</row>
    <row r="591" ht="31.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</row>
    <row r="592" ht="31.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</row>
    <row r="593" ht="31.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</row>
    <row r="594" ht="31.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</row>
    <row r="595" ht="31.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</row>
    <row r="596" ht="31.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</row>
    <row r="597" ht="31.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</row>
    <row r="598" ht="31.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</row>
    <row r="599" ht="31.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</row>
    <row r="600" ht="31.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</row>
    <row r="601" ht="31.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</row>
    <row r="602" ht="31.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</row>
    <row r="603" ht="31.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</row>
    <row r="604" ht="31.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</row>
    <row r="605" ht="31.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</row>
    <row r="606" ht="31.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</row>
    <row r="607" ht="31.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</row>
    <row r="608" ht="31.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</row>
    <row r="609" ht="31.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</row>
    <row r="610" ht="31.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</row>
    <row r="611" ht="31.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</row>
    <row r="612" ht="31.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</row>
    <row r="613" ht="31.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</row>
    <row r="614" ht="31.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</row>
    <row r="615" ht="31.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</row>
    <row r="616" ht="31.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</row>
    <row r="617" ht="31.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</row>
    <row r="618" ht="31.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</row>
    <row r="619" ht="31.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</row>
    <row r="620" ht="31.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</row>
    <row r="621" ht="31.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</row>
    <row r="622" ht="31.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</row>
    <row r="623" ht="31.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</row>
    <row r="624" ht="31.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</row>
    <row r="625" ht="31.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</row>
    <row r="626" ht="31.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</row>
    <row r="627" ht="31.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</row>
    <row r="628" ht="31.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</row>
    <row r="629" ht="31.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</row>
    <row r="630" ht="31.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</row>
    <row r="631" ht="31.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</row>
    <row r="632" ht="31.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</row>
    <row r="633" ht="31.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</row>
    <row r="634" ht="31.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</row>
    <row r="635" ht="31.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</row>
    <row r="636" ht="31.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</row>
    <row r="637" ht="31.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</row>
    <row r="638" ht="31.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</row>
    <row r="639" ht="31.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</row>
    <row r="640" ht="31.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</row>
    <row r="641" ht="31.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</row>
    <row r="642" ht="31.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</row>
    <row r="643" ht="31.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</row>
    <row r="644" ht="31.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</row>
    <row r="645" ht="31.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</row>
    <row r="646" ht="31.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</row>
    <row r="647" ht="31.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</row>
    <row r="648" ht="31.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</row>
    <row r="649" ht="31.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</row>
    <row r="650" ht="31.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</row>
    <row r="651" ht="31.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</row>
    <row r="652" ht="31.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</row>
    <row r="653" ht="31.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</row>
    <row r="654" ht="31.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</row>
    <row r="655" ht="31.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</row>
    <row r="656" ht="31.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</row>
    <row r="657" ht="31.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</row>
    <row r="658" ht="31.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</row>
    <row r="659" ht="31.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</row>
    <row r="660" ht="31.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</row>
    <row r="661" ht="31.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</row>
    <row r="662" ht="31.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</row>
    <row r="663" ht="31.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</row>
    <row r="664" ht="31.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</row>
    <row r="665" ht="31.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</row>
    <row r="666" ht="31.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</row>
    <row r="667" ht="31.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</row>
    <row r="668" ht="31.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</row>
    <row r="669" ht="31.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</row>
    <row r="670" ht="31.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</row>
    <row r="671" ht="31.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</row>
    <row r="672" ht="31.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</row>
    <row r="673" ht="31.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</row>
    <row r="674" ht="31.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</row>
    <row r="675" ht="31.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</row>
    <row r="676" ht="31.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</row>
    <row r="677" ht="31.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</row>
    <row r="678" ht="31.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</row>
    <row r="679" ht="31.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</row>
    <row r="680" ht="31.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</row>
    <row r="681" ht="31.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</row>
    <row r="682" ht="31.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</row>
    <row r="683" ht="31.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</row>
    <row r="684" ht="31.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</row>
    <row r="685" ht="31.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</row>
    <row r="686" ht="31.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</row>
    <row r="687" ht="31.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</row>
    <row r="688" ht="31.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</row>
    <row r="689" ht="31.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</row>
    <row r="690" ht="31.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</row>
    <row r="691" ht="31.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</row>
    <row r="692" ht="31.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</row>
    <row r="693" ht="31.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</row>
    <row r="694" ht="31.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</row>
    <row r="695" ht="31.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</row>
    <row r="696" ht="31.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</row>
    <row r="697" ht="31.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</row>
    <row r="698" ht="31.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</row>
    <row r="699" ht="31.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</row>
    <row r="700" ht="31.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</row>
    <row r="701" ht="31.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</row>
    <row r="702" ht="31.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</row>
    <row r="703" ht="31.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</row>
    <row r="704" ht="31.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</row>
    <row r="705" ht="31.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</row>
    <row r="706" ht="31.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</row>
    <row r="707" ht="31.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</row>
    <row r="708" ht="31.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</row>
    <row r="709" ht="31.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</row>
    <row r="710" ht="31.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</row>
    <row r="711" ht="31.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</row>
    <row r="712" ht="31.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</row>
    <row r="713" ht="31.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</row>
    <row r="714" ht="31.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</row>
    <row r="715" ht="31.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</row>
    <row r="716" ht="31.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</row>
    <row r="717" ht="31.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</row>
    <row r="718" ht="31.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</row>
    <row r="719" ht="31.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</row>
    <row r="720" ht="31.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</row>
    <row r="721" ht="31.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</row>
    <row r="722" ht="31.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</row>
    <row r="723" ht="31.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</row>
    <row r="724" ht="31.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</row>
    <row r="725" ht="31.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</row>
    <row r="726" ht="31.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</row>
    <row r="727" ht="31.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</row>
    <row r="728" ht="31.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</row>
    <row r="729" ht="31.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</row>
    <row r="730" ht="31.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</row>
    <row r="731" ht="31.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</row>
    <row r="732" ht="31.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</row>
    <row r="733" ht="31.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</row>
    <row r="734" ht="31.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</row>
    <row r="735" ht="31.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</row>
    <row r="736" ht="31.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</row>
    <row r="737" ht="31.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</row>
    <row r="738" ht="31.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</row>
    <row r="739" ht="31.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</row>
    <row r="740" ht="31.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</row>
    <row r="741" ht="31.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</row>
    <row r="742" ht="31.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</row>
    <row r="743" ht="31.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</row>
    <row r="744" ht="31.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</row>
    <row r="745" ht="31.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</row>
    <row r="746" ht="31.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</row>
    <row r="747" ht="31.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</row>
    <row r="748" ht="31.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</row>
    <row r="749" ht="31.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</row>
    <row r="750" ht="31.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</row>
    <row r="751" ht="31.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</row>
    <row r="752" ht="31.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</row>
    <row r="753" ht="31.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</row>
    <row r="754" ht="31.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</row>
    <row r="755" ht="31.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</row>
    <row r="756" ht="31.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</row>
    <row r="757" ht="31.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</row>
    <row r="758" ht="31.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</row>
    <row r="759" ht="31.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</row>
    <row r="760" ht="31.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</row>
    <row r="761" ht="31.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</row>
    <row r="762" ht="31.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</row>
    <row r="763" ht="31.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</row>
    <row r="764" ht="31.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</row>
    <row r="765" ht="31.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</row>
    <row r="766" ht="31.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</row>
    <row r="767" ht="31.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</row>
    <row r="768" ht="31.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</row>
    <row r="769" ht="31.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</row>
    <row r="770" ht="31.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</row>
    <row r="771" ht="31.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</row>
    <row r="772" ht="31.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</row>
    <row r="773" ht="31.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</row>
    <row r="774" ht="31.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</row>
    <row r="775" ht="31.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</row>
    <row r="776" ht="31.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</row>
    <row r="777" ht="31.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</row>
    <row r="778" ht="31.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</row>
    <row r="779" ht="31.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</row>
    <row r="780" ht="31.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</row>
    <row r="781" ht="31.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</row>
    <row r="782" ht="31.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</row>
    <row r="783" ht="31.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</row>
    <row r="784" ht="31.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</row>
    <row r="785" ht="31.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</row>
    <row r="786" ht="31.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</row>
    <row r="787" ht="31.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</row>
    <row r="788" ht="31.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</row>
    <row r="789" ht="31.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</row>
    <row r="790" ht="31.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</row>
    <row r="791" ht="31.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</row>
    <row r="792" ht="31.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</row>
    <row r="793" ht="31.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</row>
    <row r="794" ht="31.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</row>
    <row r="795" ht="31.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</row>
    <row r="796" ht="31.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</row>
    <row r="797" ht="31.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</row>
    <row r="798" ht="31.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</row>
    <row r="799" ht="31.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</row>
    <row r="800" ht="31.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</row>
    <row r="801" ht="31.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</row>
    <row r="802" ht="31.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</row>
    <row r="803" ht="31.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</row>
    <row r="804" ht="31.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</row>
    <row r="805" ht="31.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</row>
    <row r="806" ht="31.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</row>
    <row r="807" ht="31.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</row>
    <row r="808" ht="31.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</row>
    <row r="809" ht="31.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</row>
    <row r="810" ht="31.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</row>
    <row r="811" ht="31.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</row>
    <row r="812" ht="31.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</row>
    <row r="813" ht="31.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</row>
    <row r="814" ht="31.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</row>
    <row r="815" ht="31.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</row>
    <row r="816" ht="31.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</row>
    <row r="817" ht="31.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</row>
    <row r="818" ht="31.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</row>
    <row r="819" ht="31.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</row>
    <row r="820" ht="31.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</row>
    <row r="821" ht="31.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</row>
    <row r="822" ht="31.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</row>
    <row r="823" ht="31.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</row>
    <row r="824" ht="31.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</row>
    <row r="825" ht="31.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</row>
    <row r="826" ht="31.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</row>
    <row r="827" ht="31.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</row>
    <row r="828" ht="31.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</row>
    <row r="829" ht="31.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</row>
    <row r="830" ht="31.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</row>
    <row r="831" ht="31.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</row>
    <row r="832" ht="31.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</row>
    <row r="833" ht="31.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</row>
    <row r="834" ht="31.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</row>
    <row r="835" ht="31.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</row>
    <row r="836" ht="31.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</row>
    <row r="837" ht="31.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</row>
    <row r="838" ht="31.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</row>
    <row r="839" ht="31.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</row>
    <row r="840" ht="31.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</row>
    <row r="841" ht="31.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</row>
    <row r="842" ht="31.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</row>
    <row r="843" ht="31.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</row>
    <row r="844" ht="31.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</row>
    <row r="845" ht="31.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</row>
    <row r="846" ht="31.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</row>
    <row r="847" ht="31.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</row>
    <row r="848" ht="31.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</row>
    <row r="849" ht="31.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</row>
    <row r="850" ht="31.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</row>
    <row r="851" ht="31.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</row>
    <row r="852" ht="31.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</row>
    <row r="853" ht="31.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</row>
    <row r="854" ht="31.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</row>
    <row r="855" ht="31.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</row>
    <row r="856" ht="31.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</row>
    <row r="857" ht="31.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</row>
    <row r="858" ht="31.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</row>
    <row r="859" ht="31.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</row>
    <row r="860" ht="31.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</row>
    <row r="861" ht="31.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</row>
    <row r="862" ht="31.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</row>
    <row r="863" ht="31.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</row>
    <row r="864" ht="31.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</row>
    <row r="865" ht="31.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</row>
    <row r="866" ht="31.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</row>
    <row r="867" ht="31.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</row>
    <row r="868" ht="31.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</row>
    <row r="869" ht="31.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</row>
    <row r="870" ht="31.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</row>
    <row r="871" ht="31.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</row>
    <row r="872" ht="31.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</row>
    <row r="873" ht="31.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</row>
    <row r="874" ht="31.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</row>
    <row r="875" ht="31.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</row>
    <row r="876" ht="31.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</row>
    <row r="877" ht="31.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</row>
    <row r="878" ht="31.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</row>
    <row r="879" ht="31.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</row>
    <row r="880" ht="31.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</row>
    <row r="881" ht="31.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</row>
    <row r="882" ht="31.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</row>
    <row r="883" ht="31.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</row>
    <row r="884" ht="31.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</row>
    <row r="885" ht="31.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</row>
    <row r="886" ht="31.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</row>
    <row r="887" ht="31.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</row>
    <row r="888" ht="31.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</row>
    <row r="889" ht="31.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</row>
    <row r="890" ht="31.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</row>
    <row r="891" ht="31.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</row>
    <row r="892" ht="31.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</row>
    <row r="893" ht="31.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</row>
    <row r="894" ht="31.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</row>
    <row r="895" ht="31.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</row>
    <row r="896" ht="31.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</row>
    <row r="897" ht="31.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</row>
    <row r="898" ht="31.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</row>
    <row r="899" ht="31.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</row>
    <row r="900" ht="31.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</row>
    <row r="901" ht="31.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</row>
    <row r="902" ht="31.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</row>
    <row r="903" ht="31.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</row>
    <row r="904" ht="31.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</row>
    <row r="905" ht="31.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</row>
    <row r="906" ht="31.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</row>
    <row r="907" ht="31.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</row>
    <row r="908" ht="31.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</row>
    <row r="909" ht="31.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</row>
    <row r="910" ht="31.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</row>
    <row r="911" ht="31.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</row>
    <row r="912" ht="31.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</row>
    <row r="913" ht="31.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</row>
    <row r="914" ht="31.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</row>
    <row r="915" ht="31.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</row>
    <row r="916" ht="31.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</row>
    <row r="917" ht="31.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</row>
    <row r="918" ht="31.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</row>
    <row r="919" ht="31.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</row>
    <row r="920" ht="31.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</row>
    <row r="921" ht="31.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</row>
    <row r="922" ht="31.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</row>
    <row r="923" ht="31.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</row>
    <row r="924" ht="31.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</row>
    <row r="925" ht="31.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</row>
    <row r="926" ht="31.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</row>
    <row r="927" ht="31.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</row>
    <row r="928" ht="31.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</row>
    <row r="929" ht="31.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</row>
    <row r="930" ht="31.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</row>
    <row r="931" ht="31.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</row>
    <row r="932" ht="31.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</row>
    <row r="933" ht="31.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</row>
    <row r="934" ht="31.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</row>
    <row r="935" ht="31.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</row>
    <row r="936" ht="31.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</row>
    <row r="937" ht="31.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</row>
    <row r="938" ht="31.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</row>
    <row r="939" ht="31.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</row>
    <row r="940" ht="31.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</row>
    <row r="941" ht="31.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</row>
    <row r="942" ht="31.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</row>
    <row r="943" ht="31.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</row>
    <row r="944" ht="31.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</row>
    <row r="945" ht="31.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</row>
    <row r="946" ht="31.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</row>
    <row r="947" ht="31.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</row>
    <row r="948" ht="31.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</row>
    <row r="949" ht="31.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</row>
    <row r="950" ht="31.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</row>
    <row r="951" ht="31.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</row>
    <row r="952" ht="31.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</row>
    <row r="953" ht="31.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</row>
    <row r="954" ht="31.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</row>
    <row r="955" ht="31.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</row>
    <row r="956" ht="31.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</row>
    <row r="957" ht="31.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</row>
    <row r="958" ht="31.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</row>
    <row r="959" ht="31.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</row>
    <row r="960" ht="31.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</row>
    <row r="961" ht="31.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</row>
    <row r="962" ht="31.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</row>
    <row r="963" ht="31.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</row>
    <row r="964" ht="31.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</row>
    <row r="965" ht="31.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</row>
    <row r="966" ht="31.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</row>
    <row r="967" ht="31.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</row>
    <row r="968" ht="31.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</row>
    <row r="969" ht="31.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</row>
    <row r="970" ht="31.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</row>
    <row r="971" ht="31.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</row>
    <row r="972" ht="31.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</row>
    <row r="973" ht="31.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</row>
    <row r="974" ht="31.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</row>
    <row r="975" ht="31.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</row>
    <row r="976" ht="31.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</row>
    <row r="977" ht="31.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</row>
    <row r="978" ht="31.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</row>
    <row r="979" ht="31.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</row>
    <row r="980" ht="31.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</row>
    <row r="981" ht="31.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</row>
    <row r="982" ht="31.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</row>
    <row r="983" ht="31.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</row>
    <row r="984" ht="31.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</row>
    <row r="985" ht="31.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</row>
    <row r="986" ht="31.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</row>
    <row r="987" ht="31.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</row>
    <row r="988" ht="31.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</row>
    <row r="989" ht="31.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</row>
    <row r="990" ht="31.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</row>
    <row r="991" ht="31.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</row>
    <row r="992" ht="31.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</row>
    <row r="993" ht="31.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</row>
    <row r="994" ht="31.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</row>
    <row r="995" ht="31.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</row>
    <row r="996" ht="31.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5"/>
    <col customWidth="1" min="2" max="2" width="8.25"/>
    <col customWidth="1" min="3" max="4" width="9.38"/>
    <col customWidth="1" min="5" max="5" width="28.13"/>
    <col customWidth="1" min="6" max="6" width="111.75"/>
    <col customWidth="1" min="7" max="7" width="33.75"/>
    <col customWidth="1" min="8" max="8" width="15.25"/>
    <col customWidth="1" min="9" max="9" width="16.38"/>
    <col customWidth="1" min="10" max="10" width="13.38"/>
    <col customWidth="1" min="11" max="11" width="62.5"/>
    <col customWidth="1" min="12" max="12" width="15.13"/>
    <col customWidth="1" min="13" max="13" width="24.75"/>
    <col customWidth="1" min="14" max="14" width="25.0"/>
    <col customWidth="1" min="15" max="15" width="10.13"/>
  </cols>
  <sheetData>
    <row r="1" ht="33.0" customHeight="1">
      <c r="A1" s="118" t="s">
        <v>96</v>
      </c>
      <c r="B1" s="119" t="s">
        <v>68</v>
      </c>
      <c r="C1" s="119" t="s">
        <v>60</v>
      </c>
      <c r="D1" s="119" t="s">
        <v>61</v>
      </c>
      <c r="E1" s="119" t="s">
        <v>89</v>
      </c>
      <c r="F1" s="119" t="s">
        <v>90</v>
      </c>
      <c r="G1" s="119" t="s">
        <v>91</v>
      </c>
      <c r="H1" s="119" t="s">
        <v>92</v>
      </c>
      <c r="I1" s="119" t="s">
        <v>93</v>
      </c>
      <c r="J1" s="119" t="s">
        <v>94</v>
      </c>
      <c r="K1" s="119" t="s">
        <v>95</v>
      </c>
      <c r="L1" s="70" t="s">
        <v>29</v>
      </c>
      <c r="M1" s="61" t="s">
        <v>1</v>
      </c>
      <c r="N1" s="70" t="s">
        <v>118</v>
      </c>
      <c r="O1" s="70" t="s">
        <v>119</v>
      </c>
      <c r="P1" s="12"/>
      <c r="Q1" s="12"/>
      <c r="R1" s="12"/>
      <c r="S1" s="12"/>
      <c r="T1" s="12"/>
      <c r="U1" s="12"/>
      <c r="V1" s="12"/>
      <c r="W1" s="12"/>
      <c r="X1" s="12"/>
      <c r="Y1" s="12"/>
    </row>
    <row r="2" ht="33.0" customHeight="1">
      <c r="A2" s="120" t="str">
        <f>IFERROR(__xludf.DUMMYFUNCTION("QUERY(MasterData!A1:NK11797,""select CS,CT,CU,CV,CW,CX,CY,CZ,DA,DB,DC,B,C,FL,FM where C='S8: Student Events Organized'"",0)"),"AI and Applications")</f>
        <v>AI and Applications</v>
      </c>
      <c r="B2" s="71" t="str">
        <f>IFERROR(__xludf.DUMMYFUNCTION("""COMPUTED_VALUE"""),"2hrs")</f>
        <v>2hrs</v>
      </c>
      <c r="C2" s="72">
        <f>IFERROR(__xludf.DUMMYFUNCTION("""COMPUTED_VALUE"""),44121.0)</f>
        <v>44121</v>
      </c>
      <c r="D2" s="72">
        <f>IFERROR(__xludf.DUMMYFUNCTION("""COMPUTED_VALUE"""),44121.0)</f>
        <v>44121</v>
      </c>
      <c r="E2" s="71">
        <f>IFERROR(__xludf.DUMMYFUNCTION("""COMPUTED_VALUE"""),111.0)</f>
        <v>111</v>
      </c>
      <c r="F2" s="71" t="str">
        <f>IFERROR(__xludf.DUMMYFUNCTION("""COMPUTED_VALUE"""),"Dr KV Kadambari")</f>
        <v>Dr KV Kadambari</v>
      </c>
      <c r="G2" s="71" t="str">
        <f>IFERROR(__xludf.DUMMYFUNCTION("""COMPUTED_VALUE"""),"Dr P Satheesh")</f>
        <v>Dr P Satheesh</v>
      </c>
      <c r="H2" s="71">
        <f>IFERROR(__xludf.DUMMYFUNCTION("""COMPUTED_VALUE"""),0.0)</f>
        <v>0</v>
      </c>
      <c r="I2" s="71">
        <f>IFERROR(__xludf.DUMMYFUNCTION("""COMPUTED_VALUE"""),0.0)</f>
        <v>0</v>
      </c>
      <c r="J2" s="71">
        <f>IFERROR(__xludf.DUMMYFUNCTION("""COMPUTED_VALUE"""),0.0)</f>
        <v>0</v>
      </c>
      <c r="K2" s="73" t="str">
        <f>IFERROR(__xludf.DUMMYFUNCTION("""COMPUTED_VALUE"""),"https://drive.google.com/open?id=1FDgWJRLG-0YmUX-Ho8W9BzIF5VOe8920")</f>
        <v>https://drive.google.com/open?id=1FDgWJRLG-0YmUX-Ho8W9BzIF5VOe8920</v>
      </c>
      <c r="L2" s="71" t="str">
        <f>IFERROR(__xludf.DUMMYFUNCTION("""COMPUTED_VALUE"""),"3")</f>
        <v>3</v>
      </c>
      <c r="M2" s="71" t="str">
        <f>IFERROR(__xludf.DUMMYFUNCTION("""COMPUTED_VALUE"""),"S8: Student Events Organized")</f>
        <v>S8: Student Events Organized</v>
      </c>
      <c r="N2" s="71" t="str">
        <f>IFERROR(__xludf.DUMMYFUNCTION("""COMPUTED_VALUE"""),"satish@mvgrce.edu.in")</f>
        <v>satish@mvgrce.edu.in</v>
      </c>
      <c r="O2" s="71"/>
      <c r="P2" s="74"/>
      <c r="Q2" s="74"/>
      <c r="R2" s="74"/>
      <c r="S2" s="74"/>
      <c r="T2" s="74"/>
      <c r="U2" s="74"/>
      <c r="V2" s="74"/>
      <c r="W2" s="74"/>
      <c r="X2" s="74"/>
      <c r="Y2" s="74"/>
    </row>
    <row r="3" ht="33.0" customHeight="1">
      <c r="A3" s="120" t="str">
        <f>IFERROR(__xludf.DUMMYFUNCTION("""COMPUTED_VALUE"""),"Business Model innovation using digital platforms")</f>
        <v>Business Model innovation using digital platforms</v>
      </c>
      <c r="B3" s="71" t="str">
        <f>IFERROR(__xludf.DUMMYFUNCTION("""COMPUTED_VALUE"""),"2hrs")</f>
        <v>2hrs</v>
      </c>
      <c r="C3" s="72">
        <f>IFERROR(__xludf.DUMMYFUNCTION("""COMPUTED_VALUE"""),44093.0)</f>
        <v>44093</v>
      </c>
      <c r="D3" s="72">
        <f>IFERROR(__xludf.DUMMYFUNCTION("""COMPUTED_VALUE"""),44093.0)</f>
        <v>44093</v>
      </c>
      <c r="E3" s="71">
        <f>IFERROR(__xludf.DUMMYFUNCTION("""COMPUTED_VALUE"""),50.0)</f>
        <v>50</v>
      </c>
      <c r="F3" s="71" t="str">
        <f>IFERROR(__xludf.DUMMYFUNCTION("""COMPUTED_VALUE"""),"Mr P Ramesh, Microsoft")</f>
        <v>Mr P Ramesh, Microsoft</v>
      </c>
      <c r="G3" s="71" t="str">
        <f>IFERROR(__xludf.DUMMYFUNCTION("""COMPUTED_VALUE"""),"Dr P Satheesh and Dr P Ravi Kiran Varma")</f>
        <v>Dr P Satheesh and Dr P Ravi Kiran Varma</v>
      </c>
      <c r="H3" s="71">
        <f>IFERROR(__xludf.DUMMYFUNCTION("""COMPUTED_VALUE"""),0.0)</f>
        <v>0</v>
      </c>
      <c r="I3" s="71">
        <f>IFERROR(__xludf.DUMMYFUNCTION("""COMPUTED_VALUE"""),0.0)</f>
        <v>0</v>
      </c>
      <c r="J3" s="71">
        <f>IFERROR(__xludf.DUMMYFUNCTION("""COMPUTED_VALUE"""),0.0)</f>
        <v>0</v>
      </c>
      <c r="K3" s="73" t="str">
        <f>IFERROR(__xludf.DUMMYFUNCTION("""COMPUTED_VALUE"""),"https://drive.google.com/open?id=16hFTXxdc9QEZmhVAzu2w4tuF05DhDNfC")</f>
        <v>https://drive.google.com/open?id=16hFTXxdc9QEZmhVAzu2w4tuF05DhDNfC</v>
      </c>
      <c r="L3" s="71" t="str">
        <f>IFERROR(__xludf.DUMMYFUNCTION("""COMPUTED_VALUE"""),"7")</f>
        <v>7</v>
      </c>
      <c r="M3" s="71" t="str">
        <f>IFERROR(__xludf.DUMMYFUNCTION("""COMPUTED_VALUE"""),"S8: Student Events Organized")</f>
        <v>S8: Student Events Organized</v>
      </c>
      <c r="N3" s="71" t="str">
        <f>IFERROR(__xludf.DUMMYFUNCTION("""COMPUTED_VALUE"""),"satish@mvgrce.edu.in")</f>
        <v>satish@mvgrce.edu.in</v>
      </c>
      <c r="O3" s="71"/>
      <c r="P3" s="74"/>
      <c r="Q3" s="74"/>
      <c r="R3" s="74"/>
      <c r="S3" s="74"/>
      <c r="T3" s="74"/>
      <c r="U3" s="74"/>
      <c r="V3" s="74"/>
      <c r="W3" s="74"/>
      <c r="X3" s="74"/>
      <c r="Y3" s="74"/>
    </row>
    <row r="4" ht="33.0" customHeight="1">
      <c r="A4" s="120" t="str">
        <f>IFERROR(__xludf.DUMMYFUNCTION("""COMPUTED_VALUE"""),"International Womens Day")</f>
        <v>International Womens Day</v>
      </c>
      <c r="B4" s="71" t="str">
        <f>IFERROR(__xludf.DUMMYFUNCTION("""COMPUTED_VALUE"""),"1 day")</f>
        <v>1 day</v>
      </c>
      <c r="C4" s="72">
        <f>IFERROR(__xludf.DUMMYFUNCTION("""COMPUTED_VALUE"""),44263.0)</f>
        <v>44263</v>
      </c>
      <c r="D4" s="72">
        <f>IFERROR(__xludf.DUMMYFUNCTION("""COMPUTED_VALUE"""),44263.0)</f>
        <v>44263</v>
      </c>
      <c r="E4" s="71">
        <f>IFERROR(__xludf.DUMMYFUNCTION("""COMPUTED_VALUE"""),30.0)</f>
        <v>30</v>
      </c>
      <c r="F4" s="71" t="str">
        <f>IFERROR(__xludf.DUMMYFUNCTION("""COMPUTED_VALUE"""),"Dr.Nandini")</f>
        <v>Dr.Nandini</v>
      </c>
      <c r="G4" s="71" t="str">
        <f>IFERROR(__xludf.DUMMYFUNCTION("""COMPUTED_VALUE"""),"P.Parimala")</f>
        <v>P.Parimala</v>
      </c>
      <c r="H4" s="71">
        <f>IFERROR(__xludf.DUMMYFUNCTION("""COMPUTED_VALUE"""),0.0)</f>
        <v>0</v>
      </c>
      <c r="I4" s="71"/>
      <c r="J4" s="71"/>
      <c r="K4" s="73" t="str">
        <f>IFERROR(__xludf.DUMMYFUNCTION("""COMPUTED_VALUE"""),"https://drive.google.com/open?id=1-v8R8caNSpd9aQqqGDaTIf13ETG7x4f_")</f>
        <v>https://drive.google.com/open?id=1-v8R8caNSpd9aQqqGDaTIf13ETG7x4f_</v>
      </c>
      <c r="L4" s="71" t="str">
        <f>IFERROR(__xludf.DUMMYFUNCTION("""COMPUTED_VALUE"""),"1")</f>
        <v>1</v>
      </c>
      <c r="M4" s="71" t="str">
        <f>IFERROR(__xludf.DUMMYFUNCTION("""COMPUTED_VALUE"""),"S8: Student Events Organized")</f>
        <v>S8: Student Events Organized</v>
      </c>
      <c r="N4" s="71" t="str">
        <f>IFERROR(__xludf.DUMMYFUNCTION("""COMPUTED_VALUE"""),"parimala.palli@mvgrce.edu.in")</f>
        <v>parimala.palli@mvgrce.edu.in</v>
      </c>
      <c r="O4" s="71"/>
      <c r="P4" s="74"/>
      <c r="Q4" s="74"/>
      <c r="R4" s="74"/>
      <c r="S4" s="74"/>
      <c r="T4" s="74"/>
      <c r="U4" s="74"/>
      <c r="V4" s="74"/>
      <c r="W4" s="74"/>
      <c r="X4" s="74"/>
      <c r="Y4" s="74"/>
    </row>
    <row r="5" ht="33.0" customHeight="1">
      <c r="A5" s="120" t="str">
        <f>IFERROR(__xludf.DUMMYFUNCTION("""COMPUTED_VALUE"""),"Sprint 2021 ")</f>
        <v>Sprint 2021 </v>
      </c>
      <c r="B5" s="71" t="str">
        <f>IFERROR(__xludf.DUMMYFUNCTION("""COMPUTED_VALUE"""),"24 hours")</f>
        <v>24 hours</v>
      </c>
      <c r="C5" s="72">
        <f>IFERROR(__xludf.DUMMYFUNCTION("""COMPUTED_VALUE"""),44240.0)</f>
        <v>44240</v>
      </c>
      <c r="D5" s="72">
        <f>IFERROR(__xludf.DUMMYFUNCTION("""COMPUTED_VALUE"""),44241.0)</f>
        <v>44241</v>
      </c>
      <c r="E5" s="71">
        <f>IFERROR(__xludf.DUMMYFUNCTION("""COMPUTED_VALUE"""),58.0)</f>
        <v>58</v>
      </c>
      <c r="F5" s="71" t="str">
        <f>IFERROR(__xludf.DUMMYFUNCTION("""COMPUTED_VALUE"""),"Sripath roy(Gen. Secretary, Swecha AP) ")</f>
        <v>Sripath roy(Gen. Secretary, Swecha AP) </v>
      </c>
      <c r="G5" s="71" t="str">
        <f>IFERROR(__xludf.DUMMYFUNCTION("""COMPUTED_VALUE"""),"M. Vamsi Krishna")</f>
        <v>M. Vamsi Krishna</v>
      </c>
      <c r="H5" s="71">
        <f>IFERROR(__xludf.DUMMYFUNCTION("""COMPUTED_VALUE"""),0.0)</f>
        <v>0</v>
      </c>
      <c r="I5" s="71">
        <f>IFERROR(__xludf.DUMMYFUNCTION("""COMPUTED_VALUE"""),0.0)</f>
        <v>0</v>
      </c>
      <c r="J5" s="71">
        <f>IFERROR(__xludf.DUMMYFUNCTION("""COMPUTED_VALUE"""),0.0)</f>
        <v>0</v>
      </c>
      <c r="K5" s="73" t="str">
        <f>IFERROR(__xludf.DUMMYFUNCTION("""COMPUTED_VALUE"""),"https://drive.google.com/open?id=1LoHF43KbwnVo_okD5d4L7957XnqQvQmj")</f>
        <v>https://drive.google.com/open?id=1LoHF43KbwnVo_okD5d4L7957XnqQvQmj</v>
      </c>
      <c r="L5" s="71" t="str">
        <f>IFERROR(__xludf.DUMMYFUNCTION("""COMPUTED_VALUE"""),"3")</f>
        <v>3</v>
      </c>
      <c r="M5" s="71" t="str">
        <f>IFERROR(__xludf.DUMMYFUNCTION("""COMPUTED_VALUE"""),"S8: Student Events Organized")</f>
        <v>S8: Student Events Organized</v>
      </c>
      <c r="N5" s="71" t="str">
        <f>IFERROR(__xludf.DUMMYFUNCTION("""COMPUTED_VALUE"""),"mvamsi@mvgrce.edu.in")</f>
        <v>mvamsi@mvgrce.edu.in</v>
      </c>
      <c r="O5" s="71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ht="33.0" customHeight="1">
      <c r="A6" s="120" t="str">
        <f>IFERROR(__xludf.DUMMYFUNCTION("""COMPUTED_VALUE"""),"Cisco Women Rock-IT ")</f>
        <v>Cisco Women Rock-IT </v>
      </c>
      <c r="B6" s="71" t="str">
        <f>IFERROR(__xludf.DUMMYFUNCTION("""COMPUTED_VALUE"""),"1 day")</f>
        <v>1 day</v>
      </c>
      <c r="C6" s="72">
        <f>IFERROR(__xludf.DUMMYFUNCTION("""COMPUTED_VALUE"""),44469.0)</f>
        <v>44469</v>
      </c>
      <c r="D6" s="72">
        <f>IFERROR(__xludf.DUMMYFUNCTION("""COMPUTED_VALUE"""),44469.0)</f>
        <v>44469</v>
      </c>
      <c r="E6" s="71">
        <f>IFERROR(__xludf.DUMMYFUNCTION("""COMPUTED_VALUE"""),60.0)</f>
        <v>60</v>
      </c>
      <c r="F6" s="71" t="str">
        <f>IFERROR(__xludf.DUMMYFUNCTION("""COMPUTED_VALUE"""),"Corien Vermaak, Swati Handa")</f>
        <v>Corien Vermaak, Swati Handa</v>
      </c>
      <c r="G6" s="71" t="str">
        <f>IFERROR(__xludf.DUMMYFUNCTION("""COMPUTED_VALUE"""),"Mrs B.Sujata")</f>
        <v>Mrs B.Sujata</v>
      </c>
      <c r="H6" s="71">
        <f>IFERROR(__xludf.DUMMYFUNCTION("""COMPUTED_VALUE"""),1400.0)</f>
        <v>1400</v>
      </c>
      <c r="I6" s="71">
        <f>IFERROR(__xludf.DUMMYFUNCTION("""COMPUTED_VALUE"""),1400.0)</f>
        <v>1400</v>
      </c>
      <c r="J6" s="71">
        <f>IFERROR(__xludf.DUMMYFUNCTION("""COMPUTED_VALUE"""),1400.0)</f>
        <v>1400</v>
      </c>
      <c r="K6" s="73" t="str">
        <f>IFERROR(__xludf.DUMMYFUNCTION("""COMPUTED_VALUE"""),"https://drive.google.com/open?id=1qg0PxyqcGhx6JTmOlDsBiPQ91aW-JAjo")</f>
        <v>https://drive.google.com/open?id=1qg0PxyqcGhx6JTmOlDsBiPQ91aW-JAjo</v>
      </c>
      <c r="L6" s="71" t="str">
        <f>IFERROR(__xludf.DUMMYFUNCTION("""COMPUTED_VALUE"""),"5")</f>
        <v>5</v>
      </c>
      <c r="M6" s="71" t="str">
        <f>IFERROR(__xludf.DUMMYFUNCTION("""COMPUTED_VALUE"""),"S8: Student Events Organized")</f>
        <v>S8: Student Events Organized</v>
      </c>
      <c r="N6" s="71" t="str">
        <f>IFERROR(__xludf.DUMMYFUNCTION("""COMPUTED_VALUE"""),"bsujata@mvgrce.edu.in")</f>
        <v>bsujata@mvgrce.edu.in</v>
      </c>
      <c r="O6" s="71"/>
      <c r="P6" s="74"/>
      <c r="Q6" s="74"/>
      <c r="R6" s="74"/>
      <c r="S6" s="74"/>
      <c r="T6" s="74"/>
      <c r="U6" s="74"/>
      <c r="V6" s="74"/>
      <c r="W6" s="74"/>
      <c r="X6" s="74"/>
      <c r="Y6" s="74"/>
    </row>
    <row r="7" ht="33.0" customHeight="1">
      <c r="A7" s="120" t="str">
        <f>IFERROR(__xludf.DUMMYFUNCTION("""COMPUTED_VALUE"""),"Registration and Orientation Program on Hacker Rank &amp; Hacker Earth Coding Platforms")</f>
        <v>Registration and Orientation Program on Hacker Rank &amp; Hacker Earth Coding Platforms</v>
      </c>
      <c r="B7" s="71" t="str">
        <f>IFERROR(__xludf.DUMMYFUNCTION("""COMPUTED_VALUE"""),"2hrs")</f>
        <v>2hrs</v>
      </c>
      <c r="C7" s="72">
        <f>IFERROR(__xludf.DUMMYFUNCTION("""COMPUTED_VALUE"""),44492.0)</f>
        <v>44492</v>
      </c>
      <c r="D7" s="72">
        <f>IFERROR(__xludf.DUMMYFUNCTION("""COMPUTED_VALUE"""),44492.0)</f>
        <v>44492</v>
      </c>
      <c r="E7" s="71">
        <f>IFERROR(__xludf.DUMMYFUNCTION("""COMPUTED_VALUE"""),114.0)</f>
        <v>114</v>
      </c>
      <c r="F7" s="71" t="str">
        <f>IFERROR(__xludf.DUMMYFUNCTION("""COMPUTED_VALUE"""),"Mr. K. Suraj Varma")</f>
        <v>Mr. K. Suraj Varma</v>
      </c>
      <c r="G7" s="71" t="str">
        <f>IFERROR(__xludf.DUMMYFUNCTION("""COMPUTED_VALUE"""),"Mr. K. Leela Prasad")</f>
        <v>Mr. K. Leela Prasad</v>
      </c>
      <c r="H7" s="71">
        <f>IFERROR(__xludf.DUMMYFUNCTION("""COMPUTED_VALUE"""),0.0)</f>
        <v>0</v>
      </c>
      <c r="I7" s="71"/>
      <c r="J7" s="71"/>
      <c r="K7" s="73" t="str">
        <f>IFERROR(__xludf.DUMMYFUNCTION("""COMPUTED_VALUE"""),"https://drive.google.com/open?id=14_kjEFWXuvWr-8EVjs6NZleSOjYppHsb")</f>
        <v>https://drive.google.com/open?id=14_kjEFWXuvWr-8EVjs6NZleSOjYppHsb</v>
      </c>
      <c r="L7" s="71" t="str">
        <f>IFERROR(__xludf.DUMMYFUNCTION("""COMPUTED_VALUE"""),"3")</f>
        <v>3</v>
      </c>
      <c r="M7" s="71" t="str">
        <f>IFERROR(__xludf.DUMMYFUNCTION("""COMPUTED_VALUE"""),"S8: Student Events Organized")</f>
        <v>S8: Student Events Organized</v>
      </c>
      <c r="N7" s="71" t="str">
        <f>IFERROR(__xludf.DUMMYFUNCTION("""COMPUTED_VALUE"""),"placementcse@mvgrce.edu.in")</f>
        <v>placementcse@mvgrce.edu.in</v>
      </c>
      <c r="O7" s="71"/>
      <c r="P7" s="74"/>
      <c r="Q7" s="74"/>
      <c r="R7" s="74"/>
      <c r="S7" s="74"/>
      <c r="T7" s="74"/>
      <c r="U7" s="74"/>
      <c r="V7" s="74"/>
      <c r="W7" s="74"/>
      <c r="X7" s="74"/>
      <c r="Y7" s="74"/>
    </row>
    <row r="8" ht="33.0" customHeight="1">
      <c r="A8" s="120" t="str">
        <f>IFERROR(__xludf.DUMMYFUNCTION("""COMPUTED_VALUE"""),"WOMEN'S DAY")</f>
        <v>WOMEN'S DAY</v>
      </c>
      <c r="B8" s="71" t="str">
        <f>IFERROR(__xludf.DUMMYFUNCTION("""COMPUTED_VALUE"""),"1")</f>
        <v>1</v>
      </c>
      <c r="C8" s="72">
        <f>IFERROR(__xludf.DUMMYFUNCTION("""COMPUTED_VALUE"""),44628.0)</f>
        <v>44628</v>
      </c>
      <c r="D8" s="72">
        <f>IFERROR(__xludf.DUMMYFUNCTION("""COMPUTED_VALUE"""),44628.0)</f>
        <v>44628</v>
      </c>
      <c r="E8" s="71">
        <f>IFERROR(__xludf.DUMMYFUNCTION("""COMPUTED_VALUE"""),14.0)</f>
        <v>14</v>
      </c>
      <c r="F8" s="71" t="str">
        <f>IFERROR(__xludf.DUMMYFUNCTION("""COMPUTED_VALUE"""),"MVGR Alumni ")</f>
        <v>MVGR Alumni </v>
      </c>
      <c r="G8" s="71" t="str">
        <f>IFERROR(__xludf.DUMMYFUNCTION("""COMPUTED_VALUE"""),"M.B.Rani")</f>
        <v>M.B.Rani</v>
      </c>
      <c r="H8" s="71">
        <f>IFERROR(__xludf.DUMMYFUNCTION("""COMPUTED_VALUE"""),0.0)</f>
        <v>0</v>
      </c>
      <c r="I8" s="71">
        <f>IFERROR(__xludf.DUMMYFUNCTION("""COMPUTED_VALUE"""),0.0)</f>
        <v>0</v>
      </c>
      <c r="J8" s="71">
        <f>IFERROR(__xludf.DUMMYFUNCTION("""COMPUTED_VALUE"""),0.0)</f>
        <v>0</v>
      </c>
      <c r="K8" s="73" t="str">
        <f>IFERROR(__xludf.DUMMYFUNCTION("""COMPUTED_VALUE"""),"https://drive.google.com/open?id=1JdfIuSWEbOy-mVPSaH9DMtIU1XBJuDkC")</f>
        <v>https://drive.google.com/open?id=1JdfIuSWEbOy-mVPSaH9DMtIU1XBJuDkC</v>
      </c>
      <c r="L8" s="71" t="str">
        <f>IFERROR(__xludf.DUMMYFUNCTION("""COMPUTED_VALUE"""),"2019-2023")</f>
        <v>2019-2023</v>
      </c>
      <c r="M8" s="71" t="str">
        <f>IFERROR(__xludf.DUMMYFUNCTION("""COMPUTED_VALUE"""),"S8: Student Events Organized")</f>
        <v>S8: Student Events Organized</v>
      </c>
      <c r="N8" s="71" t="str">
        <f>IFERROR(__xludf.DUMMYFUNCTION("""COMPUTED_VALUE"""),"mbrani@mvgrce.edu.in")</f>
        <v>mbrani@mvgrce.edu.in</v>
      </c>
      <c r="O8" s="71" t="str">
        <f>IFERROR(__xludf.DUMMYFUNCTION("""COMPUTED_VALUE"""),"SEM-6")</f>
        <v>SEM-6</v>
      </c>
      <c r="P8" s="74"/>
      <c r="Q8" s="74"/>
      <c r="R8" s="74"/>
      <c r="S8" s="74"/>
      <c r="T8" s="74"/>
      <c r="U8" s="74"/>
      <c r="V8" s="74"/>
      <c r="W8" s="74"/>
      <c r="X8" s="74"/>
      <c r="Y8" s="74"/>
    </row>
    <row r="9" ht="33.0" customHeight="1">
      <c r="A9" s="120" t="str">
        <f>IFERROR(__xludf.DUMMYFUNCTION("""COMPUTED_VALUE"""),"BOOT CAMP")</f>
        <v>BOOT CAMP</v>
      </c>
      <c r="B9" s="71" t="str">
        <f>IFERROR(__xludf.DUMMYFUNCTION("""COMPUTED_VALUE"""),"2 DAYS")</f>
        <v>2 DAYS</v>
      </c>
      <c r="C9" s="72">
        <f>IFERROR(__xludf.DUMMYFUNCTION("""COMPUTED_VALUE"""),44513.0)</f>
        <v>44513</v>
      </c>
      <c r="D9" s="72">
        <f>IFERROR(__xludf.DUMMYFUNCTION("""COMPUTED_VALUE"""),44514.0)</f>
        <v>44514</v>
      </c>
      <c r="E9" s="71">
        <f>IFERROR(__xludf.DUMMYFUNCTION("""COMPUTED_VALUE"""),27.0)</f>
        <v>27</v>
      </c>
      <c r="F9" s="71" t="str">
        <f>IFERROR(__xludf.DUMMYFUNCTION("""COMPUTED_VALUE"""),"Mr. K. Sai Kumar(TCS), Mr. K. Hemanth(Amazon), Ms. P. L. Prasanna(Amazon), Mr. Rama Reddy(Amazon), Mr. K. Rupeshwar and Mr. K. Suraj")</f>
        <v>Mr. K. Sai Kumar(TCS), Mr. K. Hemanth(Amazon), Ms. P. L. Prasanna(Amazon), Mr. Rama Reddy(Amazon), Mr. K. Rupeshwar and Mr. K. Suraj</v>
      </c>
      <c r="G9" s="71" t="str">
        <f>IFERROR(__xludf.DUMMYFUNCTION("""COMPUTED_VALUE"""),"M.Vamsi Krishna")</f>
        <v>M.Vamsi Krishna</v>
      </c>
      <c r="H9" s="71"/>
      <c r="I9" s="71"/>
      <c r="J9" s="71"/>
      <c r="K9" s="73" t="str">
        <f>IFERROR(__xludf.DUMMYFUNCTION("""COMPUTED_VALUE"""),"https://drive.google.com/open?id=1BEZt90cEEdzOA0qkKyqNAyG_fheG72hZ")</f>
        <v>https://drive.google.com/open?id=1BEZt90cEEdzOA0qkKyqNAyG_fheG72hZ</v>
      </c>
      <c r="L9" s="71" t="str">
        <f>IFERROR(__xludf.DUMMYFUNCTION("""COMPUTED_VALUE"""),"2019-2023")</f>
        <v>2019-2023</v>
      </c>
      <c r="M9" s="71" t="str">
        <f>IFERROR(__xludf.DUMMYFUNCTION("""COMPUTED_VALUE"""),"S8: Student Events Organized")</f>
        <v>S8: Student Events Organized</v>
      </c>
      <c r="N9" s="71" t="str">
        <f>IFERROR(__xludf.DUMMYFUNCTION("""COMPUTED_VALUE"""),"mvamsi@mvgrce.edu.in")</f>
        <v>mvamsi@mvgrce.edu.in</v>
      </c>
      <c r="O9" s="71" t="str">
        <f>IFERROR(__xludf.DUMMYFUNCTION("""COMPUTED_VALUE"""),"SEM-6")</f>
        <v>SEM-6</v>
      </c>
      <c r="P9" s="74"/>
      <c r="Q9" s="74"/>
      <c r="R9" s="74"/>
      <c r="S9" s="74"/>
      <c r="T9" s="74"/>
      <c r="U9" s="74"/>
      <c r="V9" s="74"/>
      <c r="W9" s="74"/>
      <c r="X9" s="74"/>
      <c r="Y9" s="74"/>
    </row>
    <row r="10" ht="33.0" customHeight="1">
      <c r="A10" s="120" t="str">
        <f>IFERROR(__xludf.DUMMYFUNCTION("""COMPUTED_VALUE"""),"Sathwick Sadanala ")</f>
        <v>Sathwick Sadanala </v>
      </c>
      <c r="B10" s="71" t="str">
        <f>IFERROR(__xludf.DUMMYFUNCTION("""COMPUTED_VALUE"""),"3days")</f>
        <v>3days</v>
      </c>
      <c r="C10" s="72">
        <f>IFERROR(__xludf.DUMMYFUNCTION("""COMPUTED_VALUE"""),43798.0)</f>
        <v>43798</v>
      </c>
      <c r="D10" s="72">
        <f>IFERROR(__xludf.DUMMYFUNCTION("""COMPUTED_VALUE"""),43800.0)</f>
        <v>43800</v>
      </c>
      <c r="E10" s="71">
        <f>IFERROR(__xludf.DUMMYFUNCTION("""COMPUTED_VALUE"""),100.0)</f>
        <v>100</v>
      </c>
      <c r="F10" s="71" t="str">
        <f>IFERROR(__xludf.DUMMYFUNCTION("""COMPUTED_VALUE"""),"Vamsi sir(swecha member)")</f>
        <v>Vamsi sir(swecha member)</v>
      </c>
      <c r="G10" s="71" t="str">
        <f>IFERROR(__xludf.DUMMYFUNCTION("""COMPUTED_VALUE"""),"M.Vamsi Krishna")</f>
        <v>M.Vamsi Krishna</v>
      </c>
      <c r="H10" s="71"/>
      <c r="I10" s="71"/>
      <c r="J10" s="71"/>
      <c r="K10" s="73" t="str">
        <f>IFERROR(__xludf.DUMMYFUNCTION("""COMPUTED_VALUE"""),"https://drive.google.com/open?id=1d3CJEwqnnG0DPf8lZ3jX3U-orHJ8_B2K")</f>
        <v>https://drive.google.com/open?id=1d3CJEwqnnG0DPf8lZ3jX3U-orHJ8_B2K</v>
      </c>
      <c r="L10" s="71" t="str">
        <f>IFERROR(__xludf.DUMMYFUNCTION("""COMPUTED_VALUE"""),"2018-2022")</f>
        <v>2018-2022</v>
      </c>
      <c r="M10" s="71" t="str">
        <f>IFERROR(__xludf.DUMMYFUNCTION("""COMPUTED_VALUE"""),"S8: Student Events Organized")</f>
        <v>S8: Student Events Organized</v>
      </c>
      <c r="N10" s="71" t="str">
        <f>IFERROR(__xludf.DUMMYFUNCTION("""COMPUTED_VALUE"""),"sadanalasathwick@gmail.com")</f>
        <v>sadanalasathwick@gmail.com</v>
      </c>
      <c r="O10" s="71" t="str">
        <f>IFERROR(__xludf.DUMMYFUNCTION("""COMPUTED_VALUE"""),"SEM-2")</f>
        <v>SEM-2</v>
      </c>
      <c r="P10" s="74"/>
      <c r="Q10" s="74"/>
      <c r="R10" s="74"/>
      <c r="S10" s="74"/>
      <c r="T10" s="74"/>
      <c r="U10" s="74"/>
      <c r="V10" s="74"/>
      <c r="W10" s="74"/>
      <c r="X10" s="74"/>
      <c r="Y10" s="74"/>
    </row>
    <row r="11" ht="33.0" customHeight="1">
      <c r="A11" s="120" t="str">
        <f>IFERROR(__xludf.DUMMYFUNCTION("""COMPUTED_VALUE"""),"Mallavarapu Tejaswi")</f>
        <v>Mallavarapu Tejaswi</v>
      </c>
      <c r="B11" s="71" t="str">
        <f>IFERROR(__xludf.DUMMYFUNCTION("""COMPUTED_VALUE"""),"1")</f>
        <v>1</v>
      </c>
      <c r="C11" s="72">
        <f>IFERROR(__xludf.DUMMYFUNCTION("""COMPUTED_VALUE"""),44469.0)</f>
        <v>44469</v>
      </c>
      <c r="D11" s="72">
        <f>IFERROR(__xludf.DUMMYFUNCTION("""COMPUTED_VALUE"""),44469.0)</f>
        <v>44469</v>
      </c>
      <c r="E11" s="71">
        <f>IFERROR(__xludf.DUMMYFUNCTION("""COMPUTED_VALUE"""),150.0)</f>
        <v>150</v>
      </c>
      <c r="F11" s="71" t="str">
        <f>IFERROR(__xludf.DUMMYFUNCTION("""COMPUTED_VALUE"""),"Mvgr Dean ")</f>
        <v>Mvgr Dean </v>
      </c>
      <c r="G11" s="71" t="str">
        <f>IFERROR(__xludf.DUMMYFUNCTION("""COMPUTED_VALUE"""),"B.Sujatha")</f>
        <v>B.Sujatha</v>
      </c>
      <c r="H11" s="71"/>
      <c r="I11" s="71"/>
      <c r="J11" s="71"/>
      <c r="K11" s="73" t="str">
        <f>IFERROR(__xludf.DUMMYFUNCTION("""COMPUTED_VALUE"""),"https://drive.google.com/open?id=1GbkxbsFGmye-z56y_xPiRNG9eToM2ch7")</f>
        <v>https://drive.google.com/open?id=1GbkxbsFGmye-z56y_xPiRNG9eToM2ch7</v>
      </c>
      <c r="L11" s="71" t="str">
        <f>IFERROR(__xludf.DUMMYFUNCTION("""COMPUTED_VALUE"""),"2018-2022")</f>
        <v>2018-2022</v>
      </c>
      <c r="M11" s="71" t="str">
        <f>IFERROR(__xludf.DUMMYFUNCTION("""COMPUTED_VALUE"""),"S8: Student Events Organized")</f>
        <v>S8: Student Events Organized</v>
      </c>
      <c r="N11" s="71" t="str">
        <f>IFERROR(__xludf.DUMMYFUNCTION("""COMPUTED_VALUE"""),"Mallavarapu.tejaswi@gmail.com")</f>
        <v>Mallavarapu.tejaswi@gmail.com</v>
      </c>
      <c r="O11" s="71" t="str">
        <f>IFERROR(__xludf.DUMMYFUNCTION("""COMPUTED_VALUE"""),"SEM-8")</f>
        <v>SEM-8</v>
      </c>
      <c r="P11" s="74"/>
      <c r="Q11" s="74"/>
      <c r="R11" s="74"/>
      <c r="S11" s="74"/>
      <c r="T11" s="74"/>
      <c r="U11" s="74"/>
      <c r="V11" s="74"/>
      <c r="W11" s="74"/>
      <c r="X11" s="74"/>
      <c r="Y11" s="74"/>
    </row>
    <row r="12" ht="33.0" customHeight="1">
      <c r="A12" s="120" t="str">
        <f>IFERROR(__xludf.DUMMYFUNCTION("""COMPUTED_VALUE"""),"Manas Trang")</f>
        <v>Manas Trang</v>
      </c>
      <c r="B12" s="71" t="str">
        <f>IFERROR(__xludf.DUMMYFUNCTION("""COMPUTED_VALUE"""),"3 weeks")</f>
        <v>3 weeks</v>
      </c>
      <c r="C12" s="72">
        <f>IFERROR(__xludf.DUMMYFUNCTION("""COMPUTED_VALUE"""),43513.0)</f>
        <v>43513</v>
      </c>
      <c r="D12" s="72">
        <f>IFERROR(__xludf.DUMMYFUNCTION("""COMPUTED_VALUE"""),43527.0)</f>
        <v>43527</v>
      </c>
      <c r="E12" s="71">
        <f>IFERROR(__xludf.DUMMYFUNCTION("""COMPUTED_VALUE"""),100.0)</f>
        <v>100</v>
      </c>
      <c r="F12" s="71" t="str">
        <f>IFERROR(__xludf.DUMMYFUNCTION("""COMPUTED_VALUE"""),"Y.M.C.Shekar")</f>
        <v>Y.M.C.Shekar</v>
      </c>
      <c r="G12" s="71" t="str">
        <f>IFERROR(__xludf.DUMMYFUNCTION("""COMPUTED_VALUE"""),"M. Vamsi Krishna")</f>
        <v>M. Vamsi Krishna</v>
      </c>
      <c r="H12" s="71"/>
      <c r="I12" s="71"/>
      <c r="J12" s="71"/>
      <c r="K12" s="73" t="str">
        <f>IFERROR(__xludf.DUMMYFUNCTION("""COMPUTED_VALUE"""),"https://drive.google.com/open?id=1PxUOyyuy2MDilQIZtpCG6-BGaxfslHXc")</f>
        <v>https://drive.google.com/open?id=1PxUOyyuy2MDilQIZtpCG6-BGaxfslHXc</v>
      </c>
      <c r="L12" s="71" t="str">
        <f>IFERROR(__xludf.DUMMYFUNCTION("""COMPUTED_VALUE"""),"2018-2022")</f>
        <v>2018-2022</v>
      </c>
      <c r="M12" s="71" t="str">
        <f>IFERROR(__xludf.DUMMYFUNCTION("""COMPUTED_VALUE"""),"S8: Student Events Organized")</f>
        <v>S8: Student Events Organized</v>
      </c>
      <c r="N12" s="71" t="str">
        <f>IFERROR(__xludf.DUMMYFUNCTION("""COMPUTED_VALUE"""),"jaswanth.vjp13@gmail.com")</f>
        <v>jaswanth.vjp13@gmail.com</v>
      </c>
      <c r="O12" s="71" t="str">
        <f>IFERROR(__xludf.DUMMYFUNCTION("""COMPUTED_VALUE"""),"SEM-2")</f>
        <v>SEM-2</v>
      </c>
      <c r="P12" s="74"/>
      <c r="Q12" s="74"/>
      <c r="R12" s="74"/>
      <c r="S12" s="74"/>
      <c r="T12" s="74"/>
      <c r="U12" s="74"/>
      <c r="V12" s="74"/>
      <c r="W12" s="74"/>
      <c r="X12" s="74"/>
      <c r="Y12" s="74"/>
    </row>
    <row r="13" ht="33.0" customHeight="1">
      <c r="A13" s="121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12"/>
      <c r="Q13" s="12"/>
      <c r="R13" s="12"/>
      <c r="S13" s="12"/>
      <c r="T13" s="12"/>
      <c r="U13" s="12"/>
      <c r="V13" s="12"/>
      <c r="W13" s="12"/>
      <c r="X13" s="12"/>
      <c r="Y13" s="12"/>
    </row>
    <row r="14" ht="33.0" customHeight="1">
      <c r="A14" s="12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</row>
    <row r="15" ht="33.0" customHeight="1">
      <c r="A15" s="12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</row>
    <row r="16" ht="33.0" customHeight="1">
      <c r="A16" s="12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</row>
    <row r="17" ht="33.0" customHeight="1">
      <c r="A17" s="12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</row>
    <row r="18" ht="33.0" customHeight="1">
      <c r="A18" s="12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</row>
    <row r="19" ht="33.0" customHeight="1">
      <c r="A19" s="12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</row>
    <row r="20" ht="33.0" customHeight="1">
      <c r="A20" s="12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</row>
    <row r="21" ht="33.0" customHeight="1">
      <c r="A21" s="12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</row>
    <row r="22" ht="33.0" customHeight="1">
      <c r="A22" s="12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</row>
    <row r="23" ht="33.0" customHeight="1">
      <c r="A23" s="12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</row>
    <row r="24" ht="33.0" customHeight="1">
      <c r="A24" s="12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</row>
    <row r="25" ht="33.0" customHeight="1">
      <c r="A25" s="12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</row>
    <row r="26" ht="33.0" customHeight="1">
      <c r="A26" s="12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</row>
    <row r="27" ht="33.0" customHeight="1">
      <c r="A27" s="12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</row>
    <row r="28" ht="33.0" customHeight="1">
      <c r="A28" s="12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</row>
    <row r="29" ht="33.0" customHeight="1">
      <c r="A29" s="12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</row>
    <row r="30" ht="33.0" customHeight="1">
      <c r="A30" s="12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</row>
    <row r="31" ht="33.0" customHeight="1">
      <c r="A31" s="12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</row>
    <row r="32" ht="33.0" customHeight="1">
      <c r="A32" s="12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</row>
    <row r="33" ht="33.0" customHeight="1">
      <c r="A33" s="12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</row>
    <row r="34" ht="33.0" customHeight="1">
      <c r="A34" s="12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</row>
    <row r="35" ht="33.0" customHeight="1">
      <c r="A35" s="12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</row>
    <row r="36" ht="33.0" customHeight="1">
      <c r="A36" s="12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</row>
    <row r="37" ht="33.0" customHeight="1">
      <c r="A37" s="12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</row>
    <row r="38" ht="33.0" customHeight="1">
      <c r="A38" s="12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ht="33.0" customHeight="1">
      <c r="A39" s="12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</row>
    <row r="40" ht="33.0" customHeight="1">
      <c r="A40" s="12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</row>
    <row r="41" ht="33.0" customHeight="1">
      <c r="A41" s="12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</row>
    <row r="42" ht="33.0" customHeight="1">
      <c r="A42" s="12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</row>
    <row r="43" ht="33.0" customHeight="1">
      <c r="A43" s="12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</row>
    <row r="44" ht="33.0" customHeight="1">
      <c r="A44" s="12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</row>
    <row r="45" ht="33.0" customHeight="1">
      <c r="A45" s="12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</row>
    <row r="46" ht="33.0" customHeight="1">
      <c r="A46" s="12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</row>
    <row r="47" ht="33.0" customHeight="1">
      <c r="A47" s="12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</row>
    <row r="48" ht="33.0" customHeight="1">
      <c r="A48" s="12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</row>
    <row r="49" ht="33.0" customHeight="1">
      <c r="A49" s="12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</row>
    <row r="50" ht="33.0" customHeight="1">
      <c r="A50" s="12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</row>
    <row r="51" ht="33.0" customHeight="1">
      <c r="A51" s="12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</row>
    <row r="52" ht="33.0" customHeight="1">
      <c r="A52" s="12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</row>
    <row r="53" ht="33.0" customHeight="1">
      <c r="A53" s="12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</row>
    <row r="54" ht="33.0" customHeight="1">
      <c r="A54" s="12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</row>
    <row r="55" ht="33.0" customHeight="1">
      <c r="A55" s="12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</row>
    <row r="56" ht="33.0" customHeight="1">
      <c r="A56" s="12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</row>
    <row r="57" ht="33.0" customHeight="1">
      <c r="A57" s="12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</row>
    <row r="58" ht="33.0" customHeight="1">
      <c r="A58" s="12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</row>
    <row r="59" ht="33.0" customHeight="1">
      <c r="A59" s="12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</row>
    <row r="60" ht="33.0" customHeight="1">
      <c r="A60" s="12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</row>
    <row r="61" ht="33.0" customHeight="1">
      <c r="A61" s="12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</row>
    <row r="62" ht="33.0" customHeight="1">
      <c r="A62" s="12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</row>
    <row r="63" ht="33.0" customHeight="1">
      <c r="A63" s="12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</row>
    <row r="64" ht="33.0" customHeight="1">
      <c r="A64" s="12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</row>
    <row r="65" ht="33.0" customHeight="1">
      <c r="A65" s="12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</row>
    <row r="66" ht="33.0" customHeight="1">
      <c r="A66" s="12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</row>
    <row r="67" ht="33.0" customHeight="1">
      <c r="A67" s="12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</row>
    <row r="68" ht="33.0" customHeight="1">
      <c r="A68" s="12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</row>
    <row r="69" ht="33.0" customHeight="1">
      <c r="A69" s="12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</row>
    <row r="70" ht="33.0" customHeight="1">
      <c r="A70" s="12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</row>
    <row r="71" ht="33.0" customHeight="1">
      <c r="A71" s="12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</row>
    <row r="72" ht="33.0" customHeight="1">
      <c r="A72" s="12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</row>
    <row r="73" ht="33.0" customHeight="1">
      <c r="A73" s="12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</row>
    <row r="74" ht="33.0" customHeight="1">
      <c r="A74" s="12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</row>
    <row r="75" ht="33.0" customHeight="1">
      <c r="A75" s="12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</row>
    <row r="76" ht="33.0" customHeight="1">
      <c r="A76" s="12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</row>
    <row r="77" ht="33.0" customHeight="1">
      <c r="A77" s="12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</row>
    <row r="78" ht="33.0" customHeight="1">
      <c r="A78" s="12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</row>
    <row r="79" ht="33.0" customHeight="1">
      <c r="A79" s="12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</row>
    <row r="80" ht="33.0" customHeight="1">
      <c r="A80" s="12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</row>
    <row r="81" ht="33.0" customHeight="1">
      <c r="A81" s="12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</row>
    <row r="82" ht="33.0" customHeight="1">
      <c r="A82" s="12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</row>
    <row r="83" ht="33.0" customHeight="1">
      <c r="A83" s="12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</row>
    <row r="84" ht="33.0" customHeight="1">
      <c r="A84" s="12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</row>
    <row r="85" ht="33.0" customHeight="1">
      <c r="A85" s="12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</row>
    <row r="86" ht="33.0" customHeight="1">
      <c r="A86" s="12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</row>
    <row r="87" ht="33.0" customHeight="1">
      <c r="A87" s="12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</row>
    <row r="88" ht="33.0" customHeight="1">
      <c r="A88" s="12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</row>
    <row r="89" ht="33.0" customHeight="1">
      <c r="A89" s="12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</row>
    <row r="90" ht="33.0" customHeight="1">
      <c r="A90" s="12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</row>
    <row r="91" ht="33.0" customHeight="1">
      <c r="A91" s="12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</row>
    <row r="92" ht="33.0" customHeight="1">
      <c r="A92" s="12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</row>
    <row r="93" ht="33.0" customHeight="1">
      <c r="A93" s="12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</row>
    <row r="94" ht="33.0" customHeight="1">
      <c r="A94" s="12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</row>
    <row r="95" ht="33.0" customHeight="1">
      <c r="A95" s="12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</row>
    <row r="96" ht="33.0" customHeight="1">
      <c r="A96" s="12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</row>
    <row r="97" ht="33.0" customHeight="1">
      <c r="A97" s="12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</row>
    <row r="98" ht="33.0" customHeight="1">
      <c r="A98" s="12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</row>
    <row r="99" ht="33.0" customHeight="1">
      <c r="A99" s="12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</row>
    <row r="100" ht="33.0" customHeight="1">
      <c r="A100" s="12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</row>
    <row r="101" ht="33.0" customHeight="1">
      <c r="A101" s="12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</row>
    <row r="102" ht="33.0" customHeight="1">
      <c r="A102" s="12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</row>
    <row r="103" ht="33.0" customHeight="1">
      <c r="A103" s="12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</row>
    <row r="104" ht="33.0" customHeight="1">
      <c r="A104" s="12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</row>
    <row r="105" ht="33.0" customHeight="1">
      <c r="A105" s="12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</row>
    <row r="106" ht="33.0" customHeight="1">
      <c r="A106" s="12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</row>
    <row r="107" ht="33.0" customHeight="1">
      <c r="A107" s="12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</row>
    <row r="108" ht="33.0" customHeight="1">
      <c r="A108" s="12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</row>
    <row r="109" ht="33.0" customHeight="1">
      <c r="A109" s="12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</row>
    <row r="110" ht="33.0" customHeight="1">
      <c r="A110" s="12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</row>
    <row r="111" ht="33.0" customHeight="1">
      <c r="A111" s="12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</row>
    <row r="112" ht="33.0" customHeight="1">
      <c r="A112" s="12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</row>
    <row r="113" ht="33.0" customHeight="1">
      <c r="A113" s="12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</row>
    <row r="114" ht="33.0" customHeight="1">
      <c r="A114" s="12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</row>
    <row r="115" ht="33.0" customHeight="1">
      <c r="A115" s="12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</row>
    <row r="116" ht="33.0" customHeight="1">
      <c r="A116" s="12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</row>
    <row r="117" ht="33.0" customHeight="1">
      <c r="A117" s="12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</row>
    <row r="118" ht="33.0" customHeight="1">
      <c r="A118" s="12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</row>
    <row r="119" ht="33.0" customHeight="1">
      <c r="A119" s="12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</row>
    <row r="120" ht="33.0" customHeight="1">
      <c r="A120" s="12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</row>
    <row r="121" ht="33.0" customHeight="1">
      <c r="A121" s="12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</row>
    <row r="122" ht="33.0" customHeight="1">
      <c r="A122" s="12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</row>
    <row r="123" ht="33.0" customHeight="1">
      <c r="A123" s="12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</row>
    <row r="124" ht="33.0" customHeight="1">
      <c r="A124" s="12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</row>
    <row r="125" ht="33.0" customHeight="1">
      <c r="A125" s="12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</row>
    <row r="126" ht="33.0" customHeight="1">
      <c r="A126" s="12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</row>
    <row r="127" ht="33.0" customHeight="1">
      <c r="A127" s="12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</row>
    <row r="128" ht="33.0" customHeight="1">
      <c r="A128" s="12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</row>
    <row r="129" ht="33.0" customHeight="1">
      <c r="A129" s="12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</row>
    <row r="130" ht="33.0" customHeight="1">
      <c r="A130" s="12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</row>
    <row r="131" ht="33.0" customHeight="1">
      <c r="A131" s="12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</row>
    <row r="132" ht="33.0" customHeight="1">
      <c r="A132" s="12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</row>
    <row r="133" ht="33.0" customHeight="1">
      <c r="A133" s="12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</row>
    <row r="134" ht="33.0" customHeight="1">
      <c r="A134" s="12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</row>
    <row r="135" ht="33.0" customHeight="1">
      <c r="A135" s="12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</row>
    <row r="136" ht="33.0" customHeight="1">
      <c r="A136" s="12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</row>
    <row r="137" ht="33.0" customHeight="1">
      <c r="A137" s="12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</row>
    <row r="138" ht="33.0" customHeight="1">
      <c r="A138" s="12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</row>
    <row r="139" ht="33.0" customHeight="1">
      <c r="A139" s="12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</row>
    <row r="140" ht="33.0" customHeight="1">
      <c r="A140" s="12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</row>
    <row r="141" ht="33.0" customHeight="1">
      <c r="A141" s="12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</row>
    <row r="142" ht="33.0" customHeight="1">
      <c r="A142" s="12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</row>
    <row r="143" ht="33.0" customHeight="1">
      <c r="A143" s="12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</row>
    <row r="144" ht="33.0" customHeight="1">
      <c r="A144" s="12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</row>
    <row r="145" ht="33.0" customHeight="1">
      <c r="A145" s="12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</row>
    <row r="146" ht="33.0" customHeight="1">
      <c r="A146" s="12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</row>
    <row r="147" ht="33.0" customHeight="1">
      <c r="A147" s="12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</row>
    <row r="148" ht="33.0" customHeight="1">
      <c r="A148" s="12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</row>
    <row r="149" ht="33.0" customHeight="1">
      <c r="A149" s="12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</row>
    <row r="150" ht="33.0" customHeight="1">
      <c r="A150" s="12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</row>
    <row r="151" ht="33.0" customHeight="1">
      <c r="A151" s="12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</row>
    <row r="152" ht="33.0" customHeight="1">
      <c r="A152" s="12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</row>
    <row r="153" ht="33.0" customHeight="1">
      <c r="A153" s="12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</row>
    <row r="154" ht="33.0" customHeight="1">
      <c r="A154" s="12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</row>
    <row r="155" ht="33.0" customHeight="1">
      <c r="A155" s="12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</row>
    <row r="156" ht="33.0" customHeight="1">
      <c r="A156" s="12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</row>
    <row r="157" ht="33.0" customHeight="1">
      <c r="A157" s="12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ht="33.0" customHeight="1">
      <c r="A158" s="12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</row>
    <row r="159" ht="33.0" customHeight="1">
      <c r="A159" s="12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</row>
    <row r="160" ht="33.0" customHeight="1">
      <c r="A160" s="12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</row>
    <row r="161" ht="33.0" customHeight="1">
      <c r="A161" s="12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</row>
    <row r="162" ht="33.0" customHeight="1">
      <c r="A162" s="12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</row>
    <row r="163" ht="33.0" customHeight="1">
      <c r="A163" s="12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</row>
    <row r="164" ht="33.0" customHeight="1">
      <c r="A164" s="12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</row>
    <row r="165" ht="33.0" customHeight="1">
      <c r="A165" s="12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</row>
    <row r="166" ht="33.0" customHeight="1">
      <c r="A166" s="12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</row>
    <row r="167" ht="33.0" customHeight="1">
      <c r="A167" s="12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</row>
    <row r="168" ht="33.0" customHeight="1">
      <c r="A168" s="12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</row>
    <row r="169" ht="33.0" customHeight="1">
      <c r="A169" s="12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</row>
    <row r="170" ht="33.0" customHeight="1">
      <c r="A170" s="12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</row>
    <row r="171" ht="33.0" customHeight="1">
      <c r="A171" s="12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</row>
    <row r="172" ht="33.0" customHeight="1">
      <c r="A172" s="12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ht="33.0" customHeight="1">
      <c r="A173" s="12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</row>
    <row r="174" ht="33.0" customHeight="1">
      <c r="A174" s="12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</row>
    <row r="175" ht="33.0" customHeight="1">
      <c r="A175" s="12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</row>
    <row r="176" ht="33.0" customHeight="1">
      <c r="A176" s="12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</row>
    <row r="177" ht="33.0" customHeight="1">
      <c r="A177" s="12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</row>
    <row r="178" ht="33.0" customHeight="1">
      <c r="A178" s="12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</row>
    <row r="179" ht="33.0" customHeight="1">
      <c r="A179" s="12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</row>
    <row r="180" ht="33.0" customHeight="1">
      <c r="A180" s="12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</row>
    <row r="181" ht="33.0" customHeight="1">
      <c r="A181" s="12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</row>
    <row r="182" ht="33.0" customHeight="1">
      <c r="A182" s="12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</row>
    <row r="183" ht="33.0" customHeight="1">
      <c r="A183" s="12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</row>
    <row r="184" ht="33.0" customHeight="1">
      <c r="A184" s="12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</row>
    <row r="185" ht="33.0" customHeight="1">
      <c r="A185" s="12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</row>
    <row r="186" ht="33.0" customHeight="1">
      <c r="A186" s="12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</row>
    <row r="187" ht="33.0" customHeight="1">
      <c r="A187" s="12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8" ht="33.0" customHeight="1">
      <c r="A188" s="12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</row>
    <row r="189" ht="33.0" customHeight="1">
      <c r="A189" s="12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</row>
    <row r="190" ht="33.0" customHeight="1">
      <c r="A190" s="12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</row>
    <row r="191" ht="33.0" customHeight="1">
      <c r="A191" s="12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</row>
    <row r="192" ht="33.0" customHeight="1">
      <c r="A192" s="12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ht="33.0" customHeight="1">
      <c r="A193" s="12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</row>
    <row r="194" ht="33.0" customHeight="1">
      <c r="A194" s="12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</row>
    <row r="195" ht="33.0" customHeight="1">
      <c r="A195" s="12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</row>
    <row r="196" ht="33.0" customHeight="1">
      <c r="A196" s="12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</row>
    <row r="197" ht="33.0" customHeight="1">
      <c r="A197" s="12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ht="33.0" customHeight="1">
      <c r="A198" s="12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</row>
    <row r="199" ht="33.0" customHeight="1">
      <c r="A199" s="12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</row>
    <row r="200" ht="33.0" customHeight="1">
      <c r="A200" s="12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</row>
    <row r="201" ht="33.0" customHeight="1">
      <c r="A201" s="12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</row>
    <row r="202" ht="33.0" customHeight="1">
      <c r="A202" s="12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</row>
    <row r="203" ht="33.0" customHeight="1">
      <c r="A203" s="12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</row>
    <row r="204" ht="33.0" customHeight="1">
      <c r="A204" s="12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</row>
    <row r="205" ht="33.0" customHeight="1">
      <c r="A205" s="12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</row>
    <row r="206" ht="33.0" customHeight="1">
      <c r="A206" s="12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</row>
    <row r="207" ht="33.0" customHeight="1">
      <c r="A207" s="12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</row>
    <row r="208" ht="33.0" customHeight="1">
      <c r="A208" s="12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</row>
    <row r="209" ht="33.0" customHeight="1">
      <c r="A209" s="12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</row>
    <row r="210" ht="33.0" customHeight="1">
      <c r="A210" s="12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</row>
    <row r="211" ht="33.0" customHeight="1">
      <c r="A211" s="12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</row>
    <row r="212" ht="33.0" customHeight="1">
      <c r="A212" s="12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</row>
    <row r="213" ht="33.0" customHeight="1">
      <c r="A213" s="12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</row>
    <row r="214" ht="33.0" customHeight="1">
      <c r="A214" s="12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</row>
    <row r="215" ht="33.0" customHeight="1">
      <c r="A215" s="12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</row>
    <row r="216" ht="33.0" customHeight="1">
      <c r="A216" s="12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</row>
    <row r="217" ht="33.0" customHeight="1">
      <c r="A217" s="12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</row>
    <row r="218" ht="33.0" customHeight="1">
      <c r="A218" s="12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</row>
    <row r="219" ht="33.0" customHeight="1">
      <c r="A219" s="12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</row>
    <row r="220" ht="33.0" customHeight="1">
      <c r="A220" s="12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</row>
    <row r="221" ht="33.0" customHeight="1">
      <c r="A221" s="12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</row>
    <row r="222" ht="33.0" customHeight="1">
      <c r="A222" s="12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</row>
    <row r="223" ht="33.0" customHeight="1">
      <c r="A223" s="12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</row>
    <row r="224" ht="33.0" customHeight="1">
      <c r="A224" s="12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</row>
    <row r="225" ht="33.0" customHeight="1">
      <c r="A225" s="12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</row>
    <row r="226" ht="33.0" customHeight="1">
      <c r="A226" s="12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</row>
    <row r="227" ht="33.0" customHeight="1">
      <c r="A227" s="12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</row>
    <row r="228" ht="33.0" customHeight="1">
      <c r="A228" s="12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</row>
    <row r="229" ht="33.0" customHeight="1">
      <c r="A229" s="12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</row>
    <row r="230" ht="33.0" customHeight="1">
      <c r="A230" s="12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</row>
    <row r="231" ht="33.0" customHeight="1">
      <c r="A231" s="12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</row>
    <row r="232" ht="33.0" customHeight="1">
      <c r="A232" s="12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</row>
    <row r="233" ht="33.0" customHeight="1">
      <c r="A233" s="12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</row>
    <row r="234" ht="33.0" customHeight="1">
      <c r="A234" s="12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</row>
    <row r="235" ht="33.0" customHeight="1">
      <c r="A235" s="12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</row>
    <row r="236" ht="33.0" customHeight="1">
      <c r="A236" s="12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</row>
    <row r="237" ht="33.0" customHeight="1">
      <c r="A237" s="12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</row>
    <row r="238" ht="33.0" customHeight="1">
      <c r="A238" s="12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</row>
    <row r="239" ht="33.0" customHeight="1">
      <c r="A239" s="12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</row>
    <row r="240" ht="33.0" customHeight="1">
      <c r="A240" s="12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</row>
    <row r="241" ht="33.0" customHeight="1">
      <c r="A241" s="12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</row>
    <row r="242" ht="33.0" customHeight="1">
      <c r="A242" s="12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</row>
    <row r="243" ht="33.0" customHeight="1">
      <c r="A243" s="12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</row>
    <row r="244" ht="33.0" customHeight="1">
      <c r="A244" s="12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</row>
    <row r="245" ht="33.0" customHeight="1">
      <c r="A245" s="12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</row>
    <row r="246" ht="33.0" customHeight="1">
      <c r="A246" s="12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</row>
    <row r="247" ht="33.0" customHeight="1">
      <c r="A247" s="12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</row>
    <row r="248" ht="33.0" customHeight="1">
      <c r="A248" s="12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</row>
    <row r="249" ht="33.0" customHeight="1">
      <c r="A249" s="12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</row>
    <row r="250" ht="33.0" customHeight="1">
      <c r="A250" s="12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</row>
    <row r="251" ht="33.0" customHeight="1">
      <c r="A251" s="12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</row>
    <row r="252" ht="33.0" customHeight="1">
      <c r="A252" s="12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</row>
    <row r="253" ht="33.0" customHeight="1">
      <c r="A253" s="12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</row>
    <row r="254" ht="33.0" customHeight="1">
      <c r="A254" s="12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</row>
    <row r="255" ht="33.0" customHeight="1">
      <c r="A255" s="12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</row>
    <row r="256" ht="33.0" customHeight="1">
      <c r="A256" s="12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</row>
    <row r="257" ht="33.0" customHeight="1">
      <c r="A257" s="12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</row>
    <row r="258" ht="33.0" customHeight="1">
      <c r="A258" s="12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</row>
    <row r="259" ht="33.0" customHeight="1">
      <c r="A259" s="12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</row>
    <row r="260" ht="33.0" customHeight="1">
      <c r="A260" s="12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</row>
    <row r="261" ht="33.0" customHeight="1">
      <c r="A261" s="12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</row>
    <row r="262" ht="33.0" customHeight="1">
      <c r="A262" s="12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</row>
    <row r="263" ht="33.0" customHeight="1">
      <c r="A263" s="12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</row>
    <row r="264" ht="33.0" customHeight="1">
      <c r="A264" s="12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</row>
    <row r="265" ht="33.0" customHeight="1">
      <c r="A265" s="12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</row>
    <row r="266" ht="33.0" customHeight="1">
      <c r="A266" s="12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</row>
    <row r="267" ht="33.0" customHeight="1">
      <c r="A267" s="12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</row>
    <row r="268" ht="33.0" customHeight="1">
      <c r="A268" s="12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</row>
    <row r="269" ht="33.0" customHeight="1">
      <c r="A269" s="12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</row>
    <row r="270" ht="33.0" customHeight="1">
      <c r="A270" s="12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</row>
    <row r="271" ht="33.0" customHeight="1">
      <c r="A271" s="12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</row>
    <row r="272" ht="33.0" customHeight="1">
      <c r="A272" s="12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</row>
    <row r="273" ht="33.0" customHeight="1">
      <c r="A273" s="12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</row>
    <row r="274" ht="33.0" customHeight="1">
      <c r="A274" s="12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</row>
    <row r="275" ht="33.0" customHeight="1">
      <c r="A275" s="12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</row>
    <row r="276" ht="33.0" customHeight="1">
      <c r="A276" s="12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</row>
    <row r="277" ht="33.0" customHeight="1">
      <c r="A277" s="12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</row>
    <row r="278" ht="33.0" customHeight="1">
      <c r="A278" s="12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</row>
    <row r="279" ht="33.0" customHeight="1">
      <c r="A279" s="12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</row>
    <row r="280" ht="33.0" customHeight="1">
      <c r="A280" s="12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</row>
    <row r="281" ht="33.0" customHeight="1">
      <c r="A281" s="12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</row>
    <row r="282" ht="33.0" customHeight="1">
      <c r="A282" s="12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</row>
    <row r="283" ht="33.0" customHeight="1">
      <c r="A283" s="12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</row>
    <row r="284" ht="33.0" customHeight="1">
      <c r="A284" s="12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</row>
    <row r="285" ht="33.0" customHeight="1">
      <c r="A285" s="12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</row>
    <row r="286" ht="33.0" customHeight="1">
      <c r="A286" s="12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</row>
    <row r="287" ht="33.0" customHeight="1">
      <c r="A287" s="12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</row>
    <row r="288" ht="33.0" customHeight="1">
      <c r="A288" s="12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</row>
    <row r="289" ht="33.0" customHeight="1">
      <c r="A289" s="12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</row>
    <row r="290" ht="33.0" customHeight="1">
      <c r="A290" s="12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</row>
    <row r="291" ht="33.0" customHeight="1">
      <c r="A291" s="12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</row>
    <row r="292" ht="33.0" customHeight="1">
      <c r="A292" s="12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</row>
    <row r="293" ht="33.0" customHeight="1">
      <c r="A293" s="12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</row>
    <row r="294" ht="33.0" customHeight="1">
      <c r="A294" s="12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</row>
    <row r="295" ht="33.0" customHeight="1">
      <c r="A295" s="12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</row>
    <row r="296" ht="33.0" customHeight="1">
      <c r="A296" s="12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</row>
    <row r="297" ht="33.0" customHeight="1">
      <c r="A297" s="12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</row>
    <row r="298" ht="33.0" customHeight="1">
      <c r="A298" s="12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</row>
    <row r="299" ht="33.0" customHeight="1">
      <c r="A299" s="12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</row>
    <row r="300" ht="33.0" customHeight="1">
      <c r="A300" s="12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</row>
    <row r="301" ht="33.0" customHeight="1">
      <c r="A301" s="12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</row>
    <row r="302" ht="33.0" customHeight="1">
      <c r="A302" s="12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</row>
    <row r="303" ht="33.0" customHeight="1">
      <c r="A303" s="12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</row>
    <row r="304" ht="33.0" customHeight="1">
      <c r="A304" s="12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</row>
    <row r="305" ht="33.0" customHeight="1">
      <c r="A305" s="12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</row>
    <row r="306" ht="33.0" customHeight="1">
      <c r="A306" s="12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</row>
    <row r="307" ht="33.0" customHeight="1">
      <c r="A307" s="12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</row>
    <row r="308" ht="33.0" customHeight="1">
      <c r="A308" s="12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</row>
    <row r="309" ht="33.0" customHeight="1">
      <c r="A309" s="12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</row>
    <row r="310" ht="33.0" customHeight="1">
      <c r="A310" s="12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</row>
    <row r="311" ht="33.0" customHeight="1">
      <c r="A311" s="12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</row>
    <row r="312" ht="33.0" customHeight="1">
      <c r="A312" s="12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</row>
    <row r="313" ht="33.0" customHeight="1">
      <c r="A313" s="12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</row>
    <row r="314" ht="33.0" customHeight="1">
      <c r="A314" s="12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</row>
    <row r="315" ht="33.0" customHeight="1">
      <c r="A315" s="12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</row>
    <row r="316" ht="33.0" customHeight="1">
      <c r="A316" s="12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</row>
    <row r="317" ht="33.0" customHeight="1">
      <c r="A317" s="12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</row>
    <row r="318" ht="33.0" customHeight="1">
      <c r="A318" s="12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</row>
    <row r="319" ht="33.0" customHeight="1">
      <c r="A319" s="12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</row>
    <row r="320" ht="33.0" customHeight="1">
      <c r="A320" s="12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</row>
    <row r="321" ht="33.0" customHeight="1">
      <c r="A321" s="12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</row>
    <row r="322" ht="33.0" customHeight="1">
      <c r="A322" s="12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</row>
    <row r="323" ht="33.0" customHeight="1">
      <c r="A323" s="12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</row>
    <row r="324" ht="33.0" customHeight="1">
      <c r="A324" s="12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</row>
    <row r="325" ht="33.0" customHeight="1">
      <c r="A325" s="12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</row>
    <row r="326" ht="33.0" customHeight="1">
      <c r="A326" s="12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</row>
    <row r="327" ht="33.0" customHeight="1">
      <c r="A327" s="12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</row>
    <row r="328" ht="33.0" customHeight="1">
      <c r="A328" s="12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</row>
    <row r="329" ht="33.0" customHeight="1">
      <c r="A329" s="12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</row>
    <row r="330" ht="33.0" customHeight="1">
      <c r="A330" s="12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</row>
    <row r="331" ht="33.0" customHeight="1">
      <c r="A331" s="12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</row>
    <row r="332" ht="33.0" customHeight="1">
      <c r="A332" s="12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</row>
    <row r="333" ht="33.0" customHeight="1">
      <c r="A333" s="12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</row>
    <row r="334" ht="33.0" customHeight="1">
      <c r="A334" s="12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</row>
    <row r="335" ht="33.0" customHeight="1">
      <c r="A335" s="12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</row>
    <row r="336" ht="33.0" customHeight="1">
      <c r="A336" s="12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</row>
    <row r="337" ht="33.0" customHeight="1">
      <c r="A337" s="12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</row>
    <row r="338" ht="33.0" customHeight="1">
      <c r="A338" s="12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</row>
    <row r="339" ht="33.0" customHeight="1">
      <c r="A339" s="12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</row>
    <row r="340" ht="33.0" customHeight="1">
      <c r="A340" s="12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</row>
    <row r="341" ht="33.0" customHeight="1">
      <c r="A341" s="12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</row>
    <row r="342" ht="33.0" customHeight="1">
      <c r="A342" s="12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</row>
    <row r="343" ht="33.0" customHeight="1">
      <c r="A343" s="12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</row>
    <row r="344" ht="33.0" customHeight="1">
      <c r="A344" s="12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</row>
    <row r="345" ht="33.0" customHeight="1">
      <c r="A345" s="12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</row>
    <row r="346" ht="33.0" customHeight="1">
      <c r="A346" s="12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</row>
    <row r="347" ht="33.0" customHeight="1">
      <c r="A347" s="12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</row>
    <row r="348" ht="33.0" customHeight="1">
      <c r="A348" s="12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</row>
    <row r="349" ht="33.0" customHeight="1">
      <c r="A349" s="12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</row>
    <row r="350" ht="33.0" customHeight="1">
      <c r="A350" s="12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</row>
    <row r="351" ht="33.0" customHeight="1">
      <c r="A351" s="12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</row>
    <row r="352" ht="33.0" customHeight="1">
      <c r="A352" s="12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</row>
    <row r="353" ht="33.0" customHeight="1">
      <c r="A353" s="12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</row>
    <row r="354" ht="33.0" customHeight="1">
      <c r="A354" s="12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</row>
    <row r="355" ht="33.0" customHeight="1">
      <c r="A355" s="12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</row>
    <row r="356" ht="33.0" customHeight="1">
      <c r="A356" s="12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</row>
    <row r="357" ht="33.0" customHeight="1">
      <c r="A357" s="12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</row>
    <row r="358" ht="33.0" customHeight="1">
      <c r="A358" s="12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</row>
    <row r="359" ht="33.0" customHeight="1">
      <c r="A359" s="12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</row>
    <row r="360" ht="33.0" customHeight="1">
      <c r="A360" s="12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</row>
    <row r="361" ht="33.0" customHeight="1">
      <c r="A361" s="12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</row>
    <row r="362" ht="33.0" customHeight="1">
      <c r="A362" s="12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</row>
    <row r="363" ht="33.0" customHeight="1">
      <c r="A363" s="12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</row>
    <row r="364" ht="33.0" customHeight="1">
      <c r="A364" s="12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</row>
    <row r="365" ht="33.0" customHeight="1">
      <c r="A365" s="12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</row>
    <row r="366" ht="33.0" customHeight="1">
      <c r="A366" s="12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</row>
    <row r="367" ht="33.0" customHeight="1">
      <c r="A367" s="12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</row>
    <row r="368" ht="33.0" customHeight="1">
      <c r="A368" s="12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</row>
    <row r="369" ht="33.0" customHeight="1">
      <c r="A369" s="12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</row>
    <row r="370" ht="33.0" customHeight="1">
      <c r="A370" s="12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</row>
    <row r="371" ht="33.0" customHeight="1">
      <c r="A371" s="12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</row>
    <row r="372" ht="33.0" customHeight="1">
      <c r="A372" s="12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</row>
    <row r="373" ht="33.0" customHeight="1">
      <c r="A373" s="12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</row>
    <row r="374" ht="33.0" customHeight="1">
      <c r="A374" s="12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</row>
    <row r="375" ht="33.0" customHeight="1">
      <c r="A375" s="12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</row>
    <row r="376" ht="33.0" customHeight="1">
      <c r="A376" s="12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</row>
    <row r="377" ht="33.0" customHeight="1">
      <c r="A377" s="12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</row>
    <row r="378" ht="33.0" customHeight="1">
      <c r="A378" s="12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</row>
    <row r="379" ht="33.0" customHeight="1">
      <c r="A379" s="12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</row>
    <row r="380" ht="33.0" customHeight="1">
      <c r="A380" s="12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</row>
    <row r="381" ht="33.0" customHeight="1">
      <c r="A381" s="12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</row>
    <row r="382" ht="33.0" customHeight="1">
      <c r="A382" s="12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</row>
    <row r="383" ht="33.0" customHeight="1">
      <c r="A383" s="12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</row>
    <row r="384" ht="33.0" customHeight="1">
      <c r="A384" s="12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</row>
    <row r="385" ht="33.0" customHeight="1">
      <c r="A385" s="12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</row>
    <row r="386" ht="33.0" customHeight="1">
      <c r="A386" s="12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</row>
    <row r="387" ht="33.0" customHeight="1">
      <c r="A387" s="12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</row>
    <row r="388" ht="33.0" customHeight="1">
      <c r="A388" s="12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</row>
    <row r="389" ht="33.0" customHeight="1">
      <c r="A389" s="12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</row>
    <row r="390" ht="33.0" customHeight="1">
      <c r="A390" s="12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</row>
    <row r="391" ht="33.0" customHeight="1">
      <c r="A391" s="12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</row>
    <row r="392" ht="33.0" customHeight="1">
      <c r="A392" s="12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</row>
    <row r="393" ht="33.0" customHeight="1">
      <c r="A393" s="12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</row>
    <row r="394" ht="33.0" customHeight="1">
      <c r="A394" s="12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</row>
    <row r="395" ht="33.0" customHeight="1">
      <c r="A395" s="12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</row>
    <row r="396" ht="33.0" customHeight="1">
      <c r="A396" s="12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</row>
    <row r="397" ht="33.0" customHeight="1">
      <c r="A397" s="12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</row>
    <row r="398" ht="33.0" customHeight="1">
      <c r="A398" s="12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</row>
    <row r="399" ht="33.0" customHeight="1">
      <c r="A399" s="12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</row>
    <row r="400" ht="33.0" customHeight="1">
      <c r="A400" s="12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</row>
    <row r="401" ht="33.0" customHeight="1">
      <c r="A401" s="12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</row>
    <row r="402" ht="33.0" customHeight="1">
      <c r="A402" s="12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</row>
    <row r="403" ht="33.0" customHeight="1">
      <c r="A403" s="12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</row>
    <row r="404" ht="33.0" customHeight="1">
      <c r="A404" s="12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</row>
    <row r="405" ht="33.0" customHeight="1">
      <c r="A405" s="12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</row>
    <row r="406" ht="33.0" customHeight="1">
      <c r="A406" s="12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</row>
    <row r="407" ht="33.0" customHeight="1">
      <c r="A407" s="12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</row>
    <row r="408" ht="33.0" customHeight="1">
      <c r="A408" s="12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</row>
    <row r="409" ht="33.0" customHeight="1">
      <c r="A409" s="12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</row>
    <row r="410" ht="33.0" customHeight="1">
      <c r="A410" s="12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</row>
    <row r="411" ht="33.0" customHeight="1">
      <c r="A411" s="12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</row>
    <row r="412" ht="33.0" customHeight="1">
      <c r="A412" s="12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</row>
    <row r="413" ht="33.0" customHeight="1">
      <c r="A413" s="12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</row>
    <row r="414" ht="33.0" customHeight="1">
      <c r="A414" s="12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</row>
    <row r="415" ht="33.0" customHeight="1">
      <c r="A415" s="12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</row>
    <row r="416" ht="33.0" customHeight="1">
      <c r="A416" s="12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</row>
    <row r="417" ht="33.0" customHeight="1">
      <c r="A417" s="12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</row>
    <row r="418" ht="33.0" customHeight="1">
      <c r="A418" s="12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</row>
    <row r="419" ht="33.0" customHeight="1">
      <c r="A419" s="12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</row>
    <row r="420" ht="33.0" customHeight="1">
      <c r="A420" s="12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</row>
    <row r="421" ht="33.0" customHeight="1">
      <c r="A421" s="12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</row>
    <row r="422" ht="33.0" customHeight="1">
      <c r="A422" s="12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</row>
    <row r="423" ht="33.0" customHeight="1">
      <c r="A423" s="12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</row>
    <row r="424" ht="33.0" customHeight="1">
      <c r="A424" s="12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</row>
    <row r="425" ht="33.0" customHeight="1">
      <c r="A425" s="12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</row>
    <row r="426" ht="33.0" customHeight="1">
      <c r="A426" s="12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</row>
    <row r="427" ht="33.0" customHeight="1">
      <c r="A427" s="12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</row>
    <row r="428" ht="33.0" customHeight="1">
      <c r="A428" s="12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</row>
    <row r="429" ht="33.0" customHeight="1">
      <c r="A429" s="12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</row>
    <row r="430" ht="33.0" customHeight="1">
      <c r="A430" s="12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</row>
    <row r="431" ht="33.0" customHeight="1">
      <c r="A431" s="12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</row>
    <row r="432" ht="33.0" customHeight="1">
      <c r="A432" s="12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</row>
    <row r="433" ht="33.0" customHeight="1">
      <c r="A433" s="12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</row>
    <row r="434" ht="33.0" customHeight="1">
      <c r="A434" s="12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</row>
    <row r="435" ht="33.0" customHeight="1">
      <c r="A435" s="12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</row>
    <row r="436" ht="33.0" customHeight="1">
      <c r="A436" s="12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</row>
    <row r="437" ht="33.0" customHeight="1">
      <c r="A437" s="12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</row>
    <row r="438" ht="33.0" customHeight="1">
      <c r="A438" s="12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</row>
    <row r="439" ht="33.0" customHeight="1">
      <c r="A439" s="12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</row>
    <row r="440" ht="33.0" customHeight="1">
      <c r="A440" s="12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</row>
    <row r="441" ht="33.0" customHeight="1">
      <c r="A441" s="12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</row>
    <row r="442" ht="33.0" customHeight="1">
      <c r="A442" s="12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</row>
    <row r="443" ht="33.0" customHeight="1">
      <c r="A443" s="12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</row>
    <row r="444" ht="33.0" customHeight="1">
      <c r="A444" s="12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</row>
    <row r="445" ht="33.0" customHeight="1">
      <c r="A445" s="12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</row>
    <row r="446" ht="33.0" customHeight="1">
      <c r="A446" s="12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</row>
    <row r="447" ht="33.0" customHeight="1">
      <c r="A447" s="12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</row>
    <row r="448" ht="33.0" customHeight="1">
      <c r="A448" s="12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</row>
    <row r="449" ht="33.0" customHeight="1">
      <c r="A449" s="12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</row>
    <row r="450" ht="33.0" customHeight="1">
      <c r="A450" s="12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</row>
    <row r="451" ht="33.0" customHeight="1">
      <c r="A451" s="12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</row>
    <row r="452" ht="33.0" customHeight="1">
      <c r="A452" s="12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</row>
    <row r="453" ht="33.0" customHeight="1">
      <c r="A453" s="12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</row>
    <row r="454" ht="33.0" customHeight="1">
      <c r="A454" s="12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</row>
    <row r="455" ht="33.0" customHeight="1">
      <c r="A455" s="12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</row>
    <row r="456" ht="33.0" customHeight="1">
      <c r="A456" s="12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</row>
    <row r="457" ht="33.0" customHeight="1">
      <c r="A457" s="12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</row>
    <row r="458" ht="33.0" customHeight="1">
      <c r="A458" s="12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</row>
    <row r="459" ht="33.0" customHeight="1">
      <c r="A459" s="12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</row>
    <row r="460" ht="33.0" customHeight="1">
      <c r="A460" s="12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</row>
    <row r="461" ht="33.0" customHeight="1">
      <c r="A461" s="12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</row>
    <row r="462" ht="33.0" customHeight="1">
      <c r="A462" s="12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</row>
    <row r="463" ht="33.0" customHeight="1">
      <c r="A463" s="12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</row>
    <row r="464" ht="33.0" customHeight="1">
      <c r="A464" s="12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</row>
    <row r="465" ht="33.0" customHeight="1">
      <c r="A465" s="12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</row>
    <row r="466" ht="33.0" customHeight="1">
      <c r="A466" s="12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</row>
    <row r="467" ht="33.0" customHeight="1">
      <c r="A467" s="12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</row>
    <row r="468" ht="33.0" customHeight="1">
      <c r="A468" s="12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</row>
    <row r="469" ht="33.0" customHeight="1">
      <c r="A469" s="12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</row>
    <row r="470" ht="33.0" customHeight="1">
      <c r="A470" s="12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</row>
    <row r="471" ht="33.0" customHeight="1">
      <c r="A471" s="12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</row>
    <row r="472" ht="33.0" customHeight="1">
      <c r="A472" s="12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</row>
    <row r="473" ht="33.0" customHeight="1">
      <c r="A473" s="12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</row>
    <row r="474" ht="33.0" customHeight="1">
      <c r="A474" s="12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</row>
    <row r="475" ht="33.0" customHeight="1">
      <c r="A475" s="12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</row>
    <row r="476" ht="33.0" customHeight="1">
      <c r="A476" s="12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</row>
    <row r="477" ht="33.0" customHeight="1">
      <c r="A477" s="12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</row>
    <row r="478" ht="33.0" customHeight="1">
      <c r="A478" s="12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</row>
    <row r="479" ht="33.0" customHeight="1">
      <c r="A479" s="12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</row>
    <row r="480" ht="33.0" customHeight="1">
      <c r="A480" s="12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</row>
    <row r="481" ht="33.0" customHeight="1">
      <c r="A481" s="12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</row>
    <row r="482" ht="33.0" customHeight="1">
      <c r="A482" s="12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</row>
    <row r="483" ht="33.0" customHeight="1">
      <c r="A483" s="12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</row>
    <row r="484" ht="33.0" customHeight="1">
      <c r="A484" s="12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</row>
    <row r="485" ht="33.0" customHeight="1">
      <c r="A485" s="12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</row>
    <row r="486" ht="33.0" customHeight="1">
      <c r="A486" s="12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</row>
    <row r="487" ht="33.0" customHeight="1">
      <c r="A487" s="12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</row>
    <row r="488" ht="33.0" customHeight="1">
      <c r="A488" s="12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</row>
    <row r="489" ht="33.0" customHeight="1">
      <c r="A489" s="12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</row>
    <row r="490" ht="33.0" customHeight="1">
      <c r="A490" s="12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</row>
    <row r="491" ht="33.0" customHeight="1">
      <c r="A491" s="12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</row>
    <row r="492" ht="33.0" customHeight="1">
      <c r="A492" s="12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</row>
    <row r="493" ht="33.0" customHeight="1">
      <c r="A493" s="12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</row>
    <row r="494" ht="33.0" customHeight="1">
      <c r="A494" s="12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</row>
    <row r="495" ht="33.0" customHeight="1">
      <c r="A495" s="12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</row>
    <row r="496" ht="33.0" customHeight="1">
      <c r="A496" s="12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</row>
    <row r="497" ht="33.0" customHeight="1">
      <c r="A497" s="12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</row>
    <row r="498" ht="33.0" customHeight="1">
      <c r="A498" s="12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</row>
    <row r="499" ht="33.0" customHeight="1">
      <c r="A499" s="12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</row>
    <row r="500" ht="33.0" customHeight="1">
      <c r="A500" s="12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</row>
    <row r="501" ht="33.0" customHeight="1">
      <c r="A501" s="12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</row>
    <row r="502" ht="33.0" customHeight="1">
      <c r="A502" s="12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</row>
    <row r="503" ht="33.0" customHeight="1">
      <c r="A503" s="12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</row>
    <row r="504" ht="33.0" customHeight="1">
      <c r="A504" s="12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</row>
    <row r="505" ht="33.0" customHeight="1">
      <c r="A505" s="12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</row>
    <row r="506" ht="33.0" customHeight="1">
      <c r="A506" s="12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</row>
    <row r="507" ht="33.0" customHeight="1">
      <c r="A507" s="12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</row>
    <row r="508" ht="33.0" customHeight="1">
      <c r="A508" s="12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</row>
    <row r="509" ht="33.0" customHeight="1">
      <c r="A509" s="12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</row>
    <row r="510" ht="33.0" customHeight="1">
      <c r="A510" s="12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</row>
    <row r="511" ht="33.0" customHeight="1">
      <c r="A511" s="12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</row>
    <row r="512" ht="33.0" customHeight="1">
      <c r="A512" s="12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</row>
    <row r="513" ht="33.0" customHeight="1">
      <c r="A513" s="12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</row>
    <row r="514" ht="33.0" customHeight="1">
      <c r="A514" s="12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</row>
    <row r="515" ht="33.0" customHeight="1">
      <c r="A515" s="12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</row>
    <row r="516" ht="33.0" customHeight="1">
      <c r="A516" s="12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</row>
    <row r="517" ht="33.0" customHeight="1">
      <c r="A517" s="12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</row>
    <row r="518" ht="33.0" customHeight="1">
      <c r="A518" s="12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</row>
    <row r="519" ht="33.0" customHeight="1">
      <c r="A519" s="12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</row>
    <row r="520" ht="33.0" customHeight="1">
      <c r="A520" s="12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</row>
    <row r="521" ht="33.0" customHeight="1">
      <c r="A521" s="12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</row>
    <row r="522" ht="33.0" customHeight="1">
      <c r="A522" s="12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</row>
    <row r="523" ht="33.0" customHeight="1">
      <c r="A523" s="12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</row>
    <row r="524" ht="33.0" customHeight="1">
      <c r="A524" s="12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</row>
    <row r="525" ht="33.0" customHeight="1">
      <c r="A525" s="12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</row>
    <row r="526" ht="33.0" customHeight="1">
      <c r="A526" s="12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</row>
    <row r="527" ht="33.0" customHeight="1">
      <c r="A527" s="12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</row>
    <row r="528" ht="33.0" customHeight="1">
      <c r="A528" s="12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</row>
    <row r="529" ht="33.0" customHeight="1">
      <c r="A529" s="12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</row>
    <row r="530" ht="33.0" customHeight="1">
      <c r="A530" s="12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</row>
    <row r="531" ht="33.0" customHeight="1">
      <c r="A531" s="12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</row>
    <row r="532" ht="33.0" customHeight="1">
      <c r="A532" s="12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</row>
    <row r="533" ht="33.0" customHeight="1">
      <c r="A533" s="12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</row>
    <row r="534" ht="33.0" customHeight="1">
      <c r="A534" s="12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</row>
    <row r="535" ht="33.0" customHeight="1">
      <c r="A535" s="12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</row>
    <row r="536" ht="33.0" customHeight="1">
      <c r="A536" s="12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</row>
    <row r="537" ht="33.0" customHeight="1">
      <c r="A537" s="12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</row>
    <row r="538" ht="33.0" customHeight="1">
      <c r="A538" s="12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</row>
    <row r="539" ht="33.0" customHeight="1">
      <c r="A539" s="12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</row>
    <row r="540" ht="33.0" customHeight="1">
      <c r="A540" s="12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</row>
    <row r="541" ht="33.0" customHeight="1">
      <c r="A541" s="12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</row>
    <row r="542" ht="33.0" customHeight="1">
      <c r="A542" s="12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</row>
    <row r="543" ht="33.0" customHeight="1">
      <c r="A543" s="12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</row>
    <row r="544" ht="33.0" customHeight="1">
      <c r="A544" s="12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</row>
    <row r="545" ht="33.0" customHeight="1">
      <c r="A545" s="12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</row>
    <row r="546" ht="33.0" customHeight="1">
      <c r="A546" s="12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</row>
    <row r="547" ht="33.0" customHeight="1">
      <c r="A547" s="12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</row>
    <row r="548" ht="33.0" customHeight="1">
      <c r="A548" s="12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</row>
    <row r="549" ht="33.0" customHeight="1">
      <c r="A549" s="12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</row>
    <row r="550" ht="33.0" customHeight="1">
      <c r="A550" s="12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</row>
    <row r="551" ht="33.0" customHeight="1">
      <c r="A551" s="12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</row>
    <row r="552" ht="33.0" customHeight="1">
      <c r="A552" s="12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</row>
    <row r="553" ht="33.0" customHeight="1">
      <c r="A553" s="12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</row>
    <row r="554" ht="33.0" customHeight="1">
      <c r="A554" s="12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</row>
    <row r="555" ht="33.0" customHeight="1">
      <c r="A555" s="12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</row>
    <row r="556" ht="33.0" customHeight="1">
      <c r="A556" s="12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</row>
    <row r="557" ht="33.0" customHeight="1">
      <c r="A557" s="12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</row>
    <row r="558" ht="33.0" customHeight="1">
      <c r="A558" s="12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</row>
    <row r="559" ht="33.0" customHeight="1">
      <c r="A559" s="12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</row>
    <row r="560" ht="33.0" customHeight="1">
      <c r="A560" s="12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</row>
    <row r="561" ht="33.0" customHeight="1">
      <c r="A561" s="12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</row>
    <row r="562" ht="33.0" customHeight="1">
      <c r="A562" s="12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</row>
    <row r="563" ht="33.0" customHeight="1">
      <c r="A563" s="12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</row>
    <row r="564" ht="33.0" customHeight="1">
      <c r="A564" s="12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</row>
    <row r="565" ht="33.0" customHeight="1">
      <c r="A565" s="12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</row>
    <row r="566" ht="33.0" customHeight="1">
      <c r="A566" s="12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</row>
    <row r="567" ht="33.0" customHeight="1">
      <c r="A567" s="12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</row>
    <row r="568" ht="33.0" customHeight="1">
      <c r="A568" s="12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</row>
    <row r="569" ht="33.0" customHeight="1">
      <c r="A569" s="12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</row>
    <row r="570" ht="33.0" customHeight="1">
      <c r="A570" s="12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</row>
    <row r="571" ht="33.0" customHeight="1">
      <c r="A571" s="12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</row>
    <row r="572" ht="33.0" customHeight="1">
      <c r="A572" s="12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</row>
    <row r="573" ht="33.0" customHeight="1">
      <c r="A573" s="12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</row>
    <row r="574" ht="33.0" customHeight="1">
      <c r="A574" s="12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</row>
    <row r="575" ht="33.0" customHeight="1">
      <c r="A575" s="12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</row>
    <row r="576" ht="33.0" customHeight="1">
      <c r="A576" s="12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</row>
    <row r="577" ht="33.0" customHeight="1">
      <c r="A577" s="12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</row>
    <row r="578" ht="33.0" customHeight="1">
      <c r="A578" s="12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</row>
    <row r="579" ht="33.0" customHeight="1">
      <c r="A579" s="12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</row>
    <row r="580" ht="33.0" customHeight="1">
      <c r="A580" s="12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</row>
    <row r="581" ht="33.0" customHeight="1">
      <c r="A581" s="12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</row>
    <row r="582" ht="33.0" customHeight="1">
      <c r="A582" s="12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</row>
    <row r="583" ht="33.0" customHeight="1">
      <c r="A583" s="12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</row>
    <row r="584" ht="33.0" customHeight="1">
      <c r="A584" s="12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</row>
    <row r="585" ht="33.0" customHeight="1">
      <c r="A585" s="12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</row>
    <row r="586" ht="33.0" customHeight="1">
      <c r="A586" s="12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</row>
    <row r="587" ht="33.0" customHeight="1">
      <c r="A587" s="12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</row>
    <row r="588" ht="33.0" customHeight="1">
      <c r="A588" s="12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</row>
    <row r="589" ht="33.0" customHeight="1">
      <c r="A589" s="12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</row>
    <row r="590" ht="33.0" customHeight="1">
      <c r="A590" s="12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</row>
    <row r="591" ht="33.0" customHeight="1">
      <c r="A591" s="12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</row>
    <row r="592" ht="33.0" customHeight="1">
      <c r="A592" s="12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</row>
    <row r="593" ht="33.0" customHeight="1">
      <c r="A593" s="12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</row>
    <row r="594" ht="33.0" customHeight="1">
      <c r="A594" s="12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</row>
    <row r="595" ht="33.0" customHeight="1">
      <c r="A595" s="12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</row>
    <row r="596" ht="33.0" customHeight="1">
      <c r="A596" s="12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</row>
    <row r="597" ht="33.0" customHeight="1">
      <c r="A597" s="12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</row>
    <row r="598" ht="33.0" customHeight="1">
      <c r="A598" s="12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</row>
    <row r="599" ht="33.0" customHeight="1">
      <c r="A599" s="12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</row>
    <row r="600" ht="33.0" customHeight="1">
      <c r="A600" s="12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</row>
    <row r="601" ht="33.0" customHeight="1">
      <c r="A601" s="12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</row>
    <row r="602" ht="33.0" customHeight="1">
      <c r="A602" s="12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</row>
    <row r="603" ht="33.0" customHeight="1">
      <c r="A603" s="12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</row>
    <row r="604" ht="33.0" customHeight="1">
      <c r="A604" s="12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</row>
    <row r="605" ht="33.0" customHeight="1">
      <c r="A605" s="12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</row>
    <row r="606" ht="33.0" customHeight="1">
      <c r="A606" s="12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</row>
    <row r="607" ht="33.0" customHeight="1">
      <c r="A607" s="12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</row>
    <row r="608" ht="33.0" customHeight="1">
      <c r="A608" s="12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</row>
    <row r="609" ht="33.0" customHeight="1">
      <c r="A609" s="12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</row>
    <row r="610" ht="33.0" customHeight="1">
      <c r="A610" s="12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</row>
    <row r="611" ht="33.0" customHeight="1">
      <c r="A611" s="12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</row>
    <row r="612" ht="33.0" customHeight="1">
      <c r="A612" s="12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</row>
    <row r="613" ht="33.0" customHeight="1">
      <c r="A613" s="12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</row>
    <row r="614" ht="33.0" customHeight="1">
      <c r="A614" s="12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</row>
    <row r="615" ht="33.0" customHeight="1">
      <c r="A615" s="12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</row>
    <row r="616" ht="33.0" customHeight="1">
      <c r="A616" s="12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</row>
    <row r="617" ht="33.0" customHeight="1">
      <c r="A617" s="12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</row>
    <row r="618" ht="33.0" customHeight="1">
      <c r="A618" s="12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</row>
    <row r="619" ht="33.0" customHeight="1">
      <c r="A619" s="12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</row>
    <row r="620" ht="33.0" customHeight="1">
      <c r="A620" s="12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</row>
    <row r="621" ht="33.0" customHeight="1">
      <c r="A621" s="12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</row>
    <row r="622" ht="33.0" customHeight="1">
      <c r="A622" s="12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</row>
    <row r="623" ht="33.0" customHeight="1">
      <c r="A623" s="12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</row>
    <row r="624" ht="33.0" customHeight="1">
      <c r="A624" s="12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</row>
    <row r="625" ht="33.0" customHeight="1">
      <c r="A625" s="12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</row>
    <row r="626" ht="33.0" customHeight="1">
      <c r="A626" s="12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</row>
    <row r="627" ht="33.0" customHeight="1">
      <c r="A627" s="12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</row>
    <row r="628" ht="33.0" customHeight="1">
      <c r="A628" s="12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</row>
    <row r="629" ht="33.0" customHeight="1">
      <c r="A629" s="12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</row>
    <row r="630" ht="33.0" customHeight="1">
      <c r="A630" s="12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</row>
    <row r="631" ht="33.0" customHeight="1">
      <c r="A631" s="12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</row>
    <row r="632" ht="33.0" customHeight="1">
      <c r="A632" s="12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</row>
    <row r="633" ht="33.0" customHeight="1">
      <c r="A633" s="12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</row>
    <row r="634" ht="33.0" customHeight="1">
      <c r="A634" s="12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</row>
    <row r="635" ht="33.0" customHeight="1">
      <c r="A635" s="12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</row>
    <row r="636" ht="33.0" customHeight="1">
      <c r="A636" s="12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</row>
    <row r="637" ht="33.0" customHeight="1">
      <c r="A637" s="12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</row>
    <row r="638" ht="33.0" customHeight="1">
      <c r="A638" s="12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</row>
    <row r="639" ht="33.0" customHeight="1">
      <c r="A639" s="12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</row>
    <row r="640" ht="33.0" customHeight="1">
      <c r="A640" s="12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</row>
    <row r="641" ht="33.0" customHeight="1">
      <c r="A641" s="12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</row>
    <row r="642" ht="33.0" customHeight="1">
      <c r="A642" s="12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</row>
    <row r="643" ht="33.0" customHeight="1">
      <c r="A643" s="12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</row>
    <row r="644" ht="33.0" customHeight="1">
      <c r="A644" s="12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</row>
    <row r="645" ht="33.0" customHeight="1">
      <c r="A645" s="12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</row>
    <row r="646" ht="33.0" customHeight="1">
      <c r="A646" s="12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</row>
    <row r="647" ht="33.0" customHeight="1">
      <c r="A647" s="12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</row>
    <row r="648" ht="33.0" customHeight="1">
      <c r="A648" s="12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</row>
    <row r="649" ht="33.0" customHeight="1">
      <c r="A649" s="12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</row>
    <row r="650" ht="33.0" customHeight="1">
      <c r="A650" s="12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</row>
    <row r="651" ht="33.0" customHeight="1">
      <c r="A651" s="12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</row>
    <row r="652" ht="33.0" customHeight="1">
      <c r="A652" s="12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</row>
    <row r="653" ht="33.0" customHeight="1">
      <c r="A653" s="12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</row>
    <row r="654" ht="33.0" customHeight="1">
      <c r="A654" s="12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</row>
    <row r="655" ht="33.0" customHeight="1">
      <c r="A655" s="12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</row>
    <row r="656" ht="33.0" customHeight="1">
      <c r="A656" s="12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</row>
    <row r="657" ht="33.0" customHeight="1">
      <c r="A657" s="12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</row>
    <row r="658" ht="33.0" customHeight="1">
      <c r="A658" s="12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</row>
    <row r="659" ht="33.0" customHeight="1">
      <c r="A659" s="12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</row>
    <row r="660" ht="33.0" customHeight="1">
      <c r="A660" s="12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</row>
    <row r="661" ht="33.0" customHeight="1">
      <c r="A661" s="12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</row>
    <row r="662" ht="33.0" customHeight="1">
      <c r="A662" s="12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</row>
    <row r="663" ht="33.0" customHeight="1">
      <c r="A663" s="12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</row>
    <row r="664" ht="33.0" customHeight="1">
      <c r="A664" s="12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</row>
    <row r="665" ht="33.0" customHeight="1">
      <c r="A665" s="12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</row>
    <row r="666" ht="33.0" customHeight="1">
      <c r="A666" s="12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</row>
    <row r="667" ht="33.0" customHeight="1">
      <c r="A667" s="12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</row>
    <row r="668" ht="33.0" customHeight="1">
      <c r="A668" s="12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</row>
    <row r="669" ht="33.0" customHeight="1">
      <c r="A669" s="12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</row>
    <row r="670" ht="33.0" customHeight="1">
      <c r="A670" s="12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</row>
    <row r="671" ht="33.0" customHeight="1">
      <c r="A671" s="12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</row>
    <row r="672" ht="33.0" customHeight="1">
      <c r="A672" s="12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</row>
    <row r="673" ht="33.0" customHeight="1">
      <c r="A673" s="12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</row>
    <row r="674" ht="33.0" customHeight="1">
      <c r="A674" s="12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</row>
    <row r="675" ht="33.0" customHeight="1">
      <c r="A675" s="12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</row>
    <row r="676" ht="33.0" customHeight="1">
      <c r="A676" s="12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</row>
    <row r="677" ht="33.0" customHeight="1">
      <c r="A677" s="12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</row>
    <row r="678" ht="33.0" customHeight="1">
      <c r="A678" s="12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</row>
    <row r="679" ht="33.0" customHeight="1">
      <c r="A679" s="12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</row>
    <row r="680" ht="33.0" customHeight="1">
      <c r="A680" s="12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</row>
    <row r="681" ht="33.0" customHeight="1">
      <c r="A681" s="12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</row>
    <row r="682" ht="33.0" customHeight="1">
      <c r="A682" s="12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</row>
    <row r="683" ht="33.0" customHeight="1">
      <c r="A683" s="12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</row>
    <row r="684" ht="33.0" customHeight="1">
      <c r="A684" s="12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</row>
    <row r="685" ht="33.0" customHeight="1">
      <c r="A685" s="12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</row>
    <row r="686" ht="33.0" customHeight="1">
      <c r="A686" s="12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</row>
    <row r="687" ht="33.0" customHeight="1">
      <c r="A687" s="12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</row>
    <row r="688" ht="33.0" customHeight="1">
      <c r="A688" s="12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</row>
    <row r="689" ht="33.0" customHeight="1">
      <c r="A689" s="12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</row>
    <row r="690" ht="33.0" customHeight="1">
      <c r="A690" s="12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</row>
    <row r="691" ht="33.0" customHeight="1">
      <c r="A691" s="12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</row>
    <row r="692" ht="33.0" customHeight="1">
      <c r="A692" s="12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</row>
    <row r="693" ht="33.0" customHeight="1">
      <c r="A693" s="12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</row>
    <row r="694" ht="33.0" customHeight="1">
      <c r="A694" s="12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</row>
    <row r="695" ht="33.0" customHeight="1">
      <c r="A695" s="12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</row>
    <row r="696" ht="33.0" customHeight="1">
      <c r="A696" s="12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</row>
    <row r="697" ht="33.0" customHeight="1">
      <c r="A697" s="12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</row>
    <row r="698" ht="33.0" customHeight="1">
      <c r="A698" s="12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</row>
    <row r="699" ht="33.0" customHeight="1">
      <c r="A699" s="12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</row>
    <row r="700" ht="33.0" customHeight="1">
      <c r="A700" s="12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</row>
    <row r="701" ht="33.0" customHeight="1">
      <c r="A701" s="12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</row>
    <row r="702" ht="33.0" customHeight="1">
      <c r="A702" s="12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</row>
    <row r="703" ht="33.0" customHeight="1">
      <c r="A703" s="12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</row>
    <row r="704" ht="33.0" customHeight="1">
      <c r="A704" s="12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</row>
    <row r="705" ht="33.0" customHeight="1">
      <c r="A705" s="12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</row>
    <row r="706" ht="33.0" customHeight="1">
      <c r="A706" s="12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</row>
    <row r="707" ht="33.0" customHeight="1">
      <c r="A707" s="12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</row>
    <row r="708" ht="33.0" customHeight="1">
      <c r="A708" s="12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</row>
    <row r="709" ht="33.0" customHeight="1">
      <c r="A709" s="12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</row>
    <row r="710" ht="33.0" customHeight="1">
      <c r="A710" s="12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</row>
    <row r="711" ht="33.0" customHeight="1">
      <c r="A711" s="12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</row>
    <row r="712" ht="33.0" customHeight="1">
      <c r="A712" s="12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</row>
    <row r="713" ht="33.0" customHeight="1">
      <c r="A713" s="12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</row>
    <row r="714" ht="33.0" customHeight="1">
      <c r="A714" s="12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</row>
    <row r="715" ht="33.0" customHeight="1">
      <c r="A715" s="12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</row>
    <row r="716" ht="33.0" customHeight="1">
      <c r="A716" s="12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</row>
    <row r="717" ht="33.0" customHeight="1">
      <c r="A717" s="12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</row>
    <row r="718" ht="33.0" customHeight="1">
      <c r="A718" s="12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</row>
    <row r="719" ht="33.0" customHeight="1">
      <c r="A719" s="12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</row>
    <row r="720" ht="33.0" customHeight="1">
      <c r="A720" s="12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</row>
    <row r="721" ht="33.0" customHeight="1">
      <c r="A721" s="12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</row>
    <row r="722" ht="33.0" customHeight="1">
      <c r="A722" s="12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</row>
    <row r="723" ht="33.0" customHeight="1">
      <c r="A723" s="12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</row>
    <row r="724" ht="33.0" customHeight="1">
      <c r="A724" s="12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</row>
    <row r="725" ht="33.0" customHeight="1">
      <c r="A725" s="12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</row>
    <row r="726" ht="33.0" customHeight="1">
      <c r="A726" s="12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</row>
    <row r="727" ht="33.0" customHeight="1">
      <c r="A727" s="12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</row>
    <row r="728" ht="33.0" customHeight="1">
      <c r="A728" s="12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</row>
    <row r="729" ht="33.0" customHeight="1">
      <c r="A729" s="12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</row>
    <row r="730" ht="33.0" customHeight="1">
      <c r="A730" s="12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</row>
    <row r="731" ht="33.0" customHeight="1">
      <c r="A731" s="12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</row>
    <row r="732" ht="33.0" customHeight="1">
      <c r="A732" s="12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</row>
    <row r="733" ht="33.0" customHeight="1">
      <c r="A733" s="12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</row>
    <row r="734" ht="33.0" customHeight="1">
      <c r="A734" s="12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</row>
    <row r="735" ht="33.0" customHeight="1">
      <c r="A735" s="12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</row>
    <row r="736" ht="33.0" customHeight="1">
      <c r="A736" s="12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</row>
    <row r="737" ht="33.0" customHeight="1">
      <c r="A737" s="12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</row>
    <row r="738" ht="33.0" customHeight="1">
      <c r="A738" s="12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</row>
    <row r="739" ht="33.0" customHeight="1">
      <c r="A739" s="12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</row>
    <row r="740" ht="33.0" customHeight="1">
      <c r="A740" s="12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</row>
    <row r="741" ht="33.0" customHeight="1">
      <c r="A741" s="12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</row>
    <row r="742" ht="33.0" customHeight="1">
      <c r="A742" s="12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</row>
    <row r="743" ht="33.0" customHeight="1">
      <c r="A743" s="12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</row>
    <row r="744" ht="33.0" customHeight="1">
      <c r="A744" s="12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</row>
    <row r="745" ht="33.0" customHeight="1">
      <c r="A745" s="12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</row>
    <row r="746" ht="33.0" customHeight="1">
      <c r="A746" s="12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</row>
    <row r="747" ht="33.0" customHeight="1">
      <c r="A747" s="12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</row>
    <row r="748" ht="33.0" customHeight="1">
      <c r="A748" s="12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</row>
    <row r="749" ht="33.0" customHeight="1">
      <c r="A749" s="12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</row>
    <row r="750" ht="33.0" customHeight="1">
      <c r="A750" s="12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</row>
    <row r="751" ht="33.0" customHeight="1">
      <c r="A751" s="12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</row>
    <row r="752" ht="33.0" customHeight="1">
      <c r="A752" s="12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</row>
    <row r="753" ht="33.0" customHeight="1">
      <c r="A753" s="12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</row>
    <row r="754" ht="33.0" customHeight="1">
      <c r="A754" s="12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</row>
    <row r="755" ht="33.0" customHeight="1">
      <c r="A755" s="12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</row>
    <row r="756" ht="33.0" customHeight="1">
      <c r="A756" s="12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</row>
    <row r="757" ht="33.0" customHeight="1">
      <c r="A757" s="12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</row>
    <row r="758" ht="33.0" customHeight="1">
      <c r="A758" s="12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</row>
    <row r="759" ht="33.0" customHeight="1">
      <c r="A759" s="12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</row>
    <row r="760" ht="33.0" customHeight="1">
      <c r="A760" s="12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</row>
    <row r="761" ht="33.0" customHeight="1">
      <c r="A761" s="12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</row>
    <row r="762" ht="33.0" customHeight="1">
      <c r="A762" s="12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</row>
    <row r="763" ht="33.0" customHeight="1">
      <c r="A763" s="12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</row>
    <row r="764" ht="33.0" customHeight="1">
      <c r="A764" s="12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</row>
    <row r="765" ht="33.0" customHeight="1">
      <c r="A765" s="12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</row>
    <row r="766" ht="33.0" customHeight="1">
      <c r="A766" s="12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</row>
    <row r="767" ht="33.0" customHeight="1">
      <c r="A767" s="12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</row>
    <row r="768" ht="33.0" customHeight="1">
      <c r="A768" s="12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</row>
    <row r="769" ht="33.0" customHeight="1">
      <c r="A769" s="12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</row>
    <row r="770" ht="33.0" customHeight="1">
      <c r="A770" s="12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</row>
    <row r="771" ht="33.0" customHeight="1">
      <c r="A771" s="12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</row>
    <row r="772" ht="33.0" customHeight="1">
      <c r="A772" s="12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</row>
    <row r="773" ht="33.0" customHeight="1">
      <c r="A773" s="12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</row>
    <row r="774" ht="33.0" customHeight="1">
      <c r="A774" s="12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</row>
    <row r="775" ht="33.0" customHeight="1">
      <c r="A775" s="12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</row>
    <row r="776" ht="33.0" customHeight="1">
      <c r="A776" s="12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</row>
    <row r="777" ht="33.0" customHeight="1">
      <c r="A777" s="12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</row>
    <row r="778" ht="33.0" customHeight="1">
      <c r="A778" s="12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</row>
    <row r="779" ht="33.0" customHeight="1">
      <c r="A779" s="12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</row>
    <row r="780" ht="33.0" customHeight="1">
      <c r="A780" s="12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</row>
    <row r="781" ht="33.0" customHeight="1">
      <c r="A781" s="12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</row>
    <row r="782" ht="33.0" customHeight="1">
      <c r="A782" s="12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</row>
    <row r="783" ht="33.0" customHeight="1">
      <c r="A783" s="12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</row>
    <row r="784" ht="33.0" customHeight="1">
      <c r="A784" s="12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</row>
    <row r="785" ht="33.0" customHeight="1">
      <c r="A785" s="12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</row>
    <row r="786" ht="33.0" customHeight="1">
      <c r="A786" s="12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</row>
    <row r="787" ht="33.0" customHeight="1">
      <c r="A787" s="12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</row>
    <row r="788" ht="33.0" customHeight="1">
      <c r="A788" s="12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</row>
    <row r="789" ht="33.0" customHeight="1">
      <c r="A789" s="12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</row>
    <row r="790" ht="33.0" customHeight="1">
      <c r="A790" s="12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</row>
    <row r="791" ht="33.0" customHeight="1">
      <c r="A791" s="12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</row>
    <row r="792" ht="33.0" customHeight="1">
      <c r="A792" s="12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</row>
    <row r="793" ht="33.0" customHeight="1">
      <c r="A793" s="12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</row>
    <row r="794" ht="33.0" customHeight="1">
      <c r="A794" s="12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</row>
    <row r="795" ht="33.0" customHeight="1">
      <c r="A795" s="12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</row>
    <row r="796" ht="33.0" customHeight="1">
      <c r="A796" s="12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</row>
    <row r="797" ht="33.0" customHeight="1">
      <c r="A797" s="12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</row>
    <row r="798" ht="33.0" customHeight="1">
      <c r="A798" s="12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</row>
    <row r="799" ht="33.0" customHeight="1">
      <c r="A799" s="12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</row>
    <row r="800" ht="33.0" customHeight="1">
      <c r="A800" s="12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</row>
    <row r="801" ht="33.0" customHeight="1">
      <c r="A801" s="12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</row>
    <row r="802" ht="33.0" customHeight="1">
      <c r="A802" s="12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</row>
    <row r="803" ht="33.0" customHeight="1">
      <c r="A803" s="12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</row>
    <row r="804" ht="33.0" customHeight="1">
      <c r="A804" s="12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</row>
    <row r="805" ht="33.0" customHeight="1">
      <c r="A805" s="12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</row>
    <row r="806" ht="33.0" customHeight="1">
      <c r="A806" s="12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</row>
    <row r="807" ht="33.0" customHeight="1">
      <c r="A807" s="12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</row>
    <row r="808" ht="33.0" customHeight="1">
      <c r="A808" s="12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</row>
    <row r="809" ht="33.0" customHeight="1">
      <c r="A809" s="12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</row>
    <row r="810" ht="33.0" customHeight="1">
      <c r="A810" s="12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</row>
    <row r="811" ht="33.0" customHeight="1">
      <c r="A811" s="12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</row>
    <row r="812" ht="33.0" customHeight="1">
      <c r="A812" s="12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</row>
    <row r="813" ht="33.0" customHeight="1">
      <c r="A813" s="12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</row>
    <row r="814" ht="33.0" customHeight="1">
      <c r="A814" s="12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</row>
    <row r="815" ht="33.0" customHeight="1">
      <c r="A815" s="12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</row>
    <row r="816" ht="33.0" customHeight="1">
      <c r="A816" s="12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</row>
    <row r="817" ht="33.0" customHeight="1">
      <c r="A817" s="12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</row>
    <row r="818" ht="33.0" customHeight="1">
      <c r="A818" s="12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</row>
    <row r="819" ht="33.0" customHeight="1">
      <c r="A819" s="12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</row>
    <row r="820" ht="33.0" customHeight="1">
      <c r="A820" s="12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</row>
    <row r="821" ht="33.0" customHeight="1">
      <c r="A821" s="12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</row>
    <row r="822" ht="33.0" customHeight="1">
      <c r="A822" s="12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</row>
    <row r="823" ht="33.0" customHeight="1">
      <c r="A823" s="12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</row>
    <row r="824" ht="33.0" customHeight="1">
      <c r="A824" s="12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</row>
    <row r="825" ht="33.0" customHeight="1">
      <c r="A825" s="12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</row>
    <row r="826" ht="33.0" customHeight="1">
      <c r="A826" s="12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</row>
    <row r="827" ht="33.0" customHeight="1">
      <c r="A827" s="12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</row>
    <row r="828" ht="33.0" customHeight="1">
      <c r="A828" s="12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</row>
    <row r="829" ht="33.0" customHeight="1">
      <c r="A829" s="12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</row>
    <row r="830" ht="33.0" customHeight="1">
      <c r="A830" s="12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</row>
    <row r="831" ht="33.0" customHeight="1">
      <c r="A831" s="12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</row>
    <row r="832" ht="33.0" customHeight="1">
      <c r="A832" s="12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</row>
    <row r="833" ht="33.0" customHeight="1">
      <c r="A833" s="12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</row>
    <row r="834" ht="33.0" customHeight="1">
      <c r="A834" s="12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</row>
    <row r="835" ht="33.0" customHeight="1">
      <c r="A835" s="12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</row>
    <row r="836" ht="33.0" customHeight="1">
      <c r="A836" s="12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</row>
    <row r="837" ht="33.0" customHeight="1">
      <c r="A837" s="12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</row>
    <row r="838" ht="33.0" customHeight="1">
      <c r="A838" s="12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</row>
    <row r="839" ht="33.0" customHeight="1">
      <c r="A839" s="12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</row>
    <row r="840" ht="33.0" customHeight="1">
      <c r="A840" s="12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</row>
    <row r="841" ht="33.0" customHeight="1">
      <c r="A841" s="12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</row>
    <row r="842" ht="33.0" customHeight="1">
      <c r="A842" s="12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</row>
    <row r="843" ht="33.0" customHeight="1">
      <c r="A843" s="12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</row>
    <row r="844" ht="33.0" customHeight="1">
      <c r="A844" s="12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</row>
    <row r="845" ht="33.0" customHeight="1">
      <c r="A845" s="12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</row>
    <row r="846" ht="33.0" customHeight="1">
      <c r="A846" s="12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</row>
    <row r="847" ht="33.0" customHeight="1">
      <c r="A847" s="12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</row>
    <row r="848" ht="33.0" customHeight="1">
      <c r="A848" s="12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</row>
    <row r="849" ht="33.0" customHeight="1">
      <c r="A849" s="12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</row>
    <row r="850" ht="33.0" customHeight="1">
      <c r="A850" s="12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</row>
    <row r="851" ht="33.0" customHeight="1">
      <c r="A851" s="12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</row>
    <row r="852" ht="33.0" customHeight="1">
      <c r="A852" s="12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</row>
    <row r="853" ht="33.0" customHeight="1">
      <c r="A853" s="12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</row>
    <row r="854" ht="33.0" customHeight="1">
      <c r="A854" s="12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</row>
    <row r="855" ht="33.0" customHeight="1">
      <c r="A855" s="12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</row>
    <row r="856" ht="33.0" customHeight="1">
      <c r="A856" s="12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</row>
    <row r="857" ht="33.0" customHeight="1">
      <c r="A857" s="12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</row>
    <row r="858" ht="33.0" customHeight="1">
      <c r="A858" s="12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</row>
    <row r="859" ht="33.0" customHeight="1">
      <c r="A859" s="12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</row>
    <row r="860" ht="33.0" customHeight="1">
      <c r="A860" s="12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</row>
    <row r="861" ht="33.0" customHeight="1">
      <c r="A861" s="12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</row>
    <row r="862" ht="33.0" customHeight="1">
      <c r="A862" s="12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</row>
    <row r="863" ht="33.0" customHeight="1">
      <c r="A863" s="12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</row>
    <row r="864" ht="33.0" customHeight="1">
      <c r="A864" s="12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</row>
    <row r="865" ht="33.0" customHeight="1">
      <c r="A865" s="12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</row>
    <row r="866" ht="33.0" customHeight="1">
      <c r="A866" s="12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</row>
    <row r="867" ht="33.0" customHeight="1">
      <c r="A867" s="12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</row>
    <row r="868" ht="33.0" customHeight="1">
      <c r="A868" s="12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</row>
    <row r="869" ht="33.0" customHeight="1">
      <c r="A869" s="12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</row>
    <row r="870" ht="33.0" customHeight="1">
      <c r="A870" s="12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</row>
    <row r="871" ht="33.0" customHeight="1">
      <c r="A871" s="12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</row>
    <row r="872" ht="33.0" customHeight="1">
      <c r="A872" s="12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</row>
    <row r="873" ht="33.0" customHeight="1">
      <c r="A873" s="12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</row>
    <row r="874" ht="33.0" customHeight="1">
      <c r="A874" s="12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</row>
    <row r="875" ht="33.0" customHeight="1">
      <c r="A875" s="12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</row>
    <row r="876" ht="33.0" customHeight="1">
      <c r="A876" s="12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</row>
    <row r="877" ht="33.0" customHeight="1">
      <c r="A877" s="12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</row>
    <row r="878" ht="33.0" customHeight="1">
      <c r="A878" s="12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</row>
    <row r="879" ht="33.0" customHeight="1">
      <c r="A879" s="12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</row>
    <row r="880" ht="33.0" customHeight="1">
      <c r="A880" s="12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</row>
    <row r="881" ht="33.0" customHeight="1">
      <c r="A881" s="12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</row>
    <row r="882" ht="33.0" customHeight="1">
      <c r="A882" s="12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</row>
    <row r="883" ht="33.0" customHeight="1">
      <c r="A883" s="12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</row>
    <row r="884" ht="33.0" customHeight="1">
      <c r="A884" s="12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</row>
    <row r="885" ht="33.0" customHeight="1">
      <c r="A885" s="12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</row>
    <row r="886" ht="33.0" customHeight="1">
      <c r="A886" s="12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</row>
    <row r="887" ht="33.0" customHeight="1">
      <c r="A887" s="12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</row>
    <row r="888" ht="33.0" customHeight="1">
      <c r="A888" s="12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</row>
    <row r="889" ht="33.0" customHeight="1">
      <c r="A889" s="12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</row>
    <row r="890" ht="33.0" customHeight="1">
      <c r="A890" s="12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</row>
    <row r="891" ht="33.0" customHeight="1">
      <c r="A891" s="12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</row>
    <row r="892" ht="33.0" customHeight="1">
      <c r="A892" s="12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</row>
    <row r="893" ht="33.0" customHeight="1">
      <c r="A893" s="12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</row>
    <row r="894" ht="33.0" customHeight="1">
      <c r="A894" s="12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</row>
    <row r="895" ht="33.0" customHeight="1">
      <c r="A895" s="12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</row>
    <row r="896" ht="33.0" customHeight="1">
      <c r="A896" s="12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</row>
    <row r="897" ht="33.0" customHeight="1">
      <c r="A897" s="12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</row>
    <row r="898" ht="33.0" customHeight="1">
      <c r="A898" s="12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</row>
    <row r="899" ht="33.0" customHeight="1">
      <c r="A899" s="12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</row>
    <row r="900" ht="33.0" customHeight="1">
      <c r="A900" s="12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</row>
    <row r="901" ht="33.0" customHeight="1">
      <c r="A901" s="12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</row>
    <row r="902" ht="33.0" customHeight="1">
      <c r="A902" s="12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</row>
    <row r="903" ht="33.0" customHeight="1">
      <c r="A903" s="12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</row>
    <row r="904" ht="33.0" customHeight="1">
      <c r="A904" s="12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</row>
    <row r="905" ht="33.0" customHeight="1">
      <c r="A905" s="12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</row>
    <row r="906" ht="33.0" customHeight="1">
      <c r="A906" s="12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</row>
    <row r="907" ht="33.0" customHeight="1">
      <c r="A907" s="12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</row>
    <row r="908" ht="33.0" customHeight="1">
      <c r="A908" s="12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</row>
    <row r="909" ht="33.0" customHeight="1">
      <c r="A909" s="12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</row>
    <row r="910" ht="33.0" customHeight="1">
      <c r="A910" s="12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</row>
    <row r="911" ht="33.0" customHeight="1">
      <c r="A911" s="12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</row>
    <row r="912" ht="33.0" customHeight="1">
      <c r="A912" s="12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</row>
    <row r="913" ht="33.0" customHeight="1">
      <c r="A913" s="12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</row>
    <row r="914" ht="33.0" customHeight="1">
      <c r="A914" s="12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</row>
    <row r="915" ht="33.0" customHeight="1">
      <c r="A915" s="12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</row>
    <row r="916" ht="33.0" customHeight="1">
      <c r="A916" s="12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</row>
    <row r="917" ht="33.0" customHeight="1">
      <c r="A917" s="12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</row>
    <row r="918" ht="33.0" customHeight="1">
      <c r="A918" s="12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</row>
    <row r="919" ht="33.0" customHeight="1">
      <c r="A919" s="12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</row>
    <row r="920" ht="33.0" customHeight="1">
      <c r="A920" s="12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</row>
    <row r="921" ht="33.0" customHeight="1">
      <c r="A921" s="12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</row>
    <row r="922" ht="33.0" customHeight="1">
      <c r="A922" s="12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</row>
    <row r="923" ht="33.0" customHeight="1">
      <c r="A923" s="12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</row>
    <row r="924" ht="33.0" customHeight="1">
      <c r="A924" s="12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</row>
    <row r="925" ht="33.0" customHeight="1">
      <c r="A925" s="12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</row>
    <row r="926" ht="33.0" customHeight="1">
      <c r="A926" s="12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</row>
    <row r="927" ht="33.0" customHeight="1">
      <c r="A927" s="12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</row>
    <row r="928" ht="33.0" customHeight="1">
      <c r="A928" s="12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</row>
    <row r="929" ht="33.0" customHeight="1">
      <c r="A929" s="12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</row>
    <row r="930" ht="33.0" customHeight="1">
      <c r="A930" s="12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</row>
    <row r="931" ht="33.0" customHeight="1">
      <c r="A931" s="12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</row>
    <row r="932" ht="33.0" customHeight="1">
      <c r="A932" s="12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</row>
    <row r="933" ht="33.0" customHeight="1">
      <c r="A933" s="12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</row>
    <row r="934" ht="33.0" customHeight="1">
      <c r="A934" s="12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</row>
    <row r="935" ht="33.0" customHeight="1">
      <c r="A935" s="12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</row>
    <row r="936" ht="33.0" customHeight="1">
      <c r="A936" s="12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</row>
    <row r="937" ht="33.0" customHeight="1">
      <c r="A937" s="12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</row>
    <row r="938" ht="33.0" customHeight="1">
      <c r="A938" s="12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</row>
    <row r="939" ht="33.0" customHeight="1">
      <c r="A939" s="12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</row>
    <row r="940" ht="33.0" customHeight="1">
      <c r="A940" s="12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</row>
    <row r="941" ht="33.0" customHeight="1">
      <c r="A941" s="12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</row>
    <row r="942" ht="33.0" customHeight="1">
      <c r="A942" s="12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</row>
    <row r="943" ht="33.0" customHeight="1">
      <c r="A943" s="12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</row>
    <row r="944" ht="33.0" customHeight="1">
      <c r="A944" s="12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</row>
    <row r="945" ht="33.0" customHeight="1">
      <c r="A945" s="12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</row>
    <row r="946" ht="33.0" customHeight="1">
      <c r="A946" s="12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</row>
    <row r="947" ht="33.0" customHeight="1">
      <c r="A947" s="12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</row>
    <row r="948" ht="33.0" customHeight="1">
      <c r="A948" s="12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</row>
    <row r="949" ht="33.0" customHeight="1">
      <c r="A949" s="12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</row>
    <row r="950" ht="33.0" customHeight="1">
      <c r="A950" s="12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</row>
    <row r="951" ht="33.0" customHeight="1">
      <c r="A951" s="12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</row>
    <row r="952" ht="33.0" customHeight="1">
      <c r="A952" s="12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</row>
    <row r="953" ht="33.0" customHeight="1">
      <c r="A953" s="12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</row>
    <row r="954" ht="33.0" customHeight="1">
      <c r="A954" s="12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</row>
    <row r="955" ht="33.0" customHeight="1">
      <c r="A955" s="12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</row>
    <row r="956" ht="33.0" customHeight="1">
      <c r="A956" s="12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</row>
    <row r="957" ht="33.0" customHeight="1">
      <c r="A957" s="12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</row>
    <row r="958" ht="33.0" customHeight="1">
      <c r="A958" s="12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</row>
    <row r="959" ht="33.0" customHeight="1">
      <c r="A959" s="12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</row>
    <row r="960" ht="33.0" customHeight="1">
      <c r="A960" s="12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</row>
    <row r="961" ht="33.0" customHeight="1">
      <c r="A961" s="12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</row>
    <row r="962" ht="33.0" customHeight="1">
      <c r="A962" s="12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</row>
    <row r="963" ht="33.0" customHeight="1">
      <c r="A963" s="12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</row>
    <row r="964" ht="33.0" customHeight="1">
      <c r="A964" s="12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</row>
    <row r="965" ht="33.0" customHeight="1">
      <c r="A965" s="12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</row>
    <row r="966" ht="33.0" customHeight="1">
      <c r="A966" s="12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</row>
    <row r="967" ht="33.0" customHeight="1">
      <c r="A967" s="12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</row>
    <row r="968" ht="33.0" customHeight="1">
      <c r="A968" s="12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</row>
    <row r="969" ht="33.0" customHeight="1">
      <c r="A969" s="12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</row>
    <row r="970" ht="33.0" customHeight="1">
      <c r="A970" s="12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</row>
    <row r="971" ht="33.0" customHeight="1">
      <c r="A971" s="12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</row>
    <row r="972" ht="33.0" customHeight="1">
      <c r="A972" s="12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</row>
    <row r="973" ht="33.0" customHeight="1">
      <c r="A973" s="12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</row>
    <row r="974" ht="33.0" customHeight="1">
      <c r="A974" s="12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</row>
    <row r="975" ht="33.0" customHeight="1">
      <c r="A975" s="12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</row>
    <row r="976" ht="33.0" customHeight="1">
      <c r="A976" s="12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</row>
    <row r="977" ht="33.0" customHeight="1">
      <c r="A977" s="12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</row>
    <row r="978" ht="33.0" customHeight="1">
      <c r="A978" s="12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</row>
    <row r="979" ht="33.0" customHeight="1">
      <c r="A979" s="12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</row>
    <row r="980" ht="33.0" customHeight="1">
      <c r="A980" s="12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</row>
    <row r="981" ht="33.0" customHeight="1">
      <c r="A981" s="12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</row>
    <row r="982" ht="33.0" customHeight="1">
      <c r="A982" s="12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</row>
    <row r="983" ht="33.0" customHeight="1">
      <c r="A983" s="12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</row>
    <row r="984" ht="33.0" customHeight="1">
      <c r="A984" s="12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</row>
    <row r="985" ht="33.0" customHeight="1">
      <c r="A985" s="12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</row>
    <row r="986" ht="33.0" customHeight="1">
      <c r="A986" s="12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</row>
    <row r="987" ht="33.0" customHeight="1">
      <c r="A987" s="12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</row>
    <row r="988" ht="33.0" customHeight="1">
      <c r="A988" s="12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</row>
    <row r="989" ht="33.0" customHeight="1">
      <c r="A989" s="12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</row>
    <row r="990" ht="33.0" customHeight="1">
      <c r="A990" s="12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</row>
    <row r="991" ht="33.0" customHeight="1">
      <c r="A991" s="12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</row>
    <row r="992" ht="33.0" customHeight="1">
      <c r="A992" s="12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</row>
    <row r="993" ht="33.0" customHeight="1">
      <c r="A993" s="12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</row>
    <row r="994" ht="33.0" customHeight="1">
      <c r="A994" s="12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</row>
    <row r="995" ht="33.0" customHeight="1">
      <c r="A995" s="12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</row>
    <row r="996" ht="33.0" customHeight="1">
      <c r="A996" s="12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</hyperlinks>
  <drawing r:id="rId1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38"/>
    <col customWidth="1" min="2" max="2" width="8.25"/>
    <col customWidth="1" min="3" max="4" width="9.25"/>
    <col customWidth="1" min="5" max="5" width="28.13"/>
    <col customWidth="1" min="6" max="6" width="27.63"/>
    <col customWidth="1" min="7" max="7" width="19.0"/>
    <col customWidth="1" min="8" max="8" width="15.25"/>
    <col customWidth="1" min="9" max="9" width="16.38"/>
    <col customWidth="1" min="10" max="10" width="59.0"/>
    <col customWidth="1" min="11" max="11" width="15.13"/>
    <col customWidth="1" min="12" max="12" width="31.5"/>
    <col customWidth="1" min="13" max="13" width="26.75"/>
    <col customWidth="1" min="14" max="14" width="10.13"/>
    <col customWidth="1" min="15" max="24" width="32.25"/>
  </cols>
  <sheetData>
    <row r="1" ht="36.0" customHeight="1">
      <c r="A1" s="123" t="s">
        <v>96</v>
      </c>
      <c r="B1" s="123" t="s">
        <v>68</v>
      </c>
      <c r="C1" s="123" t="s">
        <v>60</v>
      </c>
      <c r="D1" s="123" t="s">
        <v>61</v>
      </c>
      <c r="E1" s="123" t="s">
        <v>89</v>
      </c>
      <c r="F1" s="123" t="s">
        <v>90</v>
      </c>
      <c r="G1" s="123" t="s">
        <v>91</v>
      </c>
      <c r="H1" s="123" t="s">
        <v>92</v>
      </c>
      <c r="I1" s="123" t="s">
        <v>93</v>
      </c>
      <c r="J1" s="123" t="s">
        <v>95</v>
      </c>
      <c r="K1" s="18" t="s">
        <v>29</v>
      </c>
      <c r="L1" s="17" t="s">
        <v>1</v>
      </c>
      <c r="M1" s="18" t="s">
        <v>118</v>
      </c>
      <c r="N1" s="18" t="s">
        <v>119</v>
      </c>
      <c r="O1" s="14"/>
      <c r="P1" s="14"/>
      <c r="Q1" s="14"/>
      <c r="R1" s="14"/>
      <c r="S1" s="14"/>
      <c r="T1" s="14"/>
      <c r="U1" s="14"/>
      <c r="V1" s="14"/>
      <c r="W1" s="14"/>
      <c r="X1" s="14"/>
    </row>
    <row r="2" ht="36.0" customHeight="1">
      <c r="A2" s="124" t="str">
        <f>IFERROR(__xludf.DUMMYFUNCTION("QUERY(MasterData!A1:NK11797,""select DD,DE,DF,DG,DH,DI,DJ,DK,DL,DM,B,C,FL,FM where C='S9: Student Guest Lecutres Organized'"",0)"),"Guest Lecture on ""Futuristic IoT Solutions""")</f>
        <v>Guest Lecture on "Futuristic IoT Solutions"</v>
      </c>
      <c r="B2" s="124" t="str">
        <f>IFERROR(__xludf.DUMMYFUNCTION("""COMPUTED_VALUE"""),"1 Hour")</f>
        <v>1 Hour</v>
      </c>
      <c r="C2" s="125">
        <f>IFERROR(__xludf.DUMMYFUNCTION("""COMPUTED_VALUE"""),44151.0)</f>
        <v>44151</v>
      </c>
      <c r="D2" s="125">
        <f>IFERROR(__xludf.DUMMYFUNCTION("""COMPUTED_VALUE"""),44151.0)</f>
        <v>44151</v>
      </c>
      <c r="E2" s="124">
        <f>IFERROR(__xludf.DUMMYFUNCTION("""COMPUTED_VALUE"""),100.0)</f>
        <v>100</v>
      </c>
      <c r="F2" s="124" t="str">
        <f>IFERROR(__xludf.DUMMYFUNCTION("""COMPUTED_VALUE"""),"Dr. Ajay Pratap, IIT BHU, Varanasi")</f>
        <v>Dr. Ajay Pratap, IIT BHU, Varanasi</v>
      </c>
      <c r="G2" s="124" t="str">
        <f>IFERROR(__xludf.DUMMYFUNCTION("""COMPUTED_VALUE"""),"Dr. Ravi Kiran Varma P")</f>
        <v>Dr. Ravi Kiran Varma P</v>
      </c>
      <c r="H2" s="124">
        <f>IFERROR(__xludf.DUMMYFUNCTION("""COMPUTED_VALUE"""),0.0)</f>
        <v>0</v>
      </c>
      <c r="I2" s="124">
        <f>IFERROR(__xludf.DUMMYFUNCTION("""COMPUTED_VALUE"""),0.0)</f>
        <v>0</v>
      </c>
      <c r="J2" s="126" t="str">
        <f>IFERROR(__xludf.DUMMYFUNCTION("""COMPUTED_VALUE"""),"https://drive.google.com/open?id=1ifa6yjOXG4TtdUNUSfZBrITLDK4L2_f0")</f>
        <v>https://drive.google.com/open?id=1ifa6yjOXG4TtdUNUSfZBrITLDK4L2_f0</v>
      </c>
      <c r="K2" s="124" t="str">
        <f>IFERROR(__xludf.DUMMYFUNCTION("""COMPUTED_VALUE"""),"3")</f>
        <v>3</v>
      </c>
      <c r="L2" s="124" t="str">
        <f>IFERROR(__xludf.DUMMYFUNCTION("""COMPUTED_VALUE"""),"S9: Student Guest Lecutres Organized")</f>
        <v>S9: Student Guest Lecutres Organized</v>
      </c>
      <c r="M2" s="124" t="str">
        <f>IFERROR(__xludf.DUMMYFUNCTION("""COMPUTED_VALUE"""),"ravikiranvarmap@mvgrce.edu.in")</f>
        <v>ravikiranvarmap@mvgrce.edu.in</v>
      </c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</row>
    <row r="3" ht="36.0" customHeight="1">
      <c r="A3" s="14" t="str">
        <f>IFERROR(__xludf.DUMMYFUNCTION("""COMPUTED_VALUE"""),"Master Class on Data Analytics")</f>
        <v>Master Class on Data Analytics</v>
      </c>
      <c r="B3" s="14" t="str">
        <f>IFERROR(__xludf.DUMMYFUNCTION("""COMPUTED_VALUE"""),"30 days")</f>
        <v>30 days</v>
      </c>
      <c r="C3" s="127">
        <f>IFERROR(__xludf.DUMMYFUNCTION("""COMPUTED_VALUE"""),44389.0)</f>
        <v>44389</v>
      </c>
      <c r="D3" s="127">
        <f>IFERROR(__xludf.DUMMYFUNCTION("""COMPUTED_VALUE"""),44428.0)</f>
        <v>44428</v>
      </c>
      <c r="E3" s="14">
        <f>IFERROR(__xludf.DUMMYFUNCTION("""COMPUTED_VALUE"""),2000.0)</f>
        <v>2000</v>
      </c>
      <c r="F3" s="14" t="str">
        <f>IFERROR(__xludf.DUMMYFUNCTION("""COMPUTED_VALUE"""),"M.Malaiyappan")</f>
        <v>M.Malaiyappan</v>
      </c>
      <c r="G3" s="14" t="str">
        <f>IFERROR(__xludf.DUMMYFUNCTION("""COMPUTED_VALUE"""),"M.Malaiyappan")</f>
        <v>M.Malaiyappan</v>
      </c>
      <c r="H3" s="14">
        <f>IFERROR(__xludf.DUMMYFUNCTION("""COMPUTED_VALUE"""),0.0)</f>
        <v>0</v>
      </c>
      <c r="I3" s="14">
        <f>IFERROR(__xludf.DUMMYFUNCTION("""COMPUTED_VALUE"""),0.0)</f>
        <v>0</v>
      </c>
      <c r="J3" s="128" t="str">
        <f>IFERROR(__xludf.DUMMYFUNCTION("""COMPUTED_VALUE"""),"https://drive.google.com/open?id=1E9S8Bj0oVmoqnIhlfxaSKc1SO9r8QuvN")</f>
        <v>https://drive.google.com/open?id=1E9S8Bj0oVmoqnIhlfxaSKc1SO9r8QuvN</v>
      </c>
      <c r="K3" s="14" t="str">
        <f>IFERROR(__xludf.DUMMYFUNCTION("""COMPUTED_VALUE"""),"2019-2023")</f>
        <v>2019-2023</v>
      </c>
      <c r="L3" s="14" t="str">
        <f>IFERROR(__xludf.DUMMYFUNCTION("""COMPUTED_VALUE"""),"S9: Student Guest Lecutres Organized")</f>
        <v>S9: Student Guest Lecutres Organized</v>
      </c>
      <c r="M3" s="14" t="str">
        <f>IFERROR(__xludf.DUMMYFUNCTION("""COMPUTED_VALUE"""),"npavanilaxmi@gmail.com")</f>
        <v>npavanilaxmi@gmail.com</v>
      </c>
      <c r="N3" s="14" t="str">
        <f>IFERROR(__xludf.DUMMYFUNCTION("""COMPUTED_VALUE"""),"SEM-6")</f>
        <v>SEM-6</v>
      </c>
      <c r="O3" s="14"/>
      <c r="P3" s="14"/>
      <c r="Q3" s="14"/>
      <c r="R3" s="14"/>
      <c r="S3" s="14"/>
      <c r="T3" s="14"/>
      <c r="U3" s="14"/>
      <c r="V3" s="14"/>
      <c r="W3" s="14"/>
      <c r="X3" s="14"/>
    </row>
    <row r="4" ht="36.0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ht="36.0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ht="36.0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ht="36.0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</row>
    <row r="8" ht="36.0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ht="36.0" customHeight="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</row>
    <row r="10" ht="36.0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ht="36.0" customHeight="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</row>
    <row r="12" ht="36.0" customHeight="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</row>
    <row r="13" ht="36.0" customHeight="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ht="36.0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ht="36.0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ht="36.0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ht="36.0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ht="36.0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ht="36.0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ht="36.0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ht="36.0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ht="36.0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ht="36.0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4" ht="36.0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</row>
    <row r="25" ht="36.0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</row>
    <row r="26" ht="36.0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</row>
    <row r="27" ht="36.0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</row>
    <row r="28" ht="36.0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ht="36.0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</row>
    <row r="30" ht="36.0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ht="36.0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ht="36.0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ht="36.0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</row>
    <row r="34" ht="36.0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ht="36.0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ht="36.0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ht="36.0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ht="36.0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ht="36.0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ht="36.0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ht="36.0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 ht="36.0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ht="36.0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ht="36.0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ht="36.0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ht="36.0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ht="36.0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ht="36.0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ht="36.0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ht="36.0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ht="36.0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2" ht="36.0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</row>
    <row r="53" ht="36.0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</row>
    <row r="54" ht="36.0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ht="36.0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</row>
    <row r="56" ht="36.0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</row>
    <row r="57" ht="36.0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</row>
    <row r="58" ht="36.0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</row>
    <row r="59" ht="36.0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ht="36.0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1" ht="36.0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</row>
    <row r="62" ht="36.0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ht="36.0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</row>
    <row r="64" ht="36.0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  <row r="65" ht="36.0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</row>
    <row r="66" ht="36.0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</row>
    <row r="67" ht="36.0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ht="36.0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</row>
    <row r="69" ht="36.0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</row>
    <row r="70" ht="36.0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ht="36.0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ht="36.0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ht="36.0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ht="36.0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ht="36.0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ht="36.0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ht="36.0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ht="36.0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ht="36.0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ht="36.0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</row>
    <row r="81" ht="36.0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</row>
    <row r="82" ht="36.0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</row>
    <row r="83" ht="36.0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</row>
    <row r="84" ht="36.0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</row>
    <row r="85" ht="36.0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</row>
    <row r="86" ht="36.0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ht="36.0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</row>
    <row r="88" ht="36.0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</row>
    <row r="89" ht="36.0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ht="36.0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ht="36.0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ht="36.0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ht="36.0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ht="36.0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ht="36.0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ht="36.0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ht="36.0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ht="36.0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ht="36.0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ht="36.0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ht="36.0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ht="36.0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ht="36.0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ht="36.0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ht="36.0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ht="36.0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ht="36.0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</row>
    <row r="108" ht="36.0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</row>
    <row r="109" ht="36.0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</row>
    <row r="110" ht="36.0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ht="36.0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2" ht="36.0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</row>
    <row r="113" ht="36.0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</row>
    <row r="114" ht="36.0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</row>
    <row r="115" ht="36.0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</row>
    <row r="116" ht="36.0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</row>
    <row r="117" ht="36.0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</row>
    <row r="118" ht="36.0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</row>
    <row r="119" ht="36.0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</row>
    <row r="120" ht="36.0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</row>
    <row r="121" ht="36.0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</row>
    <row r="122" ht="36.0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</row>
    <row r="123" ht="36.0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</row>
    <row r="124" ht="36.0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</row>
    <row r="125" ht="36.0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</row>
    <row r="126" ht="36.0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</row>
    <row r="127" ht="36.0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ht="36.0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ht="36.0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ht="36.0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ht="36.0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ht="36.0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ht="36.0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ht="36.0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ht="36.0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ht="36.0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ht="36.0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ht="36.0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ht="36.0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ht="36.0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ht="36.0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ht="36.0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ht="36.0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ht="36.0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5" ht="36.0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</row>
    <row r="146" ht="36.0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</row>
    <row r="147" ht="36.0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</row>
    <row r="148" ht="36.0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</row>
    <row r="149" ht="36.0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ht="36.0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ht="36.0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ht="36.0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3" ht="36.0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</row>
    <row r="154" ht="36.0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</row>
    <row r="155" ht="36.0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</row>
    <row r="156" ht="36.0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</row>
    <row r="157" ht="36.0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</row>
    <row r="158" ht="36.0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</row>
    <row r="159" ht="36.0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ht="36.0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ht="36.0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ht="36.0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ht="36.0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</row>
    <row r="164" ht="36.0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</row>
    <row r="165" ht="36.0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</row>
    <row r="166" ht="36.0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</row>
    <row r="167" ht="36.0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</row>
    <row r="168" ht="36.0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</row>
    <row r="169" ht="36.0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</row>
    <row r="170" ht="36.0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</row>
    <row r="171" ht="36.0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</row>
    <row r="172" ht="36.0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</row>
    <row r="173" ht="36.0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</row>
    <row r="174" ht="36.0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</row>
    <row r="175" ht="36.0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</row>
    <row r="176" ht="36.0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</row>
    <row r="177" ht="36.0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</row>
    <row r="178" ht="36.0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</row>
    <row r="179" ht="36.0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</row>
    <row r="180" ht="36.0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</row>
    <row r="181" ht="36.0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</row>
    <row r="182" ht="36.0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</row>
    <row r="183" ht="36.0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</row>
    <row r="184" ht="36.0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ht="36.0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ht="36.0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7" ht="36.0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ht="36.0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ht="36.0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ht="36.0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ht="36.0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ht="36.0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ht="36.0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ht="36.0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5" ht="36.0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</row>
    <row r="196" ht="36.0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</row>
    <row r="197" ht="36.0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</row>
    <row r="198" ht="36.0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199" ht="36.0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</row>
    <row r="200" ht="36.0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</row>
    <row r="201" ht="36.0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</row>
    <row r="202" ht="36.0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</row>
    <row r="203" ht="36.0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</row>
    <row r="204" ht="36.0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</row>
    <row r="205" ht="36.0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</row>
    <row r="206" ht="36.0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</row>
    <row r="207" ht="36.0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</row>
    <row r="208" ht="36.0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</row>
    <row r="209" ht="36.0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</row>
    <row r="210" ht="36.0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</row>
    <row r="211" ht="36.0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</row>
    <row r="212" ht="36.0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</row>
    <row r="213" ht="36.0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</row>
    <row r="214" ht="36.0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</row>
    <row r="215" ht="36.0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</row>
    <row r="216" ht="36.0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</row>
    <row r="217" ht="36.0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</row>
    <row r="218" ht="36.0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</row>
    <row r="219" ht="36.0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</row>
    <row r="220" ht="36.0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ht="36.0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ht="36.0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ht="36.0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ht="36.0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ht="36.0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ht="36.0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7" ht="36.0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</row>
    <row r="228" ht="36.0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</row>
    <row r="229" ht="36.0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</row>
    <row r="230" ht="36.0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</row>
    <row r="231" ht="36.0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</row>
    <row r="232" ht="36.0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</row>
    <row r="233" ht="36.0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</row>
    <row r="234" ht="36.0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</row>
    <row r="235" ht="36.0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</row>
    <row r="236" ht="36.0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</row>
    <row r="237" ht="36.0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</row>
    <row r="238" ht="36.0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</row>
    <row r="239" ht="36.0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</row>
    <row r="240" ht="36.0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</row>
    <row r="241" ht="36.0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ht="36.0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</row>
    <row r="243" ht="36.0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</row>
    <row r="244" ht="36.0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</row>
    <row r="245" ht="36.0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</row>
    <row r="246" ht="36.0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</row>
    <row r="247" ht="36.0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</row>
    <row r="248" ht="36.0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</row>
    <row r="249" ht="36.0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</row>
    <row r="250" ht="36.0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</row>
    <row r="251" ht="36.0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</row>
    <row r="252" ht="36.0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</row>
    <row r="253" ht="36.0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</row>
    <row r="254" ht="36.0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</row>
    <row r="255" ht="36.0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</row>
    <row r="256" ht="36.0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</row>
    <row r="257" ht="36.0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</row>
    <row r="258" ht="36.0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</row>
    <row r="259" ht="36.0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</row>
    <row r="260" ht="36.0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ht="36.0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ht="36.0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ht="36.0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ht="36.0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ht="36.0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ht="36.0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ht="36.0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ht="36.0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ht="36.0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ht="36.0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ht="36.0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ht="36.0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ht="36.0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ht="36.0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ht="36.0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ht="36.0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ht="36.0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ht="36.0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ht="36.0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ht="36.0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ht="36.0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ht="36.0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3" ht="36.0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</row>
    <row r="284" ht="36.0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</row>
    <row r="285" ht="36.0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</row>
    <row r="286" ht="36.0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</row>
    <row r="287" ht="36.0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</row>
    <row r="288" ht="36.0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ht="36.0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</row>
    <row r="290" ht="36.0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</row>
    <row r="291" ht="36.0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</row>
    <row r="292" ht="36.0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</row>
    <row r="293" ht="36.0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</row>
    <row r="294" ht="36.0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</row>
    <row r="295" ht="36.0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</row>
    <row r="296" ht="36.0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</row>
    <row r="297" ht="36.0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</row>
    <row r="298" ht="36.0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ht="36.0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</row>
    <row r="300" ht="36.0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ht="36.0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ht="36.0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ht="36.0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ht="36.0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ht="36.0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6" ht="36.0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</row>
    <row r="307" ht="36.0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</row>
    <row r="308" ht="36.0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</row>
    <row r="309" ht="36.0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</row>
    <row r="310" ht="36.0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</row>
    <row r="311" ht="36.0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</row>
    <row r="312" ht="36.0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</row>
    <row r="313" ht="36.0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</row>
    <row r="314" ht="36.0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</row>
    <row r="315" ht="36.0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</row>
    <row r="316" ht="36.0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</row>
    <row r="317" ht="36.0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ht="36.0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ht="36.0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ht="36.0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ht="36.0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ht="36.0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ht="36.0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ht="36.0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ht="36.0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ht="36.0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ht="36.0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ht="36.0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ht="36.0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ht="36.0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1" ht="36.0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</row>
    <row r="332" ht="36.0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</row>
    <row r="333" ht="36.0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</row>
    <row r="334" ht="36.0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</row>
    <row r="335" ht="36.0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</row>
    <row r="336" ht="36.0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</row>
    <row r="337" ht="36.0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</row>
    <row r="338" ht="36.0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</row>
    <row r="339" ht="36.0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</row>
    <row r="340" ht="36.0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</row>
    <row r="341" ht="36.0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</row>
    <row r="342" ht="36.0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</row>
    <row r="343" ht="36.0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</row>
    <row r="344" ht="36.0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</row>
    <row r="345" ht="36.0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</row>
    <row r="346" ht="36.0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</row>
    <row r="347" ht="36.0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</row>
    <row r="348" ht="36.0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</row>
    <row r="349" ht="36.0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</row>
    <row r="350" ht="36.0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</row>
    <row r="351" ht="36.0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</row>
    <row r="352" ht="36.0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</row>
    <row r="353" ht="36.0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</row>
    <row r="354" ht="36.0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</row>
    <row r="355" ht="36.0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</row>
    <row r="356" ht="36.0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</row>
    <row r="357" ht="36.0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</row>
    <row r="358" ht="36.0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</row>
    <row r="359" ht="36.0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</row>
    <row r="360" ht="36.0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</row>
    <row r="361" ht="36.0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</row>
    <row r="362" ht="36.0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</row>
    <row r="363" ht="36.0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</row>
    <row r="364" ht="36.0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</row>
    <row r="365" ht="36.0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</row>
    <row r="366" ht="36.0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</row>
    <row r="367" ht="36.0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</row>
    <row r="368" ht="36.0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</row>
    <row r="369" ht="36.0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ht="36.0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ht="36.0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ht="36.0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3" ht="36.0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</row>
    <row r="374" ht="36.0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</row>
    <row r="375" ht="36.0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</row>
    <row r="376" ht="36.0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</row>
    <row r="377" ht="36.0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ht="36.0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ht="36.0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ht="36.0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</row>
    <row r="381" ht="36.0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ht="36.0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3" ht="36.0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</row>
    <row r="384" ht="36.0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</row>
    <row r="385" ht="36.0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</row>
    <row r="386" ht="36.0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</row>
    <row r="387" ht="36.0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</row>
    <row r="388" ht="36.0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</row>
    <row r="389" ht="36.0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</row>
    <row r="390" ht="36.0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</row>
    <row r="391" ht="36.0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</row>
    <row r="392" ht="36.0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</row>
    <row r="393" ht="36.0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</row>
    <row r="394" ht="36.0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</row>
    <row r="395" ht="36.0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</row>
    <row r="396" ht="36.0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</row>
    <row r="397" ht="36.0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</row>
    <row r="398" ht="36.0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</row>
    <row r="399" ht="36.0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</row>
    <row r="400" ht="36.0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</row>
    <row r="401" ht="36.0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</row>
    <row r="402" ht="36.0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</row>
    <row r="403" ht="36.0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</row>
    <row r="404" ht="36.0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</row>
    <row r="405" ht="36.0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</row>
    <row r="406" ht="36.0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</row>
    <row r="407" ht="36.0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</row>
    <row r="408" ht="36.0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</row>
    <row r="409" ht="36.0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</row>
    <row r="410" ht="36.0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</row>
    <row r="411" ht="36.0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</row>
    <row r="412" ht="36.0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</row>
    <row r="413" ht="36.0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</row>
    <row r="414" ht="36.0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</row>
    <row r="415" ht="36.0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</row>
    <row r="416" ht="36.0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</row>
    <row r="417" ht="36.0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</row>
    <row r="418" ht="36.0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</row>
    <row r="419" ht="36.0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</row>
    <row r="420" ht="36.0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</row>
    <row r="421" ht="36.0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</row>
    <row r="422" ht="36.0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</row>
    <row r="423" ht="36.0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</row>
    <row r="424" ht="36.0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</row>
    <row r="425" ht="36.0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</row>
    <row r="426" ht="36.0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</row>
    <row r="427" ht="36.0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</row>
    <row r="428" ht="36.0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</row>
    <row r="429" ht="36.0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</row>
    <row r="430" ht="36.0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</row>
    <row r="431" ht="36.0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</row>
    <row r="432" ht="36.0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</row>
    <row r="433" ht="36.0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ht="36.0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ht="36.0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ht="36.0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ht="36.0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ht="36.0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ht="36.0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</row>
    <row r="440" ht="36.0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</row>
    <row r="441" ht="36.0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2" ht="36.0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</row>
    <row r="443" ht="36.0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</row>
    <row r="444" ht="36.0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</row>
    <row r="445" ht="36.0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</row>
    <row r="446" ht="36.0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</row>
    <row r="447" ht="36.0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</row>
    <row r="448" ht="36.0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</row>
    <row r="449" ht="36.0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</row>
    <row r="450" ht="36.0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</row>
    <row r="451" ht="36.0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</row>
    <row r="452" ht="36.0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</row>
    <row r="453" ht="36.0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</row>
    <row r="454" ht="36.0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</row>
    <row r="455" ht="36.0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</row>
    <row r="456" ht="36.0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</row>
    <row r="457" ht="36.0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</row>
    <row r="458" ht="36.0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</row>
    <row r="459" ht="36.0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</row>
    <row r="460" ht="36.0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</row>
    <row r="461" ht="36.0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</row>
    <row r="462" ht="36.0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</row>
    <row r="463" ht="36.0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</row>
    <row r="464" ht="36.0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</row>
    <row r="465" ht="36.0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</row>
    <row r="466" ht="36.0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</row>
    <row r="467" ht="36.0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</row>
    <row r="468" ht="36.0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</row>
    <row r="469" ht="36.0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</row>
    <row r="470" ht="36.0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</row>
    <row r="471" ht="36.0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</row>
    <row r="472" ht="36.0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</row>
    <row r="473" ht="36.0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</row>
    <row r="474" ht="36.0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</row>
    <row r="475" ht="36.0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</row>
    <row r="476" ht="36.0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</row>
    <row r="477" ht="36.0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</row>
    <row r="478" ht="36.0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</row>
    <row r="479" ht="36.0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</row>
    <row r="480" ht="36.0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</row>
    <row r="481" ht="36.0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</row>
    <row r="482" ht="36.0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</row>
    <row r="483" ht="36.0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</row>
    <row r="484" ht="36.0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</row>
    <row r="485" ht="36.0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</row>
    <row r="486" ht="36.0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</row>
    <row r="487" ht="36.0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</row>
    <row r="488" ht="36.0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</row>
    <row r="489" ht="36.0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</row>
    <row r="490" ht="36.0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</row>
    <row r="491" ht="36.0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</row>
    <row r="492" ht="36.0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</row>
    <row r="493" ht="36.0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</row>
    <row r="494" ht="36.0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</row>
    <row r="495" ht="36.0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</row>
    <row r="496" ht="36.0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</row>
    <row r="497" ht="36.0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</row>
    <row r="498" ht="36.0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</row>
    <row r="499" ht="36.0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</row>
    <row r="500" ht="36.0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</row>
    <row r="501" ht="36.0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</row>
    <row r="502" ht="36.0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</row>
    <row r="503" ht="36.0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</row>
    <row r="504" ht="36.0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ht="36.0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ht="36.0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ht="36.0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ht="36.0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ht="36.0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10" ht="36.0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</row>
    <row r="511" ht="36.0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</row>
    <row r="512" ht="36.0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3" ht="36.0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</row>
    <row r="514" ht="36.0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</row>
    <row r="515" ht="36.0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</row>
    <row r="516" ht="36.0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</row>
    <row r="517" ht="36.0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</row>
    <row r="518" ht="36.0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</row>
    <row r="519" ht="36.0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</row>
    <row r="520" ht="36.0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</row>
    <row r="521" ht="36.0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</row>
    <row r="522" ht="36.0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</row>
    <row r="523" ht="36.0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ht="36.0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</row>
    <row r="525" ht="36.0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ht="36.0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ht="36.0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ht="36.0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29" ht="36.0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</row>
    <row r="530" ht="36.0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ht="36.0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</row>
    <row r="532" ht="36.0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</row>
    <row r="533" ht="36.0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</row>
    <row r="534" ht="36.0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</row>
    <row r="535" ht="36.0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</row>
    <row r="536" ht="36.0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</row>
    <row r="537" ht="36.0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</row>
    <row r="538" ht="36.0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</row>
    <row r="539" ht="36.0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</row>
    <row r="540" ht="36.0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</row>
    <row r="541" ht="36.0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</row>
    <row r="542" ht="36.0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</row>
    <row r="543" ht="36.0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</row>
    <row r="544" ht="36.0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</row>
    <row r="545" ht="36.0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</row>
    <row r="546" ht="36.0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</row>
    <row r="547" ht="36.0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</row>
    <row r="548" ht="36.0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</row>
    <row r="549" ht="36.0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</row>
    <row r="550" ht="36.0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</row>
    <row r="551" ht="36.0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</row>
    <row r="552" ht="36.0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</row>
    <row r="553" ht="36.0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</row>
    <row r="554" ht="36.0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</row>
    <row r="555" ht="36.0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</row>
    <row r="556" ht="36.0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</row>
    <row r="557" ht="36.0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</row>
    <row r="558" ht="36.0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</row>
    <row r="559" ht="36.0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</row>
    <row r="560" ht="36.0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</row>
    <row r="561" ht="36.0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</row>
    <row r="562" ht="36.0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</row>
    <row r="563" ht="36.0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</row>
    <row r="564" ht="36.0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</row>
    <row r="565" ht="36.0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</row>
    <row r="566" ht="36.0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</row>
    <row r="567" ht="36.0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</row>
    <row r="568" ht="36.0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</row>
    <row r="569" ht="36.0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ht="36.0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ht="36.0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ht="36.0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ht="36.0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4" ht="36.0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</row>
    <row r="575" ht="36.0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</row>
    <row r="576" ht="36.0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</row>
    <row r="577" ht="36.0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</row>
    <row r="578" ht="36.0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</row>
    <row r="579" ht="36.0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</row>
    <row r="580" ht="36.0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</row>
    <row r="581" ht="36.0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</row>
    <row r="582" ht="36.0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</row>
    <row r="583" ht="36.0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</row>
    <row r="584" ht="36.0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</row>
    <row r="585" ht="36.0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</row>
    <row r="586" ht="36.0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</row>
    <row r="587" ht="36.0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</row>
    <row r="588" ht="36.0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</row>
    <row r="589" ht="36.0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</row>
    <row r="590" ht="36.0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</row>
    <row r="591" ht="36.0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ht="36.0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ht="36.0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4" ht="36.0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</row>
    <row r="595" ht="36.0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</row>
    <row r="596" ht="36.0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</row>
    <row r="597" ht="36.0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</row>
    <row r="598" ht="36.0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</row>
    <row r="599" ht="36.0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</row>
    <row r="600" ht="36.0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</row>
    <row r="601" ht="36.0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</row>
    <row r="602" ht="36.0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</row>
    <row r="603" ht="36.0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</row>
    <row r="604" ht="36.0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</row>
    <row r="605" ht="36.0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</row>
    <row r="606" ht="36.0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</row>
    <row r="607" ht="36.0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</row>
    <row r="608" ht="36.0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</row>
    <row r="609" ht="36.0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</row>
    <row r="610" ht="36.0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</row>
    <row r="611" ht="36.0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</row>
    <row r="612" ht="36.0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</row>
    <row r="613" ht="36.0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</row>
    <row r="614" ht="36.0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</row>
    <row r="615" ht="36.0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</row>
    <row r="616" ht="36.0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</row>
    <row r="617" ht="36.0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</row>
    <row r="618" ht="36.0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</row>
    <row r="619" ht="36.0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</row>
    <row r="620" ht="36.0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</row>
    <row r="621" ht="36.0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</row>
    <row r="622" ht="36.0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</row>
    <row r="623" ht="36.0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</row>
    <row r="624" ht="36.0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</row>
    <row r="625" ht="36.0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</row>
    <row r="626" ht="36.0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</row>
    <row r="627" ht="36.0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</row>
    <row r="628" ht="36.0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</row>
    <row r="629" ht="36.0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</row>
    <row r="630" ht="36.0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</row>
    <row r="631" ht="36.0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</row>
    <row r="632" ht="36.0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</row>
    <row r="633" ht="36.0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</row>
    <row r="634" ht="36.0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</row>
    <row r="635" ht="36.0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</row>
    <row r="636" ht="36.0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</row>
    <row r="637" ht="36.0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</row>
    <row r="638" ht="36.0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</row>
    <row r="639" ht="36.0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</row>
    <row r="640" ht="36.0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</row>
    <row r="641" ht="36.0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</row>
    <row r="642" ht="36.0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</row>
    <row r="643" ht="36.0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</row>
    <row r="644" ht="36.0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</row>
    <row r="645" ht="36.0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</row>
    <row r="646" ht="36.0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</row>
    <row r="647" ht="36.0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</row>
    <row r="648" ht="36.0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</row>
    <row r="649" ht="36.0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</row>
    <row r="650" ht="36.0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</row>
    <row r="651" ht="36.0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</row>
    <row r="652" ht="36.0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</row>
    <row r="653" ht="36.0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</row>
    <row r="654" ht="36.0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</row>
    <row r="655" ht="36.0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</row>
    <row r="656" ht="36.0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</row>
    <row r="657" ht="36.0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</row>
    <row r="658" ht="36.0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</row>
    <row r="659" ht="36.0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</row>
    <row r="660" ht="36.0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</row>
    <row r="661" ht="36.0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</row>
    <row r="662" ht="36.0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</row>
    <row r="663" ht="36.0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</row>
    <row r="664" ht="36.0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</row>
    <row r="665" ht="36.0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</row>
    <row r="666" ht="36.0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</row>
    <row r="667" ht="36.0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</row>
    <row r="668" ht="36.0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</row>
    <row r="669" ht="36.0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0" ht="36.0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</row>
    <row r="671" ht="36.0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</row>
    <row r="672" ht="36.0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</row>
    <row r="673" ht="36.0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</row>
    <row r="674" ht="36.0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</row>
    <row r="675" ht="36.0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</row>
    <row r="676" ht="36.0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</row>
    <row r="677" ht="36.0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</row>
    <row r="678" ht="36.0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</row>
    <row r="679" ht="36.0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</row>
    <row r="680" ht="36.0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</row>
    <row r="681" ht="36.0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</row>
    <row r="682" ht="36.0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</row>
    <row r="683" ht="36.0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</row>
    <row r="684" ht="36.0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</row>
    <row r="685" ht="36.0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</row>
    <row r="686" ht="36.0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</row>
    <row r="687" ht="36.0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</row>
    <row r="688" ht="36.0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</row>
    <row r="689" ht="36.0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</row>
    <row r="690" ht="36.0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</row>
    <row r="691" ht="36.0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</row>
    <row r="692" ht="36.0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</row>
    <row r="693" ht="36.0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</row>
    <row r="694" ht="36.0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</row>
    <row r="695" ht="36.0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</row>
    <row r="696" ht="36.0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</row>
    <row r="697" ht="36.0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</row>
    <row r="698" ht="36.0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</row>
    <row r="699" ht="36.0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</row>
    <row r="700" ht="36.0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</row>
    <row r="701" ht="36.0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</row>
    <row r="702" ht="36.0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ht="36.0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ht="36.0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ht="36.0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6" ht="36.0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</row>
    <row r="707" ht="36.0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</row>
    <row r="708" ht="36.0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</row>
    <row r="709" ht="36.0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</row>
    <row r="710" ht="36.0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</row>
    <row r="711" ht="36.0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</row>
    <row r="712" ht="36.0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</row>
    <row r="713" ht="36.0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</row>
    <row r="714" ht="36.0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</row>
    <row r="715" ht="36.0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</row>
    <row r="716" ht="36.0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</row>
    <row r="717" ht="36.0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</row>
    <row r="718" ht="36.0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</row>
    <row r="719" ht="36.0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</row>
    <row r="720" ht="36.0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</row>
    <row r="721" ht="36.0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</row>
    <row r="722" ht="36.0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</row>
    <row r="723" ht="36.0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</row>
    <row r="724" ht="36.0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</row>
    <row r="725" ht="36.0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</row>
    <row r="726" ht="36.0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</row>
    <row r="727" ht="36.0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</row>
    <row r="728" ht="36.0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</row>
    <row r="729" ht="36.0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</row>
    <row r="730" ht="36.0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</row>
    <row r="731" ht="36.0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</row>
    <row r="732" ht="36.0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</row>
    <row r="733" ht="36.0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</row>
    <row r="734" ht="36.0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</row>
    <row r="735" ht="36.0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</row>
    <row r="736" ht="36.0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</row>
    <row r="737" ht="36.0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</row>
    <row r="738" ht="36.0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</row>
    <row r="739" ht="36.0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</row>
    <row r="740" ht="36.0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</row>
    <row r="741" ht="36.0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</row>
    <row r="742" ht="36.0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</row>
    <row r="743" ht="36.0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</row>
    <row r="744" ht="36.0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</row>
    <row r="745" ht="36.0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</row>
    <row r="746" ht="36.0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</row>
    <row r="747" ht="36.0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</row>
    <row r="748" ht="36.0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</row>
    <row r="749" ht="36.0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</row>
    <row r="750" ht="36.0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</row>
    <row r="751" ht="36.0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</row>
    <row r="752" ht="36.0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</row>
    <row r="753" ht="36.0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</row>
    <row r="754" ht="36.0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</row>
    <row r="755" ht="36.0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</row>
    <row r="756" ht="36.0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</row>
    <row r="757" ht="36.0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</row>
    <row r="758" ht="36.0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</row>
    <row r="759" ht="36.0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</row>
    <row r="760" ht="36.0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</row>
    <row r="761" ht="36.0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</row>
    <row r="762" ht="36.0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</row>
    <row r="763" ht="36.0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</row>
    <row r="764" ht="36.0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</row>
    <row r="765" ht="36.0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</row>
    <row r="766" ht="36.0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</row>
    <row r="767" ht="36.0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</row>
    <row r="768" ht="36.0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</row>
    <row r="769" ht="36.0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</row>
    <row r="770" ht="36.0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</row>
    <row r="771" ht="36.0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</row>
    <row r="772" ht="36.0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</row>
    <row r="773" ht="36.0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</row>
    <row r="774" ht="36.0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</row>
    <row r="775" ht="36.0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</row>
    <row r="776" ht="36.0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</row>
    <row r="777" ht="36.0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</row>
    <row r="778" ht="36.0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</row>
    <row r="779" ht="36.0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</row>
    <row r="780" ht="36.0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</row>
    <row r="781" ht="36.0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</row>
    <row r="782" ht="36.0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</row>
    <row r="783" ht="36.0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</row>
    <row r="784" ht="36.0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</row>
    <row r="785" ht="36.0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</row>
    <row r="786" ht="36.0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</row>
    <row r="787" ht="36.0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</row>
    <row r="788" ht="36.0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</row>
    <row r="789" ht="36.0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</row>
    <row r="790" ht="36.0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</row>
    <row r="791" ht="36.0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</row>
    <row r="792" ht="36.0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</row>
    <row r="793" ht="36.0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</row>
    <row r="794" ht="36.0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</row>
    <row r="795" ht="36.0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</row>
    <row r="796" ht="36.0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</row>
    <row r="797" ht="36.0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</row>
    <row r="798" ht="36.0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</row>
    <row r="799" ht="36.0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</row>
    <row r="800" ht="36.0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</row>
    <row r="801" ht="36.0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</row>
    <row r="802" ht="36.0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</row>
    <row r="803" ht="36.0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</row>
    <row r="804" ht="36.0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</row>
    <row r="805" ht="36.0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</row>
    <row r="806" ht="36.0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</row>
    <row r="807" ht="36.0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</row>
    <row r="808" ht="36.0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</row>
    <row r="809" ht="36.0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</row>
    <row r="810" ht="36.0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</row>
    <row r="811" ht="36.0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</row>
    <row r="812" ht="36.0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</row>
    <row r="813" ht="36.0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</row>
    <row r="814" ht="36.0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</row>
    <row r="815" ht="36.0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</row>
    <row r="816" ht="36.0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</row>
    <row r="817" ht="36.0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</row>
    <row r="818" ht="36.0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</row>
    <row r="819" ht="36.0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</row>
    <row r="820" ht="36.0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</row>
    <row r="821" ht="36.0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</row>
    <row r="822" ht="36.0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</row>
    <row r="823" ht="36.0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</row>
    <row r="824" ht="36.0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</row>
    <row r="825" ht="36.0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</row>
    <row r="826" ht="36.0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</row>
    <row r="827" ht="36.0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</row>
    <row r="828" ht="36.0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</row>
    <row r="829" ht="36.0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</row>
    <row r="830" ht="36.0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</row>
    <row r="831" ht="36.0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</row>
    <row r="832" ht="36.0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</row>
    <row r="833" ht="36.0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</row>
    <row r="834" ht="36.0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</row>
    <row r="835" ht="36.0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</row>
    <row r="836" ht="36.0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</row>
    <row r="837" ht="36.0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ht="36.0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39" ht="36.0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</row>
    <row r="840" ht="36.0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</row>
    <row r="841" ht="36.0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</row>
    <row r="842" ht="36.0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</row>
    <row r="843" ht="36.0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</row>
    <row r="844" ht="36.0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</row>
    <row r="845" ht="36.0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</row>
    <row r="846" ht="36.0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</row>
    <row r="847" ht="36.0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</row>
    <row r="848" ht="36.0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</row>
    <row r="849" ht="36.0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</row>
    <row r="850" ht="36.0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</row>
    <row r="851" ht="36.0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</row>
    <row r="852" ht="36.0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</row>
    <row r="853" ht="36.0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</row>
    <row r="854" ht="36.0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</row>
    <row r="855" ht="36.0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</row>
    <row r="856" ht="36.0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</row>
    <row r="857" ht="36.0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</row>
    <row r="858" ht="36.0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</row>
    <row r="859" ht="36.0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</row>
    <row r="860" ht="36.0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</row>
    <row r="861" ht="36.0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</row>
    <row r="862" ht="36.0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</row>
    <row r="863" ht="36.0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</row>
    <row r="864" ht="36.0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</row>
    <row r="865" ht="36.0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</row>
    <row r="866" ht="36.0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</row>
    <row r="867" ht="36.0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</row>
    <row r="868" ht="36.0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</row>
    <row r="869" ht="36.0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</row>
    <row r="870" ht="36.0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</row>
    <row r="871" ht="36.0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</row>
    <row r="872" ht="36.0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</row>
    <row r="873" ht="36.0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</row>
    <row r="874" ht="36.0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</row>
    <row r="875" ht="36.0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</row>
    <row r="876" ht="36.0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</row>
    <row r="877" ht="36.0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</row>
    <row r="878" ht="36.0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</row>
    <row r="879" ht="36.0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</row>
    <row r="880" ht="36.0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</row>
    <row r="881" ht="36.0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</row>
    <row r="882" ht="36.0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</row>
    <row r="883" ht="36.0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</row>
    <row r="884" ht="36.0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</row>
    <row r="885" ht="36.0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</row>
    <row r="886" ht="36.0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</row>
    <row r="887" ht="36.0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</row>
    <row r="888" ht="36.0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</row>
    <row r="889" ht="36.0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</row>
    <row r="890" ht="36.0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</row>
    <row r="891" ht="36.0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</row>
    <row r="892" ht="36.0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</row>
    <row r="893" ht="36.0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</row>
    <row r="894" ht="36.0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</row>
    <row r="895" ht="36.0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</row>
    <row r="896" ht="36.0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</row>
    <row r="897" ht="36.0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</row>
    <row r="898" ht="36.0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</row>
    <row r="899" ht="36.0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</row>
    <row r="900" ht="36.0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</row>
    <row r="901" ht="36.0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</row>
    <row r="902" ht="36.0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</row>
    <row r="903" ht="36.0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</row>
    <row r="904" ht="36.0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</row>
    <row r="905" ht="36.0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</row>
    <row r="906" ht="36.0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</row>
    <row r="907" ht="36.0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</row>
    <row r="908" ht="36.0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</row>
    <row r="909" ht="36.0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</row>
    <row r="910" ht="36.0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</row>
    <row r="911" ht="36.0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</row>
    <row r="912" ht="36.0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</row>
    <row r="913" ht="36.0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</row>
    <row r="914" ht="36.0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</row>
    <row r="915" ht="36.0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</row>
    <row r="916" ht="36.0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</row>
    <row r="917" ht="36.0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</row>
    <row r="918" ht="36.0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</row>
    <row r="919" ht="36.0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</row>
    <row r="920" ht="36.0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</row>
    <row r="921" ht="36.0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</row>
    <row r="922" ht="36.0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</row>
    <row r="923" ht="36.0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</row>
    <row r="924" ht="36.0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</row>
    <row r="925" ht="36.0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</row>
    <row r="926" ht="36.0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</row>
    <row r="927" ht="36.0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</row>
    <row r="928" ht="36.0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</row>
    <row r="929" ht="36.0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</row>
    <row r="930" ht="36.0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</row>
    <row r="931" ht="36.0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</row>
    <row r="932" ht="36.0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</row>
    <row r="933" ht="36.0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</row>
    <row r="934" ht="36.0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</row>
    <row r="935" ht="36.0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</row>
    <row r="936" ht="36.0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</row>
    <row r="937" ht="36.0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</row>
    <row r="938" ht="36.0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</row>
    <row r="939" ht="36.0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</row>
    <row r="940" ht="36.0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</row>
    <row r="941" ht="36.0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</row>
    <row r="942" ht="36.0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</row>
    <row r="943" ht="36.0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</row>
    <row r="944" ht="36.0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</row>
    <row r="945" ht="36.0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</row>
    <row r="946" ht="36.0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</row>
    <row r="947" ht="36.0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</row>
    <row r="948" ht="36.0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</row>
    <row r="949" ht="36.0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</row>
    <row r="950" ht="36.0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</row>
    <row r="951" ht="36.0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</row>
    <row r="952" ht="36.0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</row>
    <row r="953" ht="36.0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</row>
    <row r="954" ht="36.0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</row>
    <row r="955" ht="36.0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</row>
    <row r="956" ht="36.0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</row>
    <row r="957" ht="36.0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</row>
    <row r="958" ht="36.0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</row>
    <row r="959" ht="36.0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</row>
    <row r="960" ht="36.0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</row>
    <row r="961" ht="36.0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</row>
    <row r="962" ht="36.0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</row>
    <row r="963" ht="36.0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</row>
    <row r="964" ht="36.0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</row>
    <row r="965" ht="36.0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</row>
    <row r="966" ht="36.0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</row>
    <row r="967" ht="36.0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</row>
    <row r="968" ht="36.0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</row>
    <row r="969" ht="36.0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</row>
    <row r="970" ht="36.0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</row>
    <row r="971" ht="36.0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</row>
    <row r="972" ht="36.0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</row>
    <row r="973" ht="36.0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</row>
    <row r="974" ht="36.0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</row>
    <row r="975" ht="36.0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</row>
    <row r="976" ht="36.0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</row>
    <row r="977" ht="36.0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</row>
    <row r="978" ht="36.0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</row>
    <row r="979" ht="36.0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</row>
    <row r="980" ht="36.0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</row>
    <row r="981" ht="36.0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</row>
    <row r="982" ht="36.0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</row>
    <row r="983" ht="36.0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</row>
    <row r="984" ht="36.0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</row>
    <row r="985" ht="36.0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</row>
    <row r="986" ht="36.0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</row>
    <row r="987" ht="36.0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</row>
    <row r="988" ht="36.0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</row>
    <row r="989" ht="36.0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</row>
    <row r="990" ht="36.0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</row>
    <row r="991" ht="36.0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</row>
    <row r="992" ht="36.0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</row>
    <row r="993" ht="36.0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</row>
    <row r="994" ht="36.0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</row>
    <row r="995" ht="36.0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</row>
    <row r="996" ht="36.0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</row>
  </sheetData>
  <hyperlinks>
    <hyperlink r:id="rId1" ref="J2"/>
    <hyperlink r:id="rId2" ref="J3"/>
  </hyperlin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8.25"/>
    <col customWidth="1" min="3" max="3" width="9.13"/>
    <col customWidth="1" min="4" max="4" width="8.38"/>
    <col customWidth="1" min="5" max="5" width="28.13"/>
    <col customWidth="1" min="6" max="6" width="24.0"/>
    <col customWidth="1" min="7" max="7" width="17.25"/>
    <col customWidth="1" min="8" max="8" width="15.25"/>
    <col customWidth="1" min="9" max="9" width="16.38"/>
    <col customWidth="1" min="10" max="10" width="60.25"/>
    <col customWidth="1" min="11" max="11" width="15.13"/>
    <col customWidth="1" min="12" max="13" width="20.13"/>
    <col customWidth="1" min="14" max="14" width="10.13"/>
  </cols>
  <sheetData>
    <row r="1" ht="33.75" customHeight="1">
      <c r="A1" s="69" t="s">
        <v>96</v>
      </c>
      <c r="B1" s="69" t="s">
        <v>68</v>
      </c>
      <c r="C1" s="69" t="s">
        <v>60</v>
      </c>
      <c r="D1" s="69" t="s">
        <v>61</v>
      </c>
      <c r="E1" s="69" t="s">
        <v>89</v>
      </c>
      <c r="F1" s="69" t="s">
        <v>90</v>
      </c>
      <c r="G1" s="69" t="s">
        <v>91</v>
      </c>
      <c r="H1" s="69" t="s">
        <v>92</v>
      </c>
      <c r="I1" s="69" t="s">
        <v>93</v>
      </c>
      <c r="J1" s="69" t="s">
        <v>95</v>
      </c>
      <c r="K1" s="70" t="s">
        <v>29</v>
      </c>
      <c r="L1" s="61" t="s">
        <v>1</v>
      </c>
      <c r="M1" s="70" t="s">
        <v>118</v>
      </c>
      <c r="N1" s="70" t="s">
        <v>119</v>
      </c>
      <c r="O1" s="12"/>
      <c r="P1" s="12"/>
      <c r="Q1" s="12"/>
      <c r="R1" s="12"/>
      <c r="S1" s="12"/>
      <c r="T1" s="12"/>
      <c r="U1" s="12"/>
      <c r="V1" s="12"/>
      <c r="W1" s="12"/>
      <c r="X1" s="12"/>
    </row>
    <row r="2" ht="33.75" customHeight="1">
      <c r="A2" s="71" t="str">
        <f>IFERROR(__xludf.DUMMYFUNCTION("QUERY(MasterData!A1:NK11797,""select DN,DO,DP,DQ,DR,DS,DT,DU,DV,DW,B,C,FL,FM where C='S10: Student Prof. Body'"",0)"),"Savitribai Phule Day ")</f>
        <v>Savitribai Phule Day </v>
      </c>
      <c r="B2" s="71" t="str">
        <f>IFERROR(__xludf.DUMMYFUNCTION("""COMPUTED_VALUE"""),"1 day")</f>
        <v>1 day</v>
      </c>
      <c r="C2" s="72">
        <f>IFERROR(__xludf.DUMMYFUNCTION("""COMPUTED_VALUE"""),44564.0)</f>
        <v>44564</v>
      </c>
      <c r="D2" s="72">
        <f>IFERROR(__xludf.DUMMYFUNCTION("""COMPUTED_VALUE"""),44564.0)</f>
        <v>44564</v>
      </c>
      <c r="E2" s="71">
        <f>IFERROR(__xludf.DUMMYFUNCTION("""COMPUTED_VALUE"""),13.0)</f>
        <v>13</v>
      </c>
      <c r="F2" s="71" t="str">
        <f>IFERROR(__xludf.DUMMYFUNCTION("""COMPUTED_VALUE"""),"Faculty In-charge &amp; Students")</f>
        <v>Faculty In-charge &amp; Students</v>
      </c>
      <c r="G2" s="71" t="str">
        <f>IFERROR(__xludf.DUMMYFUNCTION("""COMPUTED_VALUE"""),"M.Vamsi Krishna")</f>
        <v>M.Vamsi Krishna</v>
      </c>
      <c r="H2" s="71">
        <f>IFERROR(__xludf.DUMMYFUNCTION("""COMPUTED_VALUE"""),0.0)</f>
        <v>0</v>
      </c>
      <c r="I2" s="71">
        <f>IFERROR(__xludf.DUMMYFUNCTION("""COMPUTED_VALUE"""),0.0)</f>
        <v>0</v>
      </c>
      <c r="J2" s="73" t="str">
        <f>IFERROR(__xludf.DUMMYFUNCTION("""COMPUTED_VALUE"""),"https://drive.google.com/open?id=1pFZMSg0U5JTeBIAvD-st02kTb3uFM-8Z")</f>
        <v>https://drive.google.com/open?id=1pFZMSg0U5JTeBIAvD-st02kTb3uFM-8Z</v>
      </c>
      <c r="K2" s="71" t="str">
        <f>IFERROR(__xludf.DUMMYFUNCTION("""COMPUTED_VALUE"""),"2019-2023")</f>
        <v>2019-2023</v>
      </c>
      <c r="L2" s="71" t="str">
        <f>IFERROR(__xludf.DUMMYFUNCTION("""COMPUTED_VALUE"""),"S10: Student Prof. Body")</f>
        <v>S10: Student Prof. Body</v>
      </c>
      <c r="M2" s="71" t="str">
        <f>IFERROR(__xludf.DUMMYFUNCTION("""COMPUTED_VALUE"""),"mvamsi@mvgrce.edu.in")</f>
        <v>mvamsi@mvgrce.edu.in</v>
      </c>
      <c r="N2" s="71" t="str">
        <f>IFERROR(__xludf.DUMMYFUNCTION("""COMPUTED_VALUE"""),"SEM-6")</f>
        <v>SEM-6</v>
      </c>
      <c r="O2" s="74"/>
      <c r="P2" s="74"/>
      <c r="Q2" s="74"/>
      <c r="R2" s="74"/>
      <c r="S2" s="74"/>
      <c r="T2" s="74"/>
      <c r="U2" s="74"/>
      <c r="V2" s="74"/>
      <c r="W2" s="74"/>
      <c r="X2" s="74"/>
    </row>
    <row r="3" ht="33.75" customHeight="1">
      <c r="A3" s="71" t="str">
        <f>IFERROR(__xludf.DUMMYFUNCTION("""COMPUTED_VALUE"""),"Republic Day")</f>
        <v>Republic Day</v>
      </c>
      <c r="B3" s="71" t="str">
        <f>IFERROR(__xludf.DUMMYFUNCTION("""COMPUTED_VALUE"""),"1 day")</f>
        <v>1 day</v>
      </c>
      <c r="C3" s="72">
        <f>IFERROR(__xludf.DUMMYFUNCTION("""COMPUTED_VALUE"""),44587.0)</f>
        <v>44587</v>
      </c>
      <c r="D3" s="72">
        <f>IFERROR(__xludf.DUMMYFUNCTION("""COMPUTED_VALUE"""),44587.0)</f>
        <v>44587</v>
      </c>
      <c r="E3" s="71">
        <f>IFERROR(__xludf.DUMMYFUNCTION("""COMPUTED_VALUE"""),9.0)</f>
        <v>9</v>
      </c>
      <c r="F3" s="71" t="str">
        <f>IFERROR(__xludf.DUMMYFUNCTION("""COMPUTED_VALUE"""),"Students &amp; Faculty")</f>
        <v>Students &amp; Faculty</v>
      </c>
      <c r="G3" s="71" t="str">
        <f>IFERROR(__xludf.DUMMYFUNCTION("""COMPUTED_VALUE"""),"M.Vamsi Krishna")</f>
        <v>M.Vamsi Krishna</v>
      </c>
      <c r="H3" s="71">
        <f>IFERROR(__xludf.DUMMYFUNCTION("""COMPUTED_VALUE"""),0.0)</f>
        <v>0</v>
      </c>
      <c r="I3" s="71">
        <f>IFERROR(__xludf.DUMMYFUNCTION("""COMPUTED_VALUE"""),0.0)</f>
        <v>0</v>
      </c>
      <c r="J3" s="73" t="str">
        <f>IFERROR(__xludf.DUMMYFUNCTION("""COMPUTED_VALUE"""),"https://drive.google.com/open?id=1A27DXNoiss-Gco3r7lf4BKFY1X0B1UjN")</f>
        <v>https://drive.google.com/open?id=1A27DXNoiss-Gco3r7lf4BKFY1X0B1UjN</v>
      </c>
      <c r="K3" s="71" t="str">
        <f>IFERROR(__xludf.DUMMYFUNCTION("""COMPUTED_VALUE"""),"2019-2023")</f>
        <v>2019-2023</v>
      </c>
      <c r="L3" s="71" t="str">
        <f>IFERROR(__xludf.DUMMYFUNCTION("""COMPUTED_VALUE"""),"S10: Student Prof. Body")</f>
        <v>S10: Student Prof. Body</v>
      </c>
      <c r="M3" s="71" t="str">
        <f>IFERROR(__xludf.DUMMYFUNCTION("""COMPUTED_VALUE"""),"mvamsi@mvgrce.edu.in")</f>
        <v>mvamsi@mvgrce.edu.in</v>
      </c>
      <c r="N3" s="71" t="str">
        <f>IFERROR(__xludf.DUMMYFUNCTION("""COMPUTED_VALUE"""),"SEM-6")</f>
        <v>SEM-6</v>
      </c>
      <c r="O3" s="74"/>
      <c r="P3" s="74"/>
      <c r="Q3" s="74"/>
      <c r="R3" s="74"/>
      <c r="S3" s="74"/>
      <c r="T3" s="74"/>
      <c r="U3" s="74"/>
      <c r="V3" s="74"/>
      <c r="W3" s="74"/>
      <c r="X3" s="74"/>
    </row>
    <row r="4" ht="33.75" customHeight="1">
      <c r="A4" s="71" t="str">
        <f>IFERROR(__xludf.DUMMYFUNCTION("""COMPUTED_VALUE"""),"Aaron Day ")</f>
        <v>Aaron Day </v>
      </c>
      <c r="B4" s="71" t="str">
        <f>IFERROR(__xludf.DUMMYFUNCTION("""COMPUTED_VALUE"""),"1 day")</f>
        <v>1 day</v>
      </c>
      <c r="C4" s="72">
        <f>IFERROR(__xludf.DUMMYFUNCTION("""COMPUTED_VALUE"""),44508.0)</f>
        <v>44508</v>
      </c>
      <c r="D4" s="72">
        <f>IFERROR(__xludf.DUMMYFUNCTION("""COMPUTED_VALUE"""),44508.0)</f>
        <v>44508</v>
      </c>
      <c r="E4" s="71">
        <f>IFERROR(__xludf.DUMMYFUNCTION("""COMPUTED_VALUE"""),6.0)</f>
        <v>6</v>
      </c>
      <c r="F4" s="71" t="str">
        <f>IFERROR(__xludf.DUMMYFUNCTION("""COMPUTED_VALUE"""),"Mr. M.Vamsi Krishna")</f>
        <v>Mr. M.Vamsi Krishna</v>
      </c>
      <c r="G4" s="71" t="str">
        <f>IFERROR(__xludf.DUMMYFUNCTION("""COMPUTED_VALUE"""),"Mr. M.Vamsi Krishna")</f>
        <v>Mr. M.Vamsi Krishna</v>
      </c>
      <c r="H4" s="71">
        <f>IFERROR(__xludf.DUMMYFUNCTION("""COMPUTED_VALUE"""),0.0)</f>
        <v>0</v>
      </c>
      <c r="I4" s="71">
        <f>IFERROR(__xludf.DUMMYFUNCTION("""COMPUTED_VALUE"""),0.0)</f>
        <v>0</v>
      </c>
      <c r="J4" s="73" t="str">
        <f>IFERROR(__xludf.DUMMYFUNCTION("""COMPUTED_VALUE"""),"https://drive.google.com/open?id=1Kwci2O8yMxhrJdcfh3GEfc9JIKNlizun")</f>
        <v>https://drive.google.com/open?id=1Kwci2O8yMxhrJdcfh3GEfc9JIKNlizun</v>
      </c>
      <c r="K4" s="71" t="str">
        <f>IFERROR(__xludf.DUMMYFUNCTION("""COMPUTED_VALUE"""),"2019-2023")</f>
        <v>2019-2023</v>
      </c>
      <c r="L4" s="71" t="str">
        <f>IFERROR(__xludf.DUMMYFUNCTION("""COMPUTED_VALUE"""),"S10: Student Prof. Body")</f>
        <v>S10: Student Prof. Body</v>
      </c>
      <c r="M4" s="71" t="str">
        <f>IFERROR(__xludf.DUMMYFUNCTION("""COMPUTED_VALUE"""),"mvamsi@mvgrce.edu.in")</f>
        <v>mvamsi@mvgrce.edu.in</v>
      </c>
      <c r="N4" s="71" t="str">
        <f>IFERROR(__xludf.DUMMYFUNCTION("""COMPUTED_VALUE"""),"SEM-6")</f>
        <v>SEM-6</v>
      </c>
      <c r="O4" s="74"/>
      <c r="P4" s="74"/>
      <c r="Q4" s="74"/>
      <c r="R4" s="74"/>
      <c r="S4" s="74"/>
      <c r="T4" s="74"/>
      <c r="U4" s="74"/>
      <c r="V4" s="74"/>
      <c r="W4" s="74"/>
      <c r="X4" s="74"/>
    </row>
    <row r="5" ht="33.75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</row>
    <row r="6" ht="33.75" customHeigh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</row>
    <row r="7" ht="33.75" customHeight="1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</row>
    <row r="8" ht="33.7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</row>
    <row r="9" ht="33.7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</row>
    <row r="10" ht="33.7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</row>
    <row r="11" ht="33.7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</row>
    <row r="12" ht="33.7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</row>
    <row r="13" ht="33.7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</row>
    <row r="14" ht="33.7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</row>
    <row r="15" ht="33.7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</row>
    <row r="16" ht="33.7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</row>
    <row r="17" ht="33.7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</row>
    <row r="18" ht="33.7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</row>
    <row r="19" ht="33.7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</row>
    <row r="20" ht="33.7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</row>
    <row r="21" ht="33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</row>
    <row r="22" ht="33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</row>
    <row r="23" ht="33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</row>
    <row r="24" ht="33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 ht="33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</row>
    <row r="26" ht="33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 ht="33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</row>
    <row r="28" ht="33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</row>
    <row r="29" ht="33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</row>
    <row r="30" ht="33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</row>
    <row r="31" ht="33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</row>
    <row r="32" ht="33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</row>
    <row r="33" ht="33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</row>
    <row r="34" ht="33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</row>
    <row r="35" ht="33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</row>
    <row r="36" ht="33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</row>
    <row r="37" ht="33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</row>
    <row r="38" ht="33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</row>
    <row r="39" ht="33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</row>
    <row r="40" ht="33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</row>
    <row r="41" ht="33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</row>
    <row r="42" ht="33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</row>
    <row r="43" ht="33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</row>
    <row r="44" ht="33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</row>
    <row r="45" ht="33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</row>
    <row r="46" ht="33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</row>
    <row r="47" ht="33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</row>
    <row r="48" ht="33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</row>
    <row r="49" ht="33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</row>
    <row r="50" ht="33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</row>
    <row r="51" ht="33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</row>
    <row r="52" ht="33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</row>
    <row r="53" ht="33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</row>
    <row r="54" ht="33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</row>
    <row r="55" ht="33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</row>
    <row r="56" ht="33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</row>
    <row r="57" ht="33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</row>
    <row r="58" ht="33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</row>
    <row r="59" ht="33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</row>
    <row r="60" ht="33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</row>
    <row r="61" ht="33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</row>
    <row r="62" ht="33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</row>
    <row r="63" ht="33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</row>
    <row r="64" ht="33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</row>
    <row r="65" ht="33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</row>
    <row r="66" ht="33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</row>
    <row r="67" ht="33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</row>
    <row r="68" ht="33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</row>
    <row r="69" ht="33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</row>
    <row r="70" ht="33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</row>
    <row r="71" ht="33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</row>
    <row r="72" ht="33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</row>
    <row r="73" ht="33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</row>
    <row r="74" ht="33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</row>
    <row r="75" ht="33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</row>
    <row r="76" ht="33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</row>
    <row r="77" ht="33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</row>
    <row r="78" ht="33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</row>
    <row r="79" ht="33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</row>
    <row r="80" ht="33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</row>
    <row r="81" ht="33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</row>
    <row r="82" ht="33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</row>
    <row r="83" ht="33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</row>
    <row r="84" ht="33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</row>
    <row r="85" ht="33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</row>
    <row r="86" ht="33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</row>
    <row r="87" ht="33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</row>
    <row r="88" ht="33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</row>
    <row r="89" ht="33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</row>
    <row r="90" ht="33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</row>
    <row r="91" ht="33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</row>
    <row r="92" ht="33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</row>
    <row r="93" ht="33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</row>
    <row r="94" ht="33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</row>
    <row r="95" ht="33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</row>
    <row r="96" ht="33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</row>
    <row r="97" ht="33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</row>
    <row r="98" ht="33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ht="33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</row>
    <row r="100" ht="33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ht="33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ht="33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ht="33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ht="33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ht="33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ht="33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ht="33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ht="33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ht="33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ht="33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  <row r="111" ht="33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</row>
    <row r="112" ht="33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</row>
    <row r="113" ht="33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</row>
    <row r="114" ht="33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</row>
    <row r="115" ht="33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</row>
    <row r="116" ht="33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</row>
    <row r="117" ht="33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</row>
    <row r="118" ht="33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</row>
    <row r="119" ht="33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</row>
    <row r="120" ht="33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</row>
    <row r="121" ht="33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</row>
    <row r="122" ht="33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</row>
    <row r="123" ht="33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</row>
    <row r="124" ht="33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</row>
    <row r="125" ht="33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</row>
    <row r="126" ht="33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</row>
    <row r="127" ht="33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</row>
    <row r="128" ht="33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</row>
    <row r="129" ht="33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</row>
    <row r="130" ht="33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</row>
    <row r="131" ht="33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</row>
    <row r="132" ht="33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</row>
    <row r="133" ht="33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</row>
    <row r="134" ht="33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</row>
    <row r="135" ht="33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</row>
    <row r="136" ht="33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</row>
    <row r="137" ht="33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</row>
    <row r="138" ht="33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</row>
    <row r="139" ht="33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</row>
    <row r="140" ht="33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</row>
    <row r="141" ht="33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</row>
    <row r="142" ht="33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</row>
    <row r="143" ht="33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</row>
    <row r="144" ht="33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</row>
    <row r="145" ht="33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</row>
    <row r="146" ht="33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</row>
    <row r="147" ht="33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</row>
    <row r="148" ht="33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</row>
    <row r="149" ht="33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</row>
    <row r="150" ht="33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</row>
    <row r="151" ht="33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</row>
    <row r="152" ht="33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</row>
    <row r="153" ht="33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</row>
    <row r="154" ht="33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</row>
    <row r="155" ht="33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</row>
    <row r="156" ht="33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</row>
    <row r="157" ht="33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</row>
    <row r="158" ht="33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</row>
    <row r="159" ht="33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</row>
    <row r="160" ht="33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</row>
    <row r="161" ht="33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</row>
    <row r="162" ht="33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</row>
    <row r="163" ht="33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</row>
    <row r="164" ht="33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</row>
    <row r="165" ht="33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</row>
    <row r="166" ht="33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</row>
    <row r="167" ht="33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</row>
    <row r="168" ht="33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</row>
    <row r="169" ht="33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</row>
    <row r="170" ht="33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</row>
    <row r="171" ht="33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</row>
    <row r="172" ht="33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</row>
    <row r="173" ht="33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</row>
    <row r="174" ht="33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</row>
    <row r="175" ht="33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</row>
    <row r="176" ht="33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</row>
    <row r="177" ht="33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</row>
    <row r="178" ht="33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</row>
    <row r="179" ht="33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</row>
    <row r="180" ht="33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</row>
    <row r="181" ht="33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</row>
    <row r="182" ht="33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</row>
    <row r="183" ht="33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</row>
    <row r="184" ht="33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</row>
    <row r="185" ht="33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</row>
    <row r="186" ht="33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</row>
    <row r="187" ht="33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</row>
    <row r="188" ht="33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</row>
    <row r="189" ht="33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</row>
    <row r="190" ht="33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</row>
    <row r="191" ht="33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</row>
    <row r="192" ht="33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</row>
    <row r="193" ht="33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</row>
    <row r="194" ht="33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</row>
    <row r="195" ht="33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</row>
    <row r="196" ht="33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</row>
    <row r="197" ht="33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</row>
    <row r="198" ht="33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</row>
    <row r="199" ht="33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</row>
    <row r="200" ht="33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</row>
    <row r="201" ht="33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</row>
    <row r="202" ht="33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</row>
    <row r="203" ht="33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</row>
    <row r="204" ht="33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</row>
    <row r="205" ht="33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</row>
    <row r="206" ht="33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</row>
    <row r="207" ht="33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</row>
    <row r="208" ht="33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</row>
    <row r="209" ht="33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</row>
    <row r="210" ht="33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</row>
    <row r="211" ht="33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</row>
    <row r="212" ht="33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</row>
    <row r="213" ht="33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</row>
    <row r="214" ht="33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</row>
    <row r="215" ht="33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</row>
    <row r="216" ht="33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</row>
    <row r="217" ht="33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</row>
    <row r="218" ht="33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</row>
    <row r="219" ht="33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</row>
    <row r="220" ht="33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</row>
    <row r="221" ht="33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</row>
    <row r="222" ht="33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</row>
    <row r="223" ht="33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</row>
    <row r="224" ht="33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</row>
    <row r="225" ht="33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</row>
    <row r="226" ht="33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</row>
    <row r="227" ht="33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</row>
    <row r="228" ht="33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</row>
    <row r="229" ht="33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</row>
    <row r="230" ht="33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</row>
    <row r="231" ht="33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</row>
    <row r="232" ht="33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</row>
    <row r="233" ht="33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</row>
    <row r="234" ht="33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</row>
    <row r="235" ht="33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</row>
    <row r="236" ht="33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</row>
    <row r="237" ht="33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</row>
    <row r="238" ht="33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</row>
    <row r="239" ht="33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</row>
    <row r="240" ht="33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</row>
    <row r="241" ht="33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</row>
    <row r="242" ht="33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</row>
    <row r="243" ht="33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</row>
    <row r="244" ht="33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</row>
    <row r="245" ht="33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</row>
    <row r="246" ht="33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</row>
    <row r="247" ht="33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</row>
    <row r="248" ht="33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</row>
    <row r="249" ht="33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</row>
    <row r="250" ht="33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</row>
    <row r="251" ht="33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</row>
    <row r="252" ht="33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</row>
    <row r="253" ht="33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</row>
    <row r="254" ht="33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</row>
    <row r="255" ht="33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</row>
    <row r="256" ht="33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</row>
    <row r="257" ht="33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</row>
    <row r="258" ht="33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</row>
    <row r="259" ht="33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</row>
    <row r="260" ht="33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</row>
    <row r="261" ht="33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</row>
    <row r="262" ht="33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</row>
    <row r="263" ht="33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</row>
    <row r="264" ht="33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</row>
    <row r="265" ht="33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</row>
    <row r="266" ht="33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</row>
    <row r="267" ht="33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</row>
    <row r="268" ht="33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</row>
    <row r="269" ht="33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</row>
    <row r="270" ht="33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</row>
    <row r="271" ht="33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</row>
    <row r="272" ht="33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</row>
    <row r="273" ht="33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</row>
    <row r="274" ht="33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</row>
    <row r="275" ht="33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</row>
    <row r="276" ht="33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</row>
    <row r="277" ht="33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</row>
    <row r="278" ht="33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</row>
    <row r="279" ht="33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</row>
    <row r="280" ht="33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</row>
    <row r="281" ht="33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</row>
    <row r="282" ht="33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</row>
    <row r="283" ht="33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</row>
    <row r="284" ht="33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</row>
    <row r="285" ht="33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</row>
    <row r="286" ht="33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</row>
    <row r="287" ht="33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</row>
    <row r="288" ht="33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</row>
    <row r="289" ht="33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</row>
    <row r="290" ht="33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</row>
    <row r="291" ht="33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</row>
    <row r="292" ht="33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</row>
    <row r="293" ht="33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</row>
    <row r="294" ht="33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</row>
    <row r="295" ht="33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</row>
    <row r="296" ht="33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</row>
    <row r="297" ht="33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</row>
    <row r="298" ht="33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</row>
    <row r="299" ht="33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</row>
    <row r="300" ht="33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</row>
    <row r="301" ht="33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</row>
    <row r="302" ht="33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</row>
    <row r="303" ht="33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</row>
    <row r="304" ht="33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</row>
    <row r="305" ht="33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</row>
    <row r="306" ht="33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</row>
    <row r="307" ht="33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</row>
    <row r="308" ht="33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</row>
    <row r="309" ht="33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</row>
    <row r="310" ht="33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</row>
    <row r="311" ht="33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</row>
    <row r="312" ht="33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</row>
    <row r="313" ht="33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</row>
    <row r="314" ht="33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</row>
    <row r="315" ht="33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</row>
    <row r="316" ht="33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</row>
    <row r="317" ht="33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</row>
    <row r="318" ht="33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</row>
    <row r="319" ht="33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</row>
    <row r="320" ht="33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</row>
    <row r="321" ht="33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</row>
    <row r="322" ht="33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</row>
    <row r="323" ht="33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</row>
    <row r="324" ht="33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</row>
    <row r="325" ht="33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</row>
    <row r="326" ht="33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</row>
    <row r="327" ht="33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</row>
    <row r="328" ht="33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</row>
    <row r="329" ht="33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</row>
    <row r="330" ht="33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</row>
    <row r="331" ht="33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</row>
    <row r="332" ht="33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</row>
    <row r="333" ht="33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</row>
    <row r="334" ht="33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</row>
    <row r="335" ht="33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</row>
    <row r="336" ht="33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</row>
    <row r="337" ht="33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</row>
    <row r="338" ht="33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</row>
    <row r="339" ht="33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</row>
    <row r="340" ht="33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</row>
    <row r="341" ht="33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</row>
    <row r="342" ht="33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</row>
    <row r="343" ht="33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</row>
    <row r="344" ht="33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</row>
    <row r="345" ht="33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</row>
    <row r="346" ht="33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</row>
    <row r="347" ht="33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</row>
    <row r="348" ht="33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</row>
    <row r="349" ht="33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</row>
    <row r="350" ht="33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</row>
    <row r="351" ht="33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</row>
    <row r="352" ht="33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</row>
    <row r="353" ht="33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</row>
    <row r="354" ht="33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</row>
    <row r="355" ht="33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</row>
    <row r="356" ht="33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</row>
    <row r="357" ht="33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</row>
    <row r="358" ht="33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</row>
    <row r="359" ht="33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</row>
    <row r="360" ht="33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</row>
    <row r="361" ht="33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</row>
    <row r="362" ht="33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</row>
    <row r="363" ht="33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</row>
    <row r="364" ht="33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</row>
    <row r="365" ht="33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</row>
    <row r="366" ht="33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</row>
    <row r="367" ht="33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</row>
    <row r="368" ht="33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</row>
    <row r="369" ht="33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</row>
    <row r="370" ht="33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</row>
    <row r="371" ht="33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</row>
    <row r="372" ht="33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</row>
    <row r="373" ht="33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</row>
    <row r="374" ht="33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</row>
    <row r="375" ht="33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</row>
    <row r="376" ht="33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</row>
    <row r="377" ht="33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</row>
    <row r="378" ht="33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</row>
    <row r="379" ht="33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</row>
    <row r="380" ht="33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</row>
    <row r="381" ht="33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</row>
    <row r="382" ht="33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</row>
    <row r="383" ht="33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</row>
    <row r="384" ht="33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</row>
    <row r="385" ht="33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</row>
    <row r="386" ht="33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</row>
    <row r="387" ht="33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</row>
    <row r="388" ht="33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</row>
    <row r="389" ht="33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</row>
    <row r="390" ht="33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</row>
    <row r="391" ht="33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</row>
    <row r="392" ht="33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</row>
    <row r="393" ht="33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</row>
    <row r="394" ht="33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</row>
    <row r="395" ht="33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</row>
    <row r="396" ht="33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</row>
    <row r="397" ht="33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</row>
    <row r="398" ht="33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</row>
    <row r="399" ht="33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</row>
    <row r="400" ht="33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</row>
    <row r="401" ht="33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</row>
    <row r="402" ht="33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</row>
    <row r="403" ht="33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</row>
    <row r="404" ht="33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</row>
    <row r="405" ht="33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</row>
    <row r="406" ht="33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</row>
    <row r="407" ht="33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</row>
    <row r="408" ht="33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</row>
    <row r="409" ht="33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</row>
    <row r="410" ht="33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</row>
    <row r="411" ht="33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</row>
    <row r="412" ht="33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</row>
    <row r="413" ht="33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</row>
    <row r="414" ht="33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</row>
    <row r="415" ht="33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</row>
    <row r="416" ht="33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</row>
    <row r="417" ht="33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</row>
    <row r="418" ht="33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</row>
    <row r="419" ht="33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</row>
    <row r="420" ht="33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</row>
    <row r="421" ht="33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</row>
    <row r="422" ht="33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</row>
    <row r="423" ht="33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</row>
    <row r="424" ht="33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</row>
    <row r="425" ht="33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</row>
    <row r="426" ht="33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</row>
    <row r="427" ht="33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</row>
    <row r="428" ht="33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</row>
    <row r="429" ht="33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</row>
    <row r="430" ht="33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</row>
    <row r="431" ht="33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</row>
    <row r="432" ht="33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</row>
    <row r="433" ht="33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</row>
    <row r="434" ht="33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</row>
    <row r="435" ht="33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</row>
    <row r="436" ht="33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</row>
    <row r="437" ht="33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</row>
    <row r="438" ht="33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</row>
    <row r="439" ht="33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</row>
    <row r="440" ht="33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</row>
    <row r="441" ht="33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</row>
    <row r="442" ht="33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</row>
    <row r="443" ht="33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</row>
    <row r="444" ht="33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</row>
    <row r="445" ht="33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</row>
    <row r="446" ht="33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</row>
    <row r="447" ht="33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</row>
    <row r="448" ht="33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</row>
    <row r="449" ht="33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</row>
    <row r="450" ht="33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</row>
    <row r="451" ht="33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</row>
    <row r="452" ht="33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</row>
    <row r="453" ht="33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</row>
    <row r="454" ht="33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</row>
    <row r="455" ht="33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</row>
    <row r="456" ht="33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</row>
    <row r="457" ht="33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</row>
    <row r="458" ht="33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</row>
    <row r="459" ht="33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</row>
    <row r="460" ht="33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</row>
    <row r="461" ht="33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</row>
    <row r="462" ht="33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</row>
    <row r="463" ht="33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</row>
    <row r="464" ht="33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</row>
    <row r="465" ht="33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</row>
    <row r="466" ht="33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</row>
    <row r="467" ht="33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</row>
    <row r="468" ht="33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</row>
    <row r="469" ht="33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</row>
    <row r="470" ht="33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</row>
    <row r="471" ht="33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</row>
    <row r="472" ht="33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</row>
    <row r="473" ht="33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</row>
    <row r="474" ht="33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</row>
    <row r="475" ht="33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</row>
    <row r="476" ht="33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</row>
    <row r="477" ht="33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</row>
    <row r="478" ht="33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</row>
    <row r="479" ht="33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</row>
    <row r="480" ht="33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</row>
    <row r="481" ht="33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</row>
    <row r="482" ht="33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</row>
    <row r="483" ht="33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</row>
    <row r="484" ht="33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</row>
    <row r="485" ht="33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</row>
    <row r="486" ht="33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</row>
    <row r="487" ht="33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</row>
    <row r="488" ht="33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</row>
    <row r="489" ht="33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</row>
    <row r="490" ht="33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</row>
    <row r="491" ht="33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</row>
    <row r="492" ht="33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</row>
    <row r="493" ht="33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</row>
    <row r="494" ht="33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</row>
    <row r="495" ht="33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</row>
    <row r="496" ht="33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</row>
    <row r="497" ht="33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</row>
    <row r="498" ht="33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</row>
    <row r="499" ht="33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</row>
    <row r="500" ht="33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</row>
    <row r="501" ht="33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</row>
    <row r="502" ht="33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</row>
    <row r="503" ht="33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</row>
    <row r="504" ht="33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</row>
    <row r="505" ht="33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</row>
    <row r="506" ht="33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</row>
    <row r="507" ht="33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</row>
    <row r="508" ht="33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</row>
    <row r="509" ht="33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</row>
    <row r="510" ht="33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</row>
    <row r="511" ht="33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</row>
    <row r="512" ht="33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</row>
    <row r="513" ht="33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</row>
    <row r="514" ht="33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</row>
    <row r="515" ht="33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</row>
    <row r="516" ht="33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</row>
    <row r="517" ht="33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</row>
    <row r="518" ht="33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</row>
    <row r="519" ht="33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</row>
    <row r="520" ht="33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</row>
    <row r="521" ht="33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</row>
    <row r="522" ht="33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</row>
    <row r="523" ht="33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</row>
    <row r="524" ht="33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</row>
    <row r="525" ht="33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</row>
    <row r="526" ht="33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</row>
    <row r="527" ht="33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</row>
    <row r="528" ht="33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</row>
    <row r="529" ht="33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</row>
    <row r="530" ht="33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</row>
    <row r="531" ht="33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</row>
    <row r="532" ht="33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</row>
    <row r="533" ht="33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</row>
    <row r="534" ht="33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</row>
    <row r="535" ht="33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</row>
    <row r="536" ht="33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</row>
    <row r="537" ht="33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</row>
    <row r="538" ht="33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</row>
    <row r="539" ht="33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</row>
    <row r="540" ht="33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</row>
    <row r="541" ht="33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</row>
    <row r="542" ht="33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</row>
    <row r="543" ht="33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</row>
    <row r="544" ht="33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</row>
    <row r="545" ht="33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</row>
    <row r="546" ht="33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</row>
    <row r="547" ht="33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</row>
    <row r="548" ht="33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</row>
    <row r="549" ht="33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</row>
    <row r="550" ht="33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</row>
    <row r="551" ht="33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</row>
    <row r="552" ht="33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</row>
    <row r="553" ht="33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</row>
    <row r="554" ht="33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</row>
    <row r="555" ht="33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</row>
    <row r="556" ht="33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</row>
    <row r="557" ht="33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</row>
    <row r="558" ht="33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</row>
    <row r="559" ht="33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</row>
    <row r="560" ht="33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</row>
    <row r="561" ht="33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</row>
    <row r="562" ht="33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</row>
    <row r="563" ht="33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</row>
    <row r="564" ht="33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</row>
    <row r="565" ht="33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</row>
    <row r="566" ht="33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</row>
    <row r="567" ht="33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</row>
    <row r="568" ht="33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</row>
    <row r="569" ht="33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</row>
    <row r="570" ht="33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</row>
    <row r="571" ht="33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</row>
    <row r="572" ht="33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</row>
    <row r="573" ht="33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</row>
    <row r="574" ht="33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</row>
    <row r="575" ht="33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</row>
    <row r="576" ht="33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</row>
    <row r="577" ht="33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</row>
    <row r="578" ht="33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</row>
    <row r="579" ht="33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</row>
    <row r="580" ht="33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</row>
    <row r="581" ht="33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</row>
    <row r="582" ht="33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</row>
    <row r="583" ht="33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</row>
    <row r="584" ht="33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</row>
    <row r="585" ht="33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</row>
    <row r="586" ht="33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</row>
    <row r="587" ht="33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</row>
    <row r="588" ht="33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</row>
    <row r="589" ht="33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</row>
    <row r="590" ht="33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</row>
    <row r="591" ht="33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</row>
    <row r="592" ht="33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</row>
    <row r="593" ht="33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</row>
    <row r="594" ht="33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</row>
    <row r="595" ht="33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</row>
    <row r="596" ht="33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</row>
    <row r="597" ht="33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</row>
    <row r="598" ht="33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</row>
    <row r="599" ht="33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</row>
    <row r="600" ht="33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</row>
    <row r="601" ht="33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</row>
    <row r="602" ht="33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</row>
    <row r="603" ht="33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</row>
    <row r="604" ht="33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</row>
    <row r="605" ht="33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</row>
    <row r="606" ht="33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</row>
    <row r="607" ht="33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</row>
    <row r="608" ht="33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</row>
    <row r="609" ht="33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</row>
    <row r="610" ht="33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</row>
    <row r="611" ht="33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</row>
    <row r="612" ht="33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</row>
    <row r="613" ht="33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</row>
    <row r="614" ht="33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</row>
    <row r="615" ht="33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</row>
    <row r="616" ht="33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</row>
    <row r="617" ht="33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</row>
    <row r="618" ht="33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</row>
    <row r="619" ht="33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</row>
    <row r="620" ht="33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</row>
    <row r="621" ht="33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</row>
    <row r="622" ht="33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</row>
    <row r="623" ht="33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</row>
    <row r="624" ht="33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</row>
    <row r="625" ht="33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</row>
    <row r="626" ht="33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</row>
    <row r="627" ht="33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</row>
    <row r="628" ht="33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</row>
    <row r="629" ht="33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</row>
    <row r="630" ht="33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</row>
    <row r="631" ht="33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</row>
    <row r="632" ht="33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</row>
    <row r="633" ht="33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</row>
    <row r="634" ht="33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</row>
    <row r="635" ht="33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</row>
    <row r="636" ht="33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</row>
    <row r="637" ht="33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</row>
    <row r="638" ht="33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</row>
    <row r="639" ht="33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</row>
    <row r="640" ht="33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</row>
    <row r="641" ht="33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</row>
    <row r="642" ht="33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</row>
    <row r="643" ht="33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</row>
    <row r="644" ht="33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</row>
    <row r="645" ht="33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</row>
    <row r="646" ht="33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</row>
    <row r="647" ht="33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</row>
    <row r="648" ht="33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</row>
    <row r="649" ht="33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</row>
    <row r="650" ht="33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</row>
    <row r="651" ht="33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</row>
    <row r="652" ht="33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</row>
    <row r="653" ht="33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</row>
    <row r="654" ht="33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</row>
    <row r="655" ht="33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</row>
    <row r="656" ht="33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</row>
    <row r="657" ht="33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</row>
    <row r="658" ht="33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</row>
    <row r="659" ht="33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</row>
    <row r="660" ht="33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</row>
    <row r="661" ht="33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</row>
    <row r="662" ht="33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</row>
    <row r="663" ht="33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</row>
    <row r="664" ht="33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</row>
    <row r="665" ht="33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</row>
    <row r="666" ht="33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</row>
    <row r="667" ht="33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</row>
    <row r="668" ht="33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</row>
    <row r="669" ht="33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</row>
    <row r="670" ht="33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</row>
    <row r="671" ht="33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</row>
    <row r="672" ht="33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</row>
    <row r="673" ht="33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</row>
    <row r="674" ht="33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</row>
    <row r="675" ht="33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</row>
    <row r="676" ht="33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</row>
    <row r="677" ht="33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</row>
    <row r="678" ht="33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</row>
    <row r="679" ht="33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</row>
    <row r="680" ht="33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</row>
    <row r="681" ht="33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</row>
    <row r="682" ht="33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</row>
    <row r="683" ht="33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</row>
    <row r="684" ht="33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</row>
    <row r="685" ht="33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</row>
    <row r="686" ht="33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</row>
    <row r="687" ht="33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</row>
    <row r="688" ht="33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</row>
    <row r="689" ht="33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</row>
    <row r="690" ht="33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</row>
    <row r="691" ht="33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</row>
    <row r="692" ht="33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</row>
    <row r="693" ht="33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</row>
    <row r="694" ht="33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</row>
    <row r="695" ht="33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</row>
    <row r="696" ht="33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</row>
    <row r="697" ht="33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</row>
    <row r="698" ht="33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</row>
    <row r="699" ht="33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</row>
    <row r="700" ht="33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</row>
    <row r="701" ht="33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</row>
    <row r="702" ht="33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</row>
    <row r="703" ht="33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</row>
    <row r="704" ht="33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</row>
    <row r="705" ht="33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</row>
    <row r="706" ht="33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</row>
    <row r="707" ht="33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</row>
    <row r="708" ht="33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</row>
    <row r="709" ht="33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</row>
    <row r="710" ht="33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</row>
    <row r="711" ht="33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</row>
    <row r="712" ht="33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</row>
    <row r="713" ht="33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</row>
    <row r="714" ht="33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</row>
    <row r="715" ht="33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</row>
    <row r="716" ht="33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</row>
    <row r="717" ht="33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</row>
    <row r="718" ht="33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</row>
    <row r="719" ht="33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</row>
    <row r="720" ht="33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</row>
    <row r="721" ht="33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</row>
    <row r="722" ht="33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</row>
    <row r="723" ht="33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</row>
    <row r="724" ht="33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</row>
    <row r="725" ht="33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</row>
    <row r="726" ht="33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</row>
    <row r="727" ht="33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</row>
    <row r="728" ht="33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</row>
    <row r="729" ht="33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</row>
    <row r="730" ht="33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</row>
    <row r="731" ht="33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</row>
    <row r="732" ht="33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</row>
    <row r="733" ht="33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</row>
    <row r="734" ht="33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</row>
    <row r="735" ht="33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</row>
    <row r="736" ht="33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</row>
    <row r="737" ht="33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</row>
    <row r="738" ht="33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</row>
    <row r="739" ht="33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</row>
    <row r="740" ht="33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</row>
    <row r="741" ht="33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</row>
    <row r="742" ht="33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</row>
    <row r="743" ht="33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</row>
    <row r="744" ht="33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</row>
    <row r="745" ht="33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</row>
    <row r="746" ht="33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</row>
    <row r="747" ht="33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</row>
    <row r="748" ht="33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</row>
    <row r="749" ht="33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</row>
    <row r="750" ht="33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</row>
    <row r="751" ht="33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</row>
    <row r="752" ht="33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</row>
    <row r="753" ht="33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</row>
    <row r="754" ht="33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</row>
    <row r="755" ht="33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</row>
    <row r="756" ht="33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</row>
    <row r="757" ht="33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</row>
    <row r="758" ht="33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</row>
    <row r="759" ht="33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</row>
    <row r="760" ht="33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</row>
    <row r="761" ht="33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</row>
    <row r="762" ht="33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</row>
    <row r="763" ht="33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</row>
    <row r="764" ht="33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</row>
    <row r="765" ht="33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</row>
    <row r="766" ht="33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</row>
    <row r="767" ht="33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</row>
    <row r="768" ht="33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</row>
    <row r="769" ht="33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</row>
    <row r="770" ht="33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</row>
    <row r="771" ht="33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</row>
    <row r="772" ht="33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</row>
    <row r="773" ht="33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</row>
    <row r="774" ht="33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</row>
    <row r="775" ht="33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</row>
    <row r="776" ht="33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</row>
    <row r="777" ht="33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</row>
    <row r="778" ht="33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</row>
    <row r="779" ht="33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</row>
    <row r="780" ht="33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</row>
    <row r="781" ht="33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</row>
    <row r="782" ht="33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</row>
    <row r="783" ht="33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</row>
    <row r="784" ht="33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</row>
    <row r="785" ht="33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</row>
    <row r="786" ht="33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</row>
    <row r="787" ht="33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</row>
    <row r="788" ht="33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</row>
    <row r="789" ht="33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</row>
    <row r="790" ht="33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</row>
    <row r="791" ht="33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</row>
    <row r="792" ht="33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</row>
    <row r="793" ht="33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</row>
    <row r="794" ht="33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</row>
    <row r="795" ht="33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</row>
    <row r="796" ht="33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</row>
    <row r="797" ht="33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</row>
    <row r="798" ht="33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</row>
    <row r="799" ht="33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</row>
    <row r="800" ht="33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</row>
    <row r="801" ht="33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</row>
    <row r="802" ht="33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</row>
    <row r="803" ht="33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</row>
    <row r="804" ht="33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</row>
    <row r="805" ht="33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</row>
    <row r="806" ht="33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</row>
    <row r="807" ht="33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</row>
    <row r="808" ht="33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</row>
    <row r="809" ht="33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</row>
    <row r="810" ht="33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</row>
    <row r="811" ht="33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</row>
    <row r="812" ht="33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</row>
    <row r="813" ht="33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</row>
    <row r="814" ht="33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</row>
    <row r="815" ht="33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</row>
    <row r="816" ht="33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</row>
    <row r="817" ht="33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</row>
    <row r="818" ht="33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</row>
    <row r="819" ht="33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</row>
    <row r="820" ht="33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</row>
    <row r="821" ht="33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</row>
    <row r="822" ht="33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</row>
    <row r="823" ht="33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</row>
    <row r="824" ht="33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</row>
    <row r="825" ht="33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</row>
    <row r="826" ht="33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</row>
    <row r="827" ht="33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</row>
    <row r="828" ht="33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</row>
    <row r="829" ht="33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</row>
    <row r="830" ht="33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</row>
    <row r="831" ht="33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</row>
    <row r="832" ht="33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</row>
    <row r="833" ht="33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</row>
    <row r="834" ht="33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</row>
    <row r="835" ht="33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</row>
    <row r="836" ht="33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</row>
    <row r="837" ht="33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</row>
    <row r="838" ht="33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</row>
    <row r="839" ht="33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</row>
    <row r="840" ht="33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</row>
    <row r="841" ht="33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</row>
    <row r="842" ht="33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</row>
    <row r="843" ht="33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</row>
    <row r="844" ht="33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</row>
    <row r="845" ht="33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</row>
    <row r="846" ht="33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</row>
    <row r="847" ht="33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</row>
    <row r="848" ht="33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</row>
    <row r="849" ht="33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</row>
    <row r="850" ht="33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</row>
    <row r="851" ht="33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</row>
    <row r="852" ht="33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</row>
    <row r="853" ht="33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</row>
    <row r="854" ht="33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</row>
    <row r="855" ht="33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</row>
    <row r="856" ht="33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</row>
    <row r="857" ht="33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</row>
    <row r="858" ht="33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</row>
    <row r="859" ht="33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</row>
    <row r="860" ht="33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</row>
    <row r="861" ht="33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</row>
    <row r="862" ht="33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</row>
    <row r="863" ht="33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</row>
    <row r="864" ht="33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</row>
    <row r="865" ht="33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</row>
    <row r="866" ht="33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</row>
    <row r="867" ht="33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</row>
    <row r="868" ht="33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</row>
    <row r="869" ht="33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</row>
    <row r="870" ht="33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</row>
    <row r="871" ht="33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</row>
    <row r="872" ht="33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</row>
    <row r="873" ht="33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</row>
    <row r="874" ht="33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</row>
    <row r="875" ht="33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</row>
    <row r="876" ht="33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</row>
    <row r="877" ht="33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</row>
    <row r="878" ht="33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</row>
    <row r="879" ht="33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</row>
    <row r="880" ht="33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</row>
    <row r="881" ht="33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</row>
    <row r="882" ht="33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</row>
    <row r="883" ht="33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</row>
    <row r="884" ht="33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</row>
    <row r="885" ht="33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</row>
    <row r="886" ht="33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</row>
    <row r="887" ht="33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</row>
    <row r="888" ht="33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</row>
    <row r="889" ht="33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</row>
    <row r="890" ht="33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</row>
    <row r="891" ht="33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</row>
    <row r="892" ht="33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</row>
    <row r="893" ht="33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</row>
    <row r="894" ht="33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</row>
    <row r="895" ht="33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</row>
    <row r="896" ht="33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</row>
    <row r="897" ht="33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</row>
    <row r="898" ht="33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</row>
    <row r="899" ht="33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</row>
    <row r="900" ht="33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</row>
    <row r="901" ht="33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</row>
    <row r="902" ht="33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</row>
    <row r="903" ht="33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</row>
    <row r="904" ht="33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</row>
    <row r="905" ht="33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</row>
    <row r="906" ht="33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</row>
    <row r="907" ht="33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</row>
    <row r="908" ht="33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</row>
    <row r="909" ht="33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</row>
    <row r="910" ht="33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</row>
    <row r="911" ht="33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</row>
    <row r="912" ht="33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</row>
    <row r="913" ht="33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</row>
    <row r="914" ht="33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</row>
    <row r="915" ht="33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</row>
    <row r="916" ht="33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</row>
    <row r="917" ht="33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</row>
    <row r="918" ht="33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</row>
    <row r="919" ht="33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</row>
    <row r="920" ht="33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</row>
    <row r="921" ht="33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</row>
    <row r="922" ht="33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</row>
    <row r="923" ht="33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</row>
    <row r="924" ht="33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</row>
    <row r="925" ht="33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</row>
    <row r="926" ht="33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</row>
    <row r="927" ht="33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</row>
    <row r="928" ht="33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</row>
    <row r="929" ht="33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</row>
    <row r="930" ht="33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</row>
    <row r="931" ht="33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</row>
    <row r="932" ht="33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</row>
    <row r="933" ht="33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</row>
    <row r="934" ht="33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</row>
    <row r="935" ht="33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</row>
    <row r="936" ht="33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</row>
    <row r="937" ht="33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</row>
    <row r="938" ht="33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</row>
    <row r="939" ht="33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</row>
    <row r="940" ht="33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</row>
    <row r="941" ht="33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</row>
    <row r="942" ht="33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</row>
    <row r="943" ht="33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</row>
    <row r="944" ht="33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</row>
    <row r="945" ht="33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</row>
    <row r="946" ht="33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</row>
    <row r="947" ht="33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</row>
    <row r="948" ht="33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</row>
    <row r="949" ht="33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</row>
    <row r="950" ht="33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</row>
    <row r="951" ht="33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</row>
    <row r="952" ht="33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</row>
    <row r="953" ht="33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</row>
    <row r="954" ht="33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</row>
    <row r="955" ht="33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</row>
    <row r="956" ht="33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</row>
    <row r="957" ht="33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</row>
    <row r="958" ht="33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</row>
    <row r="959" ht="33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</row>
    <row r="960" ht="33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</row>
    <row r="961" ht="33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</row>
    <row r="962" ht="33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</row>
    <row r="963" ht="33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</row>
    <row r="964" ht="33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</row>
    <row r="965" ht="33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</row>
    <row r="966" ht="33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</row>
    <row r="967" ht="33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</row>
    <row r="968" ht="33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</row>
    <row r="969" ht="33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</row>
    <row r="970" ht="33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</row>
    <row r="971" ht="33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</row>
    <row r="972" ht="33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</row>
    <row r="973" ht="33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</row>
    <row r="974" ht="33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</row>
    <row r="975" ht="33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</row>
    <row r="976" ht="33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</row>
    <row r="977" ht="33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</row>
    <row r="978" ht="33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</row>
    <row r="979" ht="33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</row>
    <row r="980" ht="33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</row>
    <row r="981" ht="33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</row>
    <row r="982" ht="33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</row>
    <row r="983" ht="33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</row>
    <row r="984" ht="33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</row>
    <row r="985" ht="33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</row>
    <row r="986" ht="33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</row>
    <row r="987" ht="33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</row>
    <row r="988" ht="33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</row>
    <row r="989" ht="33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</row>
    <row r="990" ht="33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</row>
    <row r="991" ht="33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</row>
    <row r="992" ht="33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</row>
    <row r="993" ht="33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</row>
    <row r="994" ht="33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</row>
    <row r="995" ht="33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</row>
    <row r="996" ht="33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</row>
  </sheetData>
  <hyperlinks>
    <hyperlink r:id="rId1" ref="J2"/>
    <hyperlink r:id="rId2" ref="J3"/>
    <hyperlink r:id="rId3" ref="J4"/>
  </hyperlinks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2" width="11.38"/>
    <col customWidth="1" min="3" max="3" width="13.13"/>
    <col customWidth="1" min="4" max="4" width="62.13"/>
    <col customWidth="1" min="5" max="5" width="18.25"/>
    <col customWidth="1" min="6" max="6" width="56.25"/>
    <col customWidth="1" min="7" max="7" width="65.0"/>
    <col customWidth="1" min="8" max="8" width="15.13"/>
    <col customWidth="1" min="9" max="9" width="17.5"/>
    <col customWidth="1" min="10" max="10" width="29.38"/>
    <col customWidth="1" min="11" max="11" width="10.13"/>
  </cols>
  <sheetData>
    <row r="1" ht="33.75" customHeight="1">
      <c r="A1" s="69" t="s">
        <v>30</v>
      </c>
      <c r="B1" s="69" t="s">
        <v>31</v>
      </c>
      <c r="C1" s="69" t="s">
        <v>73</v>
      </c>
      <c r="D1" s="69" t="s">
        <v>5281</v>
      </c>
      <c r="E1" s="69" t="s">
        <v>99</v>
      </c>
      <c r="F1" s="69" t="s">
        <v>5282</v>
      </c>
      <c r="G1" s="69" t="s">
        <v>95</v>
      </c>
      <c r="H1" s="18" t="s">
        <v>29</v>
      </c>
      <c r="I1" s="17" t="s">
        <v>1</v>
      </c>
      <c r="J1" s="18" t="s">
        <v>118</v>
      </c>
      <c r="K1" s="18" t="s">
        <v>119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</row>
    <row r="2" ht="33.75" customHeight="1">
      <c r="A2" s="71" t="str">
        <f>IFERROR(__xludf.DUMMYFUNCTION("QUERY(MasterData!A1:NK11797,""select DX,DY,DZ,EA,EB,EC,ED,B,C,FL,FM where C='S11: Student Awards'"",0)"),"Kundrapu Jayanth Naidu")</f>
        <v>Kundrapu Jayanth Naidu</v>
      </c>
      <c r="B2" s="71" t="str">
        <f>IFERROR(__xludf.DUMMYFUNCTION("""COMPUTED_VALUE"""),"18331A0582")</f>
        <v>18331A0582</v>
      </c>
      <c r="C2" s="71" t="str">
        <f>IFERROR(__xludf.DUMMYFUNCTION("""COMPUTED_VALUE"""),"2019-2020")</f>
        <v>2019-2020</v>
      </c>
      <c r="D2" s="71" t="str">
        <f>IFERROR(__xludf.DUMMYFUNCTION("""COMPUTED_VALUE"""),"State level 2nd Position in Python Programming")</f>
        <v>State level 2nd Position in Python Programming</v>
      </c>
      <c r="E2" s="72">
        <f>IFERROR(__xludf.DUMMYFUNCTION("""COMPUTED_VALUE"""),43897.0)</f>
        <v>43897</v>
      </c>
      <c r="F2" s="71" t="str">
        <f>IFERROR(__xludf.DUMMYFUNCTION("""COMPUTED_VALUE"""),"SAE INDIA")</f>
        <v>SAE INDIA</v>
      </c>
      <c r="G2" s="73" t="str">
        <f>IFERROR(__xludf.DUMMYFUNCTION("""COMPUTED_VALUE"""),"https://drive.google.com/open?id=1gn3ikCIhs-dev83eRRxjViW8zJF-T-k7")</f>
        <v>https://drive.google.com/open?id=1gn3ikCIhs-dev83eRRxjViW8zJF-T-k7</v>
      </c>
      <c r="H2" s="71" t="str">
        <f>IFERROR(__xludf.DUMMYFUNCTION("""COMPUTED_VALUE"""),"5")</f>
        <v>5</v>
      </c>
      <c r="I2" s="71" t="str">
        <f>IFERROR(__xludf.DUMMYFUNCTION("""COMPUTED_VALUE"""),"S11: Student Awards")</f>
        <v>S11: Student Awards</v>
      </c>
      <c r="J2" s="71" t="str">
        <f>IFERROR(__xludf.DUMMYFUNCTION("""COMPUTED_VALUE"""),"18331a0582@mvgrce.edu.in")</f>
        <v>18331a0582@mvgrce.edu.in</v>
      </c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ht="33.75" customHeight="1">
      <c r="A3" s="71" t="str">
        <f>IFERROR(__xludf.DUMMYFUNCTION("""COMPUTED_VALUE"""),"Joshini Sabbavarapu")</f>
        <v>Joshini Sabbavarapu</v>
      </c>
      <c r="B3" s="71" t="str">
        <f>IFERROR(__xludf.DUMMYFUNCTION("""COMPUTED_VALUE"""),"19335A0515")</f>
        <v>19335A0515</v>
      </c>
      <c r="C3" s="71" t="str">
        <f>IFERROR(__xludf.DUMMYFUNCTION("""COMPUTED_VALUE"""),"2020-2021")</f>
        <v>2020-2021</v>
      </c>
      <c r="D3" s="71" t="str">
        <f>IFERROR(__xludf.DUMMYFUNCTION("""COMPUTED_VALUE"""),"securing 1st postion in the competition named PLACEAZA QUIZZ")</f>
        <v>securing 1st postion in the competition named PLACEAZA QUIZZ</v>
      </c>
      <c r="E3" s="72">
        <f>IFERROR(__xludf.DUMMYFUNCTION("""COMPUTED_VALUE"""),44339.0)</f>
        <v>44339</v>
      </c>
      <c r="F3" s="71" t="str">
        <f>IFERROR(__xludf.DUMMYFUNCTION("""COMPUTED_VALUE"""),"GMR Institute of Technology")</f>
        <v>GMR Institute of Technology</v>
      </c>
      <c r="G3" s="73" t="str">
        <f>IFERROR(__xludf.DUMMYFUNCTION("""COMPUTED_VALUE"""),"https://drive.google.com/open?id=1mtbP1QQNgrt8Quklkt73D96IAgRWsd43")</f>
        <v>https://drive.google.com/open?id=1mtbP1QQNgrt8Quklkt73D96IAgRWsd43</v>
      </c>
      <c r="H3" s="71" t="str">
        <f>IFERROR(__xludf.DUMMYFUNCTION("""COMPUTED_VALUE"""),"2018-2022")</f>
        <v>2018-2022</v>
      </c>
      <c r="I3" s="71" t="str">
        <f>IFERROR(__xludf.DUMMYFUNCTION("""COMPUTED_VALUE"""),"S11: Student Awards")</f>
        <v>S11: Student Awards</v>
      </c>
      <c r="J3" s="71" t="str">
        <f>IFERROR(__xludf.DUMMYFUNCTION("""COMPUTED_VALUE"""),"joshini747@gmail.com")</f>
        <v>joshini747@gmail.com</v>
      </c>
      <c r="K3" s="71" t="str">
        <f>IFERROR(__xludf.DUMMYFUNCTION("""COMPUTED_VALUE"""),"SEM-6")</f>
        <v>SEM-6</v>
      </c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ht="33.75" customHeight="1">
      <c r="A4" s="71" t="str">
        <f>IFERROR(__xludf.DUMMYFUNCTION("""COMPUTED_VALUE"""),"SANAPALA SAI NEERAJ")</f>
        <v>SANAPALA SAI NEERAJ</v>
      </c>
      <c r="B4" s="71" t="str">
        <f>IFERROR(__xludf.DUMMYFUNCTION("""COMPUTED_VALUE"""),"18331A05D6")</f>
        <v>18331A05D6</v>
      </c>
      <c r="C4" s="71" t="str">
        <f>IFERROR(__xludf.DUMMYFUNCTION("""COMPUTED_VALUE"""),"2020-2021")</f>
        <v>2020-2021</v>
      </c>
      <c r="D4" s="71" t="str">
        <f>IFERROR(__xludf.DUMMYFUNCTION("""COMPUTED_VALUE"""),"NCC  - ""B"" CERTIFICATE")</f>
        <v>NCC  - "B" CERTIFICATE</v>
      </c>
      <c r="E4" s="72">
        <f>IFERROR(__xludf.DUMMYFUNCTION("""COMPUTED_VALUE"""),44623.0)</f>
        <v>44623</v>
      </c>
      <c r="F4" s="71" t="str">
        <f>IFERROR(__xludf.DUMMYFUNCTION("""COMPUTED_VALUE"""),"MINISTRY OF DEFENCE(INDIA)")</f>
        <v>MINISTRY OF DEFENCE(INDIA)</v>
      </c>
      <c r="G4" s="73" t="str">
        <f>IFERROR(__xludf.DUMMYFUNCTION("""COMPUTED_VALUE"""),"https://drive.google.com/open?id=1ePQdQjmHPiagxHQtHPNkmgkhs0CpKRVk")</f>
        <v>https://drive.google.com/open?id=1ePQdQjmHPiagxHQtHPNkmgkhs0CpKRVk</v>
      </c>
      <c r="H4" s="71" t="str">
        <f>IFERROR(__xludf.DUMMYFUNCTION("""COMPUTED_VALUE"""),"2018-2022")</f>
        <v>2018-2022</v>
      </c>
      <c r="I4" s="71" t="str">
        <f>IFERROR(__xludf.DUMMYFUNCTION("""COMPUTED_VALUE"""),"S11: Student Awards")</f>
        <v>S11: Student Awards</v>
      </c>
      <c r="J4" s="71" t="str">
        <f>IFERROR(__xludf.DUMMYFUNCTION("""COMPUTED_VALUE"""),"sanapala.saineeraj4000@gmail.com")</f>
        <v>sanapala.saineeraj4000@gmail.com</v>
      </c>
      <c r="K4" s="71" t="str">
        <f>IFERROR(__xludf.DUMMYFUNCTION("""COMPUTED_VALUE"""),"SEM-8")</f>
        <v>SEM-8</v>
      </c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ht="33.75" customHeight="1">
      <c r="A5" s="71" t="str">
        <f>IFERROR(__xludf.DUMMYFUNCTION("""COMPUTED_VALUE"""),"ganta manoj kumar")</f>
        <v>ganta manoj kumar</v>
      </c>
      <c r="B5" s="71" t="str">
        <f>IFERROR(__xludf.DUMMYFUNCTION("""COMPUTED_VALUE"""),"18331A0542")</f>
        <v>18331A0542</v>
      </c>
      <c r="C5" s="71" t="str">
        <f>IFERROR(__xludf.DUMMYFUNCTION("""COMPUTED_VALUE"""),"2020-2021")</f>
        <v>2020-2021</v>
      </c>
      <c r="D5" s="71" t="str">
        <f>IFERROR(__xludf.DUMMYFUNCTION("""COMPUTED_VALUE"""),"participation in hackathon")</f>
        <v>participation in hackathon</v>
      </c>
      <c r="E5" s="72">
        <f>IFERROR(__xludf.DUMMYFUNCTION("""COMPUTED_VALUE"""),44523.0)</f>
        <v>44523</v>
      </c>
      <c r="F5" s="71" t="str">
        <f>IFERROR(__xludf.DUMMYFUNCTION("""COMPUTED_VALUE"""),"virtusa")</f>
        <v>virtusa</v>
      </c>
      <c r="G5" s="73" t="str">
        <f>IFERROR(__xludf.DUMMYFUNCTION("""COMPUTED_VALUE"""),"https://drive.google.com/open?id=1G4WFlSvqJ_jZjUheUgUalNNZL1kQmzhN")</f>
        <v>https://drive.google.com/open?id=1G4WFlSvqJ_jZjUheUgUalNNZL1kQmzhN</v>
      </c>
      <c r="H5" s="71" t="str">
        <f>IFERROR(__xludf.DUMMYFUNCTION("""COMPUTED_VALUE"""),"2018-2022")</f>
        <v>2018-2022</v>
      </c>
      <c r="I5" s="71" t="str">
        <f>IFERROR(__xludf.DUMMYFUNCTION("""COMPUTED_VALUE"""),"S11: Student Awards")</f>
        <v>S11: Student Awards</v>
      </c>
      <c r="J5" s="71" t="str">
        <f>IFERROR(__xludf.DUMMYFUNCTION("""COMPUTED_VALUE"""),"gmanoj2k08@gmail.com")</f>
        <v>gmanoj2k08@gmail.com</v>
      </c>
      <c r="K5" s="71" t="str">
        <f>IFERROR(__xludf.DUMMYFUNCTION("""COMPUTED_VALUE"""),"SEM-6")</f>
        <v>SEM-6</v>
      </c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ht="33.75" customHeight="1">
      <c r="A6" s="71" t="str">
        <f>IFERROR(__xludf.DUMMYFUNCTION("""COMPUTED_VALUE"""),"Jayanth Naidu Kundrapu")</f>
        <v>Jayanth Naidu Kundrapu</v>
      </c>
      <c r="B6" s="71" t="str">
        <f>IFERROR(__xludf.DUMMYFUNCTION("""COMPUTED_VALUE"""),"18331A0582")</f>
        <v>18331A0582</v>
      </c>
      <c r="C6" s="71" t="str">
        <f>IFERROR(__xludf.DUMMYFUNCTION("""COMPUTED_VALUE"""),"2019-2020")</f>
        <v>2019-2020</v>
      </c>
      <c r="D6" s="71" t="str">
        <f>IFERROR(__xludf.DUMMYFUNCTION("""COMPUTED_VALUE"""),"2nd Position in TIER 2 Python Programming Competition ")</f>
        <v>2nd Position in TIER 2 Python Programming Competition </v>
      </c>
      <c r="E6" s="72">
        <f>IFERROR(__xludf.DUMMYFUNCTION("""COMPUTED_VALUE"""),43899.0)</f>
        <v>43899</v>
      </c>
      <c r="F6" s="71" t="str">
        <f>IFERROR(__xludf.DUMMYFUNCTION("""COMPUTED_VALUE"""),"SAE INDIA")</f>
        <v>SAE INDIA</v>
      </c>
      <c r="G6" s="73" t="str">
        <f>IFERROR(__xludf.DUMMYFUNCTION("""COMPUTED_VALUE"""),"https://drive.google.com/open?id=1ERO6TVwxYl1AFWaNaYPJyUygy_Alj8rw")</f>
        <v>https://drive.google.com/open?id=1ERO6TVwxYl1AFWaNaYPJyUygy_Alj8rw</v>
      </c>
      <c r="H6" s="71" t="str">
        <f>IFERROR(__xludf.DUMMYFUNCTION("""COMPUTED_VALUE"""),"2018-2022")</f>
        <v>2018-2022</v>
      </c>
      <c r="I6" s="71" t="str">
        <f>IFERROR(__xludf.DUMMYFUNCTION("""COMPUTED_VALUE"""),"S11: Student Awards")</f>
        <v>S11: Student Awards</v>
      </c>
      <c r="J6" s="71" t="str">
        <f>IFERROR(__xludf.DUMMYFUNCTION("""COMPUTED_VALUE"""),"jayanth.kundrapu013@gmail.com")</f>
        <v>jayanth.kundrapu013@gmail.com</v>
      </c>
      <c r="K6" s="71" t="str">
        <f>IFERROR(__xludf.DUMMYFUNCTION("""COMPUTED_VALUE"""),"SEM-8")</f>
        <v>SEM-8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ht="33.75" customHeight="1">
      <c r="A7" s="71" t="str">
        <f>IFERROR(__xludf.DUMMYFUNCTION("""COMPUTED_VALUE"""),"LATCHUBUKTHA SUTESH")</f>
        <v>LATCHUBUKTHA SUTESH</v>
      </c>
      <c r="B7" s="71" t="str">
        <f>IFERROR(__xludf.DUMMYFUNCTION("""COMPUTED_VALUE"""),"18331A0588")</f>
        <v>18331A0588</v>
      </c>
      <c r="C7" s="71" t="str">
        <f>IFERROR(__xludf.DUMMYFUNCTION("""COMPUTED_VALUE"""),"2021-2022")</f>
        <v>2021-2022</v>
      </c>
      <c r="D7" s="71" t="str">
        <f>IFERROR(__xludf.DUMMYFUNCTION("""COMPUTED_VALUE"""),"Top performer in tcs hackathon")</f>
        <v>Top performer in tcs hackathon</v>
      </c>
      <c r="E7" s="72">
        <f>IFERROR(__xludf.DUMMYFUNCTION("""COMPUTED_VALUE"""),44618.0)</f>
        <v>44618</v>
      </c>
      <c r="F7" s="71" t="str">
        <f>IFERROR(__xludf.DUMMYFUNCTION("""COMPUTED_VALUE"""),"TCS ")</f>
        <v>TCS </v>
      </c>
      <c r="G7" s="73" t="str">
        <f>IFERROR(__xludf.DUMMYFUNCTION("""COMPUTED_VALUE"""),"https://drive.google.com/open?id=1bBYyu0DE3yVgrgfKcr-yZxyqJ5zXhHaF")</f>
        <v>https://drive.google.com/open?id=1bBYyu0DE3yVgrgfKcr-yZxyqJ5zXhHaF</v>
      </c>
      <c r="H7" s="71" t="str">
        <f>IFERROR(__xludf.DUMMYFUNCTION("""COMPUTED_VALUE"""),"2018-2022")</f>
        <v>2018-2022</v>
      </c>
      <c r="I7" s="71" t="str">
        <f>IFERROR(__xludf.DUMMYFUNCTION("""COMPUTED_VALUE"""),"S11: Student Awards")</f>
        <v>S11: Student Awards</v>
      </c>
      <c r="J7" s="71" t="str">
        <f>IFERROR(__xludf.DUMMYFUNCTION("""COMPUTED_VALUE"""),"latchubukthasutesh9@gmail.com")</f>
        <v>latchubukthasutesh9@gmail.com</v>
      </c>
      <c r="K7" s="71" t="str">
        <f>IFERROR(__xludf.DUMMYFUNCTION("""COMPUTED_VALUE"""),"SEM-8")</f>
        <v>SEM-8</v>
      </c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ht="33.75" customHeight="1">
      <c r="A8" s="71" t="str">
        <f>IFERROR(__xludf.DUMMYFUNCTION("""COMPUTED_VALUE"""),"sruthi")</f>
        <v>sruthi</v>
      </c>
      <c r="B8" s="71" t="str">
        <f>IFERROR(__xludf.DUMMYFUNCTION("""COMPUTED_VALUE"""),"18331A05C5")</f>
        <v>18331A05C5</v>
      </c>
      <c r="C8" s="71" t="str">
        <f>IFERROR(__xludf.DUMMYFUNCTION("""COMPUTED_VALUE"""),"2018-2019")</f>
        <v>2018-2019</v>
      </c>
      <c r="D8" s="71" t="str">
        <f>IFERROR(__xludf.DUMMYFUNCTION("""COMPUTED_VALUE"""),"CREATIVE AD MAKING")</f>
        <v>CREATIVE AD MAKING</v>
      </c>
      <c r="E8" s="72">
        <f>IFERROR(__xludf.DUMMYFUNCTION("""COMPUTED_VALUE"""),43358.0)</f>
        <v>43358</v>
      </c>
      <c r="F8" s="71" t="str">
        <f>IFERROR(__xludf.DUMMYFUNCTION("""COMPUTED_VALUE"""),"MVGR")</f>
        <v>MVGR</v>
      </c>
      <c r="G8" s="73" t="str">
        <f>IFERROR(__xludf.DUMMYFUNCTION("""COMPUTED_VALUE"""),"https://drive.google.com/open?id=1fgbpRkkKznyY-PKI5Dnda_W7Byo0CdFa")</f>
        <v>https://drive.google.com/open?id=1fgbpRkkKznyY-PKI5Dnda_W7Byo0CdFa</v>
      </c>
      <c r="H8" s="71" t="str">
        <f>IFERROR(__xludf.DUMMYFUNCTION("""COMPUTED_VALUE"""),"2018-2022")</f>
        <v>2018-2022</v>
      </c>
      <c r="I8" s="71" t="str">
        <f>IFERROR(__xludf.DUMMYFUNCTION("""COMPUTED_VALUE"""),"S11: Student Awards")</f>
        <v>S11: Student Awards</v>
      </c>
      <c r="J8" s="71" t="str">
        <f>IFERROR(__xludf.DUMMYFUNCTION("""COMPUTED_VALUE"""),"sruthirokalla369@gmail.com")</f>
        <v>sruthirokalla369@gmail.com</v>
      </c>
      <c r="K8" s="71" t="str">
        <f>IFERROR(__xludf.DUMMYFUNCTION("""COMPUTED_VALUE"""),"SEM-8")</f>
        <v>SEM-8</v>
      </c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ht="33.75" customHeight="1">
      <c r="A9" s="71" t="str">
        <f>IFERROR(__xludf.DUMMYFUNCTION("""COMPUTED_VALUE"""),"sruthi")</f>
        <v>sruthi</v>
      </c>
      <c r="B9" s="71" t="str">
        <f>IFERROR(__xludf.DUMMYFUNCTION("""COMPUTED_VALUE"""),"18331A05C5")</f>
        <v>18331A05C5</v>
      </c>
      <c r="C9" s="71" t="str">
        <f>IFERROR(__xludf.DUMMYFUNCTION("""COMPUTED_VALUE"""),"2019-2020")</f>
        <v>2019-2020</v>
      </c>
      <c r="D9" s="71" t="str">
        <f>IFERROR(__xludf.DUMMYFUNCTION("""COMPUTED_VALUE"""),"Hackathon")</f>
        <v>Hackathon</v>
      </c>
      <c r="E9" s="72">
        <f>IFERROR(__xludf.DUMMYFUNCTION("""COMPUTED_VALUE"""),44194.0)</f>
        <v>44194</v>
      </c>
      <c r="F9" s="71" t="str">
        <f>IFERROR(__xludf.DUMMYFUNCTION("""COMPUTED_VALUE"""),"ANITS")</f>
        <v>ANITS</v>
      </c>
      <c r="G9" s="73" t="str">
        <f>IFERROR(__xludf.DUMMYFUNCTION("""COMPUTED_VALUE"""),"https://drive.google.com/open?id=12KkFitX19-ii4YF7cu-Zw7LKTTP6wTY1")</f>
        <v>https://drive.google.com/open?id=12KkFitX19-ii4YF7cu-Zw7LKTTP6wTY1</v>
      </c>
      <c r="H9" s="71" t="str">
        <f>IFERROR(__xludf.DUMMYFUNCTION("""COMPUTED_VALUE"""),"2018-2022")</f>
        <v>2018-2022</v>
      </c>
      <c r="I9" s="71" t="str">
        <f>IFERROR(__xludf.DUMMYFUNCTION("""COMPUTED_VALUE"""),"S11: Student Awards")</f>
        <v>S11: Student Awards</v>
      </c>
      <c r="J9" s="71" t="str">
        <f>IFERROR(__xludf.DUMMYFUNCTION("""COMPUTED_VALUE"""),"sruthirokalla369@gmail.com")</f>
        <v>sruthirokalla369@gmail.com</v>
      </c>
      <c r="K9" s="71" t="str">
        <f>IFERROR(__xludf.DUMMYFUNCTION("""COMPUTED_VALUE"""),"SEM-8")</f>
        <v>SEM-8</v>
      </c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ht="33.75" customHeight="1">
      <c r="A10" s="71" t="str">
        <f>IFERROR(__xludf.DUMMYFUNCTION("""COMPUTED_VALUE"""),"V Sowdamini")</f>
        <v>V Sowdamini</v>
      </c>
      <c r="B10" s="71" t="str">
        <f>IFERROR(__xludf.DUMMYFUNCTION("""COMPUTED_VALUE"""),"19335A0517")</f>
        <v>19335A0517</v>
      </c>
      <c r="C10" s="71" t="str">
        <f>IFERROR(__xludf.DUMMYFUNCTION("""COMPUTED_VALUE"""),"2021-2022")</f>
        <v>2021-2022</v>
      </c>
      <c r="D10" s="71" t="str">
        <f>IFERROR(__xludf.DUMMYFUNCTION("""COMPUTED_VALUE"""),"   Solo senior dance competition")</f>
        <v>   Solo senior dance competition</v>
      </c>
      <c r="E10" s="72">
        <f>IFERROR(__xludf.DUMMYFUNCTION("""COMPUTED_VALUE"""),44549.0)</f>
        <v>44549</v>
      </c>
      <c r="F10" s="71" t="str">
        <f>IFERROR(__xludf.DUMMYFUNCTION("""COMPUTED_VALUE"""),"Maks dance studio and fitness")</f>
        <v>Maks dance studio and fitness</v>
      </c>
      <c r="G10" s="73" t="str">
        <f>IFERROR(__xludf.DUMMYFUNCTION("""COMPUTED_VALUE"""),"https://drive.google.com/open?id=1TV9WHLuDDCpqYakrw3vT8Q4B94v1NnqP")</f>
        <v>https://drive.google.com/open?id=1TV9WHLuDDCpqYakrw3vT8Q4B94v1NnqP</v>
      </c>
      <c r="H10" s="71" t="str">
        <f>IFERROR(__xludf.DUMMYFUNCTION("""COMPUTED_VALUE"""),"2018-2022")</f>
        <v>2018-2022</v>
      </c>
      <c r="I10" s="71" t="str">
        <f>IFERROR(__xludf.DUMMYFUNCTION("""COMPUTED_VALUE"""),"S11: Student Awards")</f>
        <v>S11: Student Awards</v>
      </c>
      <c r="J10" s="71" t="str">
        <f>IFERROR(__xludf.DUMMYFUNCTION("""COMPUTED_VALUE"""),"gmanoj2k08@gmail.com")</f>
        <v>gmanoj2k08@gmail.com</v>
      </c>
      <c r="K10" s="71" t="str">
        <f>IFERROR(__xludf.DUMMYFUNCTION("""COMPUTED_VALUE"""),"SEM-7")</f>
        <v>SEM-7</v>
      </c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ht="33.75" customHeight="1">
      <c r="A11" s="71" t="str">
        <f>IFERROR(__xludf.DUMMYFUNCTION("""COMPUTED_VALUE"""),"Korlapu. Neelima")</f>
        <v>Korlapu. Neelima</v>
      </c>
      <c r="B11" s="71" t="str">
        <f>IFERROR(__xludf.DUMMYFUNCTION("""COMPUTED_VALUE"""),"19335A0508")</f>
        <v>19335A0508</v>
      </c>
      <c r="C11" s="71" t="str">
        <f>IFERROR(__xludf.DUMMYFUNCTION("""COMPUTED_VALUE"""),"2019-2020")</f>
        <v>2019-2020</v>
      </c>
      <c r="D11" s="71" t="str">
        <f>IFERROR(__xludf.DUMMYFUNCTION("""COMPUTED_VALUE"""),"certificate for appreciation")</f>
        <v>certificate for appreciation</v>
      </c>
      <c r="E11" s="72">
        <f>IFERROR(__xludf.DUMMYFUNCTION("""COMPUTED_VALUE"""),43979.0)</f>
        <v>43979</v>
      </c>
      <c r="F11" s="71" t="str">
        <f>IFERROR(__xludf.DUMMYFUNCTION("""COMPUTED_VALUE"""),"Vignan's Institute of Engineering For Women")</f>
        <v>Vignan's Institute of Engineering For Women</v>
      </c>
      <c r="G11" s="73" t="str">
        <f>IFERROR(__xludf.DUMMYFUNCTION("""COMPUTED_VALUE"""),"https://drive.google.com/open?id=1a7_i4mBy91rc-1wnj7fXUZe2lgdZ_dUp")</f>
        <v>https://drive.google.com/open?id=1a7_i4mBy91rc-1wnj7fXUZe2lgdZ_dUp</v>
      </c>
      <c r="H11" s="71" t="str">
        <f>IFERROR(__xludf.DUMMYFUNCTION("""COMPUTED_VALUE"""),"2018-2022")</f>
        <v>2018-2022</v>
      </c>
      <c r="I11" s="71" t="str">
        <f>IFERROR(__xludf.DUMMYFUNCTION("""COMPUTED_VALUE"""),"S11: Student Awards")</f>
        <v>S11: Student Awards</v>
      </c>
      <c r="J11" s="71" t="str">
        <f>IFERROR(__xludf.DUMMYFUNCTION("""COMPUTED_VALUE"""),"kneelima2001@gmail.com")</f>
        <v>kneelima2001@gmail.com</v>
      </c>
      <c r="K11" s="71" t="str">
        <f>IFERROR(__xludf.DUMMYFUNCTION("""COMPUTED_VALUE"""),"SEM-4")</f>
        <v>SEM-4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ht="33.75" customHeight="1">
      <c r="A12" s="71" t="str">
        <f>IFERROR(__xludf.DUMMYFUNCTION("""COMPUTED_VALUE"""),"Nalli Anusha")</f>
        <v>Nalli Anusha</v>
      </c>
      <c r="B12" s="71" t="str">
        <f>IFERROR(__xludf.DUMMYFUNCTION("""COMPUTED_VALUE"""),"18331A05A7")</f>
        <v>18331A05A7</v>
      </c>
      <c r="C12" s="71" t="str">
        <f>IFERROR(__xludf.DUMMYFUNCTION("""COMPUTED_VALUE"""),"2019-2020")</f>
        <v>2019-2020</v>
      </c>
      <c r="D12" s="71" t="str">
        <f>IFERROR(__xludf.DUMMYFUNCTION("""COMPUTED_VALUE"""),"SQL e-QUIZ")</f>
        <v>SQL e-QUIZ</v>
      </c>
      <c r="E12" s="72">
        <f>IFERROR(__xludf.DUMMYFUNCTION("""COMPUTED_VALUE"""),43979.0)</f>
        <v>43979</v>
      </c>
      <c r="F12" s="71" t="str">
        <f>IFERROR(__xludf.DUMMYFUNCTION("""COMPUTED_VALUE"""),"VIGNAN'S INSTITUTE OF ENGINEERING FOR WOMEN")</f>
        <v>VIGNAN'S INSTITUTE OF ENGINEERING FOR WOMEN</v>
      </c>
      <c r="G12" s="73" t="str">
        <f>IFERROR(__xludf.DUMMYFUNCTION("""COMPUTED_VALUE"""),"https://drive.google.com/open?id=1cj6KMrfRUN35LIBGgAZrYmyvlNpJT8rK")</f>
        <v>https://drive.google.com/open?id=1cj6KMrfRUN35LIBGgAZrYmyvlNpJT8rK</v>
      </c>
      <c r="H12" s="71" t="str">
        <f>IFERROR(__xludf.DUMMYFUNCTION("""COMPUTED_VALUE"""),"2018-2022")</f>
        <v>2018-2022</v>
      </c>
      <c r="I12" s="71" t="str">
        <f>IFERROR(__xludf.DUMMYFUNCTION("""COMPUTED_VALUE"""),"S11: Student Awards")</f>
        <v>S11: Student Awards</v>
      </c>
      <c r="J12" s="71" t="str">
        <f>IFERROR(__xludf.DUMMYFUNCTION("""COMPUTED_VALUE"""),"anushanalli18@gmail.com")</f>
        <v>anushanalli18@gmail.com</v>
      </c>
      <c r="K12" s="71" t="str">
        <f>IFERROR(__xludf.DUMMYFUNCTION("""COMPUTED_VALUE"""),"SEM-8")</f>
        <v>SEM-8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ht="33.75" customHeight="1">
      <c r="A13" s="71" t="str">
        <f>IFERROR(__xludf.DUMMYFUNCTION("""COMPUTED_VALUE"""),"Yegireddi sharmila")</f>
        <v>Yegireddi sharmila</v>
      </c>
      <c r="B13" s="71" t="str">
        <f>IFERROR(__xludf.DUMMYFUNCTION("""COMPUTED_VALUE"""),"19335A0519")</f>
        <v>19335A0519</v>
      </c>
      <c r="C13" s="71" t="str">
        <f>IFERROR(__xludf.DUMMYFUNCTION("""COMPUTED_VALUE"""),"2019-2020")</f>
        <v>2019-2020</v>
      </c>
      <c r="D13" s="71" t="str">
        <f>IFERROR(__xludf.DUMMYFUNCTION("""COMPUTED_VALUE"""),"1 st prize in newsreel a contest on current affairs")</f>
        <v>1 st prize in newsreel a contest on current affairs</v>
      </c>
      <c r="E13" s="72">
        <f>IFERROR(__xludf.DUMMYFUNCTION("""COMPUTED_VALUE"""),44128.0)</f>
        <v>44128</v>
      </c>
      <c r="F13" s="71" t="str">
        <f>IFERROR(__xludf.DUMMYFUNCTION("""COMPUTED_VALUE"""),"GMRIT ")</f>
        <v>GMRIT </v>
      </c>
      <c r="G13" s="73" t="str">
        <f>IFERROR(__xludf.DUMMYFUNCTION("""COMPUTED_VALUE"""),"https://drive.google.com/open?id=13SNgW7VupL2K7SWxmqQnnrjTaqBBbZcq")</f>
        <v>https://drive.google.com/open?id=13SNgW7VupL2K7SWxmqQnnrjTaqBBbZcq</v>
      </c>
      <c r="H13" s="71" t="str">
        <f>IFERROR(__xludf.DUMMYFUNCTION("""COMPUTED_VALUE"""),"2018-2022")</f>
        <v>2018-2022</v>
      </c>
      <c r="I13" s="71" t="str">
        <f>IFERROR(__xludf.DUMMYFUNCTION("""COMPUTED_VALUE"""),"S11: Student Awards")</f>
        <v>S11: Student Awards</v>
      </c>
      <c r="J13" s="71" t="str">
        <f>IFERROR(__xludf.DUMMYFUNCTION("""COMPUTED_VALUE"""),"sharmilayegireddi@gmail.com")</f>
        <v>sharmilayegireddi@gmail.com</v>
      </c>
      <c r="K13" s="71" t="str">
        <f>IFERROR(__xludf.DUMMYFUNCTION("""COMPUTED_VALUE"""),"SEM-8")</f>
        <v>SEM-8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</row>
    <row r="14" ht="33.75" customHeight="1">
      <c r="A14" s="71" t="str">
        <f>IFERROR(__xludf.DUMMYFUNCTION("""COMPUTED_VALUE"""),"Gummaluri A V lakshmi Sri lekha")</f>
        <v>Gummaluri A V lakshmi Sri lekha</v>
      </c>
      <c r="B14" s="71" t="str">
        <f>IFERROR(__xludf.DUMMYFUNCTION("""COMPUTED_VALUE"""),"18331A0555")</f>
        <v>18331A0555</v>
      </c>
      <c r="C14" s="71" t="str">
        <f>IFERROR(__xludf.DUMMYFUNCTION("""COMPUTED_VALUE"""),"2018-2019")</f>
        <v>2018-2019</v>
      </c>
      <c r="D14" s="71" t="str">
        <f>IFERROR(__xludf.DUMMYFUNCTION("""COMPUTED_VALUE"""),"2nd prize in National Level Dance Competition")</f>
        <v>2nd prize in National Level Dance Competition</v>
      </c>
      <c r="E14" s="72">
        <f>IFERROR(__xludf.DUMMYFUNCTION("""COMPUTED_VALUE"""),43330.0)</f>
        <v>43330</v>
      </c>
      <c r="F14" s="71" t="str">
        <f>IFERROR(__xludf.DUMMYFUNCTION("""COMPUTED_VALUE"""),"Natyaravali Cultural Association")</f>
        <v>Natyaravali Cultural Association</v>
      </c>
      <c r="G14" s="73" t="str">
        <f>IFERROR(__xludf.DUMMYFUNCTION("""COMPUTED_VALUE"""),"https://drive.google.com/open?id=1CGoEV-2e8V_Lk7tS14KxSr7ESQ8kcu19")</f>
        <v>https://drive.google.com/open?id=1CGoEV-2e8V_Lk7tS14KxSr7ESQ8kcu19</v>
      </c>
      <c r="H14" s="71" t="str">
        <f>IFERROR(__xludf.DUMMYFUNCTION("""COMPUTED_VALUE"""),"2018-2022")</f>
        <v>2018-2022</v>
      </c>
      <c r="I14" s="71" t="str">
        <f>IFERROR(__xludf.DUMMYFUNCTION("""COMPUTED_VALUE"""),"S11: Student Awards")</f>
        <v>S11: Student Awards</v>
      </c>
      <c r="J14" s="71" t="str">
        <f>IFERROR(__xludf.DUMMYFUNCTION("""COMPUTED_VALUE"""),"lekhasree1430@gmail.com")</f>
        <v>lekhasree1430@gmail.com</v>
      </c>
      <c r="K14" s="71" t="str">
        <f>IFERROR(__xludf.DUMMYFUNCTION("""COMPUTED_VALUE"""),"SEM-8")</f>
        <v>SEM-8</v>
      </c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</row>
    <row r="15" ht="33.75" customHeight="1">
      <c r="A15" s="71" t="str">
        <f>IFERROR(__xludf.DUMMYFUNCTION("""COMPUTED_VALUE"""),"G A V L Sri lekha")</f>
        <v>G A V L Sri lekha</v>
      </c>
      <c r="B15" s="71" t="str">
        <f>IFERROR(__xludf.DUMMYFUNCTION("""COMPUTED_VALUE"""),"18331A0555")</f>
        <v>18331A0555</v>
      </c>
      <c r="C15" s="71" t="str">
        <f>IFERROR(__xludf.DUMMYFUNCTION("""COMPUTED_VALUE"""),"2018-2019")</f>
        <v>2018-2019</v>
      </c>
      <c r="D15" s="71" t="str">
        <f>IFERROR(__xludf.DUMMYFUNCTION("""COMPUTED_VALUE"""),"2nd prize")</f>
        <v>2nd prize</v>
      </c>
      <c r="E15" s="72">
        <f>IFERROR(__xludf.DUMMYFUNCTION("""COMPUTED_VALUE"""),43452.0)</f>
        <v>43452</v>
      </c>
      <c r="F15" s="71" t="str">
        <f>IFERROR(__xludf.DUMMYFUNCTION("""COMPUTED_VALUE"""),"Maharaja prabuthva samskruta kalasala")</f>
        <v>Maharaja prabuthva samskruta kalasala</v>
      </c>
      <c r="G15" s="73" t="str">
        <f>IFERROR(__xludf.DUMMYFUNCTION("""COMPUTED_VALUE"""),"https://drive.google.com/open?id=1J6jQbfJk6dWBsUdK5PdL31TlD2H8n1mi")</f>
        <v>https://drive.google.com/open?id=1J6jQbfJk6dWBsUdK5PdL31TlD2H8n1mi</v>
      </c>
      <c r="H15" s="71" t="str">
        <f>IFERROR(__xludf.DUMMYFUNCTION("""COMPUTED_VALUE"""),"2018-2022")</f>
        <v>2018-2022</v>
      </c>
      <c r="I15" s="71" t="str">
        <f>IFERROR(__xludf.DUMMYFUNCTION("""COMPUTED_VALUE"""),"S11: Student Awards")</f>
        <v>S11: Student Awards</v>
      </c>
      <c r="J15" s="71" t="str">
        <f>IFERROR(__xludf.DUMMYFUNCTION("""COMPUTED_VALUE"""),"lekhasree1430@gmail.com")</f>
        <v>lekhasree1430@gmail.com</v>
      </c>
      <c r="K15" s="71" t="str">
        <f>IFERROR(__xludf.DUMMYFUNCTION("""COMPUTED_VALUE"""),"SEM-8")</f>
        <v>SEM-8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</row>
    <row r="16" ht="33.75" customHeight="1">
      <c r="A16" s="75" t="str">
        <f>IFERROR(__xludf.DUMMYFUNCTION("""COMPUTED_VALUE"""),"Sri Lekha")</f>
        <v>Sri Lekha</v>
      </c>
      <c r="B16" s="75" t="str">
        <f>IFERROR(__xludf.DUMMYFUNCTION("""COMPUTED_VALUE"""),"18331A0555")</f>
        <v>18331A0555</v>
      </c>
      <c r="C16" s="75" t="str">
        <f>IFERROR(__xludf.DUMMYFUNCTION("""COMPUTED_VALUE"""),"2018-2019")</f>
        <v>2018-2019</v>
      </c>
      <c r="D16" s="75" t="str">
        <f>IFERROR(__xludf.DUMMYFUNCTION("""COMPUTED_VALUE"""),"Miss Performer")</f>
        <v>Miss Performer</v>
      </c>
      <c r="E16" s="76">
        <f>IFERROR(__xludf.DUMMYFUNCTION("""COMPUTED_VALUE"""),43323.0)</f>
        <v>43323</v>
      </c>
      <c r="F16" s="75" t="str">
        <f>IFERROR(__xludf.DUMMYFUNCTION("""COMPUTED_VALUE"""),"MVGR college of engineering")</f>
        <v>MVGR college of engineering</v>
      </c>
      <c r="G16" s="77" t="str">
        <f>IFERROR(__xludf.DUMMYFUNCTION("""COMPUTED_VALUE"""),"https://drive.google.com/open?id=1uTGVtRaRxKQKLb_Ehjblj80sg5F5loWs")</f>
        <v>https://drive.google.com/open?id=1uTGVtRaRxKQKLb_Ehjblj80sg5F5loWs</v>
      </c>
      <c r="H16" s="75" t="str">
        <f>IFERROR(__xludf.DUMMYFUNCTION("""COMPUTED_VALUE"""),"2018-2022")</f>
        <v>2018-2022</v>
      </c>
      <c r="I16" s="75" t="str">
        <f>IFERROR(__xludf.DUMMYFUNCTION("""COMPUTED_VALUE"""),"S11: Student Awards")</f>
        <v>S11: Student Awards</v>
      </c>
      <c r="J16" s="75" t="str">
        <f>IFERROR(__xludf.DUMMYFUNCTION("""COMPUTED_VALUE"""),"lekhasree1430@gmail.com")</f>
        <v>lekhasree1430@gmail.com</v>
      </c>
      <c r="K16" s="75" t="str">
        <f>IFERROR(__xludf.DUMMYFUNCTION("""COMPUTED_VALUE"""),"SEM-8")</f>
        <v>SEM-8</v>
      </c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</row>
    <row r="17" ht="33.75" customHeight="1">
      <c r="A17" s="71" t="str">
        <f>IFERROR(__xludf.DUMMYFUNCTION("""COMPUTED_VALUE"""),"KOLLI YASWANTH KUMAR")</f>
        <v>KOLLI YASWANTH KUMAR</v>
      </c>
      <c r="B17" s="71" t="str">
        <f>IFERROR(__xludf.DUMMYFUNCTION("""COMPUTED_VALUE"""),"18331A0579")</f>
        <v>18331A0579</v>
      </c>
      <c r="C17" s="71" t="str">
        <f>IFERROR(__xludf.DUMMYFUNCTION("""COMPUTED_VALUE"""),"2021-2022")</f>
        <v>2021-2022</v>
      </c>
      <c r="D17" s="71" t="str">
        <f>IFERROR(__xludf.DUMMYFUNCTION("""COMPUTED_VALUE"""),"Winners in Badminton")</f>
        <v>Winners in Badminton</v>
      </c>
      <c r="E17" s="72">
        <f>IFERROR(__xludf.DUMMYFUNCTION("""COMPUTED_VALUE"""),44573.0)</f>
        <v>44573</v>
      </c>
      <c r="F17" s="71" t="str">
        <f>IFERROR(__xludf.DUMMYFUNCTION("""COMPUTED_VALUE"""),"Jawaharlal Nehru Technological University Vizianagaram , KAKINADA")</f>
        <v>Jawaharlal Nehru Technological University Vizianagaram , KAKINADA</v>
      </c>
      <c r="G17" s="73" t="str">
        <f>IFERROR(__xludf.DUMMYFUNCTION("""COMPUTED_VALUE"""),"https://drive.google.com/open?id=1GSySQ9XWzPG4_CT4scF7g4D8a1w0HNVg")</f>
        <v>https://drive.google.com/open?id=1GSySQ9XWzPG4_CT4scF7g4D8a1w0HNVg</v>
      </c>
      <c r="H17" s="71" t="str">
        <f>IFERROR(__xludf.DUMMYFUNCTION("""COMPUTED_VALUE"""),"2018-2022")</f>
        <v>2018-2022</v>
      </c>
      <c r="I17" s="71" t="str">
        <f>IFERROR(__xludf.DUMMYFUNCTION("""COMPUTED_VALUE"""),"S11: Student Awards")</f>
        <v>S11: Student Awards</v>
      </c>
      <c r="J17" s="71" t="str">
        <f>IFERROR(__xludf.DUMMYFUNCTION("""COMPUTED_VALUE"""),"yaswanthroshan1045@gmail.com")</f>
        <v>yaswanthroshan1045@gmail.com</v>
      </c>
      <c r="K17" s="71" t="str">
        <f>IFERROR(__xludf.DUMMYFUNCTION("""COMPUTED_VALUE"""),"SEM-7")</f>
        <v>SEM-7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</row>
    <row r="18" ht="33.75" customHeight="1">
      <c r="A18" s="71" t="str">
        <f>IFERROR(__xludf.DUMMYFUNCTION("""COMPUTED_VALUE"""),"S sairam")</f>
        <v>S sairam</v>
      </c>
      <c r="B18" s="71" t="str">
        <f>IFERROR(__xludf.DUMMYFUNCTION("""COMPUTED_VALUE"""),"17331a05e8")</f>
        <v>17331a05e8</v>
      </c>
      <c r="C18" s="71" t="str">
        <f>IFERROR(__xludf.DUMMYFUNCTION("""COMPUTED_VALUE"""),"2019-2020")</f>
        <v>2019-2020</v>
      </c>
      <c r="D18" s="71" t="str">
        <f>IFERROR(__xludf.DUMMYFUNCTION("""COMPUTED_VALUE"""),"Runners in basketball")</f>
        <v>Runners in basketball</v>
      </c>
      <c r="E18" s="72">
        <f>IFERROR(__xludf.DUMMYFUNCTION("""COMPUTED_VALUE"""),43884.0)</f>
        <v>43884</v>
      </c>
      <c r="F18" s="71" t="str">
        <f>IFERROR(__xludf.DUMMYFUNCTION("""COMPUTED_VALUE"""),"Raghu college of engineering")</f>
        <v>Raghu college of engineering</v>
      </c>
      <c r="G18" s="73" t="str">
        <f>IFERROR(__xludf.DUMMYFUNCTION("""COMPUTED_VALUE"""),"https://drive.google.com/open?id=14qjDpxA_-qxw3L62ORAV10i6-yrPoJ82")</f>
        <v>https://drive.google.com/open?id=14qjDpxA_-qxw3L62ORAV10i6-yrPoJ82</v>
      </c>
      <c r="H18" s="71" t="str">
        <f>IFERROR(__xludf.DUMMYFUNCTION("""COMPUTED_VALUE"""),"2018-2022")</f>
        <v>2018-2022</v>
      </c>
      <c r="I18" s="71" t="str">
        <f>IFERROR(__xludf.DUMMYFUNCTION("""COMPUTED_VALUE"""),"S11: Student Awards")</f>
        <v>S11: Student Awards</v>
      </c>
      <c r="J18" s="71" t="str">
        <f>IFERROR(__xludf.DUMMYFUNCTION("""COMPUTED_VALUE"""),"saikiller0110@gmail.com")</f>
        <v>saikiller0110@gmail.com</v>
      </c>
      <c r="K18" s="71" t="str">
        <f>IFERROR(__xludf.DUMMYFUNCTION("""COMPUTED_VALUE"""),"SEM-8")</f>
        <v>SEM-8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</row>
    <row r="19" ht="33.75" customHeight="1">
      <c r="A19" s="71" t="str">
        <f>IFERROR(__xludf.DUMMYFUNCTION("""COMPUTED_VALUE"""),"S sairam")</f>
        <v>S sairam</v>
      </c>
      <c r="B19" s="71" t="str">
        <f>IFERROR(__xludf.DUMMYFUNCTION("""COMPUTED_VALUE"""),"17331a05e8")</f>
        <v>17331a05e8</v>
      </c>
      <c r="C19" s="71" t="str">
        <f>IFERROR(__xludf.DUMMYFUNCTION("""COMPUTED_VALUE"""),"2019-2020")</f>
        <v>2019-2020</v>
      </c>
      <c r="D19" s="71" t="str">
        <f>IFERROR(__xludf.DUMMYFUNCTION("""COMPUTED_VALUE"""),"Runners in basketball")</f>
        <v>Runners in basketball</v>
      </c>
      <c r="E19" s="72">
        <f>IFERROR(__xludf.DUMMYFUNCTION("""COMPUTED_VALUE"""),43885.0)</f>
        <v>43885</v>
      </c>
      <c r="F19" s="71" t="str">
        <f>IFERROR(__xludf.DUMMYFUNCTION("""COMPUTED_VALUE"""),"MVGR college of engineering")</f>
        <v>MVGR college of engineering</v>
      </c>
      <c r="G19" s="73" t="str">
        <f>IFERROR(__xludf.DUMMYFUNCTION("""COMPUTED_VALUE"""),"https://drive.google.com/open?id=1DkiGuPWNrrJ17ziZzyj9FJD6S56uqueV")</f>
        <v>https://drive.google.com/open?id=1DkiGuPWNrrJ17ziZzyj9FJD6S56uqueV</v>
      </c>
      <c r="H19" s="71" t="str">
        <f>IFERROR(__xludf.DUMMYFUNCTION("""COMPUTED_VALUE"""),"2018-2022")</f>
        <v>2018-2022</v>
      </c>
      <c r="I19" s="71" t="str">
        <f>IFERROR(__xludf.DUMMYFUNCTION("""COMPUTED_VALUE"""),"S11: Student Awards")</f>
        <v>S11: Student Awards</v>
      </c>
      <c r="J19" s="71" t="str">
        <f>IFERROR(__xludf.DUMMYFUNCTION("""COMPUTED_VALUE"""),"saikiller0110@gmail.com")</f>
        <v>saikiller0110@gmail.com</v>
      </c>
      <c r="K19" s="71" t="str">
        <f>IFERROR(__xludf.DUMMYFUNCTION("""COMPUTED_VALUE"""),"SEM-8")</f>
        <v>SEM-8</v>
      </c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</row>
    <row r="20" ht="33.75" customHeight="1">
      <c r="A20" s="71" t="str">
        <f>IFERROR(__xludf.DUMMYFUNCTION("""COMPUTED_VALUE"""),"S sairam")</f>
        <v>S sairam</v>
      </c>
      <c r="B20" s="71" t="str">
        <f>IFERROR(__xludf.DUMMYFUNCTION("""COMPUTED_VALUE"""),"17331a05e8")</f>
        <v>17331a05e8</v>
      </c>
      <c r="C20" s="71" t="str">
        <f>IFERROR(__xludf.DUMMYFUNCTION("""COMPUTED_VALUE"""),"2019-2020")</f>
        <v>2019-2020</v>
      </c>
      <c r="D20" s="71" t="str">
        <f>IFERROR(__xludf.DUMMYFUNCTION("""COMPUTED_VALUE"""),"Runners in basketball")</f>
        <v>Runners in basketball</v>
      </c>
      <c r="E20" s="72">
        <f>IFERROR(__xludf.DUMMYFUNCTION("""COMPUTED_VALUE"""),43517.0)</f>
        <v>43517</v>
      </c>
      <c r="F20" s="71" t="str">
        <f>IFERROR(__xludf.DUMMYFUNCTION("""COMPUTED_VALUE"""),"MVGR college of engineering")</f>
        <v>MVGR college of engineering</v>
      </c>
      <c r="G20" s="73" t="str">
        <f>IFERROR(__xludf.DUMMYFUNCTION("""COMPUTED_VALUE"""),"https://drive.google.com/open?id=1gSqponAO_29zt3P0egTKxJUtj0kBDxM5")</f>
        <v>https://drive.google.com/open?id=1gSqponAO_29zt3P0egTKxJUtj0kBDxM5</v>
      </c>
      <c r="H20" s="71" t="str">
        <f>IFERROR(__xludf.DUMMYFUNCTION("""COMPUTED_VALUE"""),"2018-2022")</f>
        <v>2018-2022</v>
      </c>
      <c r="I20" s="71" t="str">
        <f>IFERROR(__xludf.DUMMYFUNCTION("""COMPUTED_VALUE"""),"S11: Student Awards")</f>
        <v>S11: Student Awards</v>
      </c>
      <c r="J20" s="71" t="str">
        <f>IFERROR(__xludf.DUMMYFUNCTION("""COMPUTED_VALUE"""),"saikiller0110@gmail.com")</f>
        <v>saikiller0110@gmail.com</v>
      </c>
      <c r="K20" s="71" t="str">
        <f>IFERROR(__xludf.DUMMYFUNCTION("""COMPUTED_VALUE"""),"SEM-8")</f>
        <v>SEM-8</v>
      </c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</row>
    <row r="21" ht="33.75" customHeight="1">
      <c r="A21" s="71" t="str">
        <f>IFERROR(__xludf.DUMMYFUNCTION("""COMPUTED_VALUE"""),"MEESALA UPENDRA VENKATA AKHIL")</f>
        <v>MEESALA UPENDRA VENKATA AKHIL</v>
      </c>
      <c r="B21" s="71" t="str">
        <f>IFERROR(__xludf.DUMMYFUNCTION("""COMPUTED_VALUE"""),"18331A0597")</f>
        <v>18331A0597</v>
      </c>
      <c r="C21" s="71" t="str">
        <f>IFERROR(__xludf.DUMMYFUNCTION("""COMPUTED_VALUE"""),"2020-2021")</f>
        <v>2020-2021</v>
      </c>
      <c r="D21" s="71" t="str">
        <f>IFERROR(__xludf.DUMMYFUNCTION("""COMPUTED_VALUE"""),"NCC ""C"" Certificate")</f>
        <v>NCC "C" Certificate</v>
      </c>
      <c r="E21" s="72">
        <f>IFERROR(__xludf.DUMMYFUNCTION("""COMPUTED_VALUE"""),44311.0)</f>
        <v>44311</v>
      </c>
      <c r="F21" s="71" t="str">
        <f>IFERROR(__xludf.DUMMYFUNCTION("""COMPUTED_VALUE"""),"National Cadet Corps (NCC)")</f>
        <v>National Cadet Corps (NCC)</v>
      </c>
      <c r="G21" s="73" t="str">
        <f>IFERROR(__xludf.DUMMYFUNCTION("""COMPUTED_VALUE"""),"https://drive.google.com/open?id=1u4P98AFX96-DheFXYHueISXv5rFBW69n")</f>
        <v>https://drive.google.com/open?id=1u4P98AFX96-DheFXYHueISXv5rFBW69n</v>
      </c>
      <c r="H21" s="71" t="str">
        <f>IFERROR(__xludf.DUMMYFUNCTION("""COMPUTED_VALUE"""),"2018-2022")</f>
        <v>2018-2022</v>
      </c>
      <c r="I21" s="71" t="str">
        <f>IFERROR(__xludf.DUMMYFUNCTION("""COMPUTED_VALUE"""),"S11: Student Awards")</f>
        <v>S11: Student Awards</v>
      </c>
      <c r="J21" s="71" t="str">
        <f>IFERROR(__xludf.DUMMYFUNCTION("""COMPUTED_VALUE"""),"meesalaakhil2000@gmail.com")</f>
        <v>meesalaakhil2000@gmail.com</v>
      </c>
      <c r="K21" s="71" t="str">
        <f>IFERROR(__xludf.DUMMYFUNCTION("""COMPUTED_VALUE"""),"SEM-5")</f>
        <v>SEM-5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</row>
    <row r="22" ht="33.75" customHeight="1">
      <c r="A22" s="71" t="str">
        <f>IFERROR(__xludf.DUMMYFUNCTION("""COMPUTED_VALUE"""),"MEESALA UPENDRA VENKATA AKHIL")</f>
        <v>MEESALA UPENDRA VENKATA AKHIL</v>
      </c>
      <c r="B22" s="71" t="str">
        <f>IFERROR(__xludf.DUMMYFUNCTION("""COMPUTED_VALUE"""),"18331A0597")</f>
        <v>18331A0597</v>
      </c>
      <c r="C22" s="71" t="str">
        <f>IFERROR(__xludf.DUMMYFUNCTION("""COMPUTED_VALUE"""),"2019-2020")</f>
        <v>2019-2020</v>
      </c>
      <c r="D22" s="71" t="str">
        <f>IFERROR(__xludf.DUMMYFUNCTION("""COMPUTED_VALUE"""),"NCC ""B"" Certificate")</f>
        <v>NCC "B" Certificate</v>
      </c>
      <c r="E22" s="72">
        <f>IFERROR(__xludf.DUMMYFUNCTION("""COMPUTED_VALUE"""),43580.0)</f>
        <v>43580</v>
      </c>
      <c r="F22" s="71" t="str">
        <f>IFERROR(__xludf.DUMMYFUNCTION("""COMPUTED_VALUE"""),"National Cadet Crops(NCC) Unit")</f>
        <v>National Cadet Crops(NCC) Unit</v>
      </c>
      <c r="G22" s="73" t="str">
        <f>IFERROR(__xludf.DUMMYFUNCTION("""COMPUTED_VALUE"""),"https://drive.google.com/open?id=1HwOWXJMOaF_1InxGLgLG3n7bJEc8Wqoy")</f>
        <v>https://drive.google.com/open?id=1HwOWXJMOaF_1InxGLgLG3n7bJEc8Wqoy</v>
      </c>
      <c r="H22" s="71" t="str">
        <f>IFERROR(__xludf.DUMMYFUNCTION("""COMPUTED_VALUE"""),"2018-2022")</f>
        <v>2018-2022</v>
      </c>
      <c r="I22" s="71" t="str">
        <f>IFERROR(__xludf.DUMMYFUNCTION("""COMPUTED_VALUE"""),"S11: Student Awards")</f>
        <v>S11: Student Awards</v>
      </c>
      <c r="J22" s="71" t="str">
        <f>IFERROR(__xludf.DUMMYFUNCTION("""COMPUTED_VALUE"""),"meesalaakhil2000@gmail.com")</f>
        <v>meesalaakhil2000@gmail.com</v>
      </c>
      <c r="K22" s="71" t="str">
        <f>IFERROR(__xludf.DUMMYFUNCTION("""COMPUTED_VALUE"""),"SEM-3")</f>
        <v>SEM-3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ht="33.75" customHeight="1">
      <c r="A23" s="71" t="str">
        <f>IFERROR(__xludf.DUMMYFUNCTION("""COMPUTED_VALUE"""),"VADLAPUDI DHEERAJ KUMAR ")</f>
        <v>VADLAPUDI DHEERAJ KUMAR </v>
      </c>
      <c r="B23" s="71" t="str">
        <f>IFERROR(__xludf.DUMMYFUNCTION("""COMPUTED_VALUE"""),"18331A05G4")</f>
        <v>18331A05G4</v>
      </c>
      <c r="C23" s="71" t="str">
        <f>IFERROR(__xludf.DUMMYFUNCTION("""COMPUTED_VALUE"""),"2018-2019")</f>
        <v>2018-2019</v>
      </c>
      <c r="D23" s="71" t="str">
        <f>IFERROR(__xludf.DUMMYFUNCTION("""COMPUTED_VALUE"""),"Winners in Football, Inter-College sports competition ")</f>
        <v>Winners in Football, Inter-College sports competition </v>
      </c>
      <c r="E23" s="72">
        <f>IFERROR(__xludf.DUMMYFUNCTION("""COMPUTED_VALUE"""),43577.0)</f>
        <v>43577</v>
      </c>
      <c r="F23" s="71" t="str">
        <f>IFERROR(__xludf.DUMMYFUNCTION("""COMPUTED_VALUE"""),"MVGR COLLEGE OF ENGINEERING ")</f>
        <v>MVGR COLLEGE OF ENGINEERING </v>
      </c>
      <c r="G23" s="73" t="str">
        <f>IFERROR(__xludf.DUMMYFUNCTION("""COMPUTED_VALUE"""),"https://drive.google.com/open?id=1v0hWKNZmunFG-b1zOpH2nMicycDJXoC2")</f>
        <v>https://drive.google.com/open?id=1v0hWKNZmunFG-b1zOpH2nMicycDJXoC2</v>
      </c>
      <c r="H23" s="71" t="str">
        <f>IFERROR(__xludf.DUMMYFUNCTION("""COMPUTED_VALUE"""),"2018-2022")</f>
        <v>2018-2022</v>
      </c>
      <c r="I23" s="71" t="str">
        <f>IFERROR(__xludf.DUMMYFUNCTION("""COMPUTED_VALUE"""),"S11: Student Awards")</f>
        <v>S11: Student Awards</v>
      </c>
      <c r="J23" s="71" t="str">
        <f>IFERROR(__xludf.DUMMYFUNCTION("""COMPUTED_VALUE"""),"vdkumar1200@gmail.com")</f>
        <v>vdkumar1200@gmail.com</v>
      </c>
      <c r="K23" s="71" t="str">
        <f>IFERROR(__xludf.DUMMYFUNCTION("""COMPUTED_VALUE"""),"SEM-8")</f>
        <v>SEM-8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</row>
    <row r="24" ht="33.75" customHeight="1">
      <c r="A24" s="71" t="str">
        <f>IFERROR(__xludf.DUMMYFUNCTION("""COMPUTED_VALUE"""),"SANAPALA SAI NEERAJ")</f>
        <v>SANAPALA SAI NEERAJ</v>
      </c>
      <c r="B24" s="71" t="str">
        <f>IFERROR(__xludf.DUMMYFUNCTION("""COMPUTED_VALUE"""),"18331A05D6")</f>
        <v>18331A05D6</v>
      </c>
      <c r="C24" s="71" t="str">
        <f>IFERROR(__xludf.DUMMYFUNCTION("""COMPUTED_VALUE"""),"2020-2021")</f>
        <v>2020-2021</v>
      </c>
      <c r="D24" s="71" t="str">
        <f>IFERROR(__xludf.DUMMYFUNCTION("""COMPUTED_VALUE"""),"NCC ""B"" CERTIFICATE")</f>
        <v>NCC "B" CERTIFICATE</v>
      </c>
      <c r="E24" s="72">
        <f>IFERROR(__xludf.DUMMYFUNCTION("""COMPUTED_VALUE"""),44530.0)</f>
        <v>44530</v>
      </c>
      <c r="F24" s="71" t="str">
        <f>IFERROR(__xludf.DUMMYFUNCTION("""COMPUTED_VALUE"""),"MINISTRY OF DEFENCE, GOVERNMENT OF INDIA")</f>
        <v>MINISTRY OF DEFENCE, GOVERNMENT OF INDIA</v>
      </c>
      <c r="G24" s="73" t="str">
        <f>IFERROR(__xludf.DUMMYFUNCTION("""COMPUTED_VALUE"""),"https://drive.google.com/open?id=1B0HiC2xPJwhIF3MC1nGrmuBGAsKXTckG")</f>
        <v>https://drive.google.com/open?id=1B0HiC2xPJwhIF3MC1nGrmuBGAsKXTckG</v>
      </c>
      <c r="H24" s="71" t="str">
        <f>IFERROR(__xludf.DUMMYFUNCTION("""COMPUTED_VALUE"""),"2018-2022")</f>
        <v>2018-2022</v>
      </c>
      <c r="I24" s="71" t="str">
        <f>IFERROR(__xludf.DUMMYFUNCTION("""COMPUTED_VALUE"""),"S11: Student Awards")</f>
        <v>S11: Student Awards</v>
      </c>
      <c r="J24" s="71" t="str">
        <f>IFERROR(__xludf.DUMMYFUNCTION("""COMPUTED_VALUE"""),"sanapala.saineeraj4000@gmail.com")</f>
        <v>sanapala.saineeraj4000@gmail.com</v>
      </c>
      <c r="K24" s="71" t="str">
        <f>IFERROR(__xludf.DUMMYFUNCTION("""COMPUTED_VALUE"""),"SEM-5")</f>
        <v>SEM-5</v>
      </c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</row>
    <row r="25" ht="33.75" customHeight="1">
      <c r="A25" s="71" t="str">
        <f>IFERROR(__xludf.DUMMYFUNCTION("""COMPUTED_VALUE"""),"KADAGALA RAVIKUAMR")</f>
        <v>KADAGALA RAVIKUAMR</v>
      </c>
      <c r="B25" s="71" t="str">
        <f>IFERROR(__xludf.DUMMYFUNCTION("""COMPUTED_VALUE"""),"19335A0506")</f>
        <v>19335A0506</v>
      </c>
      <c r="C25" s="71" t="str">
        <f>IFERROR(__xludf.DUMMYFUNCTION("""COMPUTED_VALUE"""),"2019-2020")</f>
        <v>2019-2020</v>
      </c>
      <c r="D25" s="71" t="str">
        <f>IFERROR(__xludf.DUMMYFUNCTION("""COMPUTED_VALUE"""),".")</f>
        <v>.</v>
      </c>
      <c r="E25" s="72">
        <f>IFERROR(__xludf.DUMMYFUNCTION("""COMPUTED_VALUE"""),43995.0)</f>
        <v>43995</v>
      </c>
      <c r="F25" s="71" t="str">
        <f>IFERROR(__xludf.DUMMYFUNCTION("""COMPUTED_VALUE"""),"Pimpri Chinchwad College of Engineering")</f>
        <v>Pimpri Chinchwad College of Engineering</v>
      </c>
      <c r="G25" s="73" t="str">
        <f>IFERROR(__xludf.DUMMYFUNCTION("""COMPUTED_VALUE"""),"https://drive.google.com/open?id=1zWfCKVgNCwM-_UZ2Ju37CgfKQENuNThd")</f>
        <v>https://drive.google.com/open?id=1zWfCKVgNCwM-_UZ2Ju37CgfKQENuNThd</v>
      </c>
      <c r="H25" s="71" t="str">
        <f>IFERROR(__xludf.DUMMYFUNCTION("""COMPUTED_VALUE"""),"2018-2022")</f>
        <v>2018-2022</v>
      </c>
      <c r="I25" s="71" t="str">
        <f>IFERROR(__xludf.DUMMYFUNCTION("""COMPUTED_VALUE"""),"S11: Student Awards")</f>
        <v>S11: Student Awards</v>
      </c>
      <c r="J25" s="71" t="str">
        <f>IFERROR(__xludf.DUMMYFUNCTION("""COMPUTED_VALUE"""),"ravikadagala9494@gmail.com")</f>
        <v>ravikadagala9494@gmail.com</v>
      </c>
      <c r="K25" s="71" t="str">
        <f>IFERROR(__xludf.DUMMYFUNCTION("""COMPUTED_VALUE"""),"SEM-4")</f>
        <v>SEM-4</v>
      </c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</row>
    <row r="26" ht="33.75" customHeight="1">
      <c r="A26" s="71" t="str">
        <f>IFERROR(__xludf.DUMMYFUNCTION("""COMPUTED_VALUE"""),"Naveen Kumar Penta")</f>
        <v>Naveen Kumar Penta</v>
      </c>
      <c r="B26" s="71" t="str">
        <f>IFERROR(__xludf.DUMMYFUNCTION("""COMPUTED_VALUE"""),"18331A05B7")</f>
        <v>18331A05B7</v>
      </c>
      <c r="C26" s="71" t="str">
        <f>IFERROR(__xludf.DUMMYFUNCTION("""COMPUTED_VALUE"""),"2019-2020")</f>
        <v>2019-2020</v>
      </c>
      <c r="D26" s="71" t="str">
        <f>IFERROR(__xludf.DUMMYFUNCTION("""COMPUTED_VALUE"""),"Dbms SQL online quiz ")</f>
        <v>Dbms SQL online quiz </v>
      </c>
      <c r="E26" s="72">
        <f>IFERROR(__xludf.DUMMYFUNCTION("""COMPUTED_VALUE"""),43979.0)</f>
        <v>43979</v>
      </c>
      <c r="F26" s="71" t="str">
        <f>IFERROR(__xludf.DUMMYFUNCTION("""COMPUTED_VALUE"""),"Vignan's institute of engineering womens")</f>
        <v>Vignan's institute of engineering womens</v>
      </c>
      <c r="G26" s="73" t="str">
        <f>IFERROR(__xludf.DUMMYFUNCTION("""COMPUTED_VALUE"""),"https://drive.google.com/open?id=134UiPRoXaCxJnCMdOhg1Gql8_3OtEd_z")</f>
        <v>https://drive.google.com/open?id=134UiPRoXaCxJnCMdOhg1Gql8_3OtEd_z</v>
      </c>
      <c r="H26" s="71" t="str">
        <f>IFERROR(__xludf.DUMMYFUNCTION("""COMPUTED_VALUE"""),"2018-2022")</f>
        <v>2018-2022</v>
      </c>
      <c r="I26" s="71" t="str">
        <f>IFERROR(__xludf.DUMMYFUNCTION("""COMPUTED_VALUE"""),"S11: Student Awards")</f>
        <v>S11: Student Awards</v>
      </c>
      <c r="J26" s="71" t="str">
        <f>IFERROR(__xludf.DUMMYFUNCTION("""COMPUTED_VALUE"""),"naveenkumarpenta15@gmail.com")</f>
        <v>naveenkumarpenta15@gmail.com</v>
      </c>
      <c r="K26" s="71" t="str">
        <f>IFERROR(__xludf.DUMMYFUNCTION("""COMPUTED_VALUE"""),"SEM-4")</f>
        <v>SEM-4</v>
      </c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</row>
    <row r="27" ht="33.75" customHeight="1">
      <c r="A27" s="71" t="str">
        <f>IFERROR(__xludf.DUMMYFUNCTION("""COMPUTED_VALUE"""),"Kasi Suresh")</f>
        <v>Kasi Suresh</v>
      </c>
      <c r="B27" s="71" t="str">
        <f>IFERROR(__xludf.DUMMYFUNCTION("""COMPUTED_VALUE"""),"18331A0573")</f>
        <v>18331A0573</v>
      </c>
      <c r="C27" s="71" t="str">
        <f>IFERROR(__xludf.DUMMYFUNCTION("""COMPUTED_VALUE"""),"2020-2021")</f>
        <v>2020-2021</v>
      </c>
      <c r="D27" s="71" t="str">
        <f>IFERROR(__xludf.DUMMYFUNCTION("""COMPUTED_VALUE"""),"Virtusa Nueral Hack")</f>
        <v>Virtusa Nueral Hack</v>
      </c>
      <c r="E27" s="72">
        <f>IFERROR(__xludf.DUMMYFUNCTION("""COMPUTED_VALUE"""),44301.0)</f>
        <v>44301</v>
      </c>
      <c r="F27" s="71" t="str">
        <f>IFERROR(__xludf.DUMMYFUNCTION("""COMPUTED_VALUE"""),"Virtusa")</f>
        <v>Virtusa</v>
      </c>
      <c r="G27" s="73" t="str">
        <f>IFERROR(__xludf.DUMMYFUNCTION("""COMPUTED_VALUE"""),"https://drive.google.com/open?id=1uTswfh5k6-rIOfPskt7WzSag8mhnF2uE")</f>
        <v>https://drive.google.com/open?id=1uTswfh5k6-rIOfPskt7WzSag8mhnF2uE</v>
      </c>
      <c r="H27" s="71" t="str">
        <f>IFERROR(__xludf.DUMMYFUNCTION("""COMPUTED_VALUE"""),"2018-2022")</f>
        <v>2018-2022</v>
      </c>
      <c r="I27" s="71" t="str">
        <f>IFERROR(__xludf.DUMMYFUNCTION("""COMPUTED_VALUE"""),"S11: Student Awards")</f>
        <v>S11: Student Awards</v>
      </c>
      <c r="J27" s="71" t="str">
        <f>IFERROR(__xludf.DUMMYFUNCTION("""COMPUTED_VALUE"""),"sureshkasi06@gmail.com")</f>
        <v>sureshkasi06@gmail.com</v>
      </c>
      <c r="K27" s="71" t="str">
        <f>IFERROR(__xludf.DUMMYFUNCTION("""COMPUTED_VALUE"""),"SEM-8")</f>
        <v>SEM-8</v>
      </c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ht="33.75" customHeight="1">
      <c r="A28" s="71" t="str">
        <f>IFERROR(__xludf.DUMMYFUNCTION("""COMPUTED_VALUE"""),"Sai Yogesh Bhasuru")</f>
        <v>Sai Yogesh Bhasuru</v>
      </c>
      <c r="B28" s="71" t="str">
        <f>IFERROR(__xludf.DUMMYFUNCTION("""COMPUTED_VALUE"""),"18331A05D4")</f>
        <v>18331A05D4</v>
      </c>
      <c r="C28" s="71" t="str">
        <f>IFERROR(__xludf.DUMMYFUNCTION("""COMPUTED_VALUE"""),"2019-2020")</f>
        <v>2019-2020</v>
      </c>
      <c r="D28" s="71" t="str">
        <f>IFERROR(__xludf.DUMMYFUNCTION("""COMPUTED_VALUE"""),"Runners in C Quiz Competition")</f>
        <v>Runners in C Quiz Competition</v>
      </c>
      <c r="E28" s="72">
        <f>IFERROR(__xludf.DUMMYFUNCTION("""COMPUTED_VALUE"""),43717.0)</f>
        <v>43717</v>
      </c>
      <c r="F28" s="71" t="str">
        <f>IFERROR(__xludf.DUMMYFUNCTION("""COMPUTED_VALUE"""),"BITS VIZAG")</f>
        <v>BITS VIZAG</v>
      </c>
      <c r="G28" s="73" t="str">
        <f>IFERROR(__xludf.DUMMYFUNCTION("""COMPUTED_VALUE"""),"https://drive.google.com/open?id=1OZDw1MRW-j1Pk_z6DL1I2axO9gKAPHzB")</f>
        <v>https://drive.google.com/open?id=1OZDw1MRW-j1Pk_z6DL1I2axO9gKAPHzB</v>
      </c>
      <c r="H28" s="71" t="str">
        <f>IFERROR(__xludf.DUMMYFUNCTION("""COMPUTED_VALUE"""),"2018-2022")</f>
        <v>2018-2022</v>
      </c>
      <c r="I28" s="71" t="str">
        <f>IFERROR(__xludf.DUMMYFUNCTION("""COMPUTED_VALUE"""),"S11: Student Awards")</f>
        <v>S11: Student Awards</v>
      </c>
      <c r="J28" s="71" t="str">
        <f>IFERROR(__xludf.DUMMYFUNCTION("""COMPUTED_VALUE"""),"saiyogeshbhasuru16@gmail.com")</f>
        <v>saiyogeshbhasuru16@gmail.com</v>
      </c>
      <c r="K28" s="71" t="str">
        <f>IFERROR(__xludf.DUMMYFUNCTION("""COMPUTED_VALUE"""),"SEM-8")</f>
        <v>SEM-8</v>
      </c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</row>
    <row r="29" ht="33.75" customHeight="1">
      <c r="A29" s="71" t="str">
        <f>IFERROR(__xludf.DUMMYFUNCTION("""COMPUTED_VALUE"""),"Mandadi Bharathi naga sri sai prathyusha ")</f>
        <v>Mandadi Bharathi naga sri sai prathyusha </v>
      </c>
      <c r="B29" s="71" t="str">
        <f>IFERROR(__xludf.DUMMYFUNCTION("""COMPUTED_VALUE"""),"18331A0593")</f>
        <v>18331A0593</v>
      </c>
      <c r="C29" s="71" t="str">
        <f>IFERROR(__xludf.DUMMYFUNCTION("""COMPUTED_VALUE"""),"2021-2022")</f>
        <v>2021-2022</v>
      </c>
      <c r="D29" s="71" t="str">
        <f>IFERROR(__xludf.DUMMYFUNCTION("""COMPUTED_VALUE"""),"First prize in ppt")</f>
        <v>First prize in ppt</v>
      </c>
      <c r="E29" s="72">
        <f>IFERROR(__xludf.DUMMYFUNCTION("""COMPUTED_VALUE"""),44628.0)</f>
        <v>44628</v>
      </c>
      <c r="F29" s="71" t="str">
        <f>IFERROR(__xludf.DUMMYFUNCTION("""COMPUTED_VALUE"""),"Mvgr college of engineering ")</f>
        <v>Mvgr college of engineering </v>
      </c>
      <c r="G29" s="73" t="str">
        <f>IFERROR(__xludf.DUMMYFUNCTION("""COMPUTED_VALUE"""),"https://drive.google.com/open?id=1WU1m7CU_TcognuKDh7Q7HrvZgSOLydXL")</f>
        <v>https://drive.google.com/open?id=1WU1m7CU_TcognuKDh7Q7HrvZgSOLydXL</v>
      </c>
      <c r="H29" s="71" t="str">
        <f>IFERROR(__xludf.DUMMYFUNCTION("""COMPUTED_VALUE"""),"2018-2022")</f>
        <v>2018-2022</v>
      </c>
      <c r="I29" s="71" t="str">
        <f>IFERROR(__xludf.DUMMYFUNCTION("""COMPUTED_VALUE"""),"S11: Student Awards")</f>
        <v>S11: Student Awards</v>
      </c>
      <c r="J29" s="71" t="str">
        <f>IFERROR(__xludf.DUMMYFUNCTION("""COMPUTED_VALUE"""),"mandadi.prathyusha@gmail.com")</f>
        <v>mandadi.prathyusha@gmail.com</v>
      </c>
      <c r="K29" s="71" t="str">
        <f>IFERROR(__xludf.DUMMYFUNCTION("""COMPUTED_VALUE"""),"SEM-8")</f>
        <v>SEM-8</v>
      </c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</row>
    <row r="30" ht="33.75" customHeight="1">
      <c r="A30" s="71" t="str">
        <f>IFERROR(__xludf.DUMMYFUNCTION("""COMPUTED_VALUE"""),"Datla Vasanth Gopal Raju ")</f>
        <v>Datla Vasanth Gopal Raju </v>
      </c>
      <c r="B30" s="71" t="str">
        <f>IFERROR(__xludf.DUMMYFUNCTION("""COMPUTED_VALUE"""),"18331A05H5")</f>
        <v>18331A05H5</v>
      </c>
      <c r="C30" s="71" t="str">
        <f>IFERROR(__xludf.DUMMYFUNCTION("""COMPUTED_VALUE"""),"2020-2021")</f>
        <v>2020-2021</v>
      </c>
      <c r="D30" s="71" t="str">
        <f>IFERROR(__xludf.DUMMYFUNCTION("""COMPUTED_VALUE"""),"62 nd rank")</f>
        <v>62 nd rank</v>
      </c>
      <c r="E30" s="72">
        <f>IFERROR(__xludf.DUMMYFUNCTION("""COMPUTED_VALUE"""),44128.0)</f>
        <v>44128</v>
      </c>
      <c r="F30" s="71" t="str">
        <f>IFERROR(__xludf.DUMMYFUNCTION("""COMPUTED_VALUE"""),"IEEE")</f>
        <v>IEEE</v>
      </c>
      <c r="G30" s="73" t="str">
        <f>IFERROR(__xludf.DUMMYFUNCTION("""COMPUTED_VALUE"""),"https://drive.google.com/open?id=1qP9qZmE22ppsqqe3S3RAkzkCzz1VlT7d")</f>
        <v>https://drive.google.com/open?id=1qP9qZmE22ppsqqe3S3RAkzkCzz1VlT7d</v>
      </c>
      <c r="H30" s="71" t="str">
        <f>IFERROR(__xludf.DUMMYFUNCTION("""COMPUTED_VALUE"""),"2018-2022")</f>
        <v>2018-2022</v>
      </c>
      <c r="I30" s="71" t="str">
        <f>IFERROR(__xludf.DUMMYFUNCTION("""COMPUTED_VALUE"""),"S11: Student Awards")</f>
        <v>S11: Student Awards</v>
      </c>
      <c r="J30" s="71" t="str">
        <f>IFERROR(__xludf.DUMMYFUNCTION("""COMPUTED_VALUE"""),"vasanthdatla@gmail.com")</f>
        <v>vasanthdatla@gmail.com</v>
      </c>
      <c r="K30" s="71" t="str">
        <f>IFERROR(__xludf.DUMMYFUNCTION("""COMPUTED_VALUE"""),"SEM-5")</f>
        <v>SEM-5</v>
      </c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</row>
    <row r="31" ht="33.75" customHeight="1">
      <c r="A31" s="71" t="str">
        <f>IFERROR(__xludf.DUMMYFUNCTION("""COMPUTED_VALUE"""),"Sai Yogesh Bhasuru")</f>
        <v>Sai Yogesh Bhasuru</v>
      </c>
      <c r="B31" s="71" t="str">
        <f>IFERROR(__xludf.DUMMYFUNCTION("""COMPUTED_VALUE"""),"18331A05D4")</f>
        <v>18331A05D4</v>
      </c>
      <c r="C31" s="71" t="str">
        <f>IFERROR(__xludf.DUMMYFUNCTION("""COMPUTED_VALUE"""),"2021-2022")</f>
        <v>2021-2022</v>
      </c>
      <c r="D31" s="71" t="str">
        <f>IFERROR(__xludf.DUMMYFUNCTION("""COMPUTED_VALUE"""),"Ranked 532 Nationally")</f>
        <v>Ranked 532 Nationally</v>
      </c>
      <c r="E31" s="72">
        <f>IFERROR(__xludf.DUMMYFUNCTION("""COMPUTED_VALUE"""),44492.0)</f>
        <v>44492</v>
      </c>
      <c r="F31" s="71" t="str">
        <f>IFERROR(__xludf.DUMMYFUNCTION("""COMPUTED_VALUE"""),"IEEE")</f>
        <v>IEEE</v>
      </c>
      <c r="G31" s="73" t="str">
        <f>IFERROR(__xludf.DUMMYFUNCTION("""COMPUTED_VALUE"""),"https://drive.google.com/open?id=1DUCmRPc7cYSEu1VOX3CbZFwMrxdmKmBg")</f>
        <v>https://drive.google.com/open?id=1DUCmRPc7cYSEu1VOX3CbZFwMrxdmKmBg</v>
      </c>
      <c r="H31" s="71" t="str">
        <f>IFERROR(__xludf.DUMMYFUNCTION("""COMPUTED_VALUE"""),"2018-2022")</f>
        <v>2018-2022</v>
      </c>
      <c r="I31" s="71" t="str">
        <f>IFERROR(__xludf.DUMMYFUNCTION("""COMPUTED_VALUE"""),"S11: Student Awards")</f>
        <v>S11: Student Awards</v>
      </c>
      <c r="J31" s="71" t="str">
        <f>IFERROR(__xludf.DUMMYFUNCTION("""COMPUTED_VALUE"""),"saiyogeshbhasuru16@gmail.com")</f>
        <v>saiyogeshbhasuru16@gmail.com</v>
      </c>
      <c r="K31" s="71" t="str">
        <f>IFERROR(__xludf.DUMMYFUNCTION("""COMPUTED_VALUE"""),"SEM-8")</f>
        <v>SEM-8</v>
      </c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</row>
    <row r="32" ht="33.75" customHeight="1">
      <c r="A32" s="64" t="str">
        <f>IFERROR(__xludf.DUMMYFUNCTION("""COMPUTED_VALUE"""),"Sai Yogesh Bhasuru")</f>
        <v>Sai Yogesh Bhasuru</v>
      </c>
      <c r="B32" s="64" t="str">
        <f>IFERROR(__xludf.DUMMYFUNCTION("""COMPUTED_VALUE"""),"18331A05D4")</f>
        <v>18331A05D4</v>
      </c>
      <c r="C32" s="64" t="str">
        <f>IFERROR(__xludf.DUMMYFUNCTION("""COMPUTED_VALUE"""),"2020-2021")</f>
        <v>2020-2021</v>
      </c>
      <c r="D32" s="64" t="str">
        <f>IFERROR(__xludf.DUMMYFUNCTION("""COMPUTED_VALUE"""),"PARTICIPATION")</f>
        <v>PARTICIPATION</v>
      </c>
      <c r="E32" s="114">
        <f>IFERROR(__xludf.DUMMYFUNCTION("""COMPUTED_VALUE"""),44519.0)</f>
        <v>44519</v>
      </c>
      <c r="F32" s="64" t="str">
        <f>IFERROR(__xludf.DUMMYFUNCTION("""COMPUTED_VALUE"""),"PUBLICIS SAPIENT")</f>
        <v>PUBLICIS SAPIENT</v>
      </c>
      <c r="G32" s="115" t="str">
        <f>IFERROR(__xludf.DUMMYFUNCTION("""COMPUTED_VALUE"""),"https://drive.google.com/open?id=1G7RDq0-LLMZyM_EG-AGSwXh3R1SHMW6k")</f>
        <v>https://drive.google.com/open?id=1G7RDq0-LLMZyM_EG-AGSwXh3R1SHMW6k</v>
      </c>
      <c r="H32" s="64" t="str">
        <f>IFERROR(__xludf.DUMMYFUNCTION("""COMPUTED_VALUE"""),"2018-2022")</f>
        <v>2018-2022</v>
      </c>
      <c r="I32" s="64" t="str">
        <f>IFERROR(__xludf.DUMMYFUNCTION("""COMPUTED_VALUE"""),"S11: Student Awards")</f>
        <v>S11: Student Awards</v>
      </c>
      <c r="J32" s="64" t="str">
        <f>IFERROR(__xludf.DUMMYFUNCTION("""COMPUTED_VALUE"""),"saiyogeshbhasuru16@gmail.com")</f>
        <v>saiyogeshbhasuru16@gmail.com</v>
      </c>
      <c r="K32" s="64" t="str">
        <f>IFERROR(__xludf.DUMMYFUNCTION("""COMPUTED_VALUE"""),"SEM-8")</f>
        <v>SEM-8</v>
      </c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</row>
    <row r="33" ht="33.75" customHeight="1">
      <c r="A33" s="71" t="str">
        <f>IFERROR(__xludf.DUMMYFUNCTION("""COMPUTED_VALUE"""),"Mandadi Bharathi naga sri sai prathyusha ")</f>
        <v>Mandadi Bharathi naga sri sai prathyusha </v>
      </c>
      <c r="B33" s="71" t="str">
        <f>IFERROR(__xludf.DUMMYFUNCTION("""COMPUTED_VALUE"""),"18331A0593")</f>
        <v>18331A0593</v>
      </c>
      <c r="C33" s="71" t="str">
        <f>IFERROR(__xludf.DUMMYFUNCTION("""COMPUTED_VALUE"""),"2018-2019")</f>
        <v>2018-2019</v>
      </c>
      <c r="D33" s="71" t="str">
        <f>IFERROR(__xludf.DUMMYFUNCTION("""COMPUTED_VALUE"""),"Second prize in dialogue telling")</f>
        <v>Second prize in dialogue telling</v>
      </c>
      <c r="E33" s="72">
        <f>IFERROR(__xludf.DUMMYFUNCTION("""COMPUTED_VALUE"""),43525.0)</f>
        <v>43525</v>
      </c>
      <c r="F33" s="71" t="str">
        <f>IFERROR(__xludf.DUMMYFUNCTION("""COMPUTED_VALUE"""),"Mvgr college of engineering ")</f>
        <v>Mvgr college of engineering </v>
      </c>
      <c r="G33" s="73" t="str">
        <f>IFERROR(__xludf.DUMMYFUNCTION("""COMPUTED_VALUE"""),"https://drive.google.com/open?id=1R2LLLsbXQwIwW4V-BCvJ1JlshXZWl59-")</f>
        <v>https://drive.google.com/open?id=1R2LLLsbXQwIwW4V-BCvJ1JlshXZWl59-</v>
      </c>
      <c r="H33" s="71" t="str">
        <f>IFERROR(__xludf.DUMMYFUNCTION("""COMPUTED_VALUE"""),"2018-2022")</f>
        <v>2018-2022</v>
      </c>
      <c r="I33" s="71" t="str">
        <f>IFERROR(__xludf.DUMMYFUNCTION("""COMPUTED_VALUE"""),"S11: Student Awards")</f>
        <v>S11: Student Awards</v>
      </c>
      <c r="J33" s="71" t="str">
        <f>IFERROR(__xludf.DUMMYFUNCTION("""COMPUTED_VALUE"""),"mandadi.prathyusha@gmail.com")</f>
        <v>mandadi.prathyusha@gmail.com</v>
      </c>
      <c r="K33" s="71" t="str">
        <f>IFERROR(__xludf.DUMMYFUNCTION("""COMPUTED_VALUE"""),"SEM-8")</f>
        <v>SEM-8</v>
      </c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</row>
    <row r="34" ht="33.75" customHeight="1">
      <c r="A34" s="71" t="str">
        <f>IFERROR(__xludf.DUMMYFUNCTION("""COMPUTED_VALUE"""),"Mandadi Bharathi naga sri sai prathyusha ")</f>
        <v>Mandadi Bharathi naga sri sai prathyusha </v>
      </c>
      <c r="B34" s="71" t="str">
        <f>IFERROR(__xludf.DUMMYFUNCTION("""COMPUTED_VALUE"""),"18331A0593")</f>
        <v>18331A0593</v>
      </c>
      <c r="C34" s="71" t="str">
        <f>IFERROR(__xludf.DUMMYFUNCTION("""COMPUTED_VALUE"""),"2018-2019")</f>
        <v>2018-2019</v>
      </c>
      <c r="D34" s="71" t="str">
        <f>IFERROR(__xludf.DUMMYFUNCTION("""COMPUTED_VALUE"""),"4th place in creative ad making")</f>
        <v>4th place in creative ad making</v>
      </c>
      <c r="E34" s="72">
        <f>IFERROR(__xludf.DUMMYFUNCTION("""COMPUTED_VALUE"""),43358.0)</f>
        <v>43358</v>
      </c>
      <c r="F34" s="71" t="str">
        <f>IFERROR(__xludf.DUMMYFUNCTION("""COMPUTED_VALUE"""),"Mvgr college of engineering ")</f>
        <v>Mvgr college of engineering </v>
      </c>
      <c r="G34" s="73" t="str">
        <f>IFERROR(__xludf.DUMMYFUNCTION("""COMPUTED_VALUE"""),"https://drive.google.com/open?id=1YRzFQEBgsDlYrmKJpQZK7rihv1Ts_b0I")</f>
        <v>https://drive.google.com/open?id=1YRzFQEBgsDlYrmKJpQZK7rihv1Ts_b0I</v>
      </c>
      <c r="H34" s="71" t="str">
        <f>IFERROR(__xludf.DUMMYFUNCTION("""COMPUTED_VALUE"""),"2018-2022")</f>
        <v>2018-2022</v>
      </c>
      <c r="I34" s="71" t="str">
        <f>IFERROR(__xludf.DUMMYFUNCTION("""COMPUTED_VALUE"""),"S11: Student Awards")</f>
        <v>S11: Student Awards</v>
      </c>
      <c r="J34" s="71" t="str">
        <f>IFERROR(__xludf.DUMMYFUNCTION("""COMPUTED_VALUE"""),"mandadi.prathyusha@gmail.com")</f>
        <v>mandadi.prathyusha@gmail.com</v>
      </c>
      <c r="K34" s="71" t="str">
        <f>IFERROR(__xludf.DUMMYFUNCTION("""COMPUTED_VALUE"""),"SEM-8")</f>
        <v>SEM-8</v>
      </c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</row>
    <row r="35" ht="33.75" customHeight="1">
      <c r="A35" s="71" t="str">
        <f>IFERROR(__xludf.DUMMYFUNCTION("""COMPUTED_VALUE"""),"Sai Yogesh Bhasuru")</f>
        <v>Sai Yogesh Bhasuru</v>
      </c>
      <c r="B35" s="71" t="str">
        <f>IFERROR(__xludf.DUMMYFUNCTION("""COMPUTED_VALUE"""),"18331A05D4")</f>
        <v>18331A05D4</v>
      </c>
      <c r="C35" s="71" t="str">
        <f>IFERROR(__xludf.DUMMYFUNCTION("""COMPUTED_VALUE"""),"2018-2019")</f>
        <v>2018-2019</v>
      </c>
      <c r="D35" s="71" t="str">
        <f>IFERROR(__xludf.DUMMYFUNCTION("""COMPUTED_VALUE"""),"Ranked 54th in India")</f>
        <v>Ranked 54th in India</v>
      </c>
      <c r="E35" s="72">
        <f>IFERROR(__xludf.DUMMYFUNCTION("""COMPUTED_VALUE"""),43757.0)</f>
        <v>43757</v>
      </c>
      <c r="F35" s="71" t="str">
        <f>IFERROR(__xludf.DUMMYFUNCTION("""COMPUTED_VALUE"""),"IEEE")</f>
        <v>IEEE</v>
      </c>
      <c r="G35" s="73" t="str">
        <f>IFERROR(__xludf.DUMMYFUNCTION("""COMPUTED_VALUE"""),"https://drive.google.com/open?id=11oFg23t3ZKMD-lJrDa5C7OpBFpQ9H73T")</f>
        <v>https://drive.google.com/open?id=11oFg23t3ZKMD-lJrDa5C7OpBFpQ9H73T</v>
      </c>
      <c r="H35" s="71" t="str">
        <f>IFERROR(__xludf.DUMMYFUNCTION("""COMPUTED_VALUE"""),"2018-2022")</f>
        <v>2018-2022</v>
      </c>
      <c r="I35" s="71" t="str">
        <f>IFERROR(__xludf.DUMMYFUNCTION("""COMPUTED_VALUE"""),"S11: Student Awards")</f>
        <v>S11: Student Awards</v>
      </c>
      <c r="J35" s="71" t="str">
        <f>IFERROR(__xludf.DUMMYFUNCTION("""COMPUTED_VALUE"""),"saiyogeshbhasuru16@gmail.com")</f>
        <v>saiyogeshbhasuru16@gmail.com</v>
      </c>
      <c r="K35" s="71" t="str">
        <f>IFERROR(__xludf.DUMMYFUNCTION("""COMPUTED_VALUE"""),"SEM-8")</f>
        <v>SEM-8</v>
      </c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</row>
    <row r="36" ht="33.75" customHeight="1">
      <c r="A36" s="71" t="str">
        <f>IFERROR(__xludf.DUMMYFUNCTION("""COMPUTED_VALUE"""),"Sai Yogesh Bhasuru")</f>
        <v>Sai Yogesh Bhasuru</v>
      </c>
      <c r="B36" s="71" t="str">
        <f>IFERROR(__xludf.DUMMYFUNCTION("""COMPUTED_VALUE"""),"18331A05D4")</f>
        <v>18331A05D4</v>
      </c>
      <c r="C36" s="71" t="str">
        <f>IFERROR(__xludf.DUMMYFUNCTION("""COMPUTED_VALUE"""),"2020-2021")</f>
        <v>2020-2021</v>
      </c>
      <c r="D36" s="71" t="str">
        <f>IFERROR(__xludf.DUMMYFUNCTION("""COMPUTED_VALUE"""),"ranked 125th in India")</f>
        <v>ranked 125th in India</v>
      </c>
      <c r="E36" s="72">
        <f>IFERROR(__xludf.DUMMYFUNCTION("""COMPUTED_VALUE"""),44128.0)</f>
        <v>44128</v>
      </c>
      <c r="F36" s="71" t="str">
        <f>IFERROR(__xludf.DUMMYFUNCTION("""COMPUTED_VALUE"""),"IEEE")</f>
        <v>IEEE</v>
      </c>
      <c r="G36" s="73" t="str">
        <f>IFERROR(__xludf.DUMMYFUNCTION("""COMPUTED_VALUE"""),"https://drive.google.com/open?id=1_hWaWfnrw-tMxz7sGcU2vpEumtEmhwt6")</f>
        <v>https://drive.google.com/open?id=1_hWaWfnrw-tMxz7sGcU2vpEumtEmhwt6</v>
      </c>
      <c r="H36" s="71" t="str">
        <f>IFERROR(__xludf.DUMMYFUNCTION("""COMPUTED_VALUE"""),"2018-2022")</f>
        <v>2018-2022</v>
      </c>
      <c r="I36" s="71" t="str">
        <f>IFERROR(__xludf.DUMMYFUNCTION("""COMPUTED_VALUE"""),"S11: Student Awards")</f>
        <v>S11: Student Awards</v>
      </c>
      <c r="J36" s="71" t="str">
        <f>IFERROR(__xludf.DUMMYFUNCTION("""COMPUTED_VALUE"""),"saiyogeshbhasuru16@gmail.com")</f>
        <v>saiyogeshbhasuru16@gmail.com</v>
      </c>
      <c r="K36" s="71" t="str">
        <f>IFERROR(__xludf.DUMMYFUNCTION("""COMPUTED_VALUE"""),"SEM-8")</f>
        <v>SEM-8</v>
      </c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</row>
    <row r="37" ht="33.75" customHeight="1">
      <c r="A37" s="71" t="str">
        <f>IFERROR(__xludf.DUMMYFUNCTION("""COMPUTED_VALUE"""),"Mandadi Bharathi naga sri sai prathyusha ")</f>
        <v>Mandadi Bharathi naga sri sai prathyusha </v>
      </c>
      <c r="B37" s="71" t="str">
        <f>IFERROR(__xludf.DUMMYFUNCTION("""COMPUTED_VALUE"""),"18331A0593")</f>
        <v>18331A0593</v>
      </c>
      <c r="C37" s="71" t="str">
        <f>IFERROR(__xludf.DUMMYFUNCTION("""COMPUTED_VALUE"""),"2019-2020")</f>
        <v>2019-2020</v>
      </c>
      <c r="D37" s="71" t="str">
        <f>IFERROR(__xludf.DUMMYFUNCTION("""COMPUTED_VALUE"""),"First prize in PPT presentation ")</f>
        <v>First prize in PPT presentation </v>
      </c>
      <c r="E37" s="72">
        <f>IFERROR(__xludf.DUMMYFUNCTION("""COMPUTED_VALUE"""),43532.0)</f>
        <v>43532</v>
      </c>
      <c r="F37" s="71" t="str">
        <f>IFERROR(__xludf.DUMMYFUNCTION("""COMPUTED_VALUE"""),"Mvgr college of engineering ")</f>
        <v>Mvgr college of engineering </v>
      </c>
      <c r="G37" s="73" t="str">
        <f>IFERROR(__xludf.DUMMYFUNCTION("""COMPUTED_VALUE"""),"https://drive.google.com/open?id=1f5fkYcbl5lPC1KzM9l4IKPF55533wJ9L")</f>
        <v>https://drive.google.com/open?id=1f5fkYcbl5lPC1KzM9l4IKPF55533wJ9L</v>
      </c>
      <c r="H37" s="71" t="str">
        <f>IFERROR(__xludf.DUMMYFUNCTION("""COMPUTED_VALUE"""),"2018-2022")</f>
        <v>2018-2022</v>
      </c>
      <c r="I37" s="71" t="str">
        <f>IFERROR(__xludf.DUMMYFUNCTION("""COMPUTED_VALUE"""),"S11: Student Awards")</f>
        <v>S11: Student Awards</v>
      </c>
      <c r="J37" s="71" t="str">
        <f>IFERROR(__xludf.DUMMYFUNCTION("""COMPUTED_VALUE"""),"mandadi.prathyusha@gmail.com")</f>
        <v>mandadi.prathyusha@gmail.com</v>
      </c>
      <c r="K37" s="71" t="str">
        <f>IFERROR(__xludf.DUMMYFUNCTION("""COMPUTED_VALUE"""),"SEM-8")</f>
        <v>SEM-8</v>
      </c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</row>
    <row r="38" ht="33.75" customHeight="1">
      <c r="A38" s="71" t="str">
        <f>IFERROR(__xludf.DUMMYFUNCTION("""COMPUTED_VALUE"""),"Sai Yogesh Bhasuru")</f>
        <v>Sai Yogesh Bhasuru</v>
      </c>
      <c r="B38" s="71" t="str">
        <f>IFERROR(__xludf.DUMMYFUNCTION("""COMPUTED_VALUE"""),"18331A05D4")</f>
        <v>18331A05D4</v>
      </c>
      <c r="C38" s="71" t="str">
        <f>IFERROR(__xludf.DUMMYFUNCTION("""COMPUTED_VALUE"""),"2019-2020")</f>
        <v>2019-2020</v>
      </c>
      <c r="D38" s="71" t="str">
        <f>IFERROR(__xludf.DUMMYFUNCTION("""COMPUTED_VALUE"""),"Participation")</f>
        <v>Participation</v>
      </c>
      <c r="E38" s="72">
        <f>IFERROR(__xludf.DUMMYFUNCTION("""COMPUTED_VALUE"""),43937.0)</f>
        <v>43937</v>
      </c>
      <c r="F38" s="71" t="str">
        <f>IFERROR(__xludf.DUMMYFUNCTION("""COMPUTED_VALUE"""),"Edu Skills")</f>
        <v>Edu Skills</v>
      </c>
      <c r="G38" s="73" t="str">
        <f>IFERROR(__xludf.DUMMYFUNCTION("""COMPUTED_VALUE"""),"https://drive.google.com/open?id=1gFA1lCu4rHLk8s0vfQ6Wa3HEML6MLnnW")</f>
        <v>https://drive.google.com/open?id=1gFA1lCu4rHLk8s0vfQ6Wa3HEML6MLnnW</v>
      </c>
      <c r="H38" s="71" t="str">
        <f>IFERROR(__xludf.DUMMYFUNCTION("""COMPUTED_VALUE"""),"2018-2022")</f>
        <v>2018-2022</v>
      </c>
      <c r="I38" s="71" t="str">
        <f>IFERROR(__xludf.DUMMYFUNCTION("""COMPUTED_VALUE"""),"S11: Student Awards")</f>
        <v>S11: Student Awards</v>
      </c>
      <c r="J38" s="71" t="str">
        <f>IFERROR(__xludf.DUMMYFUNCTION("""COMPUTED_VALUE"""),"saiyogeshbhasuru16@gmail.com")</f>
        <v>saiyogeshbhasuru16@gmail.com</v>
      </c>
      <c r="K38" s="71" t="str">
        <f>IFERROR(__xludf.DUMMYFUNCTION("""COMPUTED_VALUE"""),"SEM-8")</f>
        <v>SEM-8</v>
      </c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</row>
    <row r="39" ht="33.75" customHeight="1">
      <c r="A39" s="71" t="str">
        <f>IFERROR(__xludf.DUMMYFUNCTION("""COMPUTED_VALUE"""),"Gara Ranjeet")</f>
        <v>Gara Ranjeet</v>
      </c>
      <c r="B39" s="71" t="str">
        <f>IFERROR(__xludf.DUMMYFUNCTION("""COMPUTED_VALUE"""),"18331A0544")</f>
        <v>18331A0544</v>
      </c>
      <c r="C39" s="71" t="str">
        <f>IFERROR(__xludf.DUMMYFUNCTION("""COMPUTED_VALUE"""),"2018-2019")</f>
        <v>2018-2019</v>
      </c>
      <c r="D39" s="71" t="str">
        <f>IFERROR(__xludf.DUMMYFUNCTION("""COMPUTED_VALUE"""),"Winner in Intra Collage Football ")</f>
        <v>Winner in Intra Collage Football </v>
      </c>
      <c r="E39" s="72">
        <f>IFERROR(__xludf.DUMMYFUNCTION("""COMPUTED_VALUE"""),43527.0)</f>
        <v>43527</v>
      </c>
      <c r="F39" s="71" t="str">
        <f>IFERROR(__xludf.DUMMYFUNCTION("""COMPUTED_VALUE"""),"MVGR College of Engineering")</f>
        <v>MVGR College of Engineering</v>
      </c>
      <c r="G39" s="73" t="str">
        <f>IFERROR(__xludf.DUMMYFUNCTION("""COMPUTED_VALUE"""),"https://drive.google.com/open?id=1exrzR0Tq1AAGjjixli_wHi2BLmsP9l2J")</f>
        <v>https://drive.google.com/open?id=1exrzR0Tq1AAGjjixli_wHi2BLmsP9l2J</v>
      </c>
      <c r="H39" s="71" t="str">
        <f>IFERROR(__xludf.DUMMYFUNCTION("""COMPUTED_VALUE"""),"2018-2022")</f>
        <v>2018-2022</v>
      </c>
      <c r="I39" s="71" t="str">
        <f>IFERROR(__xludf.DUMMYFUNCTION("""COMPUTED_VALUE"""),"S11: Student Awards")</f>
        <v>S11: Student Awards</v>
      </c>
      <c r="J39" s="71" t="str">
        <f>IFERROR(__xludf.DUMMYFUNCTION("""COMPUTED_VALUE"""),"ranjeetgara123@gmail.com")</f>
        <v>ranjeetgara123@gmail.com</v>
      </c>
      <c r="K39" s="71" t="str">
        <f>IFERROR(__xludf.DUMMYFUNCTION("""COMPUTED_VALUE"""),"SEM-2")</f>
        <v>SEM-2</v>
      </c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</row>
    <row r="40" ht="33.75" customHeight="1">
      <c r="A40" s="71" t="str">
        <f>IFERROR(__xludf.DUMMYFUNCTION("""COMPUTED_VALUE"""),"Gara Ranjeet ")</f>
        <v>Gara Ranjeet </v>
      </c>
      <c r="B40" s="71" t="str">
        <f>IFERROR(__xludf.DUMMYFUNCTION("""COMPUTED_VALUE"""),"18331A0544")</f>
        <v>18331A0544</v>
      </c>
      <c r="C40" s="71" t="str">
        <f>IFERROR(__xludf.DUMMYFUNCTION("""COMPUTED_VALUE"""),"2019-2020")</f>
        <v>2019-2020</v>
      </c>
      <c r="D40" s="71" t="str">
        <f>IFERROR(__xludf.DUMMYFUNCTION("""COMPUTED_VALUE"""),"Runners in C-Quencz")</f>
        <v>Runners in C-Quencz</v>
      </c>
      <c r="E40" s="72">
        <f>IFERROR(__xludf.DUMMYFUNCTION("""COMPUTED_VALUE"""),43717.0)</f>
        <v>43717</v>
      </c>
      <c r="F40" s="71" t="str">
        <f>IFERROR(__xludf.DUMMYFUNCTION("""COMPUTED_VALUE"""),"BITS Vizag")</f>
        <v>BITS Vizag</v>
      </c>
      <c r="G40" s="73" t="str">
        <f>IFERROR(__xludf.DUMMYFUNCTION("""COMPUTED_VALUE"""),"https://drive.google.com/open?id=1VBFzDwiftdcDb4NNTOQzmJZ83ltxNxGZ")</f>
        <v>https://drive.google.com/open?id=1VBFzDwiftdcDb4NNTOQzmJZ83ltxNxGZ</v>
      </c>
      <c r="H40" s="71" t="str">
        <f>IFERROR(__xludf.DUMMYFUNCTION("""COMPUTED_VALUE"""),"2018-2022")</f>
        <v>2018-2022</v>
      </c>
      <c r="I40" s="71" t="str">
        <f>IFERROR(__xludf.DUMMYFUNCTION("""COMPUTED_VALUE"""),"S11: Student Awards")</f>
        <v>S11: Student Awards</v>
      </c>
      <c r="J40" s="71" t="str">
        <f>IFERROR(__xludf.DUMMYFUNCTION("""COMPUTED_VALUE"""),"ranjeetgara123@gmail.com")</f>
        <v>ranjeetgara123@gmail.com</v>
      </c>
      <c r="K40" s="71" t="str">
        <f>IFERROR(__xludf.DUMMYFUNCTION("""COMPUTED_VALUE"""),"SEM-3")</f>
        <v>SEM-3</v>
      </c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</row>
    <row r="41" ht="33.75" customHeight="1">
      <c r="A41" s="71" t="str">
        <f>IFERROR(__xludf.DUMMYFUNCTION("""COMPUTED_VALUE"""),"Gara Ranjeet")</f>
        <v>Gara Ranjeet</v>
      </c>
      <c r="B41" s="71" t="str">
        <f>IFERROR(__xludf.DUMMYFUNCTION("""COMPUTED_VALUE"""),"18331A0544")</f>
        <v>18331A0544</v>
      </c>
      <c r="C41" s="71" t="str">
        <f>IFERROR(__xludf.DUMMYFUNCTION("""COMPUTED_VALUE"""),"2021-2022")</f>
        <v>2021-2022</v>
      </c>
      <c r="D41" s="71" t="str">
        <f>IFERROR(__xludf.DUMMYFUNCTION("""COMPUTED_VALUE"""),"Participated in Jumpstart")</f>
        <v>Participated in Jumpstart</v>
      </c>
      <c r="E41" s="72">
        <f>IFERROR(__xludf.DUMMYFUNCTION("""COMPUTED_VALUE"""),44424.0)</f>
        <v>44424</v>
      </c>
      <c r="F41" s="71" t="str">
        <f>IFERROR(__xludf.DUMMYFUNCTION("""COMPUTED_VALUE"""),"Publicis Sapient")</f>
        <v>Publicis Sapient</v>
      </c>
      <c r="G41" s="73" t="str">
        <f>IFERROR(__xludf.DUMMYFUNCTION("""COMPUTED_VALUE"""),"https://drive.google.com/open?id=18DQ-a_SgSwwQNnJR71iVduvkRog5eD4i")</f>
        <v>https://drive.google.com/open?id=18DQ-a_SgSwwQNnJR71iVduvkRog5eD4i</v>
      </c>
      <c r="H41" s="71" t="str">
        <f>IFERROR(__xludf.DUMMYFUNCTION("""COMPUTED_VALUE"""),"2018-2022")</f>
        <v>2018-2022</v>
      </c>
      <c r="I41" s="71" t="str">
        <f>IFERROR(__xludf.DUMMYFUNCTION("""COMPUTED_VALUE"""),"S11: Student Awards")</f>
        <v>S11: Student Awards</v>
      </c>
      <c r="J41" s="71" t="str">
        <f>IFERROR(__xludf.DUMMYFUNCTION("""COMPUTED_VALUE"""),"ranjeetgara123@gmail.com")</f>
        <v>ranjeetgara123@gmail.com</v>
      </c>
      <c r="K41" s="71" t="str">
        <f>IFERROR(__xludf.DUMMYFUNCTION("""COMPUTED_VALUE"""),"SEM-7")</f>
        <v>SEM-7</v>
      </c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</row>
    <row r="42" ht="33.75" customHeight="1">
      <c r="A42" s="71" t="str">
        <f>IFERROR(__xludf.DUMMYFUNCTION("""COMPUTED_VALUE"""),"Gara Ranjeet")</f>
        <v>Gara Ranjeet</v>
      </c>
      <c r="B42" s="71" t="str">
        <f>IFERROR(__xludf.DUMMYFUNCTION("""COMPUTED_VALUE"""),"18331A0544")</f>
        <v>18331A0544</v>
      </c>
      <c r="C42" s="71" t="str">
        <f>IFERROR(__xludf.DUMMYFUNCTION("""COMPUTED_VALUE"""),"2021-2022")</f>
        <v>2021-2022</v>
      </c>
      <c r="D42" s="71" t="str">
        <f>IFERROR(__xludf.DUMMYFUNCTION("""COMPUTED_VALUE"""),"Participated in Flikart Griid 3.0")</f>
        <v>Participated in Flikart Griid 3.0</v>
      </c>
      <c r="E42" s="72">
        <f>IFERROR(__xludf.DUMMYFUNCTION("""COMPUTED_VALUE"""),44474.0)</f>
        <v>44474</v>
      </c>
      <c r="F42" s="71" t="str">
        <f>IFERROR(__xludf.DUMMYFUNCTION("""COMPUTED_VALUE"""),"Flipkart")</f>
        <v>Flipkart</v>
      </c>
      <c r="G42" s="73" t="str">
        <f>IFERROR(__xludf.DUMMYFUNCTION("""COMPUTED_VALUE"""),"https://drive.google.com/open?id=12CWg_r8JF53cf3Baygsp9xmHsKumoWl6")</f>
        <v>https://drive.google.com/open?id=12CWg_r8JF53cf3Baygsp9xmHsKumoWl6</v>
      </c>
      <c r="H42" s="71" t="str">
        <f>IFERROR(__xludf.DUMMYFUNCTION("""COMPUTED_VALUE"""),"2018-2022")</f>
        <v>2018-2022</v>
      </c>
      <c r="I42" s="71" t="str">
        <f>IFERROR(__xludf.DUMMYFUNCTION("""COMPUTED_VALUE"""),"S11: Student Awards")</f>
        <v>S11: Student Awards</v>
      </c>
      <c r="J42" s="71" t="str">
        <f>IFERROR(__xludf.DUMMYFUNCTION("""COMPUTED_VALUE"""),"ranjeetgara123@gmail.com")</f>
        <v>ranjeetgara123@gmail.com</v>
      </c>
      <c r="K42" s="71" t="str">
        <f>IFERROR(__xludf.DUMMYFUNCTION("""COMPUTED_VALUE"""),"SEM-7")</f>
        <v>SEM-7</v>
      </c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</row>
    <row r="43" ht="33.75" customHeight="1">
      <c r="A43" s="71" t="str">
        <f>IFERROR(__xludf.DUMMYFUNCTION("""COMPUTED_VALUE"""),"Gara Ranjeet")</f>
        <v>Gara Ranjeet</v>
      </c>
      <c r="B43" s="71" t="str">
        <f>IFERROR(__xludf.DUMMYFUNCTION("""COMPUTED_VALUE"""),"18331A0544")</f>
        <v>18331A0544</v>
      </c>
      <c r="C43" s="71" t="str">
        <f>IFERROR(__xludf.DUMMYFUNCTION("""COMPUTED_VALUE"""),"2021-2022")</f>
        <v>2021-2022</v>
      </c>
      <c r="D43" s="71" t="str">
        <f>IFERROR(__xludf.DUMMYFUNCTION("""COMPUTED_VALUE"""),"Participated in Juspay Hiring Challenge")</f>
        <v>Participated in Juspay Hiring Challenge</v>
      </c>
      <c r="E43" s="72">
        <f>IFERROR(__xludf.DUMMYFUNCTION("""COMPUTED_VALUE"""),44529.0)</f>
        <v>44529</v>
      </c>
      <c r="F43" s="71" t="str">
        <f>IFERROR(__xludf.DUMMYFUNCTION("""COMPUTED_VALUE"""),"Juspay")</f>
        <v>Juspay</v>
      </c>
      <c r="G43" s="73" t="str">
        <f>IFERROR(__xludf.DUMMYFUNCTION("""COMPUTED_VALUE"""),"https://drive.google.com/open?id=1JJuiFEf9tPTTCoSLFcd05jYGhtg__3XX")</f>
        <v>https://drive.google.com/open?id=1JJuiFEf9tPTTCoSLFcd05jYGhtg__3XX</v>
      </c>
      <c r="H43" s="71" t="str">
        <f>IFERROR(__xludf.DUMMYFUNCTION("""COMPUTED_VALUE"""),"2018-2022")</f>
        <v>2018-2022</v>
      </c>
      <c r="I43" s="71" t="str">
        <f>IFERROR(__xludf.DUMMYFUNCTION("""COMPUTED_VALUE"""),"S11: Student Awards")</f>
        <v>S11: Student Awards</v>
      </c>
      <c r="J43" s="71" t="str">
        <f>IFERROR(__xludf.DUMMYFUNCTION("""COMPUTED_VALUE"""),"ranjeetgara123@gmail.com")</f>
        <v>ranjeetgara123@gmail.com</v>
      </c>
      <c r="K43" s="71" t="str">
        <f>IFERROR(__xludf.DUMMYFUNCTION("""COMPUTED_VALUE"""),"SEM-7")</f>
        <v>SEM-7</v>
      </c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</row>
    <row r="44" ht="33.75" customHeight="1">
      <c r="A44" s="71" t="str">
        <f>IFERROR(__xludf.DUMMYFUNCTION("""COMPUTED_VALUE"""),"Gara Ranjeet")</f>
        <v>Gara Ranjeet</v>
      </c>
      <c r="B44" s="71" t="str">
        <f>IFERROR(__xludf.DUMMYFUNCTION("""COMPUTED_VALUE"""),"18331A0544")</f>
        <v>18331A0544</v>
      </c>
      <c r="C44" s="71" t="str">
        <f>IFERROR(__xludf.DUMMYFUNCTION("""COMPUTED_VALUE"""),"2021-2022")</f>
        <v>2021-2022</v>
      </c>
      <c r="D44" s="71" t="str">
        <f>IFERROR(__xludf.DUMMYFUNCTION("""COMPUTED_VALUE"""),"Participated in Juspay Hiring Challenge")</f>
        <v>Participated in Juspay Hiring Challenge</v>
      </c>
      <c r="E44" s="72">
        <f>IFERROR(__xludf.DUMMYFUNCTION("""COMPUTED_VALUE"""),44530.0)</f>
        <v>44530</v>
      </c>
      <c r="F44" s="71" t="str">
        <f>IFERROR(__xludf.DUMMYFUNCTION("""COMPUTED_VALUE"""),"Juspay")</f>
        <v>Juspay</v>
      </c>
      <c r="G44" s="73" t="str">
        <f>IFERROR(__xludf.DUMMYFUNCTION("""COMPUTED_VALUE"""),"https://drive.google.com/open?id=164PkLKDM0UG_ADq-iyJk3eLt2LeK4efP")</f>
        <v>https://drive.google.com/open?id=164PkLKDM0UG_ADq-iyJk3eLt2LeK4efP</v>
      </c>
      <c r="H44" s="71" t="str">
        <f>IFERROR(__xludf.DUMMYFUNCTION("""COMPUTED_VALUE"""),"2018-2022")</f>
        <v>2018-2022</v>
      </c>
      <c r="I44" s="71" t="str">
        <f>IFERROR(__xludf.DUMMYFUNCTION("""COMPUTED_VALUE"""),"S11: Student Awards")</f>
        <v>S11: Student Awards</v>
      </c>
      <c r="J44" s="71" t="str">
        <f>IFERROR(__xludf.DUMMYFUNCTION("""COMPUTED_VALUE"""),"ranjeetgara123@gmail.com")</f>
        <v>ranjeetgara123@gmail.com</v>
      </c>
      <c r="K44" s="71" t="str">
        <f>IFERROR(__xludf.DUMMYFUNCTION("""COMPUTED_VALUE"""),"SEM-7")</f>
        <v>SEM-7</v>
      </c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</row>
    <row r="45" ht="33.75" customHeight="1">
      <c r="A45" s="71" t="str">
        <f>IFERROR(__xludf.DUMMYFUNCTION("""COMPUTED_VALUE"""),"Gara Ranjeet")</f>
        <v>Gara Ranjeet</v>
      </c>
      <c r="B45" s="71" t="str">
        <f>IFERROR(__xludf.DUMMYFUNCTION("""COMPUTED_VALUE"""),"18331A0544")</f>
        <v>18331A0544</v>
      </c>
      <c r="C45" s="71" t="str">
        <f>IFERROR(__xludf.DUMMYFUNCTION("""COMPUTED_VALUE"""),"2021-2022")</f>
        <v>2021-2022</v>
      </c>
      <c r="D45" s="71" t="str">
        <f>IFERROR(__xludf.DUMMYFUNCTION("""COMPUTED_VALUE"""),"Participated in Craze-Athon")</f>
        <v>Participated in Craze-Athon</v>
      </c>
      <c r="E45" s="72">
        <f>IFERROR(__xludf.DUMMYFUNCTION("""COMPUTED_VALUE"""),44624.0)</f>
        <v>44624</v>
      </c>
      <c r="F45" s="71" t="str">
        <f>IFERROR(__xludf.DUMMYFUNCTION("""COMPUTED_VALUE"""),"Anther Energy")</f>
        <v>Anther Energy</v>
      </c>
      <c r="G45" s="73" t="str">
        <f>IFERROR(__xludf.DUMMYFUNCTION("""COMPUTED_VALUE"""),"https://drive.google.com/open?id=1lielZ9SCE8IidGkSQqOF6wsdXvjIU3iV")</f>
        <v>https://drive.google.com/open?id=1lielZ9SCE8IidGkSQqOF6wsdXvjIU3iV</v>
      </c>
      <c r="H45" s="71" t="str">
        <f>IFERROR(__xludf.DUMMYFUNCTION("""COMPUTED_VALUE"""),"2018-2022")</f>
        <v>2018-2022</v>
      </c>
      <c r="I45" s="71" t="str">
        <f>IFERROR(__xludf.DUMMYFUNCTION("""COMPUTED_VALUE"""),"S11: Student Awards")</f>
        <v>S11: Student Awards</v>
      </c>
      <c r="J45" s="71" t="str">
        <f>IFERROR(__xludf.DUMMYFUNCTION("""COMPUTED_VALUE"""),"ranjeetgara123@gmail.com")</f>
        <v>ranjeetgara123@gmail.com</v>
      </c>
      <c r="K45" s="71" t="str">
        <f>IFERROR(__xludf.DUMMYFUNCTION("""COMPUTED_VALUE"""),"SEM-8")</f>
        <v>SEM-8</v>
      </c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</row>
    <row r="46" ht="33.75" customHeight="1">
      <c r="A46" s="71" t="str">
        <f>IFERROR(__xludf.DUMMYFUNCTION("""COMPUTED_VALUE"""),"Gara Ranjeet")</f>
        <v>Gara Ranjeet</v>
      </c>
      <c r="B46" s="71" t="str">
        <f>IFERROR(__xludf.DUMMYFUNCTION("""COMPUTED_VALUE"""),"18331A0544")</f>
        <v>18331A0544</v>
      </c>
      <c r="C46" s="71" t="str">
        <f>IFERROR(__xludf.DUMMYFUNCTION("""COMPUTED_VALUE"""),"2020-2021")</f>
        <v>2020-2021</v>
      </c>
      <c r="D46" s="71" t="str">
        <f>IFERROR(__xludf.DUMMYFUNCTION("""COMPUTED_VALUE"""),"Participated in IEEE Xtreme 14.0")</f>
        <v>Participated in IEEE Xtreme 14.0</v>
      </c>
      <c r="E46" s="72">
        <f>IFERROR(__xludf.DUMMYFUNCTION("""COMPUTED_VALUE"""),44128.0)</f>
        <v>44128</v>
      </c>
      <c r="F46" s="71" t="str">
        <f>IFERROR(__xludf.DUMMYFUNCTION("""COMPUTED_VALUE"""),"IEEE")</f>
        <v>IEEE</v>
      </c>
      <c r="G46" s="73" t="str">
        <f>IFERROR(__xludf.DUMMYFUNCTION("""COMPUTED_VALUE"""),"https://drive.google.com/open?id=1zjAe8X2zfPzNCJ-qrVbm0yKxYzq2Ms1A")</f>
        <v>https://drive.google.com/open?id=1zjAe8X2zfPzNCJ-qrVbm0yKxYzq2Ms1A</v>
      </c>
      <c r="H46" s="71" t="str">
        <f>IFERROR(__xludf.DUMMYFUNCTION("""COMPUTED_VALUE"""),"2018-2022")</f>
        <v>2018-2022</v>
      </c>
      <c r="I46" s="71" t="str">
        <f>IFERROR(__xludf.DUMMYFUNCTION("""COMPUTED_VALUE"""),"S11: Student Awards")</f>
        <v>S11: Student Awards</v>
      </c>
      <c r="J46" s="71" t="str">
        <f>IFERROR(__xludf.DUMMYFUNCTION("""COMPUTED_VALUE"""),"ranjeetgara123@gmail.com")</f>
        <v>ranjeetgara123@gmail.com</v>
      </c>
      <c r="K46" s="71" t="str">
        <f>IFERROR(__xludf.DUMMYFUNCTION("""COMPUTED_VALUE"""),"SEM-5")</f>
        <v>SEM-5</v>
      </c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</row>
    <row r="47" ht="33.75" customHeight="1">
      <c r="A47" s="71" t="str">
        <f>IFERROR(__xludf.DUMMYFUNCTION("""COMPUTED_VALUE"""),"Gara Ranjeet")</f>
        <v>Gara Ranjeet</v>
      </c>
      <c r="B47" s="71" t="str">
        <f>IFERROR(__xludf.DUMMYFUNCTION("""COMPUTED_VALUE"""),"18331A0544")</f>
        <v>18331A0544</v>
      </c>
      <c r="C47" s="71" t="str">
        <f>IFERROR(__xludf.DUMMYFUNCTION("""COMPUTED_VALUE"""),"2019-2020")</f>
        <v>2019-2020</v>
      </c>
      <c r="D47" s="71" t="str">
        <f>IFERROR(__xludf.DUMMYFUNCTION("""COMPUTED_VALUE"""),"Secured 4313rd positiono in Google KickStart 2020")</f>
        <v>Secured 4313rd positiono in Google KickStart 2020</v>
      </c>
      <c r="E47" s="72">
        <f>IFERROR(__xludf.DUMMYFUNCTION("""COMPUTED_VALUE"""),43924.0)</f>
        <v>43924</v>
      </c>
      <c r="F47" s="71" t="str">
        <f>IFERROR(__xludf.DUMMYFUNCTION("""COMPUTED_VALUE"""),"Google")</f>
        <v>Google</v>
      </c>
      <c r="G47" s="73" t="str">
        <f>IFERROR(__xludf.DUMMYFUNCTION("""COMPUTED_VALUE"""),"https://drive.google.com/open?id=1sDwciOtEuxq5IPhQZaT5VEoNzXGiQgdN")</f>
        <v>https://drive.google.com/open?id=1sDwciOtEuxq5IPhQZaT5VEoNzXGiQgdN</v>
      </c>
      <c r="H47" s="71" t="str">
        <f>IFERROR(__xludf.DUMMYFUNCTION("""COMPUTED_VALUE"""),"2018-2022")</f>
        <v>2018-2022</v>
      </c>
      <c r="I47" s="71" t="str">
        <f>IFERROR(__xludf.DUMMYFUNCTION("""COMPUTED_VALUE"""),"S11: Student Awards")</f>
        <v>S11: Student Awards</v>
      </c>
      <c r="J47" s="71" t="str">
        <f>IFERROR(__xludf.DUMMYFUNCTION("""COMPUTED_VALUE"""),"ranjeetgara123@gmail.com")</f>
        <v>ranjeetgara123@gmail.com</v>
      </c>
      <c r="K47" s="71" t="str">
        <f>IFERROR(__xludf.DUMMYFUNCTION("""COMPUTED_VALUE"""),"SEM-5")</f>
        <v>SEM-5</v>
      </c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</row>
    <row r="48" ht="33.75" customHeight="1">
      <c r="A48" s="71" t="str">
        <f>IFERROR(__xludf.DUMMYFUNCTION("""COMPUTED_VALUE"""),"Gara Ranjeet")</f>
        <v>Gara Ranjeet</v>
      </c>
      <c r="B48" s="71" t="str">
        <f>IFERROR(__xludf.DUMMYFUNCTION("""COMPUTED_VALUE"""),"18331A0544")</f>
        <v>18331A0544</v>
      </c>
      <c r="C48" s="71" t="str">
        <f>IFERROR(__xludf.DUMMYFUNCTION("""COMPUTED_VALUE"""),"2020-2021")</f>
        <v>2020-2021</v>
      </c>
      <c r="D48" s="71" t="str">
        <f>IFERROR(__xludf.DUMMYFUNCTION("""COMPUTED_VALUE"""),"participated in Quiz on C programming with data structures")</f>
        <v>participated in Quiz on C programming with data structures</v>
      </c>
      <c r="E48" s="72">
        <f>IFERROR(__xludf.DUMMYFUNCTION("""COMPUTED_VALUE"""),44171.0)</f>
        <v>44171</v>
      </c>
      <c r="F48" s="71" t="str">
        <f>IFERROR(__xludf.DUMMYFUNCTION("""COMPUTED_VALUE"""),"Pimpri Chinchwad College of Engineering")</f>
        <v>Pimpri Chinchwad College of Engineering</v>
      </c>
      <c r="G48" s="73" t="str">
        <f>IFERROR(__xludf.DUMMYFUNCTION("""COMPUTED_VALUE"""),"https://drive.google.com/open?id=15fShLSYa95M1CMx2QjXwiLnXqFK26po5")</f>
        <v>https://drive.google.com/open?id=15fShLSYa95M1CMx2QjXwiLnXqFK26po5</v>
      </c>
      <c r="H48" s="71" t="str">
        <f>IFERROR(__xludf.DUMMYFUNCTION("""COMPUTED_VALUE"""),"2018-2022")</f>
        <v>2018-2022</v>
      </c>
      <c r="I48" s="71" t="str">
        <f>IFERROR(__xludf.DUMMYFUNCTION("""COMPUTED_VALUE"""),"S11: Student Awards")</f>
        <v>S11: Student Awards</v>
      </c>
      <c r="J48" s="71" t="str">
        <f>IFERROR(__xludf.DUMMYFUNCTION("""COMPUTED_VALUE"""),"ranjeetgara123@gmail.com")</f>
        <v>ranjeetgara123@gmail.com</v>
      </c>
      <c r="K48" s="71" t="str">
        <f>IFERROR(__xludf.DUMMYFUNCTION("""COMPUTED_VALUE"""),"SEM-5")</f>
        <v>SEM-5</v>
      </c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</row>
    <row r="49" ht="33.75" customHeight="1">
      <c r="A49" s="75" t="str">
        <f>IFERROR(__xludf.DUMMYFUNCTION("""COMPUTED_VALUE"""),"INDU KAMBAPU")</f>
        <v>INDU KAMBAPU</v>
      </c>
      <c r="B49" s="75" t="str">
        <f>IFERROR(__xludf.DUMMYFUNCTION("""COMPUTED_VALUE"""),"18331A0565")</f>
        <v>18331A0565</v>
      </c>
      <c r="C49" s="75" t="str">
        <f>IFERROR(__xludf.DUMMYFUNCTION("""COMPUTED_VALUE"""),"2021-2022")</f>
        <v>2021-2022</v>
      </c>
      <c r="D49" s="75" t="str">
        <f>IFERROR(__xludf.DUMMYFUNCTION("""COMPUTED_VALUE"""),"HEAD START TO MERN STACK WITH REACT PROJECT -2 DAYS BOOTCAMP")</f>
        <v>HEAD START TO MERN STACK WITH REACT PROJECT -2 DAYS BOOTCAMP</v>
      </c>
      <c r="E49" s="76">
        <f>IFERROR(__xludf.DUMMYFUNCTION("""COMPUTED_VALUE"""),44316.0)</f>
        <v>44316</v>
      </c>
      <c r="F49" s="75" t="str">
        <f>IFERROR(__xludf.DUMMYFUNCTION("""COMPUTED_VALUE"""),"SKILL SAFARI")</f>
        <v>SKILL SAFARI</v>
      </c>
      <c r="G49" s="77" t="str">
        <f>IFERROR(__xludf.DUMMYFUNCTION("""COMPUTED_VALUE"""),"https://drive.google.com/open?id=1QhCd4X2faGs2frmeSijuspb-SsA1hgvh")</f>
        <v>https://drive.google.com/open?id=1QhCd4X2faGs2frmeSijuspb-SsA1hgvh</v>
      </c>
      <c r="H49" s="75" t="str">
        <f>IFERROR(__xludf.DUMMYFUNCTION("""COMPUTED_VALUE"""),"2018-2022")</f>
        <v>2018-2022</v>
      </c>
      <c r="I49" s="75" t="str">
        <f>IFERROR(__xludf.DUMMYFUNCTION("""COMPUTED_VALUE"""),"S11: Student Awards")</f>
        <v>S11: Student Awards</v>
      </c>
      <c r="J49" s="75" t="str">
        <f>IFERROR(__xludf.DUMMYFUNCTION("""COMPUTED_VALUE"""),"kambapuindu@gmail.com")</f>
        <v>kambapuindu@gmail.com</v>
      </c>
      <c r="K49" s="75" t="str">
        <f>IFERROR(__xludf.DUMMYFUNCTION("""COMPUTED_VALUE"""),"SEM-8")</f>
        <v>SEM-8</v>
      </c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</row>
    <row r="50" ht="33.75" customHeight="1">
      <c r="A50" s="71" t="str">
        <f>IFERROR(__xludf.DUMMYFUNCTION("""COMPUTED_VALUE"""),"TIRUMALARAJU VVIJAYARAMA MOHITH VARMA")</f>
        <v>TIRUMALARAJU VVIJAYARAMA MOHITH VARMA</v>
      </c>
      <c r="B50" s="71" t="str">
        <f>IFERROR(__xludf.DUMMYFUNCTION("""COMPUTED_VALUE"""),"18331A05F8")</f>
        <v>18331A05F8</v>
      </c>
      <c r="C50" s="71" t="str">
        <f>IFERROR(__xludf.DUMMYFUNCTION("""COMPUTED_VALUE"""),"2020-2021")</f>
        <v>2020-2021</v>
      </c>
      <c r="D50" s="71" t="str">
        <f>IFERROR(__xludf.DUMMYFUNCTION("""COMPUTED_VALUE"""),"NCC")</f>
        <v>NCC</v>
      </c>
      <c r="E50" s="72">
        <f>IFERROR(__xludf.DUMMYFUNCTION("""COMPUTED_VALUE"""),44530.0)</f>
        <v>44530</v>
      </c>
      <c r="F50" s="71" t="str">
        <f>IFERROR(__xludf.DUMMYFUNCTION("""COMPUTED_VALUE"""),"2(A) CTR NCC,VSP")</f>
        <v>2(A) CTR NCC,VSP</v>
      </c>
      <c r="G50" s="73" t="str">
        <f>IFERROR(__xludf.DUMMYFUNCTION("""COMPUTED_VALUE"""),"https://drive.google.com/open?id=1dxsEMUXbJMfkH09yBl3V1nbaVPYmlu0q")</f>
        <v>https://drive.google.com/open?id=1dxsEMUXbJMfkH09yBl3V1nbaVPYmlu0q</v>
      </c>
      <c r="H50" s="71" t="str">
        <f>IFERROR(__xludf.DUMMYFUNCTION("""COMPUTED_VALUE"""),"2018-2022")</f>
        <v>2018-2022</v>
      </c>
      <c r="I50" s="71" t="str">
        <f>IFERROR(__xludf.DUMMYFUNCTION("""COMPUTED_VALUE"""),"S11: Student Awards")</f>
        <v>S11: Student Awards</v>
      </c>
      <c r="J50" s="71" t="str">
        <f>IFERROR(__xludf.DUMMYFUNCTION("""COMPUTED_VALUE"""),"vijayaramaraju1999@gmail.com")</f>
        <v>vijayaramaraju1999@gmail.com</v>
      </c>
      <c r="K50" s="71" t="str">
        <f>IFERROR(__xludf.DUMMYFUNCTION("""COMPUTED_VALUE"""),"SEM-8")</f>
        <v>SEM-8</v>
      </c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</row>
    <row r="51" ht="33.75" customHeight="1">
      <c r="A51" s="71" t="str">
        <f>IFERROR(__xludf.DUMMYFUNCTION("""COMPUTED_VALUE"""),"L.Kavya")</f>
        <v>L.Kavya</v>
      </c>
      <c r="B51" s="71" t="str">
        <f>IFERROR(__xludf.DUMMYFUNCTION("""COMPUTED_VALUE"""),"18331A0585")</f>
        <v>18331A0585</v>
      </c>
      <c r="C51" s="71" t="str">
        <f>IFERROR(__xludf.DUMMYFUNCTION("""COMPUTED_VALUE"""),"2018-2019")</f>
        <v>2018-2019</v>
      </c>
      <c r="D51" s="71" t="str">
        <f>IFERROR(__xludf.DUMMYFUNCTION("""COMPUTED_VALUE"""),"Essay Writing -3rd Prize on the eve of Women's Day")</f>
        <v>Essay Writing -3rd Prize on the eve of Women's Day</v>
      </c>
      <c r="E51" s="72">
        <f>IFERROR(__xludf.DUMMYFUNCTION("""COMPUTED_VALUE"""),43532.0)</f>
        <v>43532</v>
      </c>
      <c r="F51" s="71" t="str">
        <f>IFERROR(__xludf.DUMMYFUNCTION("""COMPUTED_VALUE"""),"MVGR College of Engineering ")</f>
        <v>MVGR College of Engineering </v>
      </c>
      <c r="G51" s="73" t="str">
        <f>IFERROR(__xludf.DUMMYFUNCTION("""COMPUTED_VALUE"""),"https://drive.google.com/open?id=1rur1MIBRmakoHW0PG-WRkLUbz7xGtELk")</f>
        <v>https://drive.google.com/open?id=1rur1MIBRmakoHW0PG-WRkLUbz7xGtELk</v>
      </c>
      <c r="H51" s="71" t="str">
        <f>IFERROR(__xludf.DUMMYFUNCTION("""COMPUTED_VALUE"""),"2018-2022")</f>
        <v>2018-2022</v>
      </c>
      <c r="I51" s="71" t="str">
        <f>IFERROR(__xludf.DUMMYFUNCTION("""COMPUTED_VALUE"""),"S11: Student Awards")</f>
        <v>S11: Student Awards</v>
      </c>
      <c r="J51" s="71" t="str">
        <f>IFERROR(__xludf.DUMMYFUNCTION("""COMPUTED_VALUE"""),"lakhanapuramkavya@gmail.com")</f>
        <v>lakhanapuramkavya@gmail.com</v>
      </c>
      <c r="K51" s="71" t="str">
        <f>IFERROR(__xludf.DUMMYFUNCTION("""COMPUTED_VALUE"""),"SEM-8")</f>
        <v>SEM-8</v>
      </c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</row>
    <row r="52" ht="33.75" customHeight="1">
      <c r="A52" s="71" t="str">
        <f>IFERROR(__xludf.DUMMYFUNCTION("""COMPUTED_VALUE"""),"L.Kavya")</f>
        <v>L.Kavya</v>
      </c>
      <c r="B52" s="71" t="str">
        <f>IFERROR(__xludf.DUMMYFUNCTION("""COMPUTED_VALUE"""),"18331A0585")</f>
        <v>18331A0585</v>
      </c>
      <c r="C52" s="71" t="str">
        <f>IFERROR(__xludf.DUMMYFUNCTION("""COMPUTED_VALUE"""),"2020-2021")</f>
        <v>2020-2021</v>
      </c>
      <c r="D52" s="71" t="str">
        <f>IFERROR(__xludf.DUMMYFUNCTION("""COMPUTED_VALUE"""),"Co-Author in Meri Jubani Book")</f>
        <v>Co-Author in Meri Jubani Book</v>
      </c>
      <c r="E52" s="72">
        <f>IFERROR(__xludf.DUMMYFUNCTION("""COMPUTED_VALUE"""),44104.0)</f>
        <v>44104</v>
      </c>
      <c r="F52" s="71" t="str">
        <f>IFERROR(__xludf.DUMMYFUNCTION("""COMPUTED_VALUE"""),"Droplets of Ink Publications")</f>
        <v>Droplets of Ink Publications</v>
      </c>
      <c r="G52" s="73" t="str">
        <f>IFERROR(__xludf.DUMMYFUNCTION("""COMPUTED_VALUE"""),"https://drive.google.com/open?id=1SJ77RbJvhha7Ixqu9_K1Mj891gesr6jJ")</f>
        <v>https://drive.google.com/open?id=1SJ77RbJvhha7Ixqu9_K1Mj891gesr6jJ</v>
      </c>
      <c r="H52" s="71" t="str">
        <f>IFERROR(__xludf.DUMMYFUNCTION("""COMPUTED_VALUE"""),"2018-2022")</f>
        <v>2018-2022</v>
      </c>
      <c r="I52" s="71" t="str">
        <f>IFERROR(__xludf.DUMMYFUNCTION("""COMPUTED_VALUE"""),"S11: Student Awards")</f>
        <v>S11: Student Awards</v>
      </c>
      <c r="J52" s="71" t="str">
        <f>IFERROR(__xludf.DUMMYFUNCTION("""COMPUTED_VALUE"""),"lakhanapuramkavya@gmail.com")</f>
        <v>lakhanapuramkavya@gmail.com</v>
      </c>
      <c r="K52" s="71" t="str">
        <f>IFERROR(__xludf.DUMMYFUNCTION("""COMPUTED_VALUE"""),"SEM-8")</f>
        <v>SEM-8</v>
      </c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</row>
    <row r="53" ht="33.75" customHeight="1">
      <c r="A53" s="71" t="str">
        <f>IFERROR(__xludf.DUMMYFUNCTION("""COMPUTED_VALUE"""),"Uday sai kIran Abbireddy")</f>
        <v>Uday sai kIran Abbireddy</v>
      </c>
      <c r="B53" s="71" t="str">
        <f>IFERROR(__xludf.DUMMYFUNCTION("""COMPUTED_VALUE"""),"18331A05G0")</f>
        <v>18331A05G0</v>
      </c>
      <c r="C53" s="71" t="str">
        <f>IFERROR(__xludf.DUMMYFUNCTION("""COMPUTED_VALUE"""),"2021-2022")</f>
        <v>2021-2022</v>
      </c>
      <c r="D53" s="71" t="str">
        <f>IFERROR(__xludf.DUMMYFUNCTION("""COMPUTED_VALUE"""),"Ncc B certificate")</f>
        <v>Ncc B certificate</v>
      </c>
      <c r="E53" s="72">
        <f>IFERROR(__xludf.DUMMYFUNCTION("""COMPUTED_VALUE"""),44503.0)</f>
        <v>44503</v>
      </c>
      <c r="F53" s="71" t="str">
        <f>IFERROR(__xludf.DUMMYFUNCTION("""COMPUTED_VALUE"""),"Ministry of Defence")</f>
        <v>Ministry of Defence</v>
      </c>
      <c r="G53" s="73" t="str">
        <f>IFERROR(__xludf.DUMMYFUNCTION("""COMPUTED_VALUE"""),"https://drive.google.com/open?id=1RqkczE9AyMhEK147VBBtVh5cSdIieWKN")</f>
        <v>https://drive.google.com/open?id=1RqkczE9AyMhEK147VBBtVh5cSdIieWKN</v>
      </c>
      <c r="H53" s="71" t="str">
        <f>IFERROR(__xludf.DUMMYFUNCTION("""COMPUTED_VALUE"""),"2018-2022")</f>
        <v>2018-2022</v>
      </c>
      <c r="I53" s="71" t="str">
        <f>IFERROR(__xludf.DUMMYFUNCTION("""COMPUTED_VALUE"""),"S11: Student Awards")</f>
        <v>S11: Student Awards</v>
      </c>
      <c r="J53" s="71" t="str">
        <f>IFERROR(__xludf.DUMMYFUNCTION("""COMPUTED_VALUE"""),"abbireddy8300@gmail.com")</f>
        <v>abbireddy8300@gmail.com</v>
      </c>
      <c r="K53" s="71" t="str">
        <f>IFERROR(__xludf.DUMMYFUNCTION("""COMPUTED_VALUE"""),"SEM-6")</f>
        <v>SEM-6</v>
      </c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</row>
    <row r="54" ht="33.75" customHeight="1">
      <c r="A54" s="71" t="str">
        <f>IFERROR(__xludf.DUMMYFUNCTION("""COMPUTED_VALUE"""),"Vineetha thota")</f>
        <v>Vineetha thota</v>
      </c>
      <c r="B54" s="71" t="str">
        <f>IFERROR(__xludf.DUMMYFUNCTION("""COMPUTED_VALUE"""),"18331A05F5")</f>
        <v>18331A05F5</v>
      </c>
      <c r="C54" s="71" t="str">
        <f>IFERROR(__xludf.DUMMYFUNCTION("""COMPUTED_VALUE"""),"2017-2018")</f>
        <v>2017-2018</v>
      </c>
      <c r="D54" s="71" t="str">
        <f>IFERROR(__xludf.DUMMYFUNCTION("""COMPUTED_VALUE"""),"1st prize dring independence day competition")</f>
        <v>1st prize dring independence day competition</v>
      </c>
      <c r="E54" s="72">
        <f>IFERROR(__xludf.DUMMYFUNCTION("""COMPUTED_VALUE"""),43327.0)</f>
        <v>43327</v>
      </c>
      <c r="F54" s="71" t="str">
        <f>IFERROR(__xludf.DUMMYFUNCTION("""COMPUTED_VALUE"""),"Mvgr")</f>
        <v>Mvgr</v>
      </c>
      <c r="G54" s="73" t="str">
        <f>IFERROR(__xludf.DUMMYFUNCTION("""COMPUTED_VALUE"""),"https://drive.google.com/open?id=1E8igZRSp5FI396jnkfTgwu5IJlHZfWol")</f>
        <v>https://drive.google.com/open?id=1E8igZRSp5FI396jnkfTgwu5IJlHZfWol</v>
      </c>
      <c r="H54" s="71" t="str">
        <f>IFERROR(__xludf.DUMMYFUNCTION("""COMPUTED_VALUE"""),"2018-2022")</f>
        <v>2018-2022</v>
      </c>
      <c r="I54" s="71" t="str">
        <f>IFERROR(__xludf.DUMMYFUNCTION("""COMPUTED_VALUE"""),"S11: Student Awards")</f>
        <v>S11: Student Awards</v>
      </c>
      <c r="J54" s="71" t="str">
        <f>IFERROR(__xludf.DUMMYFUNCTION("""COMPUTED_VALUE"""),"vineethathota50@gmail.com")</f>
        <v>vineethathota50@gmail.com</v>
      </c>
      <c r="K54" s="71" t="str">
        <f>IFERROR(__xludf.DUMMYFUNCTION("""COMPUTED_VALUE"""),"SEM-8")</f>
        <v>SEM-8</v>
      </c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</row>
    <row r="55" ht="33.75" customHeight="1">
      <c r="A55" s="71" t="str">
        <f>IFERROR(__xludf.DUMMYFUNCTION("""COMPUTED_VALUE"""),"Killana Gayatri Venkata Manikanta")</f>
        <v>Killana Gayatri Venkata Manikanta</v>
      </c>
      <c r="B55" s="71" t="str">
        <f>IFERROR(__xludf.DUMMYFUNCTION("""COMPUTED_VALUE""")," 18331A0576")</f>
        <v> 18331A0576</v>
      </c>
      <c r="C55" s="71" t="str">
        <f>IFERROR(__xludf.DUMMYFUNCTION("""COMPUTED_VALUE"""),"2019-2020")</f>
        <v>2019-2020</v>
      </c>
      <c r="D55" s="71" t="str">
        <f>IFERROR(__xludf.DUMMYFUNCTION("""COMPUTED_VALUE"""),"sql certificate")</f>
        <v>sql certificate</v>
      </c>
      <c r="E55" s="72">
        <f>IFERROR(__xludf.DUMMYFUNCTION("""COMPUTED_VALUE"""),43979.0)</f>
        <v>43979</v>
      </c>
      <c r="F55" s="71" t="str">
        <f>IFERROR(__xludf.DUMMYFUNCTION("""COMPUTED_VALUE"""),"vignan institute of technology")</f>
        <v>vignan institute of technology</v>
      </c>
      <c r="G55" s="73" t="str">
        <f>IFERROR(__xludf.DUMMYFUNCTION("""COMPUTED_VALUE"""),"https://drive.google.com/open?id=1rFAppWC-72fQPrU4o8uPvGih8eD1oEDz")</f>
        <v>https://drive.google.com/open?id=1rFAppWC-72fQPrU4o8uPvGih8eD1oEDz</v>
      </c>
      <c r="H55" s="71" t="str">
        <f>IFERROR(__xludf.DUMMYFUNCTION("""COMPUTED_VALUE"""),"2018-2022")</f>
        <v>2018-2022</v>
      </c>
      <c r="I55" s="71" t="str">
        <f>IFERROR(__xludf.DUMMYFUNCTION("""COMPUTED_VALUE"""),"S11: Student Awards")</f>
        <v>S11: Student Awards</v>
      </c>
      <c r="J55" s="71" t="str">
        <f>IFERROR(__xludf.DUMMYFUNCTION("""COMPUTED_VALUE"""),"manikantakillana22@gmail.com")</f>
        <v>manikantakillana22@gmail.com</v>
      </c>
      <c r="K55" s="71" t="str">
        <f>IFERROR(__xludf.DUMMYFUNCTION("""COMPUTED_VALUE"""),"SEM-5")</f>
        <v>SEM-5</v>
      </c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</row>
    <row r="56" ht="33.75" customHeight="1">
      <c r="A56" s="71" t="str">
        <f>IFERROR(__xludf.DUMMYFUNCTION("""COMPUTED_VALUE"""),"Prajyulitha Lakkoju ")</f>
        <v>Prajyulitha Lakkoju </v>
      </c>
      <c r="B56" s="71" t="str">
        <f>IFERROR(__xludf.DUMMYFUNCTION("""COMPUTED_VALUE"""),"20331A0598")</f>
        <v>20331A0598</v>
      </c>
      <c r="C56" s="71" t="str">
        <f>IFERROR(__xludf.DUMMYFUNCTION("""COMPUTED_VALUE"""),"2021-2022")</f>
        <v>2021-2022</v>
      </c>
      <c r="D56" s="71" t="str">
        <f>IFERROR(__xludf.DUMMYFUNCTION("""COMPUTED_VALUE"""),"Assesment skill python")</f>
        <v>Assesment skill python</v>
      </c>
      <c r="E56" s="72">
        <f>IFERROR(__xludf.DUMMYFUNCTION("""COMPUTED_VALUE"""),44602.0)</f>
        <v>44602</v>
      </c>
      <c r="F56" s="71" t="str">
        <f>IFERROR(__xludf.DUMMYFUNCTION("""COMPUTED_VALUE"""),"Hacker rank")</f>
        <v>Hacker rank</v>
      </c>
      <c r="G56" s="73" t="str">
        <f>IFERROR(__xludf.DUMMYFUNCTION("""COMPUTED_VALUE"""),"https://drive.google.com/open?id=1YP4_waRixUhOZpsEhOc70FDSoErnVSsW")</f>
        <v>https://drive.google.com/open?id=1YP4_waRixUhOZpsEhOc70FDSoErnVSsW</v>
      </c>
      <c r="H56" s="71" t="str">
        <f>IFERROR(__xludf.DUMMYFUNCTION("""COMPUTED_VALUE"""),"2020-2024")</f>
        <v>2020-2024</v>
      </c>
      <c r="I56" s="71" t="str">
        <f>IFERROR(__xludf.DUMMYFUNCTION("""COMPUTED_VALUE"""),"S11: Student Awards")</f>
        <v>S11: Student Awards</v>
      </c>
      <c r="J56" s="71" t="str">
        <f>IFERROR(__xludf.DUMMYFUNCTION("""COMPUTED_VALUE"""),"sonalakkoju6@gmail.com")</f>
        <v>sonalakkoju6@gmail.com</v>
      </c>
      <c r="K56" s="71" t="str">
        <f>IFERROR(__xludf.DUMMYFUNCTION("""COMPUTED_VALUE"""),"SEM-3")</f>
        <v>SEM-3</v>
      </c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</row>
    <row r="57" ht="33.75" customHeight="1">
      <c r="A57" s="71" t="str">
        <f>IFERROR(__xludf.DUMMYFUNCTION("""COMPUTED_VALUE"""),"Pavanteja sepana")</f>
        <v>Pavanteja sepana</v>
      </c>
      <c r="B57" s="71" t="str">
        <f>IFERROR(__xludf.DUMMYFUNCTION("""COMPUTED_VALUE"""),"18331A05H4")</f>
        <v>18331A05H4</v>
      </c>
      <c r="C57" s="71" t="str">
        <f>IFERROR(__xludf.DUMMYFUNCTION("""COMPUTED_VALUE"""),"2021-2022")</f>
        <v>2021-2022</v>
      </c>
      <c r="D57" s="71" t="str">
        <f>IFERROR(__xludf.DUMMYFUNCTION("""COMPUTED_VALUE"""),"Jntuk central zone football tournament secured 4th place")</f>
        <v>Jntuk central zone football tournament secured 4th place</v>
      </c>
      <c r="E57" s="72">
        <f>IFERROR(__xludf.DUMMYFUNCTION("""COMPUTED_VALUE"""),44549.0)</f>
        <v>44549</v>
      </c>
      <c r="F57" s="71" t="str">
        <f>IFERROR(__xludf.DUMMYFUNCTION("""COMPUTED_VALUE"""),"Lakireddy Bali Reddy college of engineering")</f>
        <v>Lakireddy Bali Reddy college of engineering</v>
      </c>
      <c r="G57" s="73" t="str">
        <f>IFERROR(__xludf.DUMMYFUNCTION("""COMPUTED_VALUE"""),"https://drive.google.com/open?id=1hstXQ_rkvbzK5KWZpu81SJe3YLtZFkJm")</f>
        <v>https://drive.google.com/open?id=1hstXQ_rkvbzK5KWZpu81SJe3YLtZFkJm</v>
      </c>
      <c r="H57" s="71" t="str">
        <f>IFERROR(__xludf.DUMMYFUNCTION("""COMPUTED_VALUE"""),"2018-2022")</f>
        <v>2018-2022</v>
      </c>
      <c r="I57" s="71" t="str">
        <f>IFERROR(__xludf.DUMMYFUNCTION("""COMPUTED_VALUE"""),"S11: Student Awards")</f>
        <v>S11: Student Awards</v>
      </c>
      <c r="J57" s="71" t="str">
        <f>IFERROR(__xludf.DUMMYFUNCTION("""COMPUTED_VALUE"""),"tejpavan68@gmail.com")</f>
        <v>tejpavan68@gmail.com</v>
      </c>
      <c r="K57" s="71" t="str">
        <f>IFERROR(__xludf.DUMMYFUNCTION("""COMPUTED_VALUE"""),"SEM-2")</f>
        <v>SEM-2</v>
      </c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</row>
    <row r="58" ht="33.75" customHeight="1">
      <c r="A58" s="71" t="str">
        <f>IFERROR(__xludf.DUMMYFUNCTION("""COMPUTED_VALUE"""),"Pavan Teja sepana")</f>
        <v>Pavan Teja sepana</v>
      </c>
      <c r="B58" s="71" t="str">
        <f>IFERROR(__xludf.DUMMYFUNCTION("""COMPUTED_VALUE"""),"18331A05H4")</f>
        <v>18331A05H4</v>
      </c>
      <c r="C58" s="71" t="str">
        <f>IFERROR(__xludf.DUMMYFUNCTION("""COMPUTED_VALUE"""),"2018-2019")</f>
        <v>2018-2019</v>
      </c>
      <c r="D58" s="71" t="str">
        <f>IFERROR(__xludf.DUMMYFUNCTION("""COMPUTED_VALUE"""),"Winner in football inter College sports competition")</f>
        <v>Winner in football inter College sports competition</v>
      </c>
      <c r="E58" s="72">
        <f>IFERROR(__xludf.DUMMYFUNCTION("""COMPUTED_VALUE"""),43543.0)</f>
        <v>43543</v>
      </c>
      <c r="F58" s="71" t="str">
        <f>IFERROR(__xludf.DUMMYFUNCTION("""COMPUTED_VALUE"""),"Mvgr College of engineering")</f>
        <v>Mvgr College of engineering</v>
      </c>
      <c r="G58" s="73" t="str">
        <f>IFERROR(__xludf.DUMMYFUNCTION("""COMPUTED_VALUE"""),"https://drive.google.com/open?id=1p5-HbiZyGgZdl2vroKQPYUKklhEWweY-")</f>
        <v>https://drive.google.com/open?id=1p5-HbiZyGgZdl2vroKQPYUKklhEWweY-</v>
      </c>
      <c r="H58" s="71" t="str">
        <f>IFERROR(__xludf.DUMMYFUNCTION("""COMPUTED_VALUE"""),"2018-2022")</f>
        <v>2018-2022</v>
      </c>
      <c r="I58" s="71" t="str">
        <f>IFERROR(__xludf.DUMMYFUNCTION("""COMPUTED_VALUE"""),"S11: Student Awards")</f>
        <v>S11: Student Awards</v>
      </c>
      <c r="J58" s="71" t="str">
        <f>IFERROR(__xludf.DUMMYFUNCTION("""COMPUTED_VALUE"""),"tejpavan68@gmail.com")</f>
        <v>tejpavan68@gmail.com</v>
      </c>
      <c r="K58" s="71" t="str">
        <f>IFERROR(__xludf.DUMMYFUNCTION("""COMPUTED_VALUE"""),"SEM-2")</f>
        <v>SEM-2</v>
      </c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</row>
    <row r="59" ht="33.75" customHeight="1">
      <c r="A59" s="71" t="str">
        <f>IFERROR(__xludf.DUMMYFUNCTION("""COMPUTED_VALUE"""),"Jaswanth Vajrapu")</f>
        <v>Jaswanth Vajrapu</v>
      </c>
      <c r="B59" s="71" t="str">
        <f>IFERROR(__xludf.DUMMYFUNCTION("""COMPUTED_VALUE"""),"18331A05G5")</f>
        <v>18331A05G5</v>
      </c>
      <c r="C59" s="71" t="str">
        <f>IFERROR(__xludf.DUMMYFUNCTION("""COMPUTED_VALUE"""),"2019-2020")</f>
        <v>2019-2020</v>
      </c>
      <c r="D59" s="71" t="str">
        <f>IFERROR(__xludf.DUMMYFUNCTION("""COMPUTED_VALUE"""),"Participant in IEEEXTREME 13.0")</f>
        <v>Participant in IEEEXTREME 13.0</v>
      </c>
      <c r="E59" s="72">
        <f>IFERROR(__xludf.DUMMYFUNCTION("""COMPUTED_VALUE"""),44488.0)</f>
        <v>44488</v>
      </c>
      <c r="F59" s="71" t="str">
        <f>IFERROR(__xludf.DUMMYFUNCTION("""COMPUTED_VALUE"""),"IEEE")</f>
        <v>IEEE</v>
      </c>
      <c r="G59" s="73" t="str">
        <f>IFERROR(__xludf.DUMMYFUNCTION("""COMPUTED_VALUE"""),"https://drive.google.com/open?id=1-gJsyg_GwG0B9yU1z85C9j7zOc7dCjCb")</f>
        <v>https://drive.google.com/open?id=1-gJsyg_GwG0B9yU1z85C9j7zOc7dCjCb</v>
      </c>
      <c r="H59" s="71" t="str">
        <f>IFERROR(__xludf.DUMMYFUNCTION("""COMPUTED_VALUE"""),"2018-2022")</f>
        <v>2018-2022</v>
      </c>
      <c r="I59" s="71" t="str">
        <f>IFERROR(__xludf.DUMMYFUNCTION("""COMPUTED_VALUE"""),"S11: Student Awards")</f>
        <v>S11: Student Awards</v>
      </c>
      <c r="J59" s="71" t="str">
        <f>IFERROR(__xludf.DUMMYFUNCTION("""COMPUTED_VALUE"""),"jaswanth.vjp13@gmail.com")</f>
        <v>jaswanth.vjp13@gmail.com</v>
      </c>
      <c r="K59" s="71" t="str">
        <f>IFERROR(__xludf.DUMMYFUNCTION("""COMPUTED_VALUE"""),"SEM-3")</f>
        <v>SEM-3</v>
      </c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</row>
    <row r="60" ht="33.75" customHeight="1">
      <c r="A60" s="71" t="str">
        <f>IFERROR(__xludf.DUMMYFUNCTION("""COMPUTED_VALUE"""),"Jaswanth Vajrapu")</f>
        <v>Jaswanth Vajrapu</v>
      </c>
      <c r="B60" s="71" t="str">
        <f>IFERROR(__xludf.DUMMYFUNCTION("""COMPUTED_VALUE"""),"18331A05G5")</f>
        <v>18331A05G5</v>
      </c>
      <c r="C60" s="71" t="str">
        <f>IFERROR(__xludf.DUMMYFUNCTION("""COMPUTED_VALUE"""),"2019-2020")</f>
        <v>2019-2020</v>
      </c>
      <c r="D60" s="71" t="str">
        <f>IFERROR(__xludf.DUMMYFUNCTION("""COMPUTED_VALUE"""),"Participated in IEEEXtreme 14.0 Programming")</f>
        <v>Participated in IEEEXtreme 14.0 Programming</v>
      </c>
      <c r="E60" s="72">
        <f>IFERROR(__xludf.DUMMYFUNCTION("""COMPUTED_VALUE"""),44128.0)</f>
        <v>44128</v>
      </c>
      <c r="F60" s="71" t="str">
        <f>IFERROR(__xludf.DUMMYFUNCTION("""COMPUTED_VALUE"""),"IEEE")</f>
        <v>IEEE</v>
      </c>
      <c r="G60" s="73" t="str">
        <f>IFERROR(__xludf.DUMMYFUNCTION("""COMPUTED_VALUE"""),"https://drive.google.com/open?id=1Q123BBUxI1L9zmyqsMZASDg90DO_z1Yz")</f>
        <v>https://drive.google.com/open?id=1Q123BBUxI1L9zmyqsMZASDg90DO_z1Yz</v>
      </c>
      <c r="H60" s="71" t="str">
        <f>IFERROR(__xludf.DUMMYFUNCTION("""COMPUTED_VALUE"""),"2018-2022")</f>
        <v>2018-2022</v>
      </c>
      <c r="I60" s="71" t="str">
        <f>IFERROR(__xludf.DUMMYFUNCTION("""COMPUTED_VALUE"""),"S11: Student Awards")</f>
        <v>S11: Student Awards</v>
      </c>
      <c r="J60" s="71" t="str">
        <f>IFERROR(__xludf.DUMMYFUNCTION("""COMPUTED_VALUE"""),"jaswanth.vjp13@gmail.com")</f>
        <v>jaswanth.vjp13@gmail.com</v>
      </c>
      <c r="K60" s="71" t="str">
        <f>IFERROR(__xludf.DUMMYFUNCTION("""COMPUTED_VALUE"""),"SEM-4")</f>
        <v>SEM-4</v>
      </c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</row>
    <row r="61" ht="33.75" customHeight="1">
      <c r="A61" s="71" t="str">
        <f>IFERROR(__xludf.DUMMYFUNCTION("""COMPUTED_VALUE"""),"Jaswanth Vajrapu")</f>
        <v>Jaswanth Vajrapu</v>
      </c>
      <c r="B61" s="71" t="str">
        <f>IFERROR(__xludf.DUMMYFUNCTION("""COMPUTED_VALUE"""),"18331A05G5")</f>
        <v>18331A05G5</v>
      </c>
      <c r="C61" s="71" t="str">
        <f>IFERROR(__xludf.DUMMYFUNCTION("""COMPUTED_VALUE"""),"2020-2021")</f>
        <v>2020-2021</v>
      </c>
      <c r="D61" s="71" t="str">
        <f>IFERROR(__xludf.DUMMYFUNCTION("""COMPUTED_VALUE"""),"Participated in IEEEXtreme 15.0 Programming")</f>
        <v>Participated in IEEEXtreme 15.0 Programming</v>
      </c>
      <c r="E61" s="72">
        <f>IFERROR(__xludf.DUMMYFUNCTION("""COMPUTED_VALUE"""),44492.0)</f>
        <v>44492</v>
      </c>
      <c r="F61" s="71" t="str">
        <f>IFERROR(__xludf.DUMMYFUNCTION("""COMPUTED_VALUE"""),"IEEE")</f>
        <v>IEEE</v>
      </c>
      <c r="G61" s="73" t="str">
        <f>IFERROR(__xludf.DUMMYFUNCTION("""COMPUTED_VALUE"""),"https://drive.google.com/open?id=12rTU4jG8tcrAz8LiJ33uRa8PfNT2Qxpw")</f>
        <v>https://drive.google.com/open?id=12rTU4jG8tcrAz8LiJ33uRa8PfNT2Qxpw</v>
      </c>
      <c r="H61" s="71" t="str">
        <f>IFERROR(__xludf.DUMMYFUNCTION("""COMPUTED_VALUE"""),"2018-2022")</f>
        <v>2018-2022</v>
      </c>
      <c r="I61" s="71" t="str">
        <f>IFERROR(__xludf.DUMMYFUNCTION("""COMPUTED_VALUE"""),"S11: Student Awards")</f>
        <v>S11: Student Awards</v>
      </c>
      <c r="J61" s="71" t="str">
        <f>IFERROR(__xludf.DUMMYFUNCTION("""COMPUTED_VALUE"""),"jaswanth.vjp13@gmail.com")</f>
        <v>jaswanth.vjp13@gmail.com</v>
      </c>
      <c r="K61" s="71" t="str">
        <f>IFERROR(__xludf.DUMMYFUNCTION("""COMPUTED_VALUE"""),"SEM-5")</f>
        <v>SEM-5</v>
      </c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</row>
    <row r="62" ht="33.75" customHeight="1">
      <c r="A62" s="71" t="str">
        <f>IFERROR(__xludf.DUMMYFUNCTION("""COMPUTED_VALUE"""),"Naguru Jyothsna Priya Chandrika")</f>
        <v>Naguru Jyothsna Priya Chandrika</v>
      </c>
      <c r="B62" s="71" t="str">
        <f>IFERROR(__xludf.DUMMYFUNCTION("""COMPUTED_VALUE"""),"18331A05A5")</f>
        <v>18331A05A5</v>
      </c>
      <c r="C62" s="71" t="str">
        <f>IFERROR(__xludf.DUMMYFUNCTION("""COMPUTED_VALUE"""),"2020-2021")</f>
        <v>2020-2021</v>
      </c>
      <c r="D62" s="71" t="str">
        <f>IFERROR(__xludf.DUMMYFUNCTION("""COMPUTED_VALUE"""),"First place in music competition ")</f>
        <v>First place in music competition </v>
      </c>
      <c r="E62" s="72">
        <f>IFERROR(__xludf.DUMMYFUNCTION("""COMPUTED_VALUE"""),44045.0)</f>
        <v>44045</v>
      </c>
      <c r="F62" s="71" t="str">
        <f>IFERROR(__xludf.DUMMYFUNCTION("""COMPUTED_VALUE"""),"Sri Adibhatla Foundation ")</f>
        <v>Sri Adibhatla Foundation </v>
      </c>
      <c r="G62" s="73" t="str">
        <f>IFERROR(__xludf.DUMMYFUNCTION("""COMPUTED_VALUE"""),"https://drive.google.com/open?id=1VqEA1AaA1YYsrUB7lhpw7VddimQkfcmN")</f>
        <v>https://drive.google.com/open?id=1VqEA1AaA1YYsrUB7lhpw7VddimQkfcmN</v>
      </c>
      <c r="H62" s="71" t="str">
        <f>IFERROR(__xludf.DUMMYFUNCTION("""COMPUTED_VALUE"""),"2018-2022")</f>
        <v>2018-2022</v>
      </c>
      <c r="I62" s="71" t="str">
        <f>IFERROR(__xludf.DUMMYFUNCTION("""COMPUTED_VALUE"""),"S11: Student Awards")</f>
        <v>S11: Student Awards</v>
      </c>
      <c r="J62" s="71" t="str">
        <f>IFERROR(__xludf.DUMMYFUNCTION("""COMPUTED_VALUE"""),"jyothsnanaguru@gmail.com")</f>
        <v>jyothsnanaguru@gmail.com</v>
      </c>
      <c r="K62" s="71" t="str">
        <f>IFERROR(__xludf.DUMMYFUNCTION("""COMPUTED_VALUE"""),"SEM-5")</f>
        <v>SEM-5</v>
      </c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</row>
    <row r="63" ht="33.75" customHeight="1">
      <c r="A63" s="71" t="str">
        <f>IFERROR(__xludf.DUMMYFUNCTION("""COMPUTED_VALUE"""),"Naguru Jyothsna Priya Chandrika")</f>
        <v>Naguru Jyothsna Priya Chandrika</v>
      </c>
      <c r="B63" s="71" t="str">
        <f>IFERROR(__xludf.DUMMYFUNCTION("""COMPUTED_VALUE"""),"18331A05A5")</f>
        <v>18331A05A5</v>
      </c>
      <c r="C63" s="71" t="str">
        <f>IFERROR(__xludf.DUMMYFUNCTION("""COMPUTED_VALUE"""),"2018-2019")</f>
        <v>2018-2019</v>
      </c>
      <c r="D63" s="71" t="str">
        <f>IFERROR(__xludf.DUMMYFUNCTION("""COMPUTED_VALUE"""),"First prize in janapriya singing competition ")</f>
        <v>First prize in janapriya singing competition </v>
      </c>
      <c r="E63" s="72">
        <f>IFERROR(__xludf.DUMMYFUNCTION("""COMPUTED_VALUE"""),43372.0)</f>
        <v>43372</v>
      </c>
      <c r="F63" s="71" t="str">
        <f>IFERROR(__xludf.DUMMYFUNCTION("""COMPUTED_VALUE"""),"Rotary club - Vizianagaram ")</f>
        <v>Rotary club - Vizianagaram </v>
      </c>
      <c r="G63" s="73" t="str">
        <f>IFERROR(__xludf.DUMMYFUNCTION("""COMPUTED_VALUE"""),"https://drive.google.com/open?id=1UH4S_W_AVPs96zXmSoZ10StSHm20Vzhf")</f>
        <v>https://drive.google.com/open?id=1UH4S_W_AVPs96zXmSoZ10StSHm20Vzhf</v>
      </c>
      <c r="H63" s="71" t="str">
        <f>IFERROR(__xludf.DUMMYFUNCTION("""COMPUTED_VALUE"""),"2018-2022")</f>
        <v>2018-2022</v>
      </c>
      <c r="I63" s="71" t="str">
        <f>IFERROR(__xludf.DUMMYFUNCTION("""COMPUTED_VALUE"""),"S11: Student Awards")</f>
        <v>S11: Student Awards</v>
      </c>
      <c r="J63" s="71" t="str">
        <f>IFERROR(__xludf.DUMMYFUNCTION("""COMPUTED_VALUE"""),"jyothsnanaguru@gmail.com")</f>
        <v>jyothsnanaguru@gmail.com</v>
      </c>
      <c r="K63" s="71" t="str">
        <f>IFERROR(__xludf.DUMMYFUNCTION("""COMPUTED_VALUE"""),"SEM-1")</f>
        <v>SEM-1</v>
      </c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</row>
    <row r="64" ht="33.75" customHeight="1">
      <c r="A64" s="71" t="str">
        <f>IFERROR(__xludf.DUMMYFUNCTION("""COMPUTED_VALUE"""),"Mandhapati Jagannadha Rohit Varma")</f>
        <v>Mandhapati Jagannadha Rohit Varma</v>
      </c>
      <c r="B64" s="71" t="str">
        <f>IFERROR(__xludf.DUMMYFUNCTION("""COMPUTED_VALUE"""),"19331A05A3")</f>
        <v>19331A05A3</v>
      </c>
      <c r="C64" s="71" t="str">
        <f>IFERROR(__xludf.DUMMYFUNCTION("""COMPUTED_VALUE"""),"2020-2021")</f>
        <v>2020-2021</v>
      </c>
      <c r="D64" s="71" t="str">
        <f>IFERROR(__xludf.DUMMYFUNCTION("""COMPUTED_VALUE"""),"Code Riders")</f>
        <v>Code Riders</v>
      </c>
      <c r="E64" s="72">
        <f>IFERROR(__xludf.DUMMYFUNCTION("""COMPUTED_VALUE"""),44367.0)</f>
        <v>44367</v>
      </c>
      <c r="F64" s="71" t="str">
        <f>IFERROR(__xludf.DUMMYFUNCTION("""COMPUTED_VALUE"""),"EduSkills")</f>
        <v>EduSkills</v>
      </c>
      <c r="G64" s="73" t="str">
        <f>IFERROR(__xludf.DUMMYFUNCTION("""COMPUTED_VALUE"""),"https://drive.google.com/open?id=1-BdXQbkyt0RmGAEsTOC7ZoBj8xF4SQ5V")</f>
        <v>https://drive.google.com/open?id=1-BdXQbkyt0RmGAEsTOC7ZoBj8xF4SQ5V</v>
      </c>
      <c r="H64" s="71" t="str">
        <f>IFERROR(__xludf.DUMMYFUNCTION("""COMPUTED_VALUE"""),"2019-2023")</f>
        <v>2019-2023</v>
      </c>
      <c r="I64" s="71" t="str">
        <f>IFERROR(__xludf.DUMMYFUNCTION("""COMPUTED_VALUE"""),"S11: Student Awards")</f>
        <v>S11: Student Awards</v>
      </c>
      <c r="J64" s="71" t="str">
        <f>IFERROR(__xludf.DUMMYFUNCTION("""COMPUTED_VALUE"""),"rohitvarmaanrk@gmail.com")</f>
        <v>rohitvarmaanrk@gmail.com</v>
      </c>
      <c r="K64" s="71" t="str">
        <f>IFERROR(__xludf.DUMMYFUNCTION("""COMPUTED_VALUE"""),"SEM-6")</f>
        <v>SEM-6</v>
      </c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</row>
    <row r="65" ht="33.75" customHeight="1">
      <c r="A65" s="71" t="str">
        <f>IFERROR(__xludf.DUMMYFUNCTION("""COMPUTED_VALUE"""),"Kantubhukta Hemanth")</f>
        <v>Kantubhukta Hemanth</v>
      </c>
      <c r="B65" s="71" t="str">
        <f>IFERROR(__xludf.DUMMYFUNCTION("""COMPUTED_VALUE"""),"19331A0573")</f>
        <v>19331A0573</v>
      </c>
      <c r="C65" s="71" t="str">
        <f>IFERROR(__xludf.DUMMYFUNCTION("""COMPUTED_VALUE"""),"2021-2022")</f>
        <v>2021-2022</v>
      </c>
      <c r="D65" s="71" t="str">
        <f>IFERROR(__xludf.DUMMYFUNCTION("""COMPUTED_VALUE"""),"907th Rank for Scoring 212/212 in CodeKaze")</f>
        <v>907th Rank for Scoring 212/212 in CodeKaze</v>
      </c>
      <c r="E65" s="72">
        <f>IFERROR(__xludf.DUMMYFUNCTION("""COMPUTED_VALUE"""),44659.0)</f>
        <v>44659</v>
      </c>
      <c r="F65" s="71" t="str">
        <f>IFERROR(__xludf.DUMMYFUNCTION("""COMPUTED_VALUE"""),"Coding Ninjas")</f>
        <v>Coding Ninjas</v>
      </c>
      <c r="G65" s="73" t="str">
        <f>IFERROR(__xludf.DUMMYFUNCTION("""COMPUTED_VALUE"""),"https://drive.google.com/open?id=1RZ0uCy-_nL0lmgck8ElNmvYXhR14G5m9")</f>
        <v>https://drive.google.com/open?id=1RZ0uCy-_nL0lmgck8ElNmvYXhR14G5m9</v>
      </c>
      <c r="H65" s="71" t="str">
        <f>IFERROR(__xludf.DUMMYFUNCTION("""COMPUTED_VALUE"""),"2019-2023")</f>
        <v>2019-2023</v>
      </c>
      <c r="I65" s="71" t="str">
        <f>IFERROR(__xludf.DUMMYFUNCTION("""COMPUTED_VALUE"""),"S11: Student Awards")</f>
        <v>S11: Student Awards</v>
      </c>
      <c r="J65" s="71" t="str">
        <f>IFERROR(__xludf.DUMMYFUNCTION("""COMPUTED_VALUE"""),"hemanthkantubhukta2232@gmail.com")</f>
        <v>hemanthkantubhukta2232@gmail.com</v>
      </c>
      <c r="K65" s="71" t="str">
        <f>IFERROR(__xludf.DUMMYFUNCTION("""COMPUTED_VALUE"""),"SEM-6")</f>
        <v>SEM-6</v>
      </c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</row>
    <row r="66" ht="33.75" customHeight="1">
      <c r="A66" s="71" t="str">
        <f>IFERROR(__xludf.DUMMYFUNCTION("""COMPUTED_VALUE"""),"Kantubhukta Hemanth")</f>
        <v>Kantubhukta Hemanth</v>
      </c>
      <c r="B66" s="71" t="str">
        <f>IFERROR(__xludf.DUMMYFUNCTION("""COMPUTED_VALUE"""),"19331A0573")</f>
        <v>19331A0573</v>
      </c>
      <c r="C66" s="71" t="str">
        <f>IFERROR(__xludf.DUMMYFUNCTION("""COMPUTED_VALUE"""),"2020-2021")</f>
        <v>2020-2021</v>
      </c>
      <c r="D66" s="71" t="str">
        <f>IFERROR(__xludf.DUMMYFUNCTION("""COMPUTED_VALUE"""),"Cleared Level-1 in VRSEC National Level Coding Compitition")</f>
        <v>Cleared Level-1 in VRSEC National Level Coding Compitition</v>
      </c>
      <c r="E66" s="72">
        <f>IFERROR(__xludf.DUMMYFUNCTION("""COMPUTED_VALUE"""),44250.0)</f>
        <v>44250</v>
      </c>
      <c r="F66" s="71" t="str">
        <f>IFERROR(__xludf.DUMMYFUNCTION("""COMPUTED_VALUE"""),"VRSE College")</f>
        <v>VRSE College</v>
      </c>
      <c r="G66" s="73" t="str">
        <f>IFERROR(__xludf.DUMMYFUNCTION("""COMPUTED_VALUE"""),"https://drive.google.com/open?id=1UAS6rtzj11Z0_SOi12EA_6cFFy9O-tnk")</f>
        <v>https://drive.google.com/open?id=1UAS6rtzj11Z0_SOi12EA_6cFFy9O-tnk</v>
      </c>
      <c r="H66" s="71" t="str">
        <f>IFERROR(__xludf.DUMMYFUNCTION("""COMPUTED_VALUE"""),"2019-2023")</f>
        <v>2019-2023</v>
      </c>
      <c r="I66" s="71" t="str">
        <f>IFERROR(__xludf.DUMMYFUNCTION("""COMPUTED_VALUE"""),"S11: Student Awards")</f>
        <v>S11: Student Awards</v>
      </c>
      <c r="J66" s="71" t="str">
        <f>IFERROR(__xludf.DUMMYFUNCTION("""COMPUTED_VALUE"""),"hemanthkantubhukta2232@gmail.com")</f>
        <v>hemanthkantubhukta2232@gmail.com</v>
      </c>
      <c r="K66" s="71" t="str">
        <f>IFERROR(__xludf.DUMMYFUNCTION("""COMPUTED_VALUE"""),"SEM-6")</f>
        <v>SEM-6</v>
      </c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</row>
    <row r="67" ht="33.75" customHeight="1">
      <c r="A67" s="71" t="str">
        <f>IFERROR(__xludf.DUMMYFUNCTION("""COMPUTED_VALUE"""),"Mohammed Aquib Akthar ")</f>
        <v>Mohammed Aquib Akthar </v>
      </c>
      <c r="B67" s="71" t="str">
        <f>IFERROR(__xludf.DUMMYFUNCTION("""COMPUTED_VALUE"""),"19331A05A6")</f>
        <v>19331A05A6</v>
      </c>
      <c r="C67" s="71" t="str">
        <f>IFERROR(__xludf.DUMMYFUNCTION("""COMPUTED_VALUE"""),"2019-2020")</f>
        <v>2019-2020</v>
      </c>
      <c r="D67" s="71" t="str">
        <f>IFERROR(__xludf.DUMMYFUNCTION("""COMPUTED_VALUE"""),"MyNEP Quiz 100%")</f>
        <v>MyNEP Quiz 100%</v>
      </c>
      <c r="E67" s="72">
        <f>IFERROR(__xludf.DUMMYFUNCTION("""COMPUTED_VALUE"""),44098.0)</f>
        <v>44098</v>
      </c>
      <c r="F67" s="71" t="str">
        <f>IFERROR(__xludf.DUMMYFUNCTION("""COMPUTED_VALUE"""),"MyNEP ")</f>
        <v>MyNEP </v>
      </c>
      <c r="G67" s="73" t="str">
        <f>IFERROR(__xludf.DUMMYFUNCTION("""COMPUTED_VALUE"""),"https://drive.google.com/open?id=1z57u__kbU8XZjNGGRTARL__Ij-saq-OH")</f>
        <v>https://drive.google.com/open?id=1z57u__kbU8XZjNGGRTARL__Ij-saq-OH</v>
      </c>
      <c r="H67" s="71" t="str">
        <f>IFERROR(__xludf.DUMMYFUNCTION("""COMPUTED_VALUE"""),"2019-2023")</f>
        <v>2019-2023</v>
      </c>
      <c r="I67" s="71" t="str">
        <f>IFERROR(__xludf.DUMMYFUNCTION("""COMPUTED_VALUE"""),"S11: Student Awards")</f>
        <v>S11: Student Awards</v>
      </c>
      <c r="J67" s="71" t="str">
        <f>IFERROR(__xludf.DUMMYFUNCTION("""COMPUTED_VALUE"""),"aquibakthar14@gmail.com")</f>
        <v>aquibakthar14@gmail.com</v>
      </c>
      <c r="K67" s="71" t="str">
        <f>IFERROR(__xludf.DUMMYFUNCTION("""COMPUTED_VALUE"""),"SEM-6")</f>
        <v>SEM-6</v>
      </c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</row>
    <row r="68" ht="33.75" customHeight="1">
      <c r="A68" s="71" t="str">
        <f>IFERROR(__xludf.DUMMYFUNCTION("""COMPUTED_VALUE"""),"BHARATH RAMA CHANDRA KAKARLA ")</f>
        <v>BHARATH RAMA CHANDRA KAKARLA </v>
      </c>
      <c r="B68" s="71" t="str">
        <f>IFERROR(__xludf.DUMMYFUNCTION("""COMPUTED_VALUE"""),"19331A0567")</f>
        <v>19331A0567</v>
      </c>
      <c r="C68" s="71" t="str">
        <f>IFERROR(__xludf.DUMMYFUNCTION("""COMPUTED_VALUE"""),"2020-2021")</f>
        <v>2020-2021</v>
      </c>
      <c r="D68" s="71" t="str">
        <f>IFERROR(__xludf.DUMMYFUNCTION("""COMPUTED_VALUE"""),"Clearing level 2 in national level coding ")</f>
        <v>Clearing level 2 in national level coding </v>
      </c>
      <c r="E68" s="72">
        <f>IFERROR(__xludf.DUMMYFUNCTION("""COMPUTED_VALUE"""),44250.0)</f>
        <v>44250</v>
      </c>
      <c r="F68" s="71" t="str">
        <f>IFERROR(__xludf.DUMMYFUNCTION("""COMPUTED_VALUE"""),"VEGALAPUDI RAMAKRISHNA SIDDHARTHA ENGINEERING COLLEGE ")</f>
        <v>VEGALAPUDI RAMAKRISHNA SIDDHARTHA ENGINEERING COLLEGE </v>
      </c>
      <c r="G68" s="73" t="str">
        <f>IFERROR(__xludf.DUMMYFUNCTION("""COMPUTED_VALUE"""),"https://drive.google.com/open?id=1ExtAb3ShF6yWfO7pPD0Rwof0ao8GRMIf")</f>
        <v>https://drive.google.com/open?id=1ExtAb3ShF6yWfO7pPD0Rwof0ao8GRMIf</v>
      </c>
      <c r="H68" s="71" t="str">
        <f>IFERROR(__xludf.DUMMYFUNCTION("""COMPUTED_VALUE"""),"2019-2023")</f>
        <v>2019-2023</v>
      </c>
      <c r="I68" s="71" t="str">
        <f>IFERROR(__xludf.DUMMYFUNCTION("""COMPUTED_VALUE"""),"S11: Student Awards")</f>
        <v>S11: Student Awards</v>
      </c>
      <c r="J68" s="71" t="str">
        <f>IFERROR(__xludf.DUMMYFUNCTION("""COMPUTED_VALUE"""),"bharath007ram@gmail.com")</f>
        <v>bharath007ram@gmail.com</v>
      </c>
      <c r="K68" s="71" t="str">
        <f>IFERROR(__xludf.DUMMYFUNCTION("""COMPUTED_VALUE"""),"SEM-6")</f>
        <v>SEM-6</v>
      </c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</row>
    <row r="69" ht="33.75" customHeight="1">
      <c r="A69" s="71" t="str">
        <f>IFERROR(__xludf.DUMMYFUNCTION("""COMPUTED_VALUE"""),"Neelam Pavani Lakshmi")</f>
        <v>Neelam Pavani Lakshmi</v>
      </c>
      <c r="B69" s="71" t="str">
        <f>IFERROR(__xludf.DUMMYFUNCTION("""COMPUTED_VALUE"""),"19331A05C1")</f>
        <v>19331A05C1</v>
      </c>
      <c r="C69" s="71" t="str">
        <f>IFERROR(__xludf.DUMMYFUNCTION("""COMPUTED_VALUE"""),"2020-2021")</f>
        <v>2020-2021</v>
      </c>
      <c r="D69" s="71" t="str">
        <f>IFERROR(__xludf.DUMMYFUNCTION("""COMPUTED_VALUE"""),"Java(Basic)")</f>
        <v>Java(Basic)</v>
      </c>
      <c r="E69" s="72">
        <f>IFERROR(__xludf.DUMMYFUNCTION("""COMPUTED_VALUE"""),44311.0)</f>
        <v>44311</v>
      </c>
      <c r="F69" s="71" t="str">
        <f>IFERROR(__xludf.DUMMYFUNCTION("""COMPUTED_VALUE"""),"Hacker rank")</f>
        <v>Hacker rank</v>
      </c>
      <c r="G69" s="73" t="str">
        <f>IFERROR(__xludf.DUMMYFUNCTION("""COMPUTED_VALUE"""),"https://drive.google.com/open?id=1Vj3U1DgkrQJDxJWQ_hMPnQtaQpkU7TIJ")</f>
        <v>https://drive.google.com/open?id=1Vj3U1DgkrQJDxJWQ_hMPnQtaQpkU7TIJ</v>
      </c>
      <c r="H69" s="71" t="str">
        <f>IFERROR(__xludf.DUMMYFUNCTION("""COMPUTED_VALUE"""),"2019-2023")</f>
        <v>2019-2023</v>
      </c>
      <c r="I69" s="71" t="str">
        <f>IFERROR(__xludf.DUMMYFUNCTION("""COMPUTED_VALUE"""),"S11: Student Awards")</f>
        <v>S11: Student Awards</v>
      </c>
      <c r="J69" s="71" t="str">
        <f>IFERROR(__xludf.DUMMYFUNCTION("""COMPUTED_VALUE"""),"npavanilaxmi@gmail.com")</f>
        <v>npavanilaxmi@gmail.com</v>
      </c>
      <c r="K69" s="71" t="str">
        <f>IFERROR(__xludf.DUMMYFUNCTION("""COMPUTED_VALUE"""),"SEM-6")</f>
        <v>SEM-6</v>
      </c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</row>
    <row r="70" ht="33.75" customHeight="1">
      <c r="A70" s="71" t="str">
        <f>IFERROR(__xludf.DUMMYFUNCTION("""COMPUTED_VALUE"""),"Mohan Subha Varshith Pechetti ")</f>
        <v>Mohan Subha Varshith Pechetti </v>
      </c>
      <c r="B70" s="71" t="str">
        <f>IFERROR(__xludf.DUMMYFUNCTION("""COMPUTED_VALUE"""),"19331A05C7")</f>
        <v>19331A05C7</v>
      </c>
      <c r="C70" s="71" t="str">
        <f>IFERROR(__xludf.DUMMYFUNCTION("""COMPUTED_VALUE"""),"2020-2021")</f>
        <v>2020-2021</v>
      </c>
      <c r="D70" s="71" t="str">
        <f>IFERROR(__xludf.DUMMYFUNCTION("""COMPUTED_VALUE"""),"Python(Basic)")</f>
        <v>Python(Basic)</v>
      </c>
      <c r="E70" s="72">
        <f>IFERROR(__xludf.DUMMYFUNCTION("""COMPUTED_VALUE"""),44353.0)</f>
        <v>44353</v>
      </c>
      <c r="F70" s="71" t="str">
        <f>IFERROR(__xludf.DUMMYFUNCTION("""COMPUTED_VALUE"""),"Hacker Rank")</f>
        <v>Hacker Rank</v>
      </c>
      <c r="G70" s="73" t="str">
        <f>IFERROR(__xludf.DUMMYFUNCTION("""COMPUTED_VALUE"""),"https://drive.google.com/open?id=1iVqHCUjmEYvWU-0Nzqjq7zyZZk5dFiT5")</f>
        <v>https://drive.google.com/open?id=1iVqHCUjmEYvWU-0Nzqjq7zyZZk5dFiT5</v>
      </c>
      <c r="H70" s="71" t="str">
        <f>IFERROR(__xludf.DUMMYFUNCTION("""COMPUTED_VALUE"""),"2019-2023")</f>
        <v>2019-2023</v>
      </c>
      <c r="I70" s="71" t="str">
        <f>IFERROR(__xludf.DUMMYFUNCTION("""COMPUTED_VALUE"""),"S11: Student Awards")</f>
        <v>S11: Student Awards</v>
      </c>
      <c r="J70" s="71" t="str">
        <f>IFERROR(__xludf.DUMMYFUNCTION("""COMPUTED_VALUE"""),"subhavarshith@gmail.com")</f>
        <v>subhavarshith@gmail.com</v>
      </c>
      <c r="K70" s="71" t="str">
        <f>IFERROR(__xludf.DUMMYFUNCTION("""COMPUTED_VALUE"""),"SEM-6")</f>
        <v>SEM-6</v>
      </c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</row>
    <row r="71" ht="33.75" customHeight="1">
      <c r="A71" s="71" t="str">
        <f>IFERROR(__xludf.DUMMYFUNCTION("""COMPUTED_VALUE"""),"LAKKIMSETTI CHANRA SIRISHA")</f>
        <v>LAKKIMSETTI CHANRA SIRISHA</v>
      </c>
      <c r="B71" s="71" t="str">
        <f>IFERROR(__xludf.DUMMYFUNCTION("""COMPUTED_VALUE"""),"19331A0594")</f>
        <v>19331A0594</v>
      </c>
      <c r="C71" s="71" t="str">
        <f>IFERROR(__xludf.DUMMYFUNCTION("""COMPUTED_VALUE"""),"2020-2021")</f>
        <v>2020-2021</v>
      </c>
      <c r="D71" s="71" t="str">
        <f>IFERROR(__xludf.DUMMYFUNCTION("""COMPUTED_VALUE"""),"PARTICIPATION")</f>
        <v>PARTICIPATION</v>
      </c>
      <c r="E71" s="72">
        <f>IFERROR(__xludf.DUMMYFUNCTION("""COMPUTED_VALUE"""),44374.0)</f>
        <v>44374</v>
      </c>
      <c r="F71" s="71" t="str">
        <f>IFERROR(__xludf.DUMMYFUNCTION("""COMPUTED_VALUE"""),"APTITUDE BUSTER")</f>
        <v>APTITUDE BUSTER</v>
      </c>
      <c r="G71" s="73" t="str">
        <f>IFERROR(__xludf.DUMMYFUNCTION("""COMPUTED_VALUE"""),"https://drive.google.com/open?id=1uzVLqon8EB68uEiLLRH3XQi8tyaXd4uV")</f>
        <v>https://drive.google.com/open?id=1uzVLqon8EB68uEiLLRH3XQi8tyaXd4uV</v>
      </c>
      <c r="H71" s="71" t="str">
        <f>IFERROR(__xludf.DUMMYFUNCTION("""COMPUTED_VALUE"""),"2019-2023")</f>
        <v>2019-2023</v>
      </c>
      <c r="I71" s="71" t="str">
        <f>IFERROR(__xludf.DUMMYFUNCTION("""COMPUTED_VALUE"""),"S11: Student Awards")</f>
        <v>S11: Student Awards</v>
      </c>
      <c r="J71" s="71" t="str">
        <f>IFERROR(__xludf.DUMMYFUNCTION("""COMPUTED_VALUE"""),"sirishalakkimsetti1729@gmail.com")</f>
        <v>sirishalakkimsetti1729@gmail.com</v>
      </c>
      <c r="K71" s="71" t="str">
        <f>IFERROR(__xludf.DUMMYFUNCTION("""COMPUTED_VALUE"""),"SEM-6")</f>
        <v>SEM-6</v>
      </c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</row>
    <row r="72" ht="33.75" customHeight="1">
      <c r="A72" s="71" t="str">
        <f>IFERROR(__xludf.DUMMYFUNCTION("""COMPUTED_VALUE"""),"Mohan Subha Varshith Pechetti")</f>
        <v>Mohan Subha Varshith Pechetti</v>
      </c>
      <c r="B72" s="71" t="str">
        <f>IFERROR(__xludf.DUMMYFUNCTION("""COMPUTED_VALUE"""),"19331A05C7")</f>
        <v>19331A05C7</v>
      </c>
      <c r="C72" s="71" t="str">
        <f>IFERROR(__xludf.DUMMYFUNCTION("""COMPUTED_VALUE"""),"2021-2022")</f>
        <v>2021-2022</v>
      </c>
      <c r="D72" s="71" t="str">
        <f>IFERROR(__xludf.DUMMYFUNCTION("""COMPUTED_VALUE"""),"Securing 922nd rank in CodeKaze")</f>
        <v>Securing 922nd rank in CodeKaze</v>
      </c>
      <c r="E72" s="72">
        <f>IFERROR(__xludf.DUMMYFUNCTION("""COMPUTED_VALUE"""),44659.0)</f>
        <v>44659</v>
      </c>
      <c r="F72" s="71" t="str">
        <f>IFERROR(__xludf.DUMMYFUNCTION("""COMPUTED_VALUE"""),"Coding Ninjas")</f>
        <v>Coding Ninjas</v>
      </c>
      <c r="G72" s="73" t="str">
        <f>IFERROR(__xludf.DUMMYFUNCTION("""COMPUTED_VALUE"""),"https://drive.google.com/open?id=15dCKuHgYSYyWdEhK8CrzVV8ekecVY3pQ")</f>
        <v>https://drive.google.com/open?id=15dCKuHgYSYyWdEhK8CrzVV8ekecVY3pQ</v>
      </c>
      <c r="H72" s="71" t="str">
        <f>IFERROR(__xludf.DUMMYFUNCTION("""COMPUTED_VALUE"""),"2019-2023")</f>
        <v>2019-2023</v>
      </c>
      <c r="I72" s="71" t="str">
        <f>IFERROR(__xludf.DUMMYFUNCTION("""COMPUTED_VALUE"""),"S11: Student Awards")</f>
        <v>S11: Student Awards</v>
      </c>
      <c r="J72" s="71" t="str">
        <f>IFERROR(__xludf.DUMMYFUNCTION("""COMPUTED_VALUE"""),"subhavarshith@gmail.com")</f>
        <v>subhavarshith@gmail.com</v>
      </c>
      <c r="K72" s="71" t="str">
        <f>IFERROR(__xludf.DUMMYFUNCTION("""COMPUTED_VALUE"""),"SEM-6")</f>
        <v>SEM-6</v>
      </c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</row>
    <row r="73" ht="33.75" customHeight="1">
      <c r="A73" s="71" t="str">
        <f>IFERROR(__xludf.DUMMYFUNCTION("""COMPUTED_VALUE"""),"KARUMOJU NEHAL PRAVEEN")</f>
        <v>KARUMOJU NEHAL PRAVEEN</v>
      </c>
      <c r="B73" s="71" t="str">
        <f>IFERROR(__xludf.DUMMYFUNCTION("""COMPUTED_VALUE"""),"19331A0576")</f>
        <v>19331A0576</v>
      </c>
      <c r="C73" s="71" t="str">
        <f>IFERROR(__xludf.DUMMYFUNCTION("""COMPUTED_VALUE"""),"2020-2021")</f>
        <v>2020-2021</v>
      </c>
      <c r="D73" s="71" t="str">
        <f>IFERROR(__xludf.DUMMYFUNCTION("""COMPUTED_VALUE"""),"Pyhton (Basic)")</f>
        <v>Pyhton (Basic)</v>
      </c>
      <c r="E73" s="72">
        <f>IFERROR(__xludf.DUMMYFUNCTION("""COMPUTED_VALUE"""),44534.0)</f>
        <v>44534</v>
      </c>
      <c r="F73" s="71" t="str">
        <f>IFERROR(__xludf.DUMMYFUNCTION("""COMPUTED_VALUE"""),"HACKER RANK")</f>
        <v>HACKER RANK</v>
      </c>
      <c r="G73" s="73" t="str">
        <f>IFERROR(__xludf.DUMMYFUNCTION("""COMPUTED_VALUE"""),"https://drive.google.com/open?id=1uUNqNBbIOP9Q9-w0fQjDIQ65HGgFGtqU")</f>
        <v>https://drive.google.com/open?id=1uUNqNBbIOP9Q9-w0fQjDIQ65HGgFGtqU</v>
      </c>
      <c r="H73" s="71" t="str">
        <f>IFERROR(__xludf.DUMMYFUNCTION("""COMPUTED_VALUE"""),"2019-2023")</f>
        <v>2019-2023</v>
      </c>
      <c r="I73" s="71" t="str">
        <f>IFERROR(__xludf.DUMMYFUNCTION("""COMPUTED_VALUE"""),"S11: Student Awards")</f>
        <v>S11: Student Awards</v>
      </c>
      <c r="J73" s="71" t="str">
        <f>IFERROR(__xludf.DUMMYFUNCTION("""COMPUTED_VALUE"""),"nehalpraveen@gmail.com")</f>
        <v>nehalpraveen@gmail.com</v>
      </c>
      <c r="K73" s="71" t="str">
        <f>IFERROR(__xludf.DUMMYFUNCTION("""COMPUTED_VALUE"""),"SEM-6")</f>
        <v>SEM-6</v>
      </c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</row>
    <row r="74" ht="33.75" customHeight="1">
      <c r="A74" s="71" t="str">
        <f>IFERROR(__xludf.DUMMYFUNCTION("""COMPUTED_VALUE"""),"NITIN SAMPATH ROHAN BHEEMAVARAPU")</f>
        <v>NITIN SAMPATH ROHAN BHEEMAVARAPU</v>
      </c>
      <c r="B74" s="71" t="str">
        <f>IFERROR(__xludf.DUMMYFUNCTION("""COMPUTED_VALUE"""),"19331A05C2")</f>
        <v>19331A05C2</v>
      </c>
      <c r="C74" s="71" t="str">
        <f>IFERROR(__xludf.DUMMYFUNCTION("""COMPUTED_VALUE"""),"2022-2023")</f>
        <v>2022-2023</v>
      </c>
      <c r="D74" s="71" t="str">
        <f>IFERROR(__xludf.DUMMYFUNCTION("""COMPUTED_VALUE"""),"Raghu engineering college dance competition")</f>
        <v>Raghu engineering college dance competition</v>
      </c>
      <c r="E74" s="72">
        <f>IFERROR(__xludf.DUMMYFUNCTION("""COMPUTED_VALUE"""),44648.0)</f>
        <v>44648</v>
      </c>
      <c r="F74" s="71" t="str">
        <f>IFERROR(__xludf.DUMMYFUNCTION("""COMPUTED_VALUE"""),"RAGHU ENGINEERING COLLEGE")</f>
        <v>RAGHU ENGINEERING COLLEGE</v>
      </c>
      <c r="G74" s="73" t="str">
        <f>IFERROR(__xludf.DUMMYFUNCTION("""COMPUTED_VALUE"""),"https://drive.google.com/open?id=14YFIFfv8KmQJ4sk76AtHpP0CSZFUQwa7")</f>
        <v>https://drive.google.com/open?id=14YFIFfv8KmQJ4sk76AtHpP0CSZFUQwa7</v>
      </c>
      <c r="H74" s="71" t="str">
        <f>IFERROR(__xludf.DUMMYFUNCTION("""COMPUTED_VALUE"""),"2019-2023")</f>
        <v>2019-2023</v>
      </c>
      <c r="I74" s="71" t="str">
        <f>IFERROR(__xludf.DUMMYFUNCTION("""COMPUTED_VALUE"""),"S11: Student Awards")</f>
        <v>S11: Student Awards</v>
      </c>
      <c r="J74" s="71" t="str">
        <f>IFERROR(__xludf.DUMMYFUNCTION("""COMPUTED_VALUE"""),"nitinrohan56@gmail.com")</f>
        <v>nitinrohan56@gmail.com</v>
      </c>
      <c r="K74" s="71" t="str">
        <f>IFERROR(__xludf.DUMMYFUNCTION("""COMPUTED_VALUE"""),"SEM-6")</f>
        <v>SEM-6</v>
      </c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</row>
    <row r="75" ht="33.75" customHeight="1">
      <c r="A75" s="71" t="str">
        <f>IFERROR(__xludf.DUMMYFUNCTION("""COMPUTED_VALUE"""),"KARUMOJU NEHAL PRAVEEN")</f>
        <v>KARUMOJU NEHAL PRAVEEN</v>
      </c>
      <c r="B75" s="71" t="str">
        <f>IFERROR(__xludf.DUMMYFUNCTION("""COMPUTED_VALUE"""),"19331A0576")</f>
        <v>19331A0576</v>
      </c>
      <c r="C75" s="71" t="str">
        <f>IFERROR(__xludf.DUMMYFUNCTION("""COMPUTED_VALUE"""),"2019-2020")</f>
        <v>2019-2020</v>
      </c>
      <c r="D75" s="71" t="str">
        <f>IFERROR(__xludf.DUMMYFUNCTION("""COMPUTED_VALUE"""),"Problem Solving ( Basic)")</f>
        <v>Problem Solving ( Basic)</v>
      </c>
      <c r="E75" s="72">
        <f>IFERROR(__xludf.DUMMYFUNCTION("""COMPUTED_VALUE"""),44149.0)</f>
        <v>44149</v>
      </c>
      <c r="F75" s="71" t="str">
        <f>IFERROR(__xludf.DUMMYFUNCTION("""COMPUTED_VALUE"""),"HACKER RANK")</f>
        <v>HACKER RANK</v>
      </c>
      <c r="G75" s="73" t="str">
        <f>IFERROR(__xludf.DUMMYFUNCTION("""COMPUTED_VALUE"""),"https://drive.google.com/open?id=1NqFlC7Bath7G7K4zUCxJOED0H4RgXyES")</f>
        <v>https://drive.google.com/open?id=1NqFlC7Bath7G7K4zUCxJOED0H4RgXyES</v>
      </c>
      <c r="H75" s="71" t="str">
        <f>IFERROR(__xludf.DUMMYFUNCTION("""COMPUTED_VALUE"""),"2019-2023")</f>
        <v>2019-2023</v>
      </c>
      <c r="I75" s="71" t="str">
        <f>IFERROR(__xludf.DUMMYFUNCTION("""COMPUTED_VALUE"""),"S11: Student Awards")</f>
        <v>S11: Student Awards</v>
      </c>
      <c r="J75" s="71" t="str">
        <f>IFERROR(__xludf.DUMMYFUNCTION("""COMPUTED_VALUE"""),"nehalpraveen@gmail.com")</f>
        <v>nehalpraveen@gmail.com</v>
      </c>
      <c r="K75" s="71" t="str">
        <f>IFERROR(__xludf.DUMMYFUNCTION("""COMPUTED_VALUE"""),"SEM-6")</f>
        <v>SEM-6</v>
      </c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</row>
    <row r="76" ht="33.75" customHeight="1">
      <c r="A76" s="71" t="str">
        <f>IFERROR(__xludf.DUMMYFUNCTION("""COMPUTED_VALUE"""),"Kotari Sahithi")</f>
        <v>Kotari Sahithi</v>
      </c>
      <c r="B76" s="71" t="str">
        <f>IFERROR(__xludf.DUMMYFUNCTION("""COMPUTED_VALUE"""),"19331A0583")</f>
        <v>19331A0583</v>
      </c>
      <c r="C76" s="71" t="str">
        <f>IFERROR(__xludf.DUMMYFUNCTION("""COMPUTED_VALUE"""),"2021-2022")</f>
        <v>2021-2022</v>
      </c>
      <c r="D76" s="71" t="str">
        <f>IFERROR(__xludf.DUMMYFUNCTION("""COMPUTED_VALUE"""),"Group Dance competition")</f>
        <v>Group Dance competition</v>
      </c>
      <c r="E76" s="72">
        <f>IFERROR(__xludf.DUMMYFUNCTION("""COMPUTED_VALUE"""),44628.0)</f>
        <v>44628</v>
      </c>
      <c r="F76" s="71" t="str">
        <f>IFERROR(__xludf.DUMMYFUNCTION("""COMPUTED_VALUE"""),"MVGR College of Engineering")</f>
        <v>MVGR College of Engineering</v>
      </c>
      <c r="G76" s="73" t="str">
        <f>IFERROR(__xludf.DUMMYFUNCTION("""COMPUTED_VALUE"""),"https://drive.google.com/open?id=14jyjf351Oy7MTPqFB_6oRWFkjLNaCR0E")</f>
        <v>https://drive.google.com/open?id=14jyjf351Oy7MTPqFB_6oRWFkjLNaCR0E</v>
      </c>
      <c r="H76" s="71" t="str">
        <f>IFERROR(__xludf.DUMMYFUNCTION("""COMPUTED_VALUE"""),"2019-2023")</f>
        <v>2019-2023</v>
      </c>
      <c r="I76" s="71" t="str">
        <f>IFERROR(__xludf.DUMMYFUNCTION("""COMPUTED_VALUE"""),"S11: Student Awards")</f>
        <v>S11: Student Awards</v>
      </c>
      <c r="J76" s="71" t="str">
        <f>IFERROR(__xludf.DUMMYFUNCTION("""COMPUTED_VALUE"""),"kotarisahithi@gmail.com")</f>
        <v>kotarisahithi@gmail.com</v>
      </c>
      <c r="K76" s="71" t="str">
        <f>IFERROR(__xludf.DUMMYFUNCTION("""COMPUTED_VALUE"""),"SEM-6")</f>
        <v>SEM-6</v>
      </c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</row>
    <row r="77" ht="33.75" customHeight="1">
      <c r="A77" s="71" t="str">
        <f>IFERROR(__xludf.DUMMYFUNCTION("""COMPUTED_VALUE"""),"Sunkari Chitra Deepika")</f>
        <v>Sunkari Chitra Deepika</v>
      </c>
      <c r="B77" s="71" t="str">
        <f>IFERROR(__xludf.DUMMYFUNCTION("""COMPUTED_VALUE"""),"19331A05G5")</f>
        <v>19331A05G5</v>
      </c>
      <c r="C77" s="71" t="str">
        <f>IFERROR(__xludf.DUMMYFUNCTION("""COMPUTED_VALUE"""),"2020-2021")</f>
        <v>2020-2021</v>
      </c>
      <c r="D77" s="71" t="str">
        <f>IFERROR(__xludf.DUMMYFUNCTION("""COMPUTED_VALUE"""),"Quiz on C programming")</f>
        <v>Quiz on C programming</v>
      </c>
      <c r="E77" s="72">
        <f>IFERROR(__xludf.DUMMYFUNCTION("""COMPUTED_VALUE"""),44171.0)</f>
        <v>44171</v>
      </c>
      <c r="F77" s="71" t="str">
        <f>IFERROR(__xludf.DUMMYFUNCTION("""COMPUTED_VALUE"""),"Pimpri chinchwad college of engineering")</f>
        <v>Pimpri chinchwad college of engineering</v>
      </c>
      <c r="G77" s="73" t="str">
        <f>IFERROR(__xludf.DUMMYFUNCTION("""COMPUTED_VALUE"""),"https://drive.google.com/open?id=14xRbameMklw4aLyQQ7JrvSt-52Quugae")</f>
        <v>https://drive.google.com/open?id=14xRbameMklw4aLyQQ7JrvSt-52Quugae</v>
      </c>
      <c r="H77" s="71" t="str">
        <f>IFERROR(__xludf.DUMMYFUNCTION("""COMPUTED_VALUE"""),"2019-2023")</f>
        <v>2019-2023</v>
      </c>
      <c r="I77" s="71" t="str">
        <f>IFERROR(__xludf.DUMMYFUNCTION("""COMPUTED_VALUE"""),"S11: Student Awards")</f>
        <v>S11: Student Awards</v>
      </c>
      <c r="J77" s="71" t="str">
        <f>IFERROR(__xludf.DUMMYFUNCTION("""COMPUTED_VALUE"""),"chitradeepika3124@gmail.com")</f>
        <v>chitradeepika3124@gmail.com</v>
      </c>
      <c r="K77" s="71" t="str">
        <f>IFERROR(__xludf.DUMMYFUNCTION("""COMPUTED_VALUE"""),"SEM-6")</f>
        <v>SEM-6</v>
      </c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</row>
    <row r="78" ht="33.75" customHeight="1">
      <c r="A78" s="71" t="str">
        <f>IFERROR(__xludf.DUMMYFUNCTION("""COMPUTED_VALUE"""),"Chaitra Mudili")</f>
        <v>Chaitra Mudili</v>
      </c>
      <c r="B78" s="71" t="str">
        <f>IFERROR(__xludf.DUMMYFUNCTION("""COMPUTED_VALUE"""),"18331A05A0")</f>
        <v>18331A05A0</v>
      </c>
      <c r="C78" s="71" t="str">
        <f>IFERROR(__xludf.DUMMYFUNCTION("""COMPUTED_VALUE"""),"2021-2022")</f>
        <v>2021-2022</v>
      </c>
      <c r="D78" s="71" t="str">
        <f>IFERROR(__xludf.DUMMYFUNCTION("""COMPUTED_VALUE"""),"Virtusa Neural Hack - Placement")</f>
        <v>Virtusa Neural Hack - Placement</v>
      </c>
      <c r="E78" s="72">
        <f>IFERROR(__xludf.DUMMYFUNCTION("""COMPUTED_VALUE"""),44461.0)</f>
        <v>44461</v>
      </c>
      <c r="F78" s="71" t="str">
        <f>IFERROR(__xludf.DUMMYFUNCTION("""COMPUTED_VALUE"""),"Virtusa")</f>
        <v>Virtusa</v>
      </c>
      <c r="G78" s="73" t="str">
        <f>IFERROR(__xludf.DUMMYFUNCTION("""COMPUTED_VALUE"""),"https://drive.google.com/open?id=1YtlfhK7lju5pkuuEWikuWdBM_l5C2HXR")</f>
        <v>https://drive.google.com/open?id=1YtlfhK7lju5pkuuEWikuWdBM_l5C2HXR</v>
      </c>
      <c r="H78" s="71" t="str">
        <f>IFERROR(__xludf.DUMMYFUNCTION("""COMPUTED_VALUE"""),"2018-2022")</f>
        <v>2018-2022</v>
      </c>
      <c r="I78" s="71" t="str">
        <f>IFERROR(__xludf.DUMMYFUNCTION("""COMPUTED_VALUE"""),"S11: Student Awards")</f>
        <v>S11: Student Awards</v>
      </c>
      <c r="J78" s="71" t="str">
        <f>IFERROR(__xludf.DUMMYFUNCTION("""COMPUTED_VALUE"""),"chaitra2026@gmail.com")</f>
        <v>chaitra2026@gmail.com</v>
      </c>
      <c r="K78" s="71" t="str">
        <f>IFERROR(__xludf.DUMMYFUNCTION("""COMPUTED_VALUE"""),"SEM-7")</f>
        <v>SEM-7</v>
      </c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</row>
    <row r="79" ht="33.75" customHeight="1">
      <c r="A79" s="64" t="str">
        <f>IFERROR(__xludf.DUMMYFUNCTION("""COMPUTED_VALUE"""),"Thatimalla Niveditha")</f>
        <v>Thatimalla Niveditha</v>
      </c>
      <c r="B79" s="64" t="str">
        <f>IFERROR(__xludf.DUMMYFUNCTION("""COMPUTED_VALUE"""),"19331A05H1")</f>
        <v>19331A05H1</v>
      </c>
      <c r="C79" s="64" t="str">
        <f>IFERROR(__xludf.DUMMYFUNCTION("""COMPUTED_VALUE"""),"2020-2021")</f>
        <v>2020-2021</v>
      </c>
      <c r="D79" s="64" t="str">
        <f>IFERROR(__xludf.DUMMYFUNCTION("""COMPUTED_VALUE"""),"MyNEP Ambassador Certification")</f>
        <v>MyNEP Ambassador Certification</v>
      </c>
      <c r="E79" s="114">
        <f>IFERROR(__xludf.DUMMYFUNCTION("""COMPUTED_VALUE"""),44098.0)</f>
        <v>44098</v>
      </c>
      <c r="F79" s="64" t="str">
        <f>IFERROR(__xludf.DUMMYFUNCTION("""COMPUTED_VALUE"""),"My NEP")</f>
        <v>My NEP</v>
      </c>
      <c r="G79" s="115" t="str">
        <f>IFERROR(__xludf.DUMMYFUNCTION("""COMPUTED_VALUE"""),"https://drive.google.com/open?id=12ywiUkvTvVoa1CJL8hBOP0h8WHblH_7R")</f>
        <v>https://drive.google.com/open?id=12ywiUkvTvVoa1CJL8hBOP0h8WHblH_7R</v>
      </c>
      <c r="H79" s="64" t="str">
        <f>IFERROR(__xludf.DUMMYFUNCTION("""COMPUTED_VALUE"""),"2019-2023")</f>
        <v>2019-2023</v>
      </c>
      <c r="I79" s="64" t="str">
        <f>IFERROR(__xludf.DUMMYFUNCTION("""COMPUTED_VALUE"""),"S11: Student Awards")</f>
        <v>S11: Student Awards</v>
      </c>
      <c r="J79" s="64" t="str">
        <f>IFERROR(__xludf.DUMMYFUNCTION("""COMPUTED_VALUE"""),"thatimallaniveditha@gmail.com")</f>
        <v>thatimallaniveditha@gmail.com</v>
      </c>
      <c r="K79" s="64" t="str">
        <f>IFERROR(__xludf.DUMMYFUNCTION("""COMPUTED_VALUE"""),"SEM-3")</f>
        <v>SEM-3</v>
      </c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</row>
    <row r="80" ht="33.75" customHeight="1">
      <c r="A80" s="64" t="str">
        <f>IFERROR(__xludf.DUMMYFUNCTION("""COMPUTED_VALUE"""),"saiprasanna panthina")</f>
        <v>saiprasanna panthina</v>
      </c>
      <c r="B80" s="64" t="str">
        <f>IFERROR(__xludf.DUMMYFUNCTION("""COMPUTED_VALUE"""),"20335A0512")</f>
        <v>20335A0512</v>
      </c>
      <c r="C80" s="64" t="str">
        <f>IFERROR(__xludf.DUMMYFUNCTION("""COMPUTED_VALUE"""),"2021-2022")</f>
        <v>2021-2022</v>
      </c>
      <c r="D80" s="64" t="str">
        <f>IFERROR(__xludf.DUMMYFUNCTION("""COMPUTED_VALUE"""),"national level coading")</f>
        <v>national level coading</v>
      </c>
      <c r="E80" s="114">
        <f>IFERROR(__xludf.DUMMYFUNCTION("""COMPUTED_VALUE"""),44247.0)</f>
        <v>44247</v>
      </c>
      <c r="F80" s="64" t="str">
        <f>IFERROR(__xludf.DUMMYFUNCTION("""COMPUTED_VALUE"""),"ELITE club")</f>
        <v>ELITE club</v>
      </c>
      <c r="G80" s="115" t="str">
        <f>IFERROR(__xludf.DUMMYFUNCTION("""COMPUTED_VALUE"""),"https://drive.google.com/open?id=1BaCJd_H-1DAYUg4AfvjdtnF26UnFACPG")</f>
        <v>https://drive.google.com/open?id=1BaCJd_H-1DAYUg4AfvjdtnF26UnFACPG</v>
      </c>
      <c r="H80" s="64" t="str">
        <f>IFERROR(__xludf.DUMMYFUNCTION("""COMPUTED_VALUE"""),"2019-2023")</f>
        <v>2019-2023</v>
      </c>
      <c r="I80" s="64" t="str">
        <f>IFERROR(__xludf.DUMMYFUNCTION("""COMPUTED_VALUE"""),"S11: Student Awards")</f>
        <v>S11: Student Awards</v>
      </c>
      <c r="J80" s="64" t="str">
        <f>IFERROR(__xludf.DUMMYFUNCTION("""COMPUTED_VALUE"""),"saiprasanna.cme@gmail.com")</f>
        <v>saiprasanna.cme@gmail.com</v>
      </c>
      <c r="K80" s="64" t="str">
        <f>IFERROR(__xludf.DUMMYFUNCTION("""COMPUTED_VALUE"""),"SEM-6")</f>
        <v>SEM-6</v>
      </c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</row>
    <row r="81" ht="33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</row>
    <row r="82" ht="33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</row>
    <row r="83" ht="33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</row>
    <row r="84" ht="33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</row>
    <row r="85" ht="33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</row>
    <row r="86" ht="33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</row>
    <row r="87" ht="33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</row>
    <row r="88" ht="33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</row>
    <row r="89" ht="33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</row>
    <row r="90" ht="33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</row>
    <row r="91" ht="33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</row>
    <row r="92" ht="33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</row>
    <row r="93" ht="33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</row>
    <row r="94" ht="33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</row>
    <row r="95" ht="33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</row>
    <row r="96" ht="33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</row>
    <row r="97" ht="33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</row>
    <row r="98" ht="33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</row>
    <row r="99" ht="33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</row>
    <row r="100" ht="33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</row>
    <row r="101" ht="33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</row>
    <row r="102" ht="33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</row>
    <row r="103" ht="33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</row>
    <row r="104" ht="33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</row>
    <row r="105" ht="33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</row>
    <row r="106" ht="33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</row>
    <row r="107" ht="33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</row>
    <row r="108" ht="33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</row>
    <row r="109" ht="33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</row>
    <row r="110" ht="33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</row>
    <row r="111" ht="33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</row>
    <row r="112" ht="33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</row>
    <row r="113" ht="33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</row>
    <row r="114" ht="33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</row>
    <row r="115" ht="33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</row>
    <row r="116" ht="33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</row>
    <row r="117" ht="33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</row>
    <row r="118" ht="33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</row>
    <row r="119" ht="33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</row>
    <row r="120" ht="33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</row>
    <row r="121" ht="33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</row>
    <row r="122" ht="33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</row>
    <row r="123" ht="33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</row>
    <row r="124" ht="33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</row>
    <row r="125" ht="33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</row>
    <row r="126" ht="33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</row>
    <row r="127" ht="33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</row>
    <row r="128" ht="33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</row>
    <row r="129" ht="33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</row>
    <row r="130" ht="33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</row>
    <row r="131" ht="33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</row>
    <row r="132" ht="33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</row>
    <row r="133" ht="33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</row>
    <row r="134" ht="33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</row>
    <row r="135" ht="33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</row>
    <row r="136" ht="33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</row>
    <row r="137" ht="33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</row>
    <row r="138" ht="33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</row>
    <row r="139" ht="33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</row>
    <row r="140" ht="33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</row>
    <row r="141" ht="33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</row>
    <row r="142" ht="33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</row>
    <row r="143" ht="33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</row>
    <row r="144" ht="33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</row>
    <row r="145" ht="33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</row>
    <row r="146" ht="33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</row>
    <row r="147" ht="33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</row>
    <row r="148" ht="33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</row>
    <row r="149" ht="33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</row>
    <row r="150" ht="33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</row>
    <row r="151" ht="33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</row>
    <row r="152" ht="33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</row>
    <row r="153" ht="33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</row>
    <row r="154" ht="33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</row>
    <row r="155" ht="33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</row>
    <row r="156" ht="33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</row>
    <row r="157" ht="33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</row>
    <row r="158" ht="33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</row>
    <row r="159" ht="33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</row>
    <row r="160" ht="33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</row>
    <row r="161" ht="33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</row>
    <row r="162" ht="33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</row>
    <row r="163" ht="33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</row>
    <row r="164" ht="33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</row>
    <row r="165" ht="33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</row>
    <row r="166" ht="33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</row>
    <row r="167" ht="33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</row>
    <row r="168" ht="33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</row>
    <row r="169" ht="33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</row>
    <row r="170" ht="33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</row>
    <row r="171" ht="33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</row>
    <row r="172" ht="33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</row>
    <row r="173" ht="33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</row>
    <row r="174" ht="33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</row>
    <row r="175" ht="33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</row>
    <row r="176" ht="33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</row>
    <row r="177" ht="33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</row>
    <row r="178" ht="33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</row>
    <row r="179" ht="33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</row>
    <row r="180" ht="33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</row>
    <row r="181" ht="33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</row>
    <row r="182" ht="33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</row>
    <row r="183" ht="33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</row>
    <row r="184" ht="33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</row>
    <row r="185" ht="33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</row>
    <row r="186" ht="33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</row>
    <row r="187" ht="33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</row>
    <row r="188" ht="33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</row>
    <row r="189" ht="33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</row>
    <row r="190" ht="33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</row>
    <row r="191" ht="33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</row>
    <row r="192" ht="33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</row>
    <row r="193" ht="33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</row>
    <row r="194" ht="33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</row>
    <row r="195" ht="33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</row>
    <row r="196" ht="33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</row>
    <row r="197" ht="33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</row>
    <row r="198" ht="33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</row>
    <row r="199" ht="33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</row>
    <row r="200" ht="33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</row>
    <row r="201" ht="33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</row>
    <row r="202" ht="33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</row>
    <row r="203" ht="33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</row>
    <row r="204" ht="33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</row>
    <row r="205" ht="33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</row>
    <row r="206" ht="33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</row>
    <row r="207" ht="33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</row>
    <row r="208" ht="33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</row>
    <row r="209" ht="33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</row>
    <row r="210" ht="33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</row>
    <row r="211" ht="33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</row>
    <row r="212" ht="33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</row>
    <row r="213" ht="33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</row>
    <row r="214" ht="33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</row>
    <row r="215" ht="33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</row>
    <row r="216" ht="33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</row>
    <row r="217" ht="33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</row>
    <row r="218" ht="33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</row>
    <row r="219" ht="33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</row>
    <row r="220" ht="33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</row>
    <row r="221" ht="33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</row>
    <row r="222" ht="33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</row>
    <row r="223" ht="33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</row>
    <row r="224" ht="33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</row>
    <row r="225" ht="33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</row>
    <row r="226" ht="33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</row>
    <row r="227" ht="33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</row>
    <row r="228" ht="33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</row>
    <row r="229" ht="33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</row>
    <row r="230" ht="33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</row>
    <row r="231" ht="33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</row>
    <row r="232" ht="33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</row>
    <row r="233" ht="33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</row>
    <row r="234" ht="33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</row>
    <row r="235" ht="33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</row>
    <row r="236" ht="33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</row>
    <row r="237" ht="33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</row>
    <row r="238" ht="33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</row>
    <row r="239" ht="33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</row>
    <row r="240" ht="33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</row>
    <row r="241" ht="33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</row>
    <row r="242" ht="33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</row>
    <row r="243" ht="33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</row>
    <row r="244" ht="33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</row>
    <row r="245" ht="33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</row>
    <row r="246" ht="33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</row>
    <row r="247" ht="33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</row>
    <row r="248" ht="33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</row>
    <row r="249" ht="33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</row>
    <row r="250" ht="33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</row>
    <row r="251" ht="33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</row>
    <row r="252" ht="33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</row>
    <row r="253" ht="33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</row>
    <row r="254" ht="33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</row>
    <row r="255" ht="33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</row>
    <row r="256" ht="33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</row>
    <row r="257" ht="33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</row>
    <row r="258" ht="33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</row>
    <row r="259" ht="33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</row>
    <row r="260" ht="33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</row>
    <row r="261" ht="33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</row>
    <row r="262" ht="33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</row>
    <row r="263" ht="33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</row>
    <row r="264" ht="33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</row>
    <row r="265" ht="33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</row>
    <row r="266" ht="33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</row>
    <row r="267" ht="33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</row>
    <row r="268" ht="33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</row>
    <row r="269" ht="33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</row>
    <row r="270" ht="33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</row>
    <row r="271" ht="33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</row>
    <row r="272" ht="33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</row>
    <row r="273" ht="33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</row>
    <row r="274" ht="33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</row>
    <row r="275" ht="33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</row>
    <row r="276" ht="33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</row>
    <row r="277" ht="33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</row>
    <row r="278" ht="33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</row>
    <row r="279" ht="33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</row>
    <row r="280" ht="33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</row>
    <row r="281" ht="33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</row>
    <row r="282" ht="33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</row>
    <row r="283" ht="33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</row>
    <row r="284" ht="33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</row>
    <row r="285" ht="33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</row>
    <row r="286" ht="33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</row>
    <row r="287" ht="33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</row>
    <row r="288" ht="33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</row>
    <row r="289" ht="33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</row>
    <row r="290" ht="33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</row>
    <row r="291" ht="33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</row>
    <row r="292" ht="33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</row>
    <row r="293" ht="33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</row>
    <row r="294" ht="33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</row>
    <row r="295" ht="33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</row>
    <row r="296" ht="33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</row>
    <row r="297" ht="33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</row>
    <row r="298" ht="33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</row>
    <row r="299" ht="33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</row>
    <row r="300" ht="33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</row>
    <row r="301" ht="33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</row>
    <row r="302" ht="33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</row>
    <row r="303" ht="33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</row>
    <row r="304" ht="33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</row>
    <row r="305" ht="33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</row>
    <row r="306" ht="33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</row>
    <row r="307" ht="33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</row>
    <row r="308" ht="33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</row>
    <row r="309" ht="33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</row>
    <row r="310" ht="33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</row>
    <row r="311" ht="33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</row>
    <row r="312" ht="33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</row>
    <row r="313" ht="33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</row>
    <row r="314" ht="33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</row>
    <row r="315" ht="33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</row>
    <row r="316" ht="33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</row>
    <row r="317" ht="33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</row>
    <row r="318" ht="33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</row>
    <row r="319" ht="33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</row>
    <row r="320" ht="33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</row>
    <row r="321" ht="33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</row>
    <row r="322" ht="33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</row>
    <row r="323" ht="33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</row>
    <row r="324" ht="33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</row>
    <row r="325" ht="33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</row>
    <row r="326" ht="33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</row>
    <row r="327" ht="33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</row>
    <row r="328" ht="33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</row>
    <row r="329" ht="33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</row>
    <row r="330" ht="33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</row>
    <row r="331" ht="33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</row>
    <row r="332" ht="33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</row>
    <row r="333" ht="33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</row>
    <row r="334" ht="33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</row>
    <row r="335" ht="33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</row>
    <row r="336" ht="33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</row>
    <row r="337" ht="33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</row>
    <row r="338" ht="33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</row>
    <row r="339" ht="33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</row>
    <row r="340" ht="33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</row>
    <row r="341" ht="33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</row>
    <row r="342" ht="33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</row>
    <row r="343" ht="33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</row>
    <row r="344" ht="33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</row>
    <row r="345" ht="33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</row>
    <row r="346" ht="33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</row>
    <row r="347" ht="33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</row>
    <row r="348" ht="33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</row>
    <row r="349" ht="33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</row>
    <row r="350" ht="33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</row>
    <row r="351" ht="33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</row>
    <row r="352" ht="33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</row>
    <row r="353" ht="33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</row>
    <row r="354" ht="33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</row>
    <row r="355" ht="33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</row>
    <row r="356" ht="33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</row>
    <row r="357" ht="33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</row>
    <row r="358" ht="33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</row>
    <row r="359" ht="33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</row>
    <row r="360" ht="33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</row>
    <row r="361" ht="33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</row>
    <row r="362" ht="33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</row>
    <row r="363" ht="33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</row>
    <row r="364" ht="33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</row>
    <row r="365" ht="33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</row>
    <row r="366" ht="33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</row>
    <row r="367" ht="33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</row>
    <row r="368" ht="33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</row>
    <row r="369" ht="33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</row>
    <row r="370" ht="33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</row>
    <row r="371" ht="33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</row>
    <row r="372" ht="33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</row>
    <row r="373" ht="33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</row>
    <row r="374" ht="33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</row>
    <row r="375" ht="33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</row>
    <row r="376" ht="33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</row>
    <row r="377" ht="33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</row>
    <row r="378" ht="33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</row>
    <row r="379" ht="33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</row>
    <row r="380" ht="33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</row>
    <row r="381" ht="33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</row>
    <row r="382" ht="33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</row>
    <row r="383" ht="33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</row>
    <row r="384" ht="33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</row>
    <row r="385" ht="33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</row>
    <row r="386" ht="33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</row>
    <row r="387" ht="33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</row>
    <row r="388" ht="33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</row>
    <row r="389" ht="33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</row>
    <row r="390" ht="33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</row>
    <row r="391" ht="33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</row>
    <row r="392" ht="33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</row>
    <row r="393" ht="33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</row>
    <row r="394" ht="33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</row>
    <row r="395" ht="33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</row>
    <row r="396" ht="33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</row>
    <row r="397" ht="33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</row>
    <row r="398" ht="33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</row>
    <row r="399" ht="33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</row>
    <row r="400" ht="33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</row>
    <row r="401" ht="33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</row>
    <row r="402" ht="33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</row>
    <row r="403" ht="33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</row>
    <row r="404" ht="33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</row>
    <row r="405" ht="33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</row>
    <row r="406" ht="33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</row>
    <row r="407" ht="33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</row>
    <row r="408" ht="33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</row>
    <row r="409" ht="33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</row>
    <row r="410" ht="33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</row>
    <row r="411" ht="33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</row>
    <row r="412" ht="33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</row>
    <row r="413" ht="33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</row>
    <row r="414" ht="33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</row>
    <row r="415" ht="33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</row>
    <row r="416" ht="33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</row>
    <row r="417" ht="33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</row>
    <row r="418" ht="33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</row>
    <row r="419" ht="33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</row>
    <row r="420" ht="33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</row>
    <row r="421" ht="33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</row>
    <row r="422" ht="33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</row>
    <row r="423" ht="33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</row>
    <row r="424" ht="33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</row>
    <row r="425" ht="33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</row>
    <row r="426" ht="33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</row>
    <row r="427" ht="33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</row>
    <row r="428" ht="33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</row>
    <row r="429" ht="33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</row>
    <row r="430" ht="33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</row>
    <row r="431" ht="33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</row>
    <row r="432" ht="33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</row>
    <row r="433" ht="33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</row>
    <row r="434" ht="33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</row>
    <row r="435" ht="33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</row>
    <row r="436" ht="33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</row>
    <row r="437" ht="33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</row>
    <row r="438" ht="33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</row>
    <row r="439" ht="33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</row>
    <row r="440" ht="33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</row>
    <row r="441" ht="33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</row>
    <row r="442" ht="33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</row>
    <row r="443" ht="33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</row>
    <row r="444" ht="33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</row>
    <row r="445" ht="33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</row>
    <row r="446" ht="33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</row>
    <row r="447" ht="33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</row>
    <row r="448" ht="33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</row>
    <row r="449" ht="33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</row>
    <row r="450" ht="33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</row>
    <row r="451" ht="33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</row>
    <row r="452" ht="33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</row>
    <row r="453" ht="33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</row>
    <row r="454" ht="33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</row>
    <row r="455" ht="33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</row>
    <row r="456" ht="33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</row>
    <row r="457" ht="33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</row>
    <row r="458" ht="33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</row>
    <row r="459" ht="33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</row>
    <row r="460" ht="33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</row>
    <row r="461" ht="33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</row>
    <row r="462" ht="33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</row>
    <row r="463" ht="33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</row>
    <row r="464" ht="33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</row>
    <row r="465" ht="33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</row>
    <row r="466" ht="33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</row>
    <row r="467" ht="33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</row>
    <row r="468" ht="33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</row>
    <row r="469" ht="33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</row>
    <row r="470" ht="33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</row>
    <row r="471" ht="33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</row>
    <row r="472" ht="33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</row>
    <row r="473" ht="33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</row>
    <row r="474" ht="33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</row>
    <row r="475" ht="33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</row>
    <row r="476" ht="33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</row>
    <row r="477" ht="33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</row>
    <row r="478" ht="33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</row>
    <row r="479" ht="33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</row>
    <row r="480" ht="33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</row>
    <row r="481" ht="33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</row>
    <row r="482" ht="33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</row>
    <row r="483" ht="33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</row>
    <row r="484" ht="33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</row>
    <row r="485" ht="33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</row>
    <row r="486" ht="33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</row>
    <row r="487" ht="33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</row>
    <row r="488" ht="33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</row>
    <row r="489" ht="33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</row>
    <row r="490" ht="33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</row>
    <row r="491" ht="33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</row>
    <row r="492" ht="33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</row>
    <row r="493" ht="33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</row>
    <row r="494" ht="33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</row>
    <row r="495" ht="33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</row>
    <row r="496" ht="33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</row>
    <row r="497" ht="33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</row>
    <row r="498" ht="33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</row>
    <row r="499" ht="33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</row>
    <row r="500" ht="33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</row>
    <row r="501" ht="33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</row>
    <row r="502" ht="33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</row>
    <row r="503" ht="33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</row>
    <row r="504" ht="33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</row>
    <row r="505" ht="33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</row>
    <row r="506" ht="33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</row>
    <row r="507" ht="33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</row>
    <row r="508" ht="33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</row>
    <row r="509" ht="33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</row>
    <row r="510" ht="33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</row>
    <row r="511" ht="33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</row>
    <row r="512" ht="33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</row>
    <row r="513" ht="33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</row>
    <row r="514" ht="33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</row>
    <row r="515" ht="33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</row>
    <row r="516" ht="33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</row>
    <row r="517" ht="33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</row>
    <row r="518" ht="33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</row>
    <row r="519" ht="33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</row>
    <row r="520" ht="33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</row>
    <row r="521" ht="33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</row>
    <row r="522" ht="33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</row>
    <row r="523" ht="33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</row>
    <row r="524" ht="33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</row>
    <row r="525" ht="33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</row>
    <row r="526" ht="33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</row>
    <row r="527" ht="33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</row>
    <row r="528" ht="33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</row>
    <row r="529" ht="33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</row>
    <row r="530" ht="33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</row>
    <row r="531" ht="33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</row>
    <row r="532" ht="33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</row>
    <row r="533" ht="33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</row>
    <row r="534" ht="33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</row>
    <row r="535" ht="33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</row>
    <row r="536" ht="33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</row>
    <row r="537" ht="33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</row>
    <row r="538" ht="33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</row>
    <row r="539" ht="33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</row>
    <row r="540" ht="33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</row>
    <row r="541" ht="33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</row>
    <row r="542" ht="33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</row>
    <row r="543" ht="33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</row>
    <row r="544" ht="33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</row>
    <row r="545" ht="33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</row>
    <row r="546" ht="33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</row>
    <row r="547" ht="33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</row>
    <row r="548" ht="33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</row>
    <row r="549" ht="33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</row>
    <row r="550" ht="33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</row>
    <row r="551" ht="33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</row>
    <row r="552" ht="33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</row>
    <row r="553" ht="33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</row>
    <row r="554" ht="33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</row>
    <row r="555" ht="33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</row>
    <row r="556" ht="33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</row>
    <row r="557" ht="33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</row>
    <row r="558" ht="33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</row>
    <row r="559" ht="33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</row>
    <row r="560" ht="33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</row>
    <row r="561" ht="33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</row>
    <row r="562" ht="33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</row>
    <row r="563" ht="33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</row>
    <row r="564" ht="33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</row>
    <row r="565" ht="33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</row>
    <row r="566" ht="33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</row>
    <row r="567" ht="33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</row>
    <row r="568" ht="33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</row>
    <row r="569" ht="33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</row>
    <row r="570" ht="33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</row>
    <row r="571" ht="33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</row>
    <row r="572" ht="33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</row>
    <row r="573" ht="33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</row>
    <row r="574" ht="33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</row>
    <row r="575" ht="33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</row>
    <row r="576" ht="33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</row>
    <row r="577" ht="33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</row>
    <row r="578" ht="33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</row>
    <row r="579" ht="33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</row>
    <row r="580" ht="33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</row>
    <row r="581" ht="33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</row>
    <row r="582" ht="33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</row>
    <row r="583" ht="33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</row>
    <row r="584" ht="33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</row>
    <row r="585" ht="33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</row>
    <row r="586" ht="33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</row>
    <row r="587" ht="33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</row>
    <row r="588" ht="33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</row>
    <row r="589" ht="33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</row>
    <row r="590" ht="33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</row>
    <row r="591" ht="33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</row>
    <row r="592" ht="33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</row>
    <row r="593" ht="33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</row>
    <row r="594" ht="33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</row>
    <row r="595" ht="33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</row>
    <row r="596" ht="33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</row>
    <row r="597" ht="33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</row>
    <row r="598" ht="33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</row>
    <row r="599" ht="33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</row>
    <row r="600" ht="33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</row>
    <row r="601" ht="33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</row>
    <row r="602" ht="33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</row>
    <row r="603" ht="33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</row>
    <row r="604" ht="33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</row>
    <row r="605" ht="33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</row>
    <row r="606" ht="33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</row>
    <row r="607" ht="33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</row>
    <row r="608" ht="33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</row>
    <row r="609" ht="33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</row>
    <row r="610" ht="33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</row>
    <row r="611" ht="33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</row>
    <row r="612" ht="33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</row>
    <row r="613" ht="33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</row>
    <row r="614" ht="33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</row>
    <row r="615" ht="33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</row>
    <row r="616" ht="33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</row>
    <row r="617" ht="33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</row>
    <row r="618" ht="33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</row>
    <row r="619" ht="33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</row>
    <row r="620" ht="33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</row>
    <row r="621" ht="33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</row>
    <row r="622" ht="33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</row>
    <row r="623" ht="33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</row>
    <row r="624" ht="33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</row>
    <row r="625" ht="33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</row>
    <row r="626" ht="33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</row>
    <row r="627" ht="33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</row>
    <row r="628" ht="33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</row>
    <row r="629" ht="33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</row>
    <row r="630" ht="33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</row>
    <row r="631" ht="33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</row>
    <row r="632" ht="33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</row>
    <row r="633" ht="33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</row>
    <row r="634" ht="33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</row>
    <row r="635" ht="33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</row>
    <row r="636" ht="33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</row>
    <row r="637" ht="33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</row>
    <row r="638" ht="33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</row>
    <row r="639" ht="33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</row>
    <row r="640" ht="33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</row>
    <row r="641" ht="33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</row>
    <row r="642" ht="33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</row>
    <row r="643" ht="33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</row>
    <row r="644" ht="33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</row>
    <row r="645" ht="33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</row>
    <row r="646" ht="33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</row>
    <row r="647" ht="33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</row>
    <row r="648" ht="33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</row>
    <row r="649" ht="33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</row>
    <row r="650" ht="33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</row>
    <row r="651" ht="33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</row>
    <row r="652" ht="33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</row>
    <row r="653" ht="33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</row>
    <row r="654" ht="33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</row>
    <row r="655" ht="33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</row>
    <row r="656" ht="33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</row>
    <row r="657" ht="33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</row>
    <row r="658" ht="33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</row>
    <row r="659" ht="33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</row>
    <row r="660" ht="33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</row>
    <row r="661" ht="33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</row>
    <row r="662" ht="33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</row>
    <row r="663" ht="33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</row>
    <row r="664" ht="33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</row>
    <row r="665" ht="33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</row>
    <row r="666" ht="33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</row>
    <row r="667" ht="33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</row>
    <row r="668" ht="33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</row>
    <row r="669" ht="33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</row>
    <row r="670" ht="33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</row>
    <row r="671" ht="33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</row>
    <row r="672" ht="33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</row>
    <row r="673" ht="33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</row>
    <row r="674" ht="33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</row>
    <row r="675" ht="33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</row>
    <row r="676" ht="33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</row>
    <row r="677" ht="33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</row>
    <row r="678" ht="33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</row>
    <row r="679" ht="33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</row>
    <row r="680" ht="33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</row>
    <row r="681" ht="33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</row>
    <row r="682" ht="33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</row>
    <row r="683" ht="33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</row>
    <row r="684" ht="33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</row>
    <row r="685" ht="33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</row>
    <row r="686" ht="33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</row>
    <row r="687" ht="33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</row>
    <row r="688" ht="33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</row>
    <row r="689" ht="33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</row>
    <row r="690" ht="33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</row>
    <row r="691" ht="33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</row>
    <row r="692" ht="33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</row>
    <row r="693" ht="33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</row>
    <row r="694" ht="33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</row>
    <row r="695" ht="33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</row>
    <row r="696" ht="33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</row>
    <row r="697" ht="33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</row>
    <row r="698" ht="33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</row>
    <row r="699" ht="33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</row>
    <row r="700" ht="33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</row>
    <row r="701" ht="33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</row>
    <row r="702" ht="33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</row>
    <row r="703" ht="33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</row>
    <row r="704" ht="33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</row>
    <row r="705" ht="33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</row>
    <row r="706" ht="33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</row>
    <row r="707" ht="33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</row>
    <row r="708" ht="33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</row>
    <row r="709" ht="33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</row>
    <row r="710" ht="33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</row>
    <row r="711" ht="33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</row>
    <row r="712" ht="33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</row>
    <row r="713" ht="33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</row>
    <row r="714" ht="33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</row>
    <row r="715" ht="33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</row>
    <row r="716" ht="33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</row>
    <row r="717" ht="33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</row>
    <row r="718" ht="33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</row>
    <row r="719" ht="33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</row>
    <row r="720" ht="33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</row>
    <row r="721" ht="33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</row>
    <row r="722" ht="33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</row>
    <row r="723" ht="33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</row>
    <row r="724" ht="33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</row>
    <row r="725" ht="33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</row>
    <row r="726" ht="33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</row>
    <row r="727" ht="33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</row>
    <row r="728" ht="33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</row>
    <row r="729" ht="33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</row>
    <row r="730" ht="33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</row>
    <row r="731" ht="33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</row>
    <row r="732" ht="33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</row>
    <row r="733" ht="33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</row>
    <row r="734" ht="33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</row>
    <row r="735" ht="33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</row>
    <row r="736" ht="33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</row>
    <row r="737" ht="33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</row>
    <row r="738" ht="33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</row>
    <row r="739" ht="33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</row>
    <row r="740" ht="33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</row>
    <row r="741" ht="33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</row>
    <row r="742" ht="33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</row>
    <row r="743" ht="33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</row>
    <row r="744" ht="33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</row>
    <row r="745" ht="33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</row>
    <row r="746" ht="33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</row>
    <row r="747" ht="33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</row>
    <row r="748" ht="33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</row>
    <row r="749" ht="33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</row>
    <row r="750" ht="33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</row>
    <row r="751" ht="33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</row>
    <row r="752" ht="33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</row>
    <row r="753" ht="33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</row>
    <row r="754" ht="33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</row>
    <row r="755" ht="33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</row>
    <row r="756" ht="33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</row>
    <row r="757" ht="33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</row>
    <row r="758" ht="33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</row>
    <row r="759" ht="33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</row>
    <row r="760" ht="33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</row>
    <row r="761" ht="33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</row>
    <row r="762" ht="33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</row>
    <row r="763" ht="33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</row>
    <row r="764" ht="33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</row>
    <row r="765" ht="33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</row>
    <row r="766" ht="33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</row>
    <row r="767" ht="33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</row>
    <row r="768" ht="33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</row>
    <row r="769" ht="33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</row>
    <row r="770" ht="33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</row>
    <row r="771" ht="33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</row>
    <row r="772" ht="33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</row>
    <row r="773" ht="33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</row>
    <row r="774" ht="33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</row>
    <row r="775" ht="33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</row>
    <row r="776" ht="33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</row>
    <row r="777" ht="33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</row>
    <row r="778" ht="33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</row>
    <row r="779" ht="33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</row>
    <row r="780" ht="33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</row>
    <row r="781" ht="33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</row>
    <row r="782" ht="33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</row>
    <row r="783" ht="33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</row>
    <row r="784" ht="33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</row>
    <row r="785" ht="33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</row>
    <row r="786" ht="33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</row>
    <row r="787" ht="33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</row>
    <row r="788" ht="33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</row>
    <row r="789" ht="33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</row>
    <row r="790" ht="33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</row>
    <row r="791" ht="33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</row>
    <row r="792" ht="33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</row>
    <row r="793" ht="33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</row>
    <row r="794" ht="33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</row>
    <row r="795" ht="33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</row>
    <row r="796" ht="33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</row>
    <row r="797" ht="33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</row>
    <row r="798" ht="33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</row>
    <row r="799" ht="33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</row>
    <row r="800" ht="33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</row>
    <row r="801" ht="33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</row>
    <row r="802" ht="33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</row>
    <row r="803" ht="33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</row>
    <row r="804" ht="33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</row>
    <row r="805" ht="33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</row>
    <row r="806" ht="33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</row>
    <row r="807" ht="33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</row>
    <row r="808" ht="33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</row>
    <row r="809" ht="33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</row>
    <row r="810" ht="33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</row>
    <row r="811" ht="33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</row>
    <row r="812" ht="33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</row>
    <row r="813" ht="33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</row>
    <row r="814" ht="33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</row>
    <row r="815" ht="33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</row>
    <row r="816" ht="33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</row>
    <row r="817" ht="33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</row>
    <row r="818" ht="33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</row>
    <row r="819" ht="33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</row>
    <row r="820" ht="33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</row>
    <row r="821" ht="33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</row>
    <row r="822" ht="33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</row>
    <row r="823" ht="33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</row>
    <row r="824" ht="33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</row>
    <row r="825" ht="33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</row>
    <row r="826" ht="33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</row>
    <row r="827" ht="33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</row>
    <row r="828" ht="33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</row>
    <row r="829" ht="33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</row>
    <row r="830" ht="33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</row>
    <row r="831" ht="33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</row>
    <row r="832" ht="33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</row>
    <row r="833" ht="33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</row>
    <row r="834" ht="33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</row>
    <row r="835" ht="33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</row>
    <row r="836" ht="33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</row>
    <row r="837" ht="33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</row>
    <row r="838" ht="33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</row>
    <row r="839" ht="33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</row>
    <row r="840" ht="33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</row>
    <row r="841" ht="33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</row>
    <row r="842" ht="33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</row>
    <row r="843" ht="33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</row>
    <row r="844" ht="33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</row>
    <row r="845" ht="33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</row>
    <row r="846" ht="33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</row>
    <row r="847" ht="33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</row>
    <row r="848" ht="33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</row>
    <row r="849" ht="33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</row>
    <row r="850" ht="33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</row>
    <row r="851" ht="33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</row>
    <row r="852" ht="33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</row>
    <row r="853" ht="33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</row>
    <row r="854" ht="33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</row>
    <row r="855" ht="33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</row>
    <row r="856" ht="33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</row>
    <row r="857" ht="33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</row>
    <row r="858" ht="33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</row>
    <row r="859" ht="33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</row>
    <row r="860" ht="33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</row>
    <row r="861" ht="33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</row>
    <row r="862" ht="33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</row>
    <row r="863" ht="33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</row>
    <row r="864" ht="33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</row>
    <row r="865" ht="33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</row>
    <row r="866" ht="33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</row>
    <row r="867" ht="33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</row>
    <row r="868" ht="33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</row>
    <row r="869" ht="33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</row>
    <row r="870" ht="33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</row>
    <row r="871" ht="33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</row>
    <row r="872" ht="33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</row>
    <row r="873" ht="33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</row>
    <row r="874" ht="33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</row>
    <row r="875" ht="33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</row>
    <row r="876" ht="33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</row>
    <row r="877" ht="33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</row>
    <row r="878" ht="33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</row>
    <row r="879" ht="33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</row>
    <row r="880" ht="33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</row>
    <row r="881" ht="33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</row>
    <row r="882" ht="33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</row>
    <row r="883" ht="33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</row>
    <row r="884" ht="33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</row>
    <row r="885" ht="33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</row>
    <row r="886" ht="33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</row>
    <row r="887" ht="33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</row>
    <row r="888" ht="33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</row>
    <row r="889" ht="33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</row>
    <row r="890" ht="33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</row>
    <row r="891" ht="33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</row>
    <row r="892" ht="33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</row>
    <row r="893" ht="33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</row>
    <row r="894" ht="33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</row>
    <row r="895" ht="33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</row>
    <row r="896" ht="33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</row>
    <row r="897" ht="33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</row>
    <row r="898" ht="33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</row>
    <row r="899" ht="33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</row>
    <row r="900" ht="33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</row>
    <row r="901" ht="33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</row>
    <row r="902" ht="33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</row>
    <row r="903" ht="33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</row>
    <row r="904" ht="33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</row>
    <row r="905" ht="33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</row>
    <row r="906" ht="33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</row>
    <row r="907" ht="33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</row>
    <row r="908" ht="33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</row>
    <row r="909" ht="33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</row>
    <row r="910" ht="33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</row>
    <row r="911" ht="33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</row>
    <row r="912" ht="33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</row>
    <row r="913" ht="33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</row>
    <row r="914" ht="33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</row>
    <row r="915" ht="33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</row>
    <row r="916" ht="33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</row>
    <row r="917" ht="33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</row>
    <row r="918" ht="33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</row>
    <row r="919" ht="33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</row>
    <row r="920" ht="33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</row>
    <row r="921" ht="33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</row>
    <row r="922" ht="33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</row>
    <row r="923" ht="33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</row>
    <row r="924" ht="33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</row>
    <row r="925" ht="33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</row>
    <row r="926" ht="33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</row>
    <row r="927" ht="33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</row>
    <row r="928" ht="33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</row>
    <row r="929" ht="33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</row>
    <row r="930" ht="33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</row>
    <row r="931" ht="33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</row>
    <row r="932" ht="33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</row>
    <row r="933" ht="33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</row>
    <row r="934" ht="33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</row>
    <row r="935" ht="33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</row>
    <row r="936" ht="33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</row>
    <row r="937" ht="33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</row>
    <row r="938" ht="33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</row>
    <row r="939" ht="33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</row>
    <row r="940" ht="33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</row>
    <row r="941" ht="33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</row>
    <row r="942" ht="33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</row>
    <row r="943" ht="33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</row>
    <row r="944" ht="33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</row>
    <row r="945" ht="33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</row>
    <row r="946" ht="33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</row>
    <row r="947" ht="33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</row>
    <row r="948" ht="33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</row>
    <row r="949" ht="33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</row>
    <row r="950" ht="33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</row>
    <row r="951" ht="33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</row>
    <row r="952" ht="33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</row>
    <row r="953" ht="33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</row>
    <row r="954" ht="33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</row>
    <row r="955" ht="33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</row>
    <row r="956" ht="33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</row>
    <row r="957" ht="33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</row>
    <row r="958" ht="33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</row>
    <row r="959" ht="33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</row>
    <row r="960" ht="33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</row>
    <row r="961" ht="33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</row>
    <row r="962" ht="33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</row>
    <row r="963" ht="33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</row>
    <row r="964" ht="33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</row>
    <row r="965" ht="33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</row>
    <row r="966" ht="33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</row>
    <row r="967" ht="33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</row>
    <row r="968" ht="33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</row>
    <row r="969" ht="33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</row>
    <row r="970" ht="33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</row>
    <row r="971" ht="33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</row>
    <row r="972" ht="33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</row>
    <row r="973" ht="33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</row>
    <row r="974" ht="33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</row>
    <row r="975" ht="33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</row>
    <row r="976" ht="33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</row>
    <row r="977" ht="33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</row>
    <row r="978" ht="33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</row>
    <row r="979" ht="33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</row>
    <row r="980" ht="33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</row>
    <row r="981" ht="33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</row>
    <row r="982" ht="33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</row>
    <row r="983" ht="33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</row>
    <row r="984" ht="33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</row>
    <row r="985" ht="33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</row>
    <row r="986" ht="33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</row>
    <row r="987" ht="33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</row>
    <row r="988" ht="33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</row>
    <row r="989" ht="33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</row>
    <row r="990" ht="33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</row>
    <row r="991" ht="33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</row>
    <row r="992" ht="33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</row>
    <row r="993" ht="33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</row>
    <row r="994" ht="33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</row>
    <row r="995" ht="33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</row>
    <row r="996" ht="33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</row>
  </sheetData>
  <customSheetViews>
    <customSheetView guid="{5A3FE551-BE9F-4F73-9636-37149EBA48E4}" filter="1" showAutoFilter="1">
      <autoFilter ref="$A$1:$Y$79">
        <filterColumn colId="1">
          <filters>
            <filter val="19335A0519"/>
            <filter val="18331A05G4"/>
            <filter val="18331A05G5"/>
            <filter val="18331A05A0"/>
            <filter val="18331A05C5"/>
            <filter val="17331a05e8"/>
            <filter val="18331A05G0"/>
            <filter val="18331A0573"/>
            <filter val="18331A0597"/>
            <filter val="18331A0576"/>
            <filter val="18331A0555"/>
            <filter val="18331A0579"/>
            <filter val="18331A05A5"/>
            <filter val="18331A05A7"/>
            <filter val="20331A0598"/>
            <filter val="18331A0593"/>
            <filter val="19335A0506"/>
            <filter val="18331A05H4"/>
            <filter val="19335A0508"/>
            <filter val="18331A05H5"/>
            <filter val="18331A05F5"/>
            <filter val="18331A05D4"/>
            <filter val="18331A05D6"/>
            <filter val="18331A05F8"/>
            <filter val="18331A0585"/>
            <filter val="18331A0542"/>
            <filter val="18331A0565"/>
            <filter val="18331A0588"/>
            <filter val="18331A0544"/>
            <filter val="18331A05B7"/>
            <filter val="19335A0515"/>
            <filter val="18331A0582"/>
            <filter val="19335A0517"/>
          </filters>
        </filterColumn>
      </autoFilter>
    </customSheetView>
  </customSheetViews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</hyperlinks>
  <drawing r:id="rId8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2.88"/>
    <col customWidth="1" min="3" max="3" width="17.75"/>
    <col customWidth="1" min="4" max="4" width="31.5"/>
    <col customWidth="1" min="5" max="5" width="26.63"/>
    <col customWidth="1" min="6" max="6" width="7.88"/>
    <col customWidth="1" min="7" max="7" width="8.5"/>
    <col customWidth="1" min="8" max="8" width="7.88"/>
    <col customWidth="1" min="9" max="9" width="5.25"/>
    <col customWidth="1" min="10" max="10" width="28.25"/>
    <col customWidth="1" min="11" max="11" width="24.5"/>
    <col customWidth="1" min="12" max="12" width="57.75"/>
    <col customWidth="1" min="13" max="13" width="28.75"/>
    <col customWidth="1" min="14" max="14" width="32.88"/>
    <col customWidth="1" min="15" max="15" width="31.88"/>
    <col customWidth="1" min="16" max="16" width="32.88"/>
    <col customWidth="1" min="17" max="17" width="10.13"/>
  </cols>
  <sheetData>
    <row r="1" ht="30.75" customHeight="1">
      <c r="A1" s="129" t="s">
        <v>102</v>
      </c>
      <c r="B1" s="130" t="s">
        <v>73</v>
      </c>
      <c r="C1" s="130" t="s">
        <v>103</v>
      </c>
      <c r="D1" s="130" t="s">
        <v>104</v>
      </c>
      <c r="E1" s="130" t="s">
        <v>89</v>
      </c>
      <c r="F1" s="130" t="s">
        <v>68</v>
      </c>
      <c r="G1" s="130" t="s">
        <v>105</v>
      </c>
      <c r="H1" s="130" t="s">
        <v>106</v>
      </c>
      <c r="I1" s="130" t="s">
        <v>79</v>
      </c>
      <c r="J1" s="130" t="s">
        <v>107</v>
      </c>
      <c r="K1" s="130" t="s">
        <v>108</v>
      </c>
      <c r="L1" s="130" t="s">
        <v>109</v>
      </c>
      <c r="M1" s="130" t="s">
        <v>110</v>
      </c>
      <c r="N1" s="70" t="s">
        <v>29</v>
      </c>
      <c r="O1" s="61" t="s">
        <v>1</v>
      </c>
      <c r="P1" s="70" t="s">
        <v>118</v>
      </c>
      <c r="Q1" s="70" t="s">
        <v>119</v>
      </c>
      <c r="R1" s="64"/>
      <c r="S1" s="64"/>
      <c r="T1" s="64"/>
      <c r="U1" s="64"/>
      <c r="V1" s="64"/>
      <c r="W1" s="64"/>
      <c r="X1" s="64"/>
      <c r="Y1" s="64"/>
      <c r="Z1" s="64"/>
    </row>
    <row r="2" ht="30.75" customHeight="1">
      <c r="A2" s="64" t="str">
        <f>IFERROR(__xludf.DUMMYFUNCTION("QUERY(MasterData!A1:NK11797,""select EH,EI,EJ,EK,EL,EM,EN,EO,EP,EQ,ER,ES,ET,B,C,FL,FM where C='S12: Student capabilities enhancement'"",0)"),"#N/A")</f>
        <v>#N/A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ht="30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ht="30.7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ht="30.75" customHeight="1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ht="30.7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ht="30.75" customHeight="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ht="30.75" customHeight="1">
      <c r="A8" s="64"/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ht="30.75" customHeight="1">
      <c r="A9" s="64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ht="30.75" customHeight="1">
      <c r="A10" s="64"/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ht="30.75" customHeight="1">
      <c r="A11" s="64"/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ht="30.75" customHeight="1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ht="30.75" customHeight="1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ht="30.75" customHeight="1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ht="30.75" customHeight="1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ht="30.75" customHeight="1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ht="30.75" customHeight="1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ht="30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ht="30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ht="30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ht="30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ht="30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ht="30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ht="30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ht="30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ht="30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ht="30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ht="30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ht="30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ht="30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ht="30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ht="30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ht="30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ht="30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ht="30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ht="30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ht="30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ht="30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ht="30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ht="30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ht="30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ht="30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ht="30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ht="30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ht="30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ht="30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ht="30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ht="30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ht="30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ht="30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ht="30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ht="30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ht="30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ht="30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ht="30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ht="30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ht="30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ht="30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ht="30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ht="30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ht="30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ht="30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ht="30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ht="30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ht="30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ht="30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ht="30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ht="30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ht="30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ht="30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ht="30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ht="30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ht="30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ht="30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ht="30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ht="30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ht="30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ht="30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ht="30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ht="30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ht="30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ht="30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ht="30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ht="30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ht="30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ht="30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ht="30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ht="30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ht="30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ht="30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ht="30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ht="30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ht="30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ht="30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ht="30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ht="30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ht="30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ht="30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ht="30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ht="30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ht="30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ht="30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ht="30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ht="30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ht="30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ht="30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ht="30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ht="30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ht="30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ht="30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ht="30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ht="30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ht="30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ht="30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ht="30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ht="30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ht="30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ht="30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ht="30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ht="30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ht="30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ht="30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ht="30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ht="30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ht="30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ht="30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ht="30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ht="30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ht="30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ht="30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ht="30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ht="30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ht="30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ht="30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ht="30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ht="30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ht="30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ht="30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ht="30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ht="30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ht="30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ht="30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ht="30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ht="30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ht="30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ht="30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ht="30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ht="30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ht="30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ht="30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ht="30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ht="30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ht="30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ht="30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ht="30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ht="30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ht="30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ht="30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ht="30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ht="30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ht="30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ht="30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ht="30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ht="30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ht="30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ht="30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ht="30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ht="30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ht="30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ht="30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ht="30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ht="30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ht="30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ht="30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ht="30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ht="30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ht="30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ht="30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ht="30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ht="30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ht="30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ht="30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ht="30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ht="30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ht="30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ht="30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ht="30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ht="30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ht="30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ht="30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ht="30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ht="30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ht="30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ht="30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ht="30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ht="30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ht="30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ht="30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ht="30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ht="30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ht="30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ht="30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ht="30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ht="30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ht="30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ht="30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ht="30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ht="30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ht="30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ht="30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ht="30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ht="30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ht="30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ht="30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ht="30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ht="30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ht="30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ht="30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ht="30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ht="30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ht="30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ht="30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ht="30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ht="30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ht="30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ht="30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ht="30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ht="30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ht="30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ht="30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ht="30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ht="30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ht="30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ht="30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ht="30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ht="30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ht="30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ht="30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ht="30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ht="30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ht="30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ht="30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ht="30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ht="30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ht="30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ht="30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ht="30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ht="30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ht="30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ht="30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ht="30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ht="30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ht="30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ht="30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ht="30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ht="30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ht="30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ht="30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ht="30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ht="30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ht="30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ht="30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ht="30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ht="30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ht="30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ht="30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ht="30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ht="30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ht="30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ht="30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ht="30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ht="30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ht="30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ht="30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ht="30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ht="30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ht="30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ht="30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ht="30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ht="30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ht="30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ht="30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ht="30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ht="30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ht="30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ht="30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ht="30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ht="30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ht="30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ht="30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ht="30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ht="30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ht="30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ht="30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ht="30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ht="30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ht="30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ht="30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ht="30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ht="30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ht="30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ht="30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ht="30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ht="30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ht="30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ht="30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ht="30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ht="30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ht="30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ht="30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ht="30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ht="30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ht="30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ht="30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ht="30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ht="30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ht="30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ht="30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ht="30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ht="30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ht="30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ht="30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ht="30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ht="30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ht="30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ht="30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ht="30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ht="30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ht="30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ht="30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ht="30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ht="30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ht="30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ht="30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ht="30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ht="30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ht="30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ht="30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ht="30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ht="30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ht="30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ht="30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ht="30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ht="30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ht="30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ht="30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ht="30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ht="30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ht="30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ht="30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ht="30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ht="30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ht="30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ht="30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ht="30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ht="30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ht="30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ht="30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ht="30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ht="30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ht="30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ht="30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ht="30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ht="30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ht="30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ht="30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ht="30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ht="30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ht="30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ht="30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ht="30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ht="30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ht="30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ht="30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ht="30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ht="30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ht="30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ht="30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ht="30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ht="30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ht="30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ht="30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ht="30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ht="30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ht="30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ht="30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ht="30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ht="30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ht="30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ht="30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ht="30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ht="30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ht="30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ht="30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ht="30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ht="30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ht="30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ht="30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ht="30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ht="30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ht="30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ht="30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ht="30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ht="30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ht="30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ht="30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ht="30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ht="30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ht="30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ht="30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ht="30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ht="30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ht="30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ht="30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ht="30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ht="30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ht="30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ht="30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ht="30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ht="30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ht="30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ht="30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ht="30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ht="30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ht="30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ht="30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ht="30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ht="30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ht="30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ht="30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ht="30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ht="30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ht="30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ht="30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ht="30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ht="30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ht="30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ht="30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ht="30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ht="30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ht="30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ht="30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ht="30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ht="30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ht="30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ht="30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ht="30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ht="30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ht="30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ht="30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ht="30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ht="30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ht="30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ht="30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ht="30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ht="30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ht="30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ht="30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ht="30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ht="30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ht="30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ht="30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ht="30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ht="30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ht="30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ht="30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ht="30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ht="30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ht="30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ht="30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ht="30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ht="30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ht="30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ht="30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ht="30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ht="30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ht="30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ht="30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ht="30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ht="30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ht="30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ht="30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ht="30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ht="30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ht="30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ht="30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ht="30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ht="30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ht="30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ht="30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ht="30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ht="30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ht="30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ht="30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ht="30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ht="30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ht="30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ht="30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ht="30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ht="30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ht="30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ht="30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ht="30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ht="30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ht="30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ht="30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ht="30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ht="30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ht="30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ht="30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ht="30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ht="30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ht="30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ht="30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ht="30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ht="30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ht="30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ht="30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ht="30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ht="30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ht="30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ht="30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ht="30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ht="30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ht="30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ht="30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ht="30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ht="30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ht="30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ht="30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ht="30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ht="30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ht="30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ht="30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ht="30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ht="30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ht="30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ht="30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ht="30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ht="30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ht="30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ht="30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ht="30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ht="30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ht="30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ht="30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ht="30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ht="30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ht="30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ht="30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ht="30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ht="30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ht="30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ht="30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ht="30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ht="30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ht="30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ht="30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ht="30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ht="30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ht="30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ht="30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ht="30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ht="30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ht="30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ht="30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ht="30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ht="30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ht="30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ht="30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ht="30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ht="30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ht="30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ht="30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ht="30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ht="30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ht="30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ht="30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ht="30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ht="30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ht="30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ht="30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ht="30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ht="30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ht="30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ht="30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ht="30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ht="30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ht="30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ht="30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ht="30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ht="30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ht="30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ht="30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ht="30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ht="30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ht="30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ht="30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ht="30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ht="30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ht="30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ht="30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ht="30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ht="30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ht="30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ht="30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ht="30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ht="30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ht="30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ht="30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ht="30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ht="30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ht="30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ht="30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ht="30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ht="30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ht="30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ht="30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ht="30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ht="30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ht="30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ht="30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ht="30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ht="30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ht="30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ht="30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ht="30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ht="30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ht="30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ht="30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ht="30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ht="30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ht="30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ht="30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ht="30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ht="30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ht="30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ht="30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ht="30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ht="30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ht="30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ht="30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ht="30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ht="30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ht="30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ht="30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ht="30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ht="30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ht="30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ht="30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ht="30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ht="30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ht="30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ht="30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ht="30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ht="30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ht="30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ht="30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ht="30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ht="30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ht="30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ht="30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ht="30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ht="30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ht="30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ht="30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ht="30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ht="30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ht="30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ht="30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ht="30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ht="30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ht="30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ht="30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ht="30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ht="30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ht="30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ht="30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ht="30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ht="30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ht="30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ht="30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ht="30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ht="30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ht="30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ht="30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ht="30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ht="30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ht="30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ht="30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ht="30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ht="30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ht="30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ht="30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ht="30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ht="30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ht="30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ht="30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ht="30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ht="30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ht="30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ht="30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ht="30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ht="30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ht="30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ht="30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ht="30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ht="30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ht="30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ht="30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ht="30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ht="30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ht="30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ht="30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ht="30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ht="30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ht="30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ht="30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ht="30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ht="30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ht="30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ht="30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ht="30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ht="30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ht="30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ht="30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ht="30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ht="30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ht="30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ht="30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ht="30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ht="30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ht="30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ht="30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ht="30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ht="30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ht="30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ht="30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ht="30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ht="30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ht="30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ht="30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ht="30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ht="30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ht="30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ht="30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ht="30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ht="30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ht="30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ht="30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ht="30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ht="30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ht="30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ht="30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ht="30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ht="30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ht="30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ht="30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ht="30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ht="30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ht="30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ht="30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ht="30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ht="30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ht="30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ht="30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ht="30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ht="30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ht="30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ht="30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ht="30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ht="30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ht="30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ht="30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ht="30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ht="30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ht="30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ht="30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ht="30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ht="30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ht="30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ht="30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ht="30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ht="30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ht="30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ht="30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ht="30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ht="30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ht="30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ht="30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ht="30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ht="30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ht="30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ht="30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ht="30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ht="30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ht="30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ht="30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ht="30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ht="30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ht="30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ht="30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ht="30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ht="30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ht="30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ht="30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ht="30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ht="30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ht="30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ht="30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ht="30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ht="30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ht="30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ht="30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ht="30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ht="30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ht="30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ht="30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ht="30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ht="30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ht="30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ht="30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ht="30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ht="30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ht="30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ht="30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ht="30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ht="30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ht="30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ht="30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ht="30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ht="30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ht="30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ht="30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ht="30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ht="30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ht="30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ht="30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ht="30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ht="30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ht="30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ht="30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ht="30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ht="30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ht="30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ht="30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ht="30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ht="30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ht="30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ht="30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ht="30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ht="30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ht="30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ht="30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ht="30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ht="30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ht="30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ht="30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ht="30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ht="30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ht="30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ht="30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ht="30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ht="30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ht="30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ht="30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ht="30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ht="30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ht="30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ht="30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ht="30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ht="30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ht="30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ht="30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ht="30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ht="30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ht="30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ht="30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ht="30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ht="30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ht="30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ht="30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ht="30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ht="30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ht="30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ht="30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ht="30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ht="30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ht="30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ht="30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ht="30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ht="30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ht="30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ht="30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ht="30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ht="30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ht="30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ht="30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ht="30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ht="30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ht="30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ht="30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ht="30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ht="30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ht="30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ht="30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ht="30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ht="30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ht="30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ht="30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ht="30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ht="30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ht="30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ht="30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ht="30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ht="30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ht="30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ht="30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ht="30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ht="30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ht="30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ht="30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ht="30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ht="30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ht="30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ht="30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ht="30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ht="30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ht="30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ht="30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ht="30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ht="30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ht="30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ht="30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ht="30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ht="30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ht="30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ht="30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ht="30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ht="30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ht="30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ht="30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ht="30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ht="30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ht="30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ht="30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ht="30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ht="30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ht="30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ht="30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ht="30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ht="30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ht="30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ht="30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ht="30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ht="30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ht="30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ht="30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ht="30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ht="30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ht="30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ht="30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ht="30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ht="30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ht="30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ht="30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ht="30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ht="30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ht="30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ht="30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ht="30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ht="30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ht="30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ht="30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ht="30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ht="30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ht="30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ht="30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ht="30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ht="30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ht="30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ht="30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ht="30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ht="30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ht="30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ht="30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ht="30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ht="30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ht="30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ht="30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ht="30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ht="30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ht="30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ht="30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ht="30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ht="30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ht="30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ht="30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ht="30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ht="30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10.88"/>
    <col customWidth="1" min="3" max="3" width="34.5"/>
    <col customWidth="1" min="4" max="4" width="45.88"/>
    <col customWidth="1" min="5" max="5" width="12.63"/>
    <col customWidth="1" min="6" max="6" width="62.38"/>
    <col customWidth="1" min="7" max="7" width="19.63"/>
    <col customWidth="1" min="8" max="8" width="21.88"/>
    <col customWidth="1" min="9" max="9" width="27.25"/>
    <col customWidth="1" min="10" max="10" width="10.13"/>
  </cols>
  <sheetData>
    <row r="1" ht="28.5" customHeight="1">
      <c r="A1" s="131" t="s">
        <v>30</v>
      </c>
      <c r="B1" s="131" t="s">
        <v>31</v>
      </c>
      <c r="C1" s="131" t="s">
        <v>111</v>
      </c>
      <c r="D1" s="131" t="s">
        <v>112</v>
      </c>
      <c r="E1" s="131" t="s">
        <v>113</v>
      </c>
      <c r="F1" s="131" t="s">
        <v>5283</v>
      </c>
      <c r="G1" s="18" t="s">
        <v>29</v>
      </c>
      <c r="H1" s="17" t="s">
        <v>1</v>
      </c>
      <c r="I1" s="18" t="s">
        <v>118</v>
      </c>
      <c r="J1" s="18" t="s">
        <v>119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28.5" customHeight="1">
      <c r="A2" s="74" t="str">
        <f>IFERROR(__xludf.DUMMYFUNCTION("QUERY(MasterData!A1:NK11797,""select EU,EW,EX,EY,FA,FF,B,C,FL,FM where C='S13: Students Higher Edu.'"",0)"),"Meghana Pusapati ")</f>
        <v>Meghana Pusapati </v>
      </c>
      <c r="B2" s="74" t="str">
        <f>IFERROR(__xludf.DUMMYFUNCTION("""COMPUTED_VALUE"""),"16331A05D4")</f>
        <v>16331A05D4</v>
      </c>
      <c r="C2" s="74" t="str">
        <f>IFERROR(__xludf.DUMMYFUNCTION("""COMPUTED_VALUE"""),"MS in Computer and Information Sciences")</f>
        <v>MS in Computer and Information Sciences</v>
      </c>
      <c r="D2" s="74" t="str">
        <f>IFERROR(__xludf.DUMMYFUNCTION("""COMPUTED_VALUE"""),"Syracuse University,  New York")</f>
        <v>Syracuse University,  New York</v>
      </c>
      <c r="E2" s="79">
        <f>IFERROR(__xludf.DUMMYFUNCTION("""COMPUTED_VALUE"""),44579.0)</f>
        <v>44579</v>
      </c>
      <c r="F2" s="80" t="str">
        <f>IFERROR(__xludf.DUMMYFUNCTION("""COMPUTED_VALUE"""),"https://drive.google.com/open?id=1PjR39K2HwkwQPNZ5t-nniB3dOKXMOnAs")</f>
        <v>https://drive.google.com/open?id=1PjR39K2HwkwQPNZ5t-nniB3dOKXMOnAs</v>
      </c>
      <c r="G2" s="74" t="str">
        <f>IFERROR(__xludf.DUMMYFUNCTION("""COMPUTED_VALUE"""),"2016-2020")</f>
        <v>2016-2020</v>
      </c>
      <c r="H2" s="74" t="str">
        <f>IFERROR(__xludf.DUMMYFUNCTION("""COMPUTED_VALUE"""),"S13: Students Higher Edu.")</f>
        <v>S13: Students Higher Edu.</v>
      </c>
      <c r="I2" s="74" t="str">
        <f>IFERROR(__xludf.DUMMYFUNCTION("""COMPUTED_VALUE"""),"pusapatimeghana@gmail.com")</f>
        <v>pusapatimeghana@gmail.com</v>
      </c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28.5" customHeight="1">
      <c r="A3" s="74" t="str">
        <f>IFERROR(__xludf.DUMMYFUNCTION("""COMPUTED_VALUE"""),"Prudhvi teja bandaru")</f>
        <v>Prudhvi teja bandaru</v>
      </c>
      <c r="B3" s="74" t="str">
        <f>IFERROR(__xludf.DUMMYFUNCTION("""COMPUTED_VALUE"""),"17331A0509")</f>
        <v>17331A0509</v>
      </c>
      <c r="C3" s="74" t="str">
        <f>IFERROR(__xludf.DUMMYFUNCTION("""COMPUTED_VALUE"""),"MBA")</f>
        <v>MBA</v>
      </c>
      <c r="D3" s="74" t="str">
        <f>IFERROR(__xludf.DUMMYFUNCTION("""COMPUTED_VALUE"""),"Amity University Lucknow")</f>
        <v>Amity University Lucknow</v>
      </c>
      <c r="E3" s="79">
        <f>IFERROR(__xludf.DUMMYFUNCTION("""COMPUTED_VALUE"""),44445.0)</f>
        <v>44445</v>
      </c>
      <c r="F3" s="80" t="str">
        <f>IFERROR(__xludf.DUMMYFUNCTION("""COMPUTED_VALUE"""),"https://drive.google.com/open?id=1c_dom1yBEfrg7AcSOQr54fVgwxMKaGJK")</f>
        <v>https://drive.google.com/open?id=1c_dom1yBEfrg7AcSOQr54fVgwxMKaGJK</v>
      </c>
      <c r="G3" s="74" t="str">
        <f>IFERROR(__xludf.DUMMYFUNCTION("""COMPUTED_VALUE"""),"2017-2021")</f>
        <v>2017-2021</v>
      </c>
      <c r="H3" s="74" t="str">
        <f>IFERROR(__xludf.DUMMYFUNCTION("""COMPUTED_VALUE"""),"S13: Students Higher Edu.")</f>
        <v>S13: Students Higher Edu.</v>
      </c>
      <c r="I3" s="74" t="str">
        <f>IFERROR(__xludf.DUMMYFUNCTION("""COMPUTED_VALUE"""),"prudhvibandaru1990@gmail.com")</f>
        <v>prudhvibandaru1990@gmail.com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ht="28.5" customHeight="1">
      <c r="A4" s="74" t="str">
        <f>IFERROR(__xludf.DUMMYFUNCTION("""COMPUTED_VALUE"""),"VVNS Sai Kiriti")</f>
        <v>VVNS Sai Kiriti</v>
      </c>
      <c r="B4" s="74" t="str">
        <f>IFERROR(__xludf.DUMMYFUNCTION("""COMPUTED_VALUE"""),"17331A05G7")</f>
        <v>17331A05G7</v>
      </c>
      <c r="C4" s="74" t="str">
        <f>IFERROR(__xludf.DUMMYFUNCTION("""COMPUTED_VALUE"""),"MS")</f>
        <v>MS</v>
      </c>
      <c r="D4" s="74" t="str">
        <f>IFERROR(__xludf.DUMMYFUNCTION("""COMPUTED_VALUE"""),"Vanderbilt University, Nashville, TN, USA")</f>
        <v>Vanderbilt University, Nashville, TN, USA</v>
      </c>
      <c r="E4" s="79">
        <f>IFERROR(__xludf.DUMMYFUNCTION("""COMPUTED_VALUE"""),44434.0)</f>
        <v>44434</v>
      </c>
      <c r="F4" s="80" t="str">
        <f>IFERROR(__xludf.DUMMYFUNCTION("""COMPUTED_VALUE"""),"https://drive.google.com/open?id=1lmrb71Nm-41_5xPCanOYRZqI2qrZVI5Q")</f>
        <v>https://drive.google.com/open?id=1lmrb71Nm-41_5xPCanOYRZqI2qrZVI5Q</v>
      </c>
      <c r="G4" s="74" t="str">
        <f>IFERROR(__xludf.DUMMYFUNCTION("""COMPUTED_VALUE"""),"2017-2021")</f>
        <v>2017-2021</v>
      </c>
      <c r="H4" s="74" t="str">
        <f>IFERROR(__xludf.DUMMYFUNCTION("""COMPUTED_VALUE"""),"S13: Students Higher Edu.")</f>
        <v>S13: Students Higher Edu.</v>
      </c>
      <c r="I4" s="74" t="str">
        <f>IFERROR(__xludf.DUMMYFUNCTION("""COMPUTED_VALUE"""),"skischaos@gmail.com")</f>
        <v>skischaos@gmail.com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28.5" customHeight="1">
      <c r="A5" s="74" t="str">
        <f>IFERROR(__xludf.DUMMYFUNCTION("""COMPUTED_VALUE"""),"Shaik abdul khayyam sahib")</f>
        <v>Shaik abdul khayyam sahib</v>
      </c>
      <c r="B5" s="74" t="str">
        <f>IFERROR(__xludf.DUMMYFUNCTION("""COMPUTED_VALUE"""),"14331A05E9")</f>
        <v>14331A05E9</v>
      </c>
      <c r="C5" s="74" t="str">
        <f>IFERROR(__xludf.DUMMYFUNCTION("""COMPUTED_VALUE"""),"MS")</f>
        <v>MS</v>
      </c>
      <c r="D5" s="74" t="str">
        <f>IFERROR(__xludf.DUMMYFUNCTION("""COMPUTED_VALUE"""),"Northwest Missouri State University/ Maryville, Missouri ")</f>
        <v>Northwest Missouri State University/ Maryville, Missouri </v>
      </c>
      <c r="E5" s="79">
        <f>IFERROR(__xludf.DUMMYFUNCTION("""COMPUTED_VALUE"""),44567.0)</f>
        <v>44567</v>
      </c>
      <c r="F5" s="80" t="str">
        <f>IFERROR(__xludf.DUMMYFUNCTION("""COMPUTED_VALUE"""),"https://drive.google.com/open?id=1QIXtVuPtDJ-tn8Cng1QKSSt3CNyRaikQ")</f>
        <v>https://drive.google.com/open?id=1QIXtVuPtDJ-tn8Cng1QKSSt3CNyRaikQ</v>
      </c>
      <c r="G5" s="74" t="str">
        <f>IFERROR(__xludf.DUMMYFUNCTION("""COMPUTED_VALUE"""),"2014-2018")</f>
        <v>2014-2018</v>
      </c>
      <c r="H5" s="74" t="str">
        <f>IFERROR(__xludf.DUMMYFUNCTION("""COMPUTED_VALUE"""),"S13: Students Higher Edu.")</f>
        <v>S13: Students Higher Edu.</v>
      </c>
      <c r="I5" s="74" t="str">
        <f>IFERROR(__xludf.DUMMYFUNCTION("""COMPUTED_VALUE"""),"abdulkhayyum38@gmail.com")</f>
        <v>abdulkhayyum38@gmail.com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28.5" customHeight="1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ht="28.5" customHeight="1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28.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28.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28.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28.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28.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28.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28.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28.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28.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28.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28.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28.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28.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28.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28.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28.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28.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28.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28.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28.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28.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28.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28.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28.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28.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28.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28.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28.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28.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28.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28.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28.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28.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28.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28.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28.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28.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28.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28.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28.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28.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28.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28.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28.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28.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28.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28.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28.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28.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28.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28.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28.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28.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28.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28.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28.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28.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28.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28.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28.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28.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28.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28.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28.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28.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28.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28.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28.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28.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28.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28.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28.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28.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28.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28.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28.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28.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28.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28.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28.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28.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28.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28.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28.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28.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28.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28.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28.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28.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28.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28.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28.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28.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28.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28.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28.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28.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28.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28.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28.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28.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28.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28.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28.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28.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28.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28.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28.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28.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28.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28.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28.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28.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28.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28.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28.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28.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28.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28.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28.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28.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28.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28.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28.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28.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28.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28.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28.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28.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28.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28.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28.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28.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28.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28.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28.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28.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28.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28.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28.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28.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28.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28.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28.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28.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28.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28.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28.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28.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28.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28.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28.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28.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28.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28.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28.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28.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28.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28.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28.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28.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28.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28.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28.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28.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28.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28.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28.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28.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28.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28.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28.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28.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28.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28.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28.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28.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28.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28.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28.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28.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28.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28.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28.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28.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28.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28.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28.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28.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28.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28.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28.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28.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28.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28.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28.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28.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28.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28.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28.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28.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28.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28.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28.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28.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28.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28.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28.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28.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28.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28.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28.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28.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28.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28.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28.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28.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28.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28.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28.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28.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28.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28.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28.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28.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28.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28.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28.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28.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28.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28.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28.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28.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28.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28.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28.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28.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28.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28.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28.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28.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28.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28.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28.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28.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28.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28.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28.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28.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28.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28.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28.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28.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28.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28.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28.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28.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28.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28.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28.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28.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28.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28.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28.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28.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28.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28.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28.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28.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28.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28.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28.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28.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28.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28.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28.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28.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28.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28.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28.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28.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28.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28.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28.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28.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28.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28.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28.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28.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28.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28.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28.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28.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28.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28.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28.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28.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28.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28.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28.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28.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28.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28.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28.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28.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28.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28.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28.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28.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28.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28.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28.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28.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28.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28.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28.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28.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28.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28.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28.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28.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28.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28.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28.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28.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28.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28.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28.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28.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28.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28.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28.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28.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28.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28.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28.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28.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28.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28.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28.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28.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28.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28.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28.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28.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28.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28.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28.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28.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28.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28.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28.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28.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28.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28.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28.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28.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28.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28.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28.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28.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28.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28.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28.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28.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28.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28.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28.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28.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28.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28.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28.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28.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28.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28.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28.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28.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28.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28.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28.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28.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28.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28.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28.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28.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28.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28.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28.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28.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28.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28.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28.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28.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28.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28.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28.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28.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28.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28.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28.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28.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28.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28.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28.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28.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28.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28.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28.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28.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28.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28.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28.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28.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28.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28.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28.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28.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28.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28.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28.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28.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28.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28.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28.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28.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28.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28.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28.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28.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28.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28.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28.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28.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28.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28.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28.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28.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28.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28.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28.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28.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28.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28.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28.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28.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28.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28.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28.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28.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28.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28.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28.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28.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28.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28.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28.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28.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28.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28.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28.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28.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28.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28.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28.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28.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28.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28.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28.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28.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28.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28.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28.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28.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28.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28.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28.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28.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28.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28.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28.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28.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28.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28.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28.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28.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28.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28.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28.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28.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28.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28.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28.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28.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28.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28.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28.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28.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28.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28.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28.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28.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28.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28.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28.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28.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28.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28.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28.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28.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28.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28.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28.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28.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28.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28.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28.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28.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28.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28.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28.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28.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28.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28.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28.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28.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28.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28.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28.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28.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28.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28.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28.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28.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28.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28.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28.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28.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28.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28.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28.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28.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28.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28.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28.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28.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28.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28.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28.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28.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28.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28.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28.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28.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28.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28.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28.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28.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28.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28.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28.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28.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28.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28.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28.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28.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28.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28.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28.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28.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28.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28.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28.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28.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28.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28.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28.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28.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28.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28.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28.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28.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28.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28.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28.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28.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28.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28.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28.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28.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28.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28.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28.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28.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28.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28.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28.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28.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28.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28.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28.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28.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28.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28.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28.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28.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28.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28.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28.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28.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28.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28.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28.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28.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28.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28.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28.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28.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28.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28.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28.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28.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28.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28.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28.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28.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28.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28.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28.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28.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28.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28.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28.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28.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28.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28.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28.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28.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28.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28.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28.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28.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28.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28.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28.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28.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28.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28.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28.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28.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28.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28.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28.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28.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28.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28.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28.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28.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28.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28.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28.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28.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28.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28.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28.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28.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28.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28.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28.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28.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28.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28.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28.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28.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28.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28.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28.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28.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28.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28.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28.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28.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28.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28.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28.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28.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28.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28.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28.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28.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28.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28.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28.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28.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28.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28.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28.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28.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28.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28.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28.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28.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28.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28.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28.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28.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28.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28.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28.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28.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28.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28.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28.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28.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28.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28.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28.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28.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28.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28.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28.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28.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28.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28.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28.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28.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28.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28.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28.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28.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28.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28.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28.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28.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28.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28.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28.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28.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28.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28.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28.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28.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28.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28.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28.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28.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28.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28.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28.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28.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28.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28.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28.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28.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28.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28.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28.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28.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28.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28.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28.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28.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28.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28.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28.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28.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28.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28.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28.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28.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28.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28.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28.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28.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28.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28.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28.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28.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28.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28.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28.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28.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28.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28.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28.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28.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28.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28.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28.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28.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28.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28.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28.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28.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28.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28.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28.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28.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28.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28.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28.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28.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28.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28.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28.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28.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28.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28.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28.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28.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28.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28.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28.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28.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28.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28.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28.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28.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28.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28.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28.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28.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28.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28.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28.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28.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28.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28.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28.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28.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28.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28.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28.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28.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28.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28.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28.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28.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28.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28.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28.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28.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28.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28.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28.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28.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28.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28.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28.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28.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28.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28.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28.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28.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28.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28.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28.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28.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28.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28.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28.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28.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28.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28.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28.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28.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28.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28.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28.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28.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28.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28.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28.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28.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28.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28.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28.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28.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28.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28.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28.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28.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28.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28.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28.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28.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28.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28.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28.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28.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28.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28.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28.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28.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28.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28.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28.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28.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28.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28.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28.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28.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28.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28.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28.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28.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28.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28.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28.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28.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28.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28.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28.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28.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28.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28.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28.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28.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28.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28.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28.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28.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28.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28.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28.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28.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28.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28.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28.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28.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28.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28.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28.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28.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28.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28.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28.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28.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28.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28.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28.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28.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28.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28.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28.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28.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28.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28.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28.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28.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28.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28.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28.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28.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28.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28.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28.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28.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28.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28.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28.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28.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28.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28.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28.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28.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28.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28.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28.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28.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28.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28.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28.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28.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28.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28.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28.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28.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28.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28.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28.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28.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28.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28.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28.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28.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28.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28.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28.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28.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28.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28.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28.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28.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hyperlinks>
    <hyperlink r:id="rId1" ref="F2"/>
    <hyperlink r:id="rId2" ref="F3"/>
    <hyperlink r:id="rId3" ref="F4"/>
    <hyperlink r:id="rId4" ref="F5"/>
  </hyperlinks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38"/>
    <col customWidth="1" min="2" max="2" width="10.88"/>
    <col customWidth="1" min="3" max="3" width="66.88"/>
    <col customWidth="1" min="4" max="4" width="15.0"/>
    <col customWidth="1" min="5" max="5" width="63.38"/>
    <col customWidth="1" min="6" max="6" width="15.13"/>
    <col customWidth="1" min="7" max="7" width="28.0"/>
    <col customWidth="1" min="8" max="8" width="31.25"/>
    <col customWidth="1" min="9" max="9" width="10.13"/>
  </cols>
  <sheetData>
    <row r="1" ht="26.25" customHeight="1">
      <c r="A1" s="131" t="s">
        <v>30</v>
      </c>
      <c r="B1" s="131" t="s">
        <v>31</v>
      </c>
      <c r="C1" s="131" t="s">
        <v>115</v>
      </c>
      <c r="D1" s="131" t="s">
        <v>116</v>
      </c>
      <c r="E1" s="131" t="s">
        <v>117</v>
      </c>
      <c r="F1" s="18" t="s">
        <v>29</v>
      </c>
      <c r="G1" s="17" t="s">
        <v>1</v>
      </c>
      <c r="H1" s="18" t="s">
        <v>118</v>
      </c>
      <c r="I1" s="18" t="s">
        <v>119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26.25" customHeight="1">
      <c r="A2" s="74" t="str">
        <f>IFERROR(__xludf.DUMMYFUNCTION("QUERY(MasterData!A1:NK11797,""select FG,FH,FI,FJ,FK,B,C,FL,FM where C='S14: Students Competitive Exams'"",0)"),"Boddapati Rajesh")</f>
        <v>Boddapati Rajesh</v>
      </c>
      <c r="B2" s="74" t="str">
        <f>IFERROR(__xludf.DUMMYFUNCTION("""COMPUTED_VALUE"""),"18331A0515")</f>
        <v>18331A0515</v>
      </c>
      <c r="C2" s="74" t="str">
        <f>IFERROR(__xludf.DUMMYFUNCTION("""COMPUTED_VALUE"""),"GATE")</f>
        <v>GATE</v>
      </c>
      <c r="D2" s="79">
        <f>IFERROR(__xludf.DUMMYFUNCTION("""COMPUTED_VALUE"""),44637.0)</f>
        <v>44637</v>
      </c>
      <c r="E2" s="80" t="str">
        <f>IFERROR(__xludf.DUMMYFUNCTION("""COMPUTED_VALUE"""),"https://drive.google.com/open?id=1RxQJURGeMsrUZuJpXuO9L3e9voYAgdDo")</f>
        <v>https://drive.google.com/open?id=1RxQJURGeMsrUZuJpXuO9L3e9voYAgdDo</v>
      </c>
      <c r="F2" s="74" t="str">
        <f>IFERROR(__xludf.DUMMYFUNCTION("""COMPUTED_VALUE"""),"2018-2022")</f>
        <v>2018-2022</v>
      </c>
      <c r="G2" s="74" t="str">
        <f>IFERROR(__xludf.DUMMYFUNCTION("""COMPUTED_VALUE"""),"S14: Students Competitive Exams")</f>
        <v>S14: Students Competitive Exams</v>
      </c>
      <c r="H2" s="74" t="str">
        <f>IFERROR(__xludf.DUMMYFUNCTION("""COMPUTED_VALUE"""),"rajeshboddapati37@gmail.com")</f>
        <v>rajeshboddapati37@gmail.com</v>
      </c>
      <c r="I2" s="74" t="str">
        <f>IFERROR(__xludf.DUMMYFUNCTION("""COMPUTED_VALUE"""),"SEM-8")</f>
        <v>SEM-8</v>
      </c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26.25" customHeight="1">
      <c r="A3" s="74" t="str">
        <f>IFERROR(__xludf.DUMMYFUNCTION("""COMPUTED_VALUE"""),"B.Samiksha")</f>
        <v>B.Samiksha</v>
      </c>
      <c r="B3" s="74" t="str">
        <f>IFERROR(__xludf.DUMMYFUNCTION("""COMPUTED_VALUE"""),"18331A0510")</f>
        <v>18331A0510</v>
      </c>
      <c r="C3" s="74" t="str">
        <f>IFERROR(__xludf.DUMMYFUNCTION("""COMPUTED_VALUE"""),"GATE")</f>
        <v>GATE</v>
      </c>
      <c r="D3" s="79">
        <f>IFERROR(__xludf.DUMMYFUNCTION("""COMPUTED_VALUE"""),44637.0)</f>
        <v>44637</v>
      </c>
      <c r="E3" s="80" t="str">
        <f>IFERROR(__xludf.DUMMYFUNCTION("""COMPUTED_VALUE"""),"https://drive.google.com/open?id=1lCQIP6NcvtwOI3Qp-ygztSrRYNle8Fno")</f>
        <v>https://drive.google.com/open?id=1lCQIP6NcvtwOI3Qp-ygztSrRYNle8Fno</v>
      </c>
      <c r="F3" s="74" t="str">
        <f>IFERROR(__xludf.DUMMYFUNCTION("""COMPUTED_VALUE"""),"2018-2022")</f>
        <v>2018-2022</v>
      </c>
      <c r="G3" s="74" t="str">
        <f>IFERROR(__xludf.DUMMYFUNCTION("""COMPUTED_VALUE"""),"S14: Students Competitive Exams")</f>
        <v>S14: Students Competitive Exams</v>
      </c>
      <c r="H3" s="74" t="str">
        <f>IFERROR(__xludf.DUMMYFUNCTION("""COMPUTED_VALUE"""),"bsamiksha1469@gmail.com")</f>
        <v>bsamiksha1469@gmail.com</v>
      </c>
      <c r="I3" s="74" t="str">
        <f>IFERROR(__xludf.DUMMYFUNCTION("""COMPUTED_VALUE"""),"SEM-7")</f>
        <v>SEM-7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ht="26.25" customHeight="1">
      <c r="A4" s="74" t="str">
        <f>IFERROR(__xludf.DUMMYFUNCTION("""COMPUTED_VALUE"""),"Yasaswi Dendukuri ")</f>
        <v>Yasaswi Dendukuri </v>
      </c>
      <c r="B4" s="74" t="str">
        <f>IFERROR(__xludf.DUMMYFUNCTION("""COMPUTED_VALUE"""),"18331A0531")</f>
        <v>18331A0531</v>
      </c>
      <c r="C4" s="74" t="str">
        <f>IFERROR(__xludf.DUMMYFUNCTION("""COMPUTED_VALUE"""),"GRE")</f>
        <v>GRE</v>
      </c>
      <c r="D4" s="79">
        <f>IFERROR(__xludf.DUMMYFUNCTION("""COMPUTED_VALUE"""),44506.0)</f>
        <v>44506</v>
      </c>
      <c r="E4" s="80" t="str">
        <f>IFERROR(__xludf.DUMMYFUNCTION("""COMPUTED_VALUE"""),"https://drive.google.com/open?id=1pXi0t5byqcGcH9faXaSFlImJi7ZXoM8S")</f>
        <v>https://drive.google.com/open?id=1pXi0t5byqcGcH9faXaSFlImJi7ZXoM8S</v>
      </c>
      <c r="F4" s="74" t="str">
        <f>IFERROR(__xludf.DUMMYFUNCTION("""COMPUTED_VALUE"""),"2018-2022")</f>
        <v>2018-2022</v>
      </c>
      <c r="G4" s="74" t="str">
        <f>IFERROR(__xludf.DUMMYFUNCTION("""COMPUTED_VALUE"""),"S14: Students Competitive Exams")</f>
        <v>S14: Students Competitive Exams</v>
      </c>
      <c r="H4" s="74" t="str">
        <f>IFERROR(__xludf.DUMMYFUNCTION("""COMPUTED_VALUE"""),"dendukuri.16@gmail.com")</f>
        <v>dendukuri.16@gmail.com</v>
      </c>
      <c r="I4" s="74" t="str">
        <f>IFERROR(__xludf.DUMMYFUNCTION("""COMPUTED_VALUE"""),"SEM-8")</f>
        <v>SEM-8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26.25" customHeight="1">
      <c r="A5" s="74" t="str">
        <f>IFERROR(__xludf.DUMMYFUNCTION("""COMPUTED_VALUE"""),"BUDIDI SURYA SAI MAHESWAR")</f>
        <v>BUDIDI SURYA SAI MAHESWAR</v>
      </c>
      <c r="B5" s="74" t="str">
        <f>IFERROR(__xludf.DUMMYFUNCTION("""COMPUTED_VALUE"""),"18331A0521")</f>
        <v>18331A0521</v>
      </c>
      <c r="C5" s="74" t="str">
        <f>IFERROR(__xludf.DUMMYFUNCTION("""COMPUTED_VALUE"""),"GATE")</f>
        <v>GATE</v>
      </c>
      <c r="D5" s="79">
        <f>IFERROR(__xludf.DUMMYFUNCTION("""COMPUTED_VALUE"""),44219.0)</f>
        <v>44219</v>
      </c>
      <c r="E5" s="80" t="str">
        <f>IFERROR(__xludf.DUMMYFUNCTION("""COMPUTED_VALUE"""),"https://drive.google.com/open?id=1AeoCf75DFmus-547YYjYZdDtYHiUXCrr")</f>
        <v>https://drive.google.com/open?id=1AeoCf75DFmus-547YYjYZdDtYHiUXCrr</v>
      </c>
      <c r="F5" s="74" t="str">
        <f>IFERROR(__xludf.DUMMYFUNCTION("""COMPUTED_VALUE"""),"2018-2022")</f>
        <v>2018-2022</v>
      </c>
      <c r="G5" s="74" t="str">
        <f>IFERROR(__xludf.DUMMYFUNCTION("""COMPUTED_VALUE"""),"S14: Students Competitive Exams")</f>
        <v>S14: Students Competitive Exams</v>
      </c>
      <c r="H5" s="74" t="str">
        <f>IFERROR(__xludf.DUMMYFUNCTION("""COMPUTED_VALUE"""),"suryamahesh2000@gmail.com")</f>
        <v>suryamahesh2000@gmail.com</v>
      </c>
      <c r="I5" s="74" t="str">
        <f>IFERROR(__xludf.DUMMYFUNCTION("""COMPUTED_VALUE"""),"SEM-8")</f>
        <v>SEM-8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26.25" customHeight="1">
      <c r="A6" s="74" t="str">
        <f>IFERROR(__xludf.DUMMYFUNCTION("""COMPUTED_VALUE"""),"Yasaswi Dendukuri ")</f>
        <v>Yasaswi Dendukuri </v>
      </c>
      <c r="B6" s="74" t="str">
        <f>IFERROR(__xludf.DUMMYFUNCTION("""COMPUTED_VALUE"""),"18331A0531")</f>
        <v>18331A0531</v>
      </c>
      <c r="C6" s="74" t="str">
        <f>IFERROR(__xludf.DUMMYFUNCTION("""COMPUTED_VALUE"""),"IELTS")</f>
        <v>IELTS</v>
      </c>
      <c r="D6" s="79">
        <f>IFERROR(__xludf.DUMMYFUNCTION("""COMPUTED_VALUE"""),44581.0)</f>
        <v>44581</v>
      </c>
      <c r="E6" s="80" t="str">
        <f>IFERROR(__xludf.DUMMYFUNCTION("""COMPUTED_VALUE"""),"https://drive.google.com/open?id=1kQAU-tOs-0tvu_Vylj2B4e_FYdYkkup4")</f>
        <v>https://drive.google.com/open?id=1kQAU-tOs-0tvu_Vylj2B4e_FYdYkkup4</v>
      </c>
      <c r="F6" s="74" t="str">
        <f>IFERROR(__xludf.DUMMYFUNCTION("""COMPUTED_VALUE"""),"2018-2022")</f>
        <v>2018-2022</v>
      </c>
      <c r="G6" s="74" t="str">
        <f>IFERROR(__xludf.DUMMYFUNCTION("""COMPUTED_VALUE"""),"S14: Students Competitive Exams")</f>
        <v>S14: Students Competitive Exams</v>
      </c>
      <c r="H6" s="74" t="str">
        <f>IFERROR(__xludf.DUMMYFUNCTION("""COMPUTED_VALUE"""),"dendukuri.16@gmail.com")</f>
        <v>dendukuri.16@gmail.com</v>
      </c>
      <c r="I6" s="74" t="str">
        <f>IFERROR(__xludf.DUMMYFUNCTION("""COMPUTED_VALUE"""),"SEM-8")</f>
        <v>SEM-8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26.25" customHeight="1">
      <c r="A7" s="74" t="str">
        <f>IFERROR(__xludf.DUMMYFUNCTION("""COMPUTED_VALUE"""),"Gulla Sai Bhavana")</f>
        <v>Gulla Sai Bhavana</v>
      </c>
      <c r="B7" s="74" t="str">
        <f>IFERROR(__xludf.DUMMYFUNCTION("""COMPUTED_VALUE"""),"18331A0552")</f>
        <v>18331A0552</v>
      </c>
      <c r="C7" s="74" t="str">
        <f>IFERROR(__xludf.DUMMYFUNCTION("""COMPUTED_VALUE"""),"Gre")</f>
        <v>Gre</v>
      </c>
      <c r="D7" s="79">
        <f>IFERROR(__xludf.DUMMYFUNCTION("""COMPUTED_VALUE"""),44486.0)</f>
        <v>44486</v>
      </c>
      <c r="E7" s="80" t="str">
        <f>IFERROR(__xludf.DUMMYFUNCTION("""COMPUTED_VALUE"""),"https://drive.google.com/open?id=1stKWQG_enFOYdDbP2puflITk4RHtpwWk")</f>
        <v>https://drive.google.com/open?id=1stKWQG_enFOYdDbP2puflITk4RHtpwWk</v>
      </c>
      <c r="F7" s="74" t="str">
        <f>IFERROR(__xludf.DUMMYFUNCTION("""COMPUTED_VALUE"""),"2018-2022")</f>
        <v>2018-2022</v>
      </c>
      <c r="G7" s="74" t="str">
        <f>IFERROR(__xludf.DUMMYFUNCTION("""COMPUTED_VALUE"""),"S14: Students Competitive Exams")</f>
        <v>S14: Students Competitive Exams</v>
      </c>
      <c r="H7" s="74" t="str">
        <f>IFERROR(__xludf.DUMMYFUNCTION("""COMPUTED_VALUE"""),"saibhavana.as16@gmail.com")</f>
        <v>saibhavana.as16@gmail.com</v>
      </c>
      <c r="I7" s="74" t="str">
        <f>IFERROR(__xludf.DUMMYFUNCTION("""COMPUTED_VALUE"""),"SEM-8")</f>
        <v>SEM-8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26.25" customHeight="1">
      <c r="A8" s="74" t="str">
        <f>IFERROR(__xludf.DUMMYFUNCTION("""COMPUTED_VALUE"""),"Sai Yogesh Bhasuru")</f>
        <v>Sai Yogesh Bhasuru</v>
      </c>
      <c r="B8" s="74" t="str">
        <f>IFERROR(__xludf.DUMMYFUNCTION("""COMPUTED_VALUE"""),"18331A05D4")</f>
        <v>18331A05D4</v>
      </c>
      <c r="C8" s="74" t="str">
        <f>IFERROR(__xludf.DUMMYFUNCTION("""COMPUTED_VALUE"""),"GATE 2022")</f>
        <v>GATE 2022</v>
      </c>
      <c r="D8" s="79">
        <f>IFERROR(__xludf.DUMMYFUNCTION("""COMPUTED_VALUE"""),44636.0)</f>
        <v>44636</v>
      </c>
      <c r="E8" s="80" t="str">
        <f>IFERROR(__xludf.DUMMYFUNCTION("""COMPUTED_VALUE"""),"https://drive.google.com/open?id=1dSDVLhcrt7gnGStAc0MGnLY3tlUVTYjV")</f>
        <v>https://drive.google.com/open?id=1dSDVLhcrt7gnGStAc0MGnLY3tlUVTYjV</v>
      </c>
      <c r="F8" s="74" t="str">
        <f>IFERROR(__xludf.DUMMYFUNCTION("""COMPUTED_VALUE"""),"2018-2022")</f>
        <v>2018-2022</v>
      </c>
      <c r="G8" s="74" t="str">
        <f>IFERROR(__xludf.DUMMYFUNCTION("""COMPUTED_VALUE"""),"S14: Students Competitive Exams")</f>
        <v>S14: Students Competitive Exams</v>
      </c>
      <c r="H8" s="74" t="str">
        <f>IFERROR(__xludf.DUMMYFUNCTION("""COMPUTED_VALUE"""),"saiyogeshbhasuru16@gmail.com")</f>
        <v>saiyogeshbhasuru16@gmail.com</v>
      </c>
      <c r="I8" s="74" t="str">
        <f>IFERROR(__xludf.DUMMYFUNCTION("""COMPUTED_VALUE"""),"SEM-8")</f>
        <v>SEM-8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26.25" customHeight="1">
      <c r="A9" s="74" t="str">
        <f>IFERROR(__xludf.DUMMYFUNCTION("""COMPUTED_VALUE"""),"KARUMOJU NEHAL PRAVEEN")</f>
        <v>KARUMOJU NEHAL PRAVEEN</v>
      </c>
      <c r="B9" s="74" t="str">
        <f>IFERROR(__xludf.DUMMYFUNCTION("""COMPUTED_VALUE"""),"19331A0576")</f>
        <v>19331A0576</v>
      </c>
      <c r="C9" s="74" t="str">
        <f>IFERROR(__xludf.DUMMYFUNCTION("""COMPUTED_VALUE"""),"GRE")</f>
        <v>GRE</v>
      </c>
      <c r="D9" s="79">
        <f>IFERROR(__xludf.DUMMYFUNCTION("""COMPUTED_VALUE"""),44584.0)</f>
        <v>44584</v>
      </c>
      <c r="E9" s="80" t="str">
        <f>IFERROR(__xludf.DUMMYFUNCTION("""COMPUTED_VALUE"""),"https://drive.google.com/open?id=1JpE2auCKA5RfRKrN-Atrab1tc03vtYcQ")</f>
        <v>https://drive.google.com/open?id=1JpE2auCKA5RfRKrN-Atrab1tc03vtYcQ</v>
      </c>
      <c r="F9" s="74" t="str">
        <f>IFERROR(__xludf.DUMMYFUNCTION("""COMPUTED_VALUE"""),"2019-2023")</f>
        <v>2019-2023</v>
      </c>
      <c r="G9" s="74" t="str">
        <f>IFERROR(__xludf.DUMMYFUNCTION("""COMPUTED_VALUE"""),"S14: Students Competitive Exams")</f>
        <v>S14: Students Competitive Exams</v>
      </c>
      <c r="H9" s="74" t="str">
        <f>IFERROR(__xludf.DUMMYFUNCTION("""COMPUTED_VALUE"""),"nehalpraveen@gmail.com")</f>
        <v>nehalpraveen@gmail.com</v>
      </c>
      <c r="I9" s="74" t="str">
        <f>IFERROR(__xludf.DUMMYFUNCTION("""COMPUTED_VALUE"""),"SEM-6")</f>
        <v>SEM-6</v>
      </c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ht="26.25" customHeight="1">
      <c r="A10" s="12" t="str">
        <f>IFERROR(__xludf.DUMMYFUNCTION("""COMPUTED_VALUE"""),"KOTARI SAHITHI")</f>
        <v>KOTARI SAHITHI</v>
      </c>
      <c r="B10" s="12" t="str">
        <f>IFERROR(__xludf.DUMMYFUNCTION("""COMPUTED_VALUE"""),"19331A0583")</f>
        <v>19331A0583</v>
      </c>
      <c r="C10" s="12" t="str">
        <f>IFERROR(__xludf.DUMMYFUNCTION("""COMPUTED_VALUE"""),"GRE")</f>
        <v>GRE</v>
      </c>
      <c r="D10" s="86">
        <f>IFERROR(__xludf.DUMMYFUNCTION("""COMPUTED_VALUE"""),44619.0)</f>
        <v>44619</v>
      </c>
      <c r="E10" s="87" t="str">
        <f>IFERROR(__xludf.DUMMYFUNCTION("""COMPUTED_VALUE"""),"https://drive.google.com/open?id=1bwDxYdSnyhPYJbt675S5Kc4kfEadm1xf")</f>
        <v>https://drive.google.com/open?id=1bwDxYdSnyhPYJbt675S5Kc4kfEadm1xf</v>
      </c>
      <c r="F10" s="12" t="str">
        <f>IFERROR(__xludf.DUMMYFUNCTION("""COMPUTED_VALUE"""),"2019-2023")</f>
        <v>2019-2023</v>
      </c>
      <c r="G10" s="12" t="str">
        <f>IFERROR(__xludf.DUMMYFUNCTION("""COMPUTED_VALUE"""),"S14: Students Competitive Exams")</f>
        <v>S14: Students Competitive Exams</v>
      </c>
      <c r="H10" s="12" t="str">
        <f>IFERROR(__xludf.DUMMYFUNCTION("""COMPUTED_VALUE"""),"kotarisahithi@gmail.com")</f>
        <v>kotarisahithi@gmail.com</v>
      </c>
      <c r="I10" s="12" t="str">
        <f>IFERROR(__xludf.DUMMYFUNCTION("""COMPUTED_VALUE"""),"SEM-6")</f>
        <v>SEM-6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26.25" customHeight="1">
      <c r="A11" s="74" t="str">
        <f>IFERROR(__xludf.DUMMYFUNCTION("""COMPUTED_VALUE"""),"SURYAVIVEK REDDY SATTI")</f>
        <v>SURYAVIVEK REDDY SATTI</v>
      </c>
      <c r="B11" s="74" t="str">
        <f>IFERROR(__xludf.DUMMYFUNCTION("""COMPUTED_VALUE"""),"19331A05F1")</f>
        <v>19331A05F1</v>
      </c>
      <c r="C11" s="74" t="str">
        <f>IFERROR(__xludf.DUMMYFUNCTION("""COMPUTED_VALUE"""),"GATE 2022")</f>
        <v>GATE 2022</v>
      </c>
      <c r="D11" s="79">
        <f>IFERROR(__xludf.DUMMYFUNCTION("""COMPUTED_VALUE"""),44621.0)</f>
        <v>44621</v>
      </c>
      <c r="E11" s="80" t="str">
        <f>IFERROR(__xludf.DUMMYFUNCTION("""COMPUTED_VALUE"""),"https://drive.google.com/open?id=13rIliY7PZEFLkXY66UtyIY9S5UkiZvVE")</f>
        <v>https://drive.google.com/open?id=13rIliY7PZEFLkXY66UtyIY9S5UkiZvVE</v>
      </c>
      <c r="F11" s="74" t="str">
        <f>IFERROR(__xludf.DUMMYFUNCTION("""COMPUTED_VALUE"""),"2019-2023")</f>
        <v>2019-2023</v>
      </c>
      <c r="G11" s="74" t="str">
        <f>IFERROR(__xludf.DUMMYFUNCTION("""COMPUTED_VALUE"""),"S14: Students Competitive Exams")</f>
        <v>S14: Students Competitive Exams</v>
      </c>
      <c r="H11" s="74" t="str">
        <f>IFERROR(__xludf.DUMMYFUNCTION("""COMPUTED_VALUE"""),"suryavivek31@gmail.com")</f>
        <v>suryavivek31@gmail.com</v>
      </c>
      <c r="I11" s="74" t="str">
        <f>IFERROR(__xludf.DUMMYFUNCTION("""COMPUTED_VALUE"""),"SEM-6")</f>
        <v>SEM-6</v>
      </c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ht="26.2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26.2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26.2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26.2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26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26.2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26.2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26.2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26.2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26.2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26.2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26.2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26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26.2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26.2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26.2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26.2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26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26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26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26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26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26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26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26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26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26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26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26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26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26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26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26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26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26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26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26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26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26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26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26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26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26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26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26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26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26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26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26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26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26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26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26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26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26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26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26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26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26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26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26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26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26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26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26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26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26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26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26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26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26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26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26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26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26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26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26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26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26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26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26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26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26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26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26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26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26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26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26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26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26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26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26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26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26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26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26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26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26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26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26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26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26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26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26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26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26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26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26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26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26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26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26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26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26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26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26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26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26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26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26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26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26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26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26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26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26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26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26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26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26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26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26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26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26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26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26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26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26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26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26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26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26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26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26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26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26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26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26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26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26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26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26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26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26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26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26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26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26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26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26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26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26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26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26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26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26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26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26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26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26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26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26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26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26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26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26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26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26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26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26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26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26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26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26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26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26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26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26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26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26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26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26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26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26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26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26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26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26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26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26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26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26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26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26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26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26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26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26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26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26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26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26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26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26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26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26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26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26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26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26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26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26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26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26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26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26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26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26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26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26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26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26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26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26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26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26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26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26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26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26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26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26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26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26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26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26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26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26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26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26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26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26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26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26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26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26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26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26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26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26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26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26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26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26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26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26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26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26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26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26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26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26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26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26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26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26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26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26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26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26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26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26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26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26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26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26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26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26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26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26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26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26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26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26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26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26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26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26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26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26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26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26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26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26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26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26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26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26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26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26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26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26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26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26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26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26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26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26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26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26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26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26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26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26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26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26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26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26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26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26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26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26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26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26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26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26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26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26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26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26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26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26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26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26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26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26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26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26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26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26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26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26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26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26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26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26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26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26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26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26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26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26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26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26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26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26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26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26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26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26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26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26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26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26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26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26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26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26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26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26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26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26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26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26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26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26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26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26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26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26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26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26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26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26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26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26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26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26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26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26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26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26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26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26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26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26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26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26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26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26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26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26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26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26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26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26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26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26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26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26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26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26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26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26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26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26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26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26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26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26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26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26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26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26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26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26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26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26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26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26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26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26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26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26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26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26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26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26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26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26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26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26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26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26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26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26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26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26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26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26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26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26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26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26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26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26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26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26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26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26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26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26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26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26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26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26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26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26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26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26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26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26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26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26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26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26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26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26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26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26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26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26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26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26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26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26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26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26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26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26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26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26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26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26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26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26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26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26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26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26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26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26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26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26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26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26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26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26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26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26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26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26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26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26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26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26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26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26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26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26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26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26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26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26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26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26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26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26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26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26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26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26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26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26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26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26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26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26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26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26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26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26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26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26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26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26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26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26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26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26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26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26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26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26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26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26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26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26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26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26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26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26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26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26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26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26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26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26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26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26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26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26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26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26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26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26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26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26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26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26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26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26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26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26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26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26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26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26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26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26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26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26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26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26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26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26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26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26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26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26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26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26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26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26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26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26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26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26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26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26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26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26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26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26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26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26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26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26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26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26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26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26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26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26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26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26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26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26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26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26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26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26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26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26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26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26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26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26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26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26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26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26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26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26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26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26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26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26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26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26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26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26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26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26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26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26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26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26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26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26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26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26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26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26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26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26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26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26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26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26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26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26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26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26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26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26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26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26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26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26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26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26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26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26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26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26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26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26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26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26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26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26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26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26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26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26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26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26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26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26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26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26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26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26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26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26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26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26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26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26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26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26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26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26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26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26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26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26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26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26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26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26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26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26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26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26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26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26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26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26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26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26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26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26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26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26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26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26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26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26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26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26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26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26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26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26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26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26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26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26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26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26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26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26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26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26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26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26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26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26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26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26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26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26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26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26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26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26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26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26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26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26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26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26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26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26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26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26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26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26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26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26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26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26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26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26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26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26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26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26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26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26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26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26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26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26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26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26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26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26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26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26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26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26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26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26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26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26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26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26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26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26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26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26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26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26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26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26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26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26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26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26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26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26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26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26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26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26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26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26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26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26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26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26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26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26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26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26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26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26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26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26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26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26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26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26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26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26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26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26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26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26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26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26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26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26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26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26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26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26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26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26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26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26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26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26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26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26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26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26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26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26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26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26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26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26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26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26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26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26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26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26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26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26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26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26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26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26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26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26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26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26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26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26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26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26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26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26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26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26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26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26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26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26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26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26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26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26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26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26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26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26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26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26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26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26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26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26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26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26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26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26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26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26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26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26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26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26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26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26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26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26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26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26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26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26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26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26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26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26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26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26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26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26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26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26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26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26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26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26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26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26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26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26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26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26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26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26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26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26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26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26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26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26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26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26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26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26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26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26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26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26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26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26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26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26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26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26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</hyperlinks>
  <drawing r:id="rId1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" width="17.0"/>
    <col customWidth="1" min="5" max="5" width="10.88"/>
    <col customWidth="1" min="6" max="6" width="10.13"/>
    <col customWidth="1" min="7" max="7" width="18.63"/>
    <col customWidth="1" min="8" max="8" width="10.5"/>
    <col customWidth="1" min="9" max="9" width="13.5"/>
    <col customWidth="1" min="10" max="10" width="59.88"/>
    <col customWidth="1" min="11" max="11" width="5.13"/>
    <col customWidth="1" min="12" max="12" width="59.88"/>
  </cols>
  <sheetData>
    <row r="1">
      <c r="A1" s="18" t="s">
        <v>29</v>
      </c>
      <c r="B1" s="17" t="s">
        <v>1</v>
      </c>
      <c r="C1" s="18" t="s">
        <v>118</v>
      </c>
      <c r="D1" s="18" t="s">
        <v>119</v>
      </c>
      <c r="E1" s="132" t="s">
        <v>30</v>
      </c>
      <c r="F1" s="132" t="s">
        <v>31</v>
      </c>
      <c r="G1" s="132" t="s">
        <v>58</v>
      </c>
      <c r="H1" s="132" t="s">
        <v>120</v>
      </c>
      <c r="I1" s="132" t="s">
        <v>121</v>
      </c>
      <c r="J1" s="132" t="s">
        <v>122</v>
      </c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>
      <c r="A2" s="22" t="str">
        <f>IFERROR(__xludf.DUMMYFUNCTION("QUERY(MasterData!A1:NK11791,""select B,C,FL,FM,FN,FO,FP,FQ,FR,FS where C='S15: Students Industry Visit'"",0)"),"#N/A")</f>
        <v>#N/A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32.13"/>
    <col customWidth="1" min="3" max="3" width="29.38"/>
    <col customWidth="1" min="4" max="4" width="10.13"/>
    <col customWidth="1" min="5" max="5" width="26.38"/>
    <col customWidth="1" min="6" max="6" width="10.88"/>
    <col customWidth="1" min="7" max="7" width="63.75"/>
    <col customWidth="1" min="8" max="8" width="8.38"/>
    <col customWidth="1" min="9" max="9" width="30.75"/>
    <col customWidth="1" min="10" max="10" width="64.13"/>
  </cols>
  <sheetData>
    <row r="1" ht="23.25" customHeight="1">
      <c r="A1" s="18" t="s">
        <v>29</v>
      </c>
      <c r="B1" s="17" t="s">
        <v>1</v>
      </c>
      <c r="C1" s="18" t="s">
        <v>118</v>
      </c>
      <c r="D1" s="18" t="s">
        <v>119</v>
      </c>
      <c r="E1" s="133" t="s">
        <v>30</v>
      </c>
      <c r="F1" s="133" t="s">
        <v>31</v>
      </c>
      <c r="G1" s="133" t="s">
        <v>123</v>
      </c>
      <c r="H1" s="133" t="s">
        <v>124</v>
      </c>
      <c r="I1" s="133" t="s">
        <v>125</v>
      </c>
      <c r="J1" s="133" t="s">
        <v>126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23.25" customHeight="1">
      <c r="A2" s="74" t="str">
        <f>IFERROR(__xludf.DUMMYFUNCTION("QUERY(MasterData!A1:NK11791,""select B,C,FL,FM,FT,FU,FV,FW,FX,FY where C='S16: Students Social Service Programs'"",0)"),"2018-2022")</f>
        <v>2018-2022</v>
      </c>
      <c r="B2" s="74" t="str">
        <f>IFERROR(__xludf.DUMMYFUNCTION("""COMPUTED_VALUE"""),"S16: Students Social Service Programs")</f>
        <v>S16: Students Social Service Programs</v>
      </c>
      <c r="C2" s="74" t="str">
        <f>IFERROR(__xludf.DUMMYFUNCTION("""COMPUTED_VALUE"""),"lekhasree1430@gmail.com")</f>
        <v>lekhasree1430@gmail.com</v>
      </c>
      <c r="D2" s="74" t="str">
        <f>IFERROR(__xludf.DUMMYFUNCTION("""COMPUTED_VALUE"""),"SEM-8")</f>
        <v>SEM-8</v>
      </c>
      <c r="E2" s="74" t="str">
        <f>IFERROR(__xludf.DUMMYFUNCTION("""COMPUTED_VALUE"""),"Sri Lekha")</f>
        <v>Sri Lekha</v>
      </c>
      <c r="F2" s="74" t="str">
        <f>IFERROR(__xludf.DUMMYFUNCTION("""COMPUTED_VALUE"""),"18331A0555")</f>
        <v>18331A0555</v>
      </c>
      <c r="G2" s="74" t="str">
        <f>IFERROR(__xludf.DUMMYFUNCTION("""COMPUTED_VALUE"""),"Vote for Better india")</f>
        <v>Vote for Better india</v>
      </c>
      <c r="H2" s="79">
        <f>IFERROR(__xludf.DUMMYFUNCTION("""COMPUTED_VALUE"""),43547.0)</f>
        <v>43547</v>
      </c>
      <c r="I2" s="74" t="str">
        <f>IFERROR(__xludf.DUMMYFUNCTION("""COMPUTED_VALUE"""),"vizianagaram")</f>
        <v>vizianagaram</v>
      </c>
      <c r="J2" s="80" t="str">
        <f>IFERROR(__xludf.DUMMYFUNCTION("""COMPUTED_VALUE"""),"https://drive.google.com/open?id=12g2wjrfUifDh3Gx7TlgWMhP8oc4dxI9d")</f>
        <v>https://drive.google.com/open?id=12g2wjrfUifDh3Gx7TlgWMhP8oc4dxI9d</v>
      </c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</row>
    <row r="3" ht="23.25" customHeight="1">
      <c r="A3" s="74" t="str">
        <f>IFERROR(__xludf.DUMMYFUNCTION("""COMPUTED_VALUE"""),"2018-2022")</f>
        <v>2018-2022</v>
      </c>
      <c r="B3" s="74" t="str">
        <f>IFERROR(__xludf.DUMMYFUNCTION("""COMPUTED_VALUE"""),"S16: Students Social Service Programs")</f>
        <v>S16: Students Social Service Programs</v>
      </c>
      <c r="C3" s="74" t="str">
        <f>IFERROR(__xludf.DUMMYFUNCTION("""COMPUTED_VALUE"""),"sanapala.saineeraj4000@gmail.com")</f>
        <v>sanapala.saineeraj4000@gmail.com</v>
      </c>
      <c r="D3" s="74" t="str">
        <f>IFERROR(__xludf.DUMMYFUNCTION("""COMPUTED_VALUE"""),"SEM-3")</f>
        <v>SEM-3</v>
      </c>
      <c r="E3" s="74" t="str">
        <f>IFERROR(__xludf.DUMMYFUNCTION("""COMPUTED_VALUE"""),"SANAPALA SAI NEERAJ")</f>
        <v>SANAPALA SAI NEERAJ</v>
      </c>
      <c r="F3" s="74" t="str">
        <f>IFERROR(__xludf.DUMMYFUNCTION("""COMPUTED_VALUE"""),"18331A05D6")</f>
        <v>18331A05D6</v>
      </c>
      <c r="G3" s="74" t="str">
        <f>IFERROR(__xludf.DUMMYFUNCTION("""COMPUTED_VALUE"""),"BLOOD DONATION CAMP")</f>
        <v>BLOOD DONATION CAMP</v>
      </c>
      <c r="H3" s="79">
        <f>IFERROR(__xludf.DUMMYFUNCTION("""COMPUTED_VALUE"""),43663.0)</f>
        <v>43663</v>
      </c>
      <c r="I3" s="74" t="str">
        <f>IFERROR(__xludf.DUMMYFUNCTION("""COMPUTED_VALUE"""),"MVGR COLLEGE OF ENGINEERING")</f>
        <v>MVGR COLLEGE OF ENGINEERING</v>
      </c>
      <c r="J3" s="80" t="str">
        <f>IFERROR(__xludf.DUMMYFUNCTION("""COMPUTED_VALUE"""),"https://drive.google.com/open?id=1WUmGmLGyf8ZbZCJ8S4Y5ZUMjDsGOZsFK")</f>
        <v>https://drive.google.com/open?id=1WUmGmLGyf8ZbZCJ8S4Y5ZUMjDsGOZsFK</v>
      </c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</row>
    <row r="4" ht="23.25" customHeight="1">
      <c r="A4" s="74" t="str">
        <f>IFERROR(__xludf.DUMMYFUNCTION("""COMPUTED_VALUE"""),"2018-2022")</f>
        <v>2018-2022</v>
      </c>
      <c r="B4" s="74" t="str">
        <f>IFERROR(__xludf.DUMMYFUNCTION("""COMPUTED_VALUE"""),"S16: Students Social Service Programs")</f>
        <v>S16: Students Social Service Programs</v>
      </c>
      <c r="C4" s="74" t="str">
        <f>IFERROR(__xludf.DUMMYFUNCTION("""COMPUTED_VALUE"""),"manojvarmaaa13@gmail.com")</f>
        <v>manojvarmaaa13@gmail.com</v>
      </c>
      <c r="D4" s="74" t="str">
        <f>IFERROR(__xludf.DUMMYFUNCTION("""COMPUTED_VALUE"""),"SEM-8")</f>
        <v>SEM-8</v>
      </c>
      <c r="E4" s="74" t="str">
        <f>IFERROR(__xludf.DUMMYFUNCTION("""COMPUTED_VALUE"""),"Manoj varma sagi")</f>
        <v>Manoj varma sagi</v>
      </c>
      <c r="F4" s="74" t="str">
        <f>IFERROR(__xludf.DUMMYFUNCTION("""COMPUTED_VALUE"""),"18331A05C8")</f>
        <v>18331A05C8</v>
      </c>
      <c r="G4" s="74" t="str">
        <f>IFERROR(__xludf.DUMMYFUNCTION("""COMPUTED_VALUE"""),"Blood donation camp")</f>
        <v>Blood donation camp</v>
      </c>
      <c r="H4" s="79">
        <f>IFERROR(__xludf.DUMMYFUNCTION("""COMPUTED_VALUE"""),43663.0)</f>
        <v>43663</v>
      </c>
      <c r="I4" s="74" t="str">
        <f>IFERROR(__xludf.DUMMYFUNCTION("""COMPUTED_VALUE"""),"CSE dept")</f>
        <v>CSE dept</v>
      </c>
      <c r="J4" s="80" t="str">
        <f>IFERROR(__xludf.DUMMYFUNCTION("""COMPUTED_VALUE"""),"https://drive.google.com/open?id=1_fR-LdhuKTTzZxiOKp3PDnIv3EijWFWW")</f>
        <v>https://drive.google.com/open?id=1_fR-LdhuKTTzZxiOKp3PDnIv3EijWFWW</v>
      </c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</row>
    <row r="5" ht="23.25" customHeight="1">
      <c r="A5" s="74" t="str">
        <f>IFERROR(__xludf.DUMMYFUNCTION("""COMPUTED_VALUE"""),"2018-2022")</f>
        <v>2018-2022</v>
      </c>
      <c r="B5" s="74" t="str">
        <f>IFERROR(__xludf.DUMMYFUNCTION("""COMPUTED_VALUE"""),"S16: Students Social Service Programs")</f>
        <v>S16: Students Social Service Programs</v>
      </c>
      <c r="C5" s="74" t="str">
        <f>IFERROR(__xludf.DUMMYFUNCTION("""COMPUTED_VALUE"""),"narlaveerapavankumar@gmail.com")</f>
        <v>narlaveerapavankumar@gmail.com</v>
      </c>
      <c r="D5" s="74" t="str">
        <f>IFERROR(__xludf.DUMMYFUNCTION("""COMPUTED_VALUE"""),"SEM-2")</f>
        <v>SEM-2</v>
      </c>
      <c r="E5" s="74" t="str">
        <f>IFERROR(__xludf.DUMMYFUNCTION("""COMPUTED_VALUE"""),"N.V.PAVAN KUMAR")</f>
        <v>N.V.PAVAN KUMAR</v>
      </c>
      <c r="F5" s="74" t="str">
        <f>IFERROR(__xludf.DUMMYFUNCTION("""COMPUTED_VALUE"""),"18331A05B1")</f>
        <v>18331A05B1</v>
      </c>
      <c r="G5" s="74" t="str">
        <f>IFERROR(__xludf.DUMMYFUNCTION("""COMPUTED_VALUE"""),"YOUTH FOR RURAL RECONSTRUCTION CAMPAIGN")</f>
        <v>YOUTH FOR RURAL RECONSTRUCTION CAMPAIGN</v>
      </c>
      <c r="H5" s="79">
        <f>IFERROR(__xludf.DUMMYFUNCTION("""COMPUTED_VALUE"""),43467.0)</f>
        <v>43467</v>
      </c>
      <c r="I5" s="74" t="str">
        <f>IFERROR(__xludf.DUMMYFUNCTION("""COMPUTED_VALUE"""),"BODDAVALASA")</f>
        <v>BODDAVALASA</v>
      </c>
      <c r="J5" s="80" t="str">
        <f>IFERROR(__xludf.DUMMYFUNCTION("""COMPUTED_VALUE"""),"https://drive.google.com/open?id=1uk8fg4IYYCEf7-Gu0dZr-ENgBY6pXBXP")</f>
        <v>https://drive.google.com/open?id=1uk8fg4IYYCEf7-Gu0dZr-ENgBY6pXBXP</v>
      </c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</row>
    <row r="6" ht="23.25" customHeight="1">
      <c r="A6" s="74" t="str">
        <f>IFERROR(__xludf.DUMMYFUNCTION("""COMPUTED_VALUE"""),"2018-2022")</f>
        <v>2018-2022</v>
      </c>
      <c r="B6" s="74" t="str">
        <f>IFERROR(__xludf.DUMMYFUNCTION("""COMPUTED_VALUE"""),"S16: Students Social Service Programs")</f>
        <v>S16: Students Social Service Programs</v>
      </c>
      <c r="C6" s="74" t="str">
        <f>IFERROR(__xludf.DUMMYFUNCTION("""COMPUTED_VALUE"""),"madeshsandy75204@gmail.com")</f>
        <v>madeshsandy75204@gmail.com</v>
      </c>
      <c r="D6" s="74" t="str">
        <f>IFERROR(__xludf.DUMMYFUNCTION("""COMPUTED_VALUE"""),"SEM-2")</f>
        <v>SEM-2</v>
      </c>
      <c r="E6" s="74" t="str">
        <f>IFERROR(__xludf.DUMMYFUNCTION("""COMPUTED_VALUE"""),"K. V. Madesh ")</f>
        <v>K. V. Madesh </v>
      </c>
      <c r="F6" s="74" t="str">
        <f>IFERROR(__xludf.DUMMYFUNCTION("""COMPUTED_VALUE"""),"18331A0581")</f>
        <v>18331A0581</v>
      </c>
      <c r="G6" s="74" t="str">
        <f>IFERROR(__xludf.DUMMYFUNCTION("""COMPUTED_VALUE"""),"Youth for rural reconstruction campaign")</f>
        <v>Youth for rural reconstruction campaign</v>
      </c>
      <c r="H6" s="79">
        <f>IFERROR(__xludf.DUMMYFUNCTION("""COMPUTED_VALUE"""),43467.0)</f>
        <v>43467</v>
      </c>
      <c r="I6" s="74" t="str">
        <f>IFERROR(__xludf.DUMMYFUNCTION("""COMPUTED_VALUE"""),"Boddavalasa")</f>
        <v>Boddavalasa</v>
      </c>
      <c r="J6" s="80" t="str">
        <f>IFERROR(__xludf.DUMMYFUNCTION("""COMPUTED_VALUE"""),"https://drive.google.com/open?id=1tCFSDUGZcL96PWWWsBS3guVCHlFkThUP")</f>
        <v>https://drive.google.com/open?id=1tCFSDUGZcL96PWWWsBS3guVCHlFkThUP</v>
      </c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</row>
    <row r="7" ht="23.25" customHeight="1">
      <c r="A7" s="74" t="str">
        <f>IFERROR(__xludf.DUMMYFUNCTION("""COMPUTED_VALUE"""),"2019-2023")</f>
        <v>2019-2023</v>
      </c>
      <c r="B7" s="74" t="str">
        <f>IFERROR(__xludf.DUMMYFUNCTION("""COMPUTED_VALUE"""),"S16: Students Social Service Programs")</f>
        <v>S16: Students Social Service Programs</v>
      </c>
      <c r="C7" s="74" t="str">
        <f>IFERROR(__xludf.DUMMYFUNCTION("""COMPUTED_VALUE"""),"suryavivek31@gmail.com")</f>
        <v>suryavivek31@gmail.com</v>
      </c>
      <c r="D7" s="74" t="str">
        <f>IFERROR(__xludf.DUMMYFUNCTION("""COMPUTED_VALUE"""),"SEM-6")</f>
        <v>SEM-6</v>
      </c>
      <c r="E7" s="74" t="str">
        <f>IFERROR(__xludf.DUMMYFUNCTION("""COMPUTED_VALUE"""),"SURYAVIVEK REDDY SATTI")</f>
        <v>SURYAVIVEK REDDY SATTI</v>
      </c>
      <c r="F7" s="74" t="str">
        <f>IFERROR(__xludf.DUMMYFUNCTION("""COMPUTED_VALUE"""),"19331A05F1")</f>
        <v>19331A05F1</v>
      </c>
      <c r="G7" s="74" t="str">
        <f>IFERROR(__xludf.DUMMYFUNCTION("""COMPUTED_VALUE"""),"vaccation clinical trail volunteer")</f>
        <v>vaccation clinical trail volunteer</v>
      </c>
      <c r="H7" s="79">
        <f>IFERROR(__xludf.DUMMYFUNCTION("""COMPUTED_VALUE"""),44114.0)</f>
        <v>44114</v>
      </c>
      <c r="I7" s="74" t="str">
        <f>IFERROR(__xludf.DUMMYFUNCTION("""COMPUTED_VALUE"""),"King George Hospital(andhra medical college) andhra pradesh")</f>
        <v>King George Hospital(andhra medical college) andhra pradesh</v>
      </c>
      <c r="J7" s="80" t="str">
        <f>IFERROR(__xludf.DUMMYFUNCTION("""COMPUTED_VALUE"""),"https://drive.google.com/open?id=17PSfjaHhZ5KbvbtyPaY3nWdl-EvvOQwa")</f>
        <v>https://drive.google.com/open?id=17PSfjaHhZ5KbvbtyPaY3nWdl-EvvOQwa</v>
      </c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</row>
    <row r="8" ht="23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ht="23.2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ht="23.2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ht="23.2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ht="23.2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ht="23.2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ht="23.2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ht="23.2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ht="23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ht="23.2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ht="23.2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ht="23.2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ht="23.2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ht="23.2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ht="23.2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ht="23.2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ht="23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ht="23.2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ht="23.2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ht="23.2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ht="23.2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ht="23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ht="23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ht="23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ht="23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ht="23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ht="23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ht="23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ht="23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ht="23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ht="23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ht="23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ht="23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ht="23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ht="23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ht="23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ht="23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ht="23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ht="23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ht="23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ht="23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ht="23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ht="23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ht="23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ht="23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ht="23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ht="23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ht="23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ht="23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ht="23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ht="23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ht="23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ht="23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ht="23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ht="23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ht="23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ht="23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ht="23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ht="23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23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ht="23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ht="23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ht="23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ht="23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23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ht="23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ht="23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ht="23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ht="23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ht="23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ht="23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ht="23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ht="23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ht="23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23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ht="23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ht="23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ht="23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ht="23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ht="23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ht="23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ht="23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ht="23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ht="23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ht="23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ht="23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ht="23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ht="23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ht="23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ht="23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ht="23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ht="23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ht="23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ht="23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ht="23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ht="23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ht="23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ht="23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ht="23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ht="23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ht="23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ht="23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ht="23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ht="23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ht="23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ht="23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ht="23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ht="23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ht="23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ht="23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ht="23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ht="23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ht="23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ht="23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23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ht="23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ht="23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ht="23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ht="23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ht="23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ht="23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ht="23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ht="23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ht="23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ht="23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ht="23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ht="23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ht="23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ht="23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ht="23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ht="23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ht="23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ht="23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ht="23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ht="23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ht="23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ht="23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ht="23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ht="23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ht="23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ht="23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ht="23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ht="23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ht="23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ht="23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ht="23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23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ht="23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ht="23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ht="23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23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ht="23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ht="23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23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ht="23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ht="23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ht="23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ht="23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ht="23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ht="23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ht="23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ht="23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ht="23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ht="23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ht="23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ht="23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ht="23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ht="23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ht="23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ht="23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ht="23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ht="23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ht="23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ht="23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ht="23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ht="23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ht="23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ht="23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ht="23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ht="23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ht="23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ht="23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ht="23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ht="23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ht="23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ht="23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ht="23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ht="23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ht="23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ht="23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ht="23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ht="23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ht="23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ht="23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ht="23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ht="23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ht="23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ht="23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ht="23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23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ht="23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ht="23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ht="23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23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ht="23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ht="23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ht="23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ht="23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ht="23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ht="23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ht="23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ht="23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ht="23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ht="23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ht="23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ht="23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ht="23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ht="23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ht="23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ht="23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ht="23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ht="23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ht="23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ht="23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ht="23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ht="23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ht="23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ht="23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ht="23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ht="23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ht="23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ht="23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ht="23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ht="23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ht="23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ht="23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ht="23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ht="23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ht="23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ht="23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ht="23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ht="23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ht="23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ht="23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ht="23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ht="23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ht="23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ht="23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ht="23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ht="23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ht="23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ht="23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ht="23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ht="23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ht="23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ht="23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ht="23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ht="23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ht="23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ht="23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ht="23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ht="23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ht="23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ht="23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ht="23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ht="23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ht="23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ht="23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ht="23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ht="23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ht="23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ht="23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ht="23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ht="23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ht="23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ht="23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ht="23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ht="23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ht="23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ht="23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ht="23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ht="23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ht="23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ht="23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ht="23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ht="23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ht="23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ht="23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ht="23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ht="23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ht="23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ht="23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ht="23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ht="23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ht="23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ht="23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ht="23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ht="23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ht="23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ht="23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ht="23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ht="23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ht="23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ht="23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ht="23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ht="23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ht="23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ht="23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ht="23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ht="23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ht="23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ht="23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ht="23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ht="23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ht="23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ht="23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ht="23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ht="23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ht="23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ht="23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ht="23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ht="23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ht="23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ht="23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ht="23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ht="23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ht="23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ht="23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ht="23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ht="23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ht="23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ht="23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ht="23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ht="23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ht="23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ht="23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ht="23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ht="23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ht="23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ht="23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ht="23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ht="23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ht="23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ht="23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ht="23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ht="23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ht="23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ht="23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ht="23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ht="23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ht="23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ht="23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ht="23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ht="23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ht="23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ht="23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ht="23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ht="23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ht="23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ht="23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ht="23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ht="23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ht="23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ht="23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ht="23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ht="23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ht="23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ht="23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ht="23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ht="23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ht="23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ht="23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ht="23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ht="23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ht="23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ht="23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ht="23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ht="23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ht="23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ht="23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ht="23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ht="23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ht="23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ht="23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ht="23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ht="23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ht="23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ht="23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ht="23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ht="23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ht="23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ht="23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ht="23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ht="23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ht="23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ht="23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ht="23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ht="23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ht="23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ht="23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ht="23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ht="23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ht="23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ht="23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ht="23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ht="23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ht="23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ht="23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ht="23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ht="23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ht="23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ht="23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ht="23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ht="23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ht="23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ht="23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ht="23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ht="23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ht="23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ht="23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ht="23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ht="23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ht="23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ht="23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ht="23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ht="23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ht="23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ht="23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ht="23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ht="23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ht="23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ht="23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ht="23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ht="23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ht="23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ht="23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ht="23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ht="23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ht="23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ht="23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ht="23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ht="23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ht="23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ht="23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ht="23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ht="23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ht="23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ht="23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ht="23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ht="23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ht="23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ht="23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ht="23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ht="23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ht="23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ht="23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ht="23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ht="23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ht="23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ht="23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ht="23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ht="23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ht="23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ht="23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ht="23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ht="23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ht="23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ht="23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ht="23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ht="23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ht="23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ht="23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ht="23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ht="23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ht="23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ht="23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ht="23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ht="23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ht="23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ht="23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ht="23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ht="23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ht="23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ht="23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ht="23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ht="23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ht="23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ht="23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ht="23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ht="23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ht="23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ht="23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ht="23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ht="23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ht="23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ht="23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ht="23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ht="23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ht="23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ht="23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ht="23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ht="23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ht="23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ht="23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ht="23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ht="23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ht="23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ht="23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ht="23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ht="23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ht="23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ht="23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ht="23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ht="23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ht="23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ht="23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ht="23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ht="23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ht="23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ht="23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ht="23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ht="23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ht="23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ht="23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ht="23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ht="23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ht="23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ht="23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ht="23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ht="23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ht="23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ht="23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ht="23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ht="23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ht="23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ht="23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ht="23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ht="23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ht="23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ht="23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ht="23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ht="23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ht="23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ht="23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ht="23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ht="23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ht="23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ht="23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ht="23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ht="23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ht="23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ht="23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ht="23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ht="23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ht="23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ht="23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ht="23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ht="23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ht="23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ht="23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ht="23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ht="23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ht="23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ht="23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ht="23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ht="23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ht="23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ht="23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ht="23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ht="23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ht="23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ht="23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ht="23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ht="23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ht="23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ht="23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ht="23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ht="23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ht="23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ht="23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ht="23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ht="23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ht="23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ht="23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ht="23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ht="23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ht="23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ht="23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ht="23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ht="23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ht="23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ht="23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ht="23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ht="23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ht="23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ht="23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ht="23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ht="23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ht="23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ht="23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ht="23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ht="23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ht="23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ht="23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ht="23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ht="23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ht="23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ht="23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ht="23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ht="23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ht="23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ht="23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ht="23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ht="23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ht="23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ht="23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ht="23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ht="23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ht="23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ht="23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ht="23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ht="23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ht="23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ht="23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ht="23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ht="23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ht="23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ht="23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ht="23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ht="23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ht="23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ht="23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ht="23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ht="23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ht="23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ht="23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ht="23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ht="23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ht="23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ht="23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ht="23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ht="23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ht="23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ht="23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ht="23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ht="23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ht="23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ht="23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ht="23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ht="23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ht="23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ht="23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ht="23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ht="23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ht="23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ht="23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ht="23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ht="23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ht="23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ht="23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ht="23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ht="23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ht="23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ht="23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ht="23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ht="23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ht="23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ht="23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ht="23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ht="23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ht="23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ht="23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ht="23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ht="23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ht="23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ht="23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ht="23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ht="23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ht="23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ht="23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ht="23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ht="23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ht="23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ht="23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ht="23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ht="23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ht="23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ht="23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ht="23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ht="23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ht="23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ht="23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ht="23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ht="23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ht="23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ht="23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ht="23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ht="23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ht="23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ht="23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ht="23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ht="23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ht="23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ht="23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ht="23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ht="23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ht="23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ht="23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ht="23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ht="23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ht="23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ht="23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ht="23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ht="23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ht="23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ht="23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ht="23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ht="23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ht="23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ht="23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ht="23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ht="23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ht="23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ht="23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ht="23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ht="23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ht="23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ht="23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ht="23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ht="23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ht="23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ht="23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ht="23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ht="23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ht="23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ht="23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ht="23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ht="23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ht="23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ht="23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ht="23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ht="23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ht="23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ht="23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ht="23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ht="23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ht="23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ht="23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ht="23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ht="23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ht="23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ht="23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ht="23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ht="23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ht="23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ht="23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ht="23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ht="23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ht="23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ht="23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ht="23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ht="23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ht="23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ht="23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ht="23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ht="23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ht="23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ht="23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ht="23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ht="23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ht="23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ht="23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ht="23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ht="23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ht="23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ht="23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ht="23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ht="23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ht="23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ht="23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ht="23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ht="23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ht="23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ht="23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ht="23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ht="23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ht="23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ht="23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ht="23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ht="23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ht="23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ht="23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ht="23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ht="23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ht="23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ht="23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ht="23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ht="23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ht="23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ht="23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ht="23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ht="23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ht="23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ht="23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ht="23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ht="23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ht="23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ht="23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ht="23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ht="23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ht="23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ht="23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ht="23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ht="23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ht="23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ht="23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ht="23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ht="23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ht="23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ht="23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ht="23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ht="23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ht="23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ht="23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ht="23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ht="23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ht="23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ht="23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ht="23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ht="23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ht="23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ht="23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ht="23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ht="23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ht="23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ht="23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ht="23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ht="23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ht="23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ht="23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ht="23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ht="23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ht="23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ht="23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ht="23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ht="23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ht="23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ht="23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ht="23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ht="23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ht="23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ht="23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ht="23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ht="23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ht="23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ht="23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ht="23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ht="23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ht="23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ht="23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ht="23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ht="23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ht="23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ht="23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ht="23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ht="23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ht="23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ht="23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ht="23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ht="23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ht="23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ht="23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ht="23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ht="23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ht="23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ht="23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ht="23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ht="23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ht="23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ht="23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ht="23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ht="23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ht="23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ht="23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ht="23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ht="23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ht="23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ht="23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ht="23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ht="23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ht="23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ht="23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ht="23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ht="23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ht="23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ht="23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ht="23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ht="23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ht="23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ht="23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ht="23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ht="23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ht="23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ht="23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ht="23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ht="23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ht="23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ht="23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ht="23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ht="23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ht="23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ht="23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ht="23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ht="23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ht="23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ht="23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ht="23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ht="23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ht="23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ht="23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ht="23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ht="23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ht="23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ht="23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ht="23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ht="23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ht="23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ht="23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ht="23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ht="23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ht="23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ht="23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ht="23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ht="23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ht="23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ht="23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ht="23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ht="23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ht="23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ht="23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ht="23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ht="23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ht="23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ht="23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ht="23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ht="23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ht="23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ht="23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ht="23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ht="23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ht="23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ht="23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ht="23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ht="23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ht="23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ht="23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ht="23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ht="23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ht="23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ht="23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ht="23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ht="23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ht="23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ht="23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ht="23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ht="23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ht="23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ht="23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ht="23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ht="23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ht="23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ht="23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ht="23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ht="23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ht="23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ht="23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ht="23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ht="23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ht="23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ht="23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ht="23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ht="23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ht="23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ht="23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ht="23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ht="23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ht="23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ht="23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ht="23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ht="23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ht="23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ht="23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ht="23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</sheetData>
  <hyperlinks>
    <hyperlink r:id="rId1" ref="J2"/>
    <hyperlink r:id="rId2" ref="J3"/>
    <hyperlink r:id="rId3" ref="J4"/>
    <hyperlink r:id="rId4" ref="J5"/>
    <hyperlink r:id="rId5" ref="J6"/>
    <hyperlink r:id="rId6" ref="J7"/>
  </hyperlinks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41.5"/>
    <col customWidth="1" min="3" max="3" width="26.75"/>
    <col customWidth="1" min="4" max="4" width="10.13"/>
    <col customWidth="1" min="5" max="5" width="33.5"/>
    <col customWidth="1" min="6" max="6" width="11.25"/>
    <col customWidth="1" min="7" max="7" width="14.0"/>
    <col customWidth="1" min="8" max="8" width="8.88"/>
    <col customWidth="1" min="9" max="9" width="8.38"/>
    <col customWidth="1" min="10" max="10" width="62.13"/>
  </cols>
  <sheetData>
    <row r="1" ht="24.75" customHeight="1">
      <c r="A1" s="18" t="s">
        <v>29</v>
      </c>
      <c r="B1" s="17" t="s">
        <v>1</v>
      </c>
      <c r="C1" s="18" t="s">
        <v>118</v>
      </c>
      <c r="D1" s="18" t="s">
        <v>119</v>
      </c>
      <c r="E1" s="133" t="s">
        <v>30</v>
      </c>
      <c r="F1" s="133" t="s">
        <v>31</v>
      </c>
      <c r="G1" s="133" t="s">
        <v>127</v>
      </c>
      <c r="H1" s="133" t="s">
        <v>128</v>
      </c>
      <c r="I1" s="133" t="s">
        <v>130</v>
      </c>
      <c r="J1" s="133" t="s">
        <v>129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24.75" customHeight="1">
      <c r="A2" s="74" t="str">
        <f>IFERROR(__xludf.DUMMYFUNCTION("QUERY(MasterData!A1:NK11791,""select B,C,FL,FM,FZ,GA,GB,GC,GE,GD where C='S17: Students Leadership &amp; Volunteering Activities'"",0)"),"2018-2022")</f>
        <v>2018-2022</v>
      </c>
      <c r="B2" s="74" t="str">
        <f>IFERROR(__xludf.DUMMYFUNCTION("""COMPUTED_VALUE"""),"S17: Students Leadership &amp; Volunteering Activities")</f>
        <v>S17: Students Leadership &amp; Volunteering Activities</v>
      </c>
      <c r="C2" s="74" t="str">
        <f>IFERROR(__xludf.DUMMYFUNCTION("""COMPUTED_VALUE"""),"18331A05C3@mvgrce.edu.in")</f>
        <v>18331A05C3@mvgrce.edu.in</v>
      </c>
      <c r="D2" s="74" t="str">
        <f>IFERROR(__xludf.DUMMYFUNCTION("""COMPUTED_VALUE"""),"SEM-8")</f>
        <v>SEM-8</v>
      </c>
      <c r="E2" s="74" t="str">
        <f>IFERROR(__xludf.DUMMYFUNCTION("""COMPUTED_VALUE"""),"Yuvaraj Chowdary Ratnala")</f>
        <v>Yuvaraj Chowdary Ratnala</v>
      </c>
      <c r="F2" s="74" t="str">
        <f>IFERROR(__xludf.DUMMYFUNCTION("""COMPUTED_VALUE"""),"18331A05C3")</f>
        <v>18331A05C3</v>
      </c>
      <c r="G2" s="74" t="str">
        <f>IFERROR(__xludf.DUMMYFUNCTION("""COMPUTED_VALUE"""),"VOLUNTEER")</f>
        <v>VOLUNTEER</v>
      </c>
      <c r="H2" s="79">
        <f>IFERROR(__xludf.DUMMYFUNCTION("""COMPUTED_VALUE"""),43881.0)</f>
        <v>43881</v>
      </c>
      <c r="I2" s="79">
        <f>IFERROR(__xludf.DUMMYFUNCTION("""COMPUTED_VALUE"""),43883.0)</f>
        <v>43883</v>
      </c>
      <c r="J2" s="80" t="str">
        <f>IFERROR(__xludf.DUMMYFUNCTION("""COMPUTED_VALUE"""),"https://drive.google.com/open?id=1JDkbWTWW31HZtahRtdxiRWL1l2STgDcF")</f>
        <v>https://drive.google.com/open?id=1JDkbWTWW31HZtahRtdxiRWL1l2STgDcF</v>
      </c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</row>
    <row r="3" ht="24.75" customHeight="1">
      <c r="A3" s="74" t="str">
        <f>IFERROR(__xludf.DUMMYFUNCTION("""COMPUTED_VALUE"""),"2019-2023")</f>
        <v>2019-2023</v>
      </c>
      <c r="B3" s="74" t="str">
        <f>IFERROR(__xludf.DUMMYFUNCTION("""COMPUTED_VALUE"""),"S17: Students Leadership &amp; Volunteering Activities")</f>
        <v>S17: Students Leadership &amp; Volunteering Activities</v>
      </c>
      <c r="C3" s="74" t="str">
        <f>IFERROR(__xludf.DUMMYFUNCTION("""COMPUTED_VALUE"""),"indiradarshini126@gmail.com")</f>
        <v>indiradarshini126@gmail.com</v>
      </c>
      <c r="D3" s="74" t="str">
        <f>IFERROR(__xludf.DUMMYFUNCTION("""COMPUTED_VALUE"""),"SEM-6")</f>
        <v>SEM-6</v>
      </c>
      <c r="E3" s="74" t="str">
        <f>IFERROR(__xludf.DUMMYFUNCTION("""COMPUTED_VALUE"""),"Tammineni Rajasree Indira priyadarshini ")</f>
        <v>Tammineni Rajasree Indira priyadarshini </v>
      </c>
      <c r="F3" s="74" t="str">
        <f>IFERROR(__xludf.DUMMYFUNCTION("""COMPUTED_VALUE"""),"19331A05H0 ")</f>
        <v>19331A05H0 </v>
      </c>
      <c r="G3" s="74" t="str">
        <f>IFERROR(__xludf.DUMMYFUNCTION("""COMPUTED_VALUE"""),"CR")</f>
        <v>CR</v>
      </c>
      <c r="H3" s="79">
        <f>IFERROR(__xludf.DUMMYFUNCTION("""COMPUTED_VALUE"""),44462.0)</f>
        <v>44462</v>
      </c>
      <c r="I3" s="79">
        <f>IFERROR(__xludf.DUMMYFUNCTION("""COMPUTED_VALUE"""),45078.0)</f>
        <v>45078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</row>
    <row r="4" ht="24.75" customHeight="1">
      <c r="A4" s="74" t="str">
        <f>IFERROR(__xludf.DUMMYFUNCTION("""COMPUTED_VALUE"""),"2018-2022")</f>
        <v>2018-2022</v>
      </c>
      <c r="B4" s="74" t="str">
        <f>IFERROR(__xludf.DUMMYFUNCTION("""COMPUTED_VALUE"""),"S17: Students Leadership &amp; Volunteering Activities")</f>
        <v>S17: Students Leadership &amp; Volunteering Activities</v>
      </c>
      <c r="C4" s="74" t="str">
        <f>IFERROR(__xludf.DUMMYFUNCTION("""COMPUTED_VALUE"""),"gorsaumamahesh@gmail.com")</f>
        <v>gorsaumamahesh@gmail.com</v>
      </c>
      <c r="D4" s="74" t="str">
        <f>IFERROR(__xludf.DUMMYFUNCTION("""COMPUTED_VALUE"""),"SEM-8")</f>
        <v>SEM-8</v>
      </c>
      <c r="E4" s="74" t="str">
        <f>IFERROR(__xludf.DUMMYFUNCTION("""COMPUTED_VALUE"""),"Gorsa Uma Mahesh")</f>
        <v>Gorsa Uma Mahesh</v>
      </c>
      <c r="F4" s="74" t="str">
        <f>IFERROR(__xludf.DUMMYFUNCTION("""COMPUTED_VALUE"""),"18331A0550")</f>
        <v>18331A0550</v>
      </c>
      <c r="G4" s="74" t="str">
        <f>IFERROR(__xludf.DUMMYFUNCTION("""COMPUTED_VALUE"""),"VOLUNTEER")</f>
        <v>VOLUNTEER</v>
      </c>
      <c r="H4" s="79">
        <f>IFERROR(__xludf.DUMMYFUNCTION("""COMPUTED_VALUE"""),43696.0)</f>
        <v>43696</v>
      </c>
      <c r="I4" s="79">
        <f>IFERROR(__xludf.DUMMYFUNCTION("""COMPUTED_VALUE"""),43696.0)</f>
        <v>43696</v>
      </c>
      <c r="J4" s="80" t="str">
        <f>IFERROR(__xludf.DUMMYFUNCTION("""COMPUTED_VALUE"""),"https://drive.google.com/open?id=1kl_yv6lEbe4MkUx-7DDutSvZygUj_uo8")</f>
        <v>https://drive.google.com/open?id=1kl_yv6lEbe4MkUx-7DDutSvZygUj_uo8</v>
      </c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</row>
    <row r="5" ht="24.75" customHeight="1">
      <c r="A5" s="74" t="str">
        <f>IFERROR(__xludf.DUMMYFUNCTION("""COMPUTED_VALUE"""),"2018-2022")</f>
        <v>2018-2022</v>
      </c>
      <c r="B5" s="74" t="str">
        <f>IFERROR(__xludf.DUMMYFUNCTION("""COMPUTED_VALUE"""),"S17: Students Leadership &amp; Volunteering Activities")</f>
        <v>S17: Students Leadership &amp; Volunteering Activities</v>
      </c>
      <c r="C5" s="74" t="str">
        <f>IFERROR(__xludf.DUMMYFUNCTION("""COMPUTED_VALUE"""),"jaswanthsaisubhkar@gmail.com")</f>
        <v>jaswanthsaisubhkar@gmail.com</v>
      </c>
      <c r="D5" s="74" t="str">
        <f>IFERROR(__xludf.DUMMYFUNCTION("""COMPUTED_VALUE"""),"SEM-8")</f>
        <v>SEM-8</v>
      </c>
      <c r="E5" s="74" t="str">
        <f>IFERROR(__xludf.DUMMYFUNCTION("""COMPUTED_VALUE"""),"Nanubala Jaswanth Kumar ")</f>
        <v>Nanubala Jaswanth Kumar </v>
      </c>
      <c r="F5" s="74" t="str">
        <f>IFERROR(__xludf.DUMMYFUNCTION("""COMPUTED_VALUE"""),"18331A05B0")</f>
        <v>18331A05B0</v>
      </c>
      <c r="G5" s="74" t="str">
        <f>IFERROR(__xludf.DUMMYFUNCTION("""COMPUTED_VALUE"""),"CR")</f>
        <v>CR</v>
      </c>
      <c r="H5" s="79">
        <f>IFERROR(__xludf.DUMMYFUNCTION("""COMPUTED_VALUE"""),43313.0)</f>
        <v>43313</v>
      </c>
      <c r="I5" s="79">
        <f>IFERROR(__xludf.DUMMYFUNCTION("""COMPUTED_VALUE"""),44714.0)</f>
        <v>44714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</row>
    <row r="6" ht="24.75" customHeight="1">
      <c r="A6" s="12" t="str">
        <f>IFERROR(__xludf.DUMMYFUNCTION("""COMPUTED_VALUE"""),"2019-2023")</f>
        <v>2019-2023</v>
      </c>
      <c r="B6" s="12" t="str">
        <f>IFERROR(__xludf.DUMMYFUNCTION("""COMPUTED_VALUE"""),"S17: Students Leadership &amp; Volunteering Activities")</f>
        <v>S17: Students Leadership &amp; Volunteering Activities</v>
      </c>
      <c r="C6" s="12" t="str">
        <f>IFERROR(__xludf.DUMMYFUNCTION("""COMPUTED_VALUE"""),"nishanthvarma14819@gmail.com")</f>
        <v>nishanthvarma14819@gmail.com</v>
      </c>
      <c r="D6" s="12" t="str">
        <f>IFERROR(__xludf.DUMMYFUNCTION("""COMPUTED_VALUE"""),"SEM-6")</f>
        <v>SEM-6</v>
      </c>
      <c r="E6" s="12" t="str">
        <f>IFERROR(__xludf.DUMMYFUNCTION("""COMPUTED_VALUE"""),"A A S N NISHANTH VARMA P")</f>
        <v>A A S N NISHANTH VARMA P</v>
      </c>
      <c r="F6" s="12" t="str">
        <f>IFERROR(__xludf.DUMMYFUNCTION("""COMPUTED_VALUE"""),"19331A0501")</f>
        <v>19331A0501</v>
      </c>
      <c r="G6" s="12" t="str">
        <f>IFERROR(__xludf.DUMMYFUNCTION("""COMPUTED_VALUE"""),"CR")</f>
        <v>CR</v>
      </c>
      <c r="H6" s="86">
        <f>IFERROR(__xludf.DUMMYFUNCTION("""COMPUTED_VALUE"""),43709.0)</f>
        <v>43709</v>
      </c>
      <c r="I6" s="86">
        <f>IFERROR(__xludf.DUMMYFUNCTION("""COMPUTED_VALUE"""),44674.0)</f>
        <v>44674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ht="24.75" customHeight="1">
      <c r="A7" s="12" t="str">
        <f>IFERROR(__xludf.DUMMYFUNCTION("""COMPUTED_VALUE"""),"2018-2022")</f>
        <v>2018-2022</v>
      </c>
      <c r="B7" s="12" t="str">
        <f>IFERROR(__xludf.DUMMYFUNCTION("""COMPUTED_VALUE"""),"S17: Students Leadership &amp; Volunteering Activities")</f>
        <v>S17: Students Leadership &amp; Volunteering Activities</v>
      </c>
      <c r="C7" s="12" t="str">
        <f>IFERROR(__xludf.DUMMYFUNCTION("""COMPUTED_VALUE"""),"chaitra2026@gmail.com")</f>
        <v>chaitra2026@gmail.com</v>
      </c>
      <c r="D7" s="12" t="str">
        <f>IFERROR(__xludf.DUMMYFUNCTION("""COMPUTED_VALUE"""),"SEM-1")</f>
        <v>SEM-1</v>
      </c>
      <c r="E7" s="12" t="str">
        <f>IFERROR(__xludf.DUMMYFUNCTION("""COMPUTED_VALUE"""),"Chaitra Mudili")</f>
        <v>Chaitra Mudili</v>
      </c>
      <c r="F7" s="12" t="str">
        <f>IFERROR(__xludf.DUMMYFUNCTION("""COMPUTED_VALUE"""),"18331A05A0")</f>
        <v>18331A05A0</v>
      </c>
      <c r="G7" s="12" t="str">
        <f>IFERROR(__xludf.DUMMYFUNCTION("""COMPUTED_VALUE"""),"CR")</f>
        <v>CR</v>
      </c>
      <c r="H7" s="86">
        <f>IFERROR(__xludf.DUMMYFUNCTION("""COMPUTED_VALUE"""),43301.0)</f>
        <v>43301</v>
      </c>
      <c r="I7" s="86">
        <f>IFERROR(__xludf.DUMMYFUNCTION("""COMPUTED_VALUE"""),43666.0)</f>
        <v>43666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ht="24.7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ht="24.7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ht="24.7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ht="24.7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ht="24.7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ht="24.7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ht="24.7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ht="24.7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ht="24.7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ht="24.7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ht="24.7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ht="24.7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ht="24.7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ht="24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ht="24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ht="24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ht="24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ht="24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ht="24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ht="24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ht="24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ht="24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ht="24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ht="24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ht="24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ht="24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ht="24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ht="24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ht="24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ht="24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ht="24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ht="24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ht="24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ht="24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ht="24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ht="24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ht="24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ht="24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ht="24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ht="24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ht="24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ht="24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ht="24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ht="24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ht="24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ht="24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ht="24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ht="24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ht="24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ht="24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ht="24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ht="24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ht="24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ht="24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ht="24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ht="24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ht="24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ht="24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ht="24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ht="24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ht="24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ht="24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ht="24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ht="24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ht="24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ht="24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ht="24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ht="24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ht="24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ht="24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ht="24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ht="24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ht="24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ht="24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ht="24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ht="24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ht="24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ht="24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ht="24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ht="24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ht="24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ht="24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ht="24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ht="24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ht="24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ht="24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ht="24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ht="24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ht="24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ht="24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ht="24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ht="24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ht="24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ht="24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ht="24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ht="24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ht="24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ht="24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ht="24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ht="24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ht="24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ht="24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ht="24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ht="24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ht="24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ht="24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ht="24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ht="24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ht="24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ht="24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ht="24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ht="24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ht="24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ht="24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ht="24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ht="24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ht="24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ht="24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ht="24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ht="24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ht="24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ht="24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ht="24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ht="24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ht="24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ht="24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ht="24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ht="24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ht="24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ht="24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ht="24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ht="24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</row>
    <row r="140" ht="24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 ht="24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 ht="24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 ht="24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 ht="24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 ht="24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 ht="24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 ht="24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 ht="24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 ht="24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 ht="24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 ht="24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 ht="24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 ht="24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</row>
    <row r="154" ht="24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</row>
    <row r="155" ht="24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</row>
    <row r="156" ht="24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</row>
    <row r="157" ht="24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</row>
    <row r="158" ht="24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</row>
    <row r="159" ht="24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</row>
    <row r="160" ht="24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</row>
    <row r="161" ht="24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</row>
    <row r="162" ht="24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</row>
    <row r="163" ht="24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</row>
    <row r="164" ht="24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</row>
    <row r="165" ht="24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</row>
    <row r="166" ht="24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</row>
    <row r="167" ht="24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</row>
    <row r="168" ht="24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</row>
    <row r="169" ht="24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</row>
    <row r="170" ht="24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</row>
    <row r="171" ht="24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</row>
    <row r="172" ht="24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</row>
    <row r="173" ht="24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</row>
    <row r="174" ht="24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</row>
    <row r="175" ht="24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</row>
    <row r="176" ht="24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</row>
    <row r="177" ht="24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</row>
    <row r="178" ht="24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</row>
    <row r="179" ht="24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</row>
    <row r="180" ht="24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</row>
    <row r="181" ht="24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</row>
    <row r="182" ht="24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</row>
    <row r="183" ht="24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</row>
    <row r="184" ht="24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</row>
    <row r="185" ht="24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</row>
    <row r="186" ht="24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</row>
    <row r="187" ht="24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</row>
    <row r="188" ht="24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</row>
    <row r="189" ht="24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</row>
    <row r="190" ht="24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</row>
    <row r="191" ht="24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</row>
    <row r="192" ht="24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</row>
    <row r="193" ht="24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</row>
    <row r="194" ht="24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</row>
    <row r="195" ht="24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</row>
    <row r="196" ht="24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</row>
    <row r="197" ht="24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</row>
    <row r="198" ht="24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</row>
    <row r="199" ht="24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</row>
    <row r="200" ht="24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</row>
    <row r="201" ht="24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</row>
    <row r="202" ht="24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</row>
    <row r="203" ht="24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</row>
    <row r="204" ht="24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</row>
    <row r="205" ht="24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</row>
    <row r="206" ht="24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</row>
    <row r="207" ht="24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</row>
    <row r="208" ht="24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</row>
    <row r="209" ht="24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</row>
    <row r="210" ht="24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</row>
    <row r="211" ht="24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</row>
    <row r="212" ht="24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</row>
    <row r="213" ht="24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</row>
    <row r="214" ht="24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</row>
    <row r="215" ht="24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</row>
    <row r="216" ht="24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</row>
    <row r="217" ht="24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</row>
    <row r="218" ht="24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</row>
    <row r="219" ht="24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</row>
    <row r="220" ht="24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</row>
    <row r="221" ht="24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</row>
    <row r="222" ht="24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</row>
    <row r="223" ht="24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</row>
    <row r="224" ht="24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</row>
    <row r="225" ht="24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</row>
    <row r="226" ht="24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ht="24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ht="24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ht="24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ht="24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ht="24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ht="24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ht="24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ht="24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ht="24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ht="24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ht="24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ht="24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ht="24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ht="24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ht="24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ht="24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ht="24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ht="24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ht="24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ht="24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ht="24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ht="24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ht="24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ht="24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ht="24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ht="24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ht="24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ht="24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ht="24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ht="24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ht="24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ht="24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ht="24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ht="24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ht="24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ht="24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ht="24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ht="24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ht="24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ht="24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ht="24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ht="24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ht="24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ht="24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ht="24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ht="24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ht="24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ht="24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ht="24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ht="24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ht="24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ht="24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ht="24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ht="24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ht="24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ht="24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</row>
    <row r="283" ht="24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</row>
    <row r="284" ht="24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</row>
    <row r="285" ht="24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</row>
    <row r="286" ht="24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</row>
    <row r="287" ht="24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</row>
    <row r="288" ht="24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</row>
    <row r="289" ht="24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</row>
    <row r="290" ht="24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</row>
    <row r="291" ht="24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</row>
    <row r="292" ht="24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</row>
    <row r="293" ht="24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</row>
    <row r="294" ht="24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</row>
    <row r="295" ht="24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</row>
    <row r="296" ht="24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</row>
    <row r="297" ht="24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</row>
    <row r="298" ht="24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</row>
    <row r="299" ht="24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</row>
    <row r="300" ht="24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</row>
    <row r="301" ht="24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</row>
    <row r="302" ht="24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</row>
    <row r="303" ht="24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</row>
    <row r="304" ht="24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</row>
    <row r="305" ht="24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</row>
    <row r="306" ht="24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</row>
    <row r="307" ht="24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</row>
    <row r="308" ht="24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</row>
    <row r="309" ht="24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</row>
    <row r="310" ht="24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</row>
    <row r="311" ht="24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</row>
    <row r="312" ht="24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</row>
    <row r="313" ht="24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</row>
    <row r="314" ht="24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</row>
    <row r="315" ht="24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</row>
    <row r="316" ht="24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</row>
    <row r="317" ht="24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</row>
    <row r="318" ht="24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</row>
    <row r="319" ht="24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</row>
    <row r="320" ht="24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</row>
    <row r="321" ht="24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</row>
    <row r="322" ht="24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</row>
    <row r="323" ht="24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</row>
    <row r="324" ht="24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</row>
    <row r="325" ht="24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</row>
    <row r="326" ht="24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</row>
    <row r="327" ht="24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</row>
    <row r="328" ht="24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</row>
    <row r="329" ht="24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</row>
    <row r="330" ht="24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</row>
    <row r="331" ht="24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</row>
    <row r="332" ht="24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</row>
    <row r="333" ht="24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</row>
    <row r="334" ht="24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</row>
    <row r="335" ht="24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</row>
    <row r="336" ht="24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</row>
    <row r="337" ht="24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</row>
    <row r="338" ht="24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</row>
    <row r="339" ht="24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</row>
    <row r="340" ht="24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</row>
    <row r="341" ht="24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</row>
    <row r="342" ht="24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</row>
    <row r="343" ht="24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</row>
    <row r="344" ht="24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</row>
    <row r="345" ht="24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ht="24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ht="24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ht="24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ht="24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ht="24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ht="24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ht="24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ht="24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ht="24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ht="24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ht="24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ht="24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ht="24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ht="24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ht="24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ht="24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ht="24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ht="24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ht="24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ht="24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ht="24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ht="24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ht="24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ht="24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ht="24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ht="24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ht="24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ht="24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ht="24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ht="24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ht="24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ht="24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ht="24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ht="24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ht="24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ht="24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ht="24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ht="24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ht="24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ht="24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ht="24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ht="24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ht="24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ht="24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ht="24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ht="24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ht="24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ht="24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ht="24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ht="24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ht="24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ht="24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ht="24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ht="24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ht="24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ht="24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ht="24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ht="24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ht="24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ht="24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ht="24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ht="24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ht="24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ht="24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ht="24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ht="24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ht="24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ht="24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ht="24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ht="24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ht="24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ht="24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ht="24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ht="24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ht="24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ht="24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ht="24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ht="24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ht="24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ht="24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ht="24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ht="24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ht="24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ht="24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ht="24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ht="24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ht="24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ht="24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ht="24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ht="24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ht="24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ht="24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ht="24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ht="24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ht="24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ht="24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ht="24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ht="24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ht="24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ht="24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ht="24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ht="24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ht="24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ht="24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ht="24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ht="24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ht="24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ht="24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ht="24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ht="24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ht="24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ht="24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ht="24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ht="24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ht="24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ht="24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ht="24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ht="24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ht="24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ht="24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ht="24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ht="24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ht="24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ht="24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ht="24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ht="24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ht="24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ht="24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ht="24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ht="24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ht="24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ht="24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ht="24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ht="24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ht="24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ht="24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ht="24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ht="24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ht="24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ht="24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ht="24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ht="24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ht="24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ht="24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ht="24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ht="24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ht="24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ht="24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ht="24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ht="24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ht="24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ht="24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ht="24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ht="24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ht="24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ht="24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ht="24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ht="24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ht="24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ht="24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ht="24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ht="24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ht="24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ht="24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ht="24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ht="24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ht="24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ht="24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ht="24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ht="24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ht="24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ht="24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ht="24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ht="24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ht="24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ht="24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ht="24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ht="24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ht="24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ht="24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ht="24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ht="24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ht="24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ht="24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ht="24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ht="24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ht="24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ht="24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ht="24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ht="24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ht="24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ht="24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ht="24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ht="24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ht="24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ht="24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ht="24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ht="24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ht="24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ht="24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ht="24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ht="24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ht="24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ht="24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ht="24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ht="24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ht="24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ht="24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ht="24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ht="24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ht="24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ht="24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ht="24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ht="24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ht="24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ht="24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ht="24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ht="24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ht="24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ht="24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ht="24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ht="24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ht="24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ht="24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ht="24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ht="24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ht="24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ht="24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ht="24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ht="24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ht="24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ht="24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ht="24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ht="24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ht="24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ht="24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ht="24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ht="24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ht="24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ht="24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ht="24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ht="24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ht="24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ht="24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ht="24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ht="24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ht="24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ht="24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ht="24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ht="24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ht="24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ht="24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ht="24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ht="24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ht="24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ht="24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ht="24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ht="24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ht="24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ht="24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ht="24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ht="24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ht="24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ht="24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ht="24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ht="24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ht="24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ht="24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ht="24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ht="24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ht="24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ht="24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ht="24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ht="24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ht="24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ht="24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ht="24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ht="24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ht="24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ht="24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ht="24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ht="24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ht="24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ht="24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ht="24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ht="24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ht="24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ht="24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ht="24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ht="24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ht="24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ht="24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ht="24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ht="24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ht="24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ht="24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ht="24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ht="24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ht="24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ht="24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ht="24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ht="24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ht="24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ht="24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ht="24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ht="24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ht="24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ht="24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ht="24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ht="24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ht="24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ht="24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ht="24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ht="24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ht="24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ht="24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ht="24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ht="24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ht="24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ht="24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ht="24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ht="24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ht="24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ht="24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ht="24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ht="24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ht="24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ht="24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ht="24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ht="24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ht="24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ht="24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ht="24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ht="24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ht="24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ht="24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ht="24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ht="24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ht="24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ht="24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ht="24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ht="24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ht="24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ht="24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ht="24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ht="24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ht="24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ht="24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ht="24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ht="24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ht="24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ht="24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ht="24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ht="24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ht="24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ht="24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ht="24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ht="24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ht="24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ht="24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ht="24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ht="24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ht="24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ht="24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ht="24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ht="24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ht="24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ht="24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ht="24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ht="24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ht="24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ht="24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ht="24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ht="24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ht="24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ht="24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ht="24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ht="24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ht="24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ht="24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ht="24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ht="24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ht="24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ht="24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ht="24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ht="24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ht="24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ht="24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ht="24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ht="24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ht="24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ht="24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ht="24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ht="24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ht="24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ht="24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ht="24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ht="24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ht="24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ht="24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ht="24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ht="24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ht="24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ht="24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ht="24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ht="24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ht="24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ht="24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ht="24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ht="24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ht="24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ht="24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ht="24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ht="24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ht="24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ht="24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ht="24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ht="24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ht="24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ht="24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ht="24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ht="24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ht="24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ht="24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ht="24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ht="24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ht="24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ht="24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ht="24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ht="24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ht="24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ht="24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ht="24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ht="24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ht="24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ht="24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ht="24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ht="24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ht="24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ht="24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ht="24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ht="24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ht="24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ht="24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ht="24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ht="24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ht="24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ht="24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ht="24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ht="24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ht="24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ht="24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ht="24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ht="24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ht="24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ht="24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ht="24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ht="24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ht="24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ht="24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ht="24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ht="24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ht="24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ht="24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ht="24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ht="24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ht="24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ht="24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ht="24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ht="24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ht="24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ht="24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ht="24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ht="24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ht="24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ht="24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ht="24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ht="24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ht="24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ht="24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ht="24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ht="24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ht="24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ht="24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ht="24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ht="24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ht="24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ht="24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ht="24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ht="24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ht="24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ht="24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ht="24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ht="24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ht="24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ht="24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ht="24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ht="24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ht="24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ht="24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ht="24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ht="24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ht="24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ht="24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ht="24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ht="24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ht="24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ht="24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ht="24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ht="24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ht="24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ht="24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ht="24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ht="24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ht="24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ht="24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ht="24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ht="24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ht="24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ht="24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ht="24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ht="24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ht="24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ht="24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ht="24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ht="24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ht="24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ht="24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ht="24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ht="24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ht="24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ht="24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ht="24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ht="24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ht="24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ht="24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ht="24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ht="24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ht="24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ht="24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ht="24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ht="24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ht="24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ht="24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ht="24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ht="24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ht="24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ht="24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ht="24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ht="24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ht="24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ht="24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ht="24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ht="24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ht="24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ht="24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ht="24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ht="24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ht="24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ht="24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ht="24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ht="24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ht="24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ht="24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ht="24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ht="24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ht="24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ht="24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ht="24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ht="24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ht="24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ht="24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ht="24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ht="24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ht="24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ht="24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ht="24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ht="24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ht="24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ht="24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ht="24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ht="24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ht="24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ht="24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ht="24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ht="24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ht="24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ht="24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ht="24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ht="24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ht="24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ht="24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ht="24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ht="24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ht="24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ht="24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ht="24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ht="24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ht="24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ht="24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ht="24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ht="24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ht="24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ht="24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ht="24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ht="24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ht="24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ht="24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ht="24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ht="24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ht="24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ht="24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ht="24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ht="24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ht="24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ht="24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ht="24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ht="24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ht="24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ht="24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ht="24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ht="24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ht="24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ht="24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ht="24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ht="24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ht="24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ht="24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ht="24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ht="24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ht="24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ht="24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ht="24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ht="24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ht="24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ht="24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ht="24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ht="24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ht="24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ht="24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ht="24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ht="24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ht="24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ht="24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ht="24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ht="24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ht="24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ht="24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ht="24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ht="24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ht="24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ht="24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ht="24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ht="24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ht="24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</sheetData>
  <hyperlinks>
    <hyperlink r:id="rId1" ref="J2"/>
    <hyperlink r:id="rId2" ref="J4"/>
  </hyperlinks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21.88"/>
    <col customWidth="1" min="3" max="3" width="29.0"/>
    <col customWidth="1" min="4" max="4" width="10.13"/>
    <col customWidth="1" min="5" max="5" width="28.25"/>
    <col customWidth="1" min="6" max="6" width="10.88"/>
    <col customWidth="1" min="7" max="7" width="25.75"/>
    <col customWidth="1" min="8" max="8" width="8.38"/>
    <col customWidth="1" min="9" max="9" width="31.13"/>
    <col customWidth="1" min="10" max="10" width="22.63"/>
    <col customWidth="1" min="11" max="11" width="63.75"/>
  </cols>
  <sheetData>
    <row r="1" ht="28.5" customHeight="1">
      <c r="A1" s="70" t="s">
        <v>29</v>
      </c>
      <c r="B1" s="61" t="s">
        <v>1</v>
      </c>
      <c r="C1" s="70" t="s">
        <v>118</v>
      </c>
      <c r="D1" s="70" t="s">
        <v>119</v>
      </c>
      <c r="E1" s="134" t="s">
        <v>30</v>
      </c>
      <c r="F1" s="134" t="s">
        <v>31</v>
      </c>
      <c r="G1" s="134" t="s">
        <v>131</v>
      </c>
      <c r="H1" s="134" t="s">
        <v>46</v>
      </c>
      <c r="I1" s="134" t="s">
        <v>132</v>
      </c>
      <c r="J1" s="134" t="s">
        <v>134</v>
      </c>
      <c r="K1" s="134" t="s">
        <v>133</v>
      </c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</row>
    <row r="2" ht="28.5" customHeight="1">
      <c r="A2" s="64" t="str">
        <f>IFERROR(__xludf.DUMMYFUNCTION("QUERY(MasterData!A1:NK11791,""select B,C,FL,FM,GF,GG,GH,GI,GK,GL,GJ where C='S18: Students Placements'"",0)"),"2018-2022")</f>
        <v>2018-2022</v>
      </c>
      <c r="B2" s="64" t="str">
        <f>IFERROR(__xludf.DUMMYFUNCTION("""COMPUTED_VALUE"""),"S18: Students Placements")</f>
        <v>S18: Students Placements</v>
      </c>
      <c r="C2" s="64" t="str">
        <f>IFERROR(__xludf.DUMMYFUNCTION("""COMPUTED_VALUE"""),"saishaktikolli@gmail.com")</f>
        <v>saishaktikolli@gmail.com</v>
      </c>
      <c r="D2" s="64" t="str">
        <f>IFERROR(__xludf.DUMMYFUNCTION("""COMPUTED_VALUE"""),"SEM-8")</f>
        <v>SEM-8</v>
      </c>
      <c r="E2" s="64" t="str">
        <f>IFERROR(__xludf.DUMMYFUNCTION("""COMPUTED_VALUE"""),"Sai Sakthi Vamsi Kolli")</f>
        <v>Sai Sakthi Vamsi Kolli</v>
      </c>
      <c r="F2" s="64" t="str">
        <f>IFERROR(__xludf.DUMMYFUNCTION("""COMPUTED_VALUE"""),"18331A05D1")</f>
        <v>18331A05D1</v>
      </c>
      <c r="G2" s="64" t="str">
        <f>IFERROR(__xludf.DUMMYFUNCTION("""COMPUTED_VALUE"""),"Wipro")</f>
        <v>Wipro</v>
      </c>
      <c r="H2" s="114">
        <f>IFERROR(__xludf.DUMMYFUNCTION("""COMPUTED_VALUE"""),44585.0)</f>
        <v>44585</v>
      </c>
      <c r="I2" s="64" t="str">
        <f>IFERROR(__xludf.DUMMYFUNCTION("""COMPUTED_VALUE"""),"Hyderabad")</f>
        <v>Hyderabad</v>
      </c>
      <c r="J2" s="64" t="str">
        <f>IFERROR(__xludf.DUMMYFUNCTION("""COMPUTED_VALUE"""),"3.5 LPA")</f>
        <v>3.5 LPA</v>
      </c>
      <c r="K2" s="115" t="str">
        <f>IFERROR(__xludf.DUMMYFUNCTION("""COMPUTED_VALUE"""),"https://drive.google.com/open?id=1njaOo2FQclLRPfdKvfW1gZpxGn7_94Ih")</f>
        <v>https://drive.google.com/open?id=1njaOo2FQclLRPfdKvfW1gZpxGn7_94Ih</v>
      </c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</row>
    <row r="3" ht="28.5" customHeight="1">
      <c r="A3" s="71" t="str">
        <f>IFERROR(__xludf.DUMMYFUNCTION("""COMPUTED_VALUE"""),"2018-2022")</f>
        <v>2018-2022</v>
      </c>
      <c r="B3" s="71" t="str">
        <f>IFERROR(__xludf.DUMMYFUNCTION("""COMPUTED_VALUE"""),"S18: Students Placements")</f>
        <v>S18: Students Placements</v>
      </c>
      <c r="C3" s="71" t="str">
        <f>IFERROR(__xludf.DUMMYFUNCTION("""COMPUTED_VALUE"""),"subhash12345696@gmail.com")</f>
        <v>subhash12345696@gmail.com</v>
      </c>
      <c r="D3" s="71" t="str">
        <f>IFERROR(__xludf.DUMMYFUNCTION("""COMPUTED_VALUE"""),"SEM-8")</f>
        <v>SEM-8</v>
      </c>
      <c r="E3" s="71" t="str">
        <f>IFERROR(__xludf.DUMMYFUNCTION("""COMPUTED_VALUE"""),"SUBHASH VADLANA")</f>
        <v>SUBHASH VADLANA</v>
      </c>
      <c r="F3" s="71" t="str">
        <f>IFERROR(__xludf.DUMMYFUNCTION("""COMPUTED_VALUE"""),"18331A05G3")</f>
        <v>18331A05G3</v>
      </c>
      <c r="G3" s="71" t="str">
        <f>IFERROR(__xludf.DUMMYFUNCTION("""COMPUTED_VALUE"""),"Virtusa")</f>
        <v>Virtusa</v>
      </c>
      <c r="H3" s="72">
        <f>IFERROR(__xludf.DUMMYFUNCTION("""COMPUTED_VALUE"""),44727.0)</f>
        <v>44727</v>
      </c>
      <c r="I3" s="71" t="str">
        <f>IFERROR(__xludf.DUMMYFUNCTION("""COMPUTED_VALUE"""),"Chennai")</f>
        <v>Chennai</v>
      </c>
      <c r="J3" s="71" t="str">
        <f>IFERROR(__xludf.DUMMYFUNCTION("""COMPUTED_VALUE"""),"6.5 LPA")</f>
        <v>6.5 LPA</v>
      </c>
      <c r="K3" s="73" t="str">
        <f>IFERROR(__xludf.DUMMYFUNCTION("""COMPUTED_VALUE"""),"https://drive.google.com/open?id=1M75Zuz94mobCB2u7SAfxI6p_Ap3Wqno0")</f>
        <v>https://drive.google.com/open?id=1M75Zuz94mobCB2u7SAfxI6p_Ap3Wqno0</v>
      </c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</row>
    <row r="4" ht="28.5" customHeight="1">
      <c r="A4" s="64" t="str">
        <f>IFERROR(__xludf.DUMMYFUNCTION("""COMPUTED_VALUE"""),"2018-2022")</f>
        <v>2018-2022</v>
      </c>
      <c r="B4" s="64" t="str">
        <f>IFERROR(__xludf.DUMMYFUNCTION("""COMPUTED_VALUE"""),"S18: Students Placements")</f>
        <v>S18: Students Placements</v>
      </c>
      <c r="C4" s="64" t="str">
        <f>IFERROR(__xludf.DUMMYFUNCTION("""COMPUTED_VALUE"""),"lekhasree1430@gmail.com")</f>
        <v>lekhasree1430@gmail.com</v>
      </c>
      <c r="D4" s="64" t="str">
        <f>IFERROR(__xludf.DUMMYFUNCTION("""COMPUTED_VALUE"""),"SEM-8")</f>
        <v>SEM-8</v>
      </c>
      <c r="E4" s="64" t="str">
        <f>IFERROR(__xludf.DUMMYFUNCTION("""COMPUTED_VALUE"""),"Gummaluri A V Lakshmi Sri Lekha")</f>
        <v>Gummaluri A V Lakshmi Sri Lekha</v>
      </c>
      <c r="F4" s="64" t="str">
        <f>IFERROR(__xludf.DUMMYFUNCTION("""COMPUTED_VALUE"""),"18331A0555")</f>
        <v>18331A0555</v>
      </c>
      <c r="G4" s="64" t="str">
        <f>IFERROR(__xludf.DUMMYFUNCTION("""COMPUTED_VALUE"""),"Infor")</f>
        <v>Infor</v>
      </c>
      <c r="H4" s="114">
        <f>IFERROR(__xludf.DUMMYFUNCTION("""COMPUTED_VALUE"""),44633.0)</f>
        <v>44633</v>
      </c>
      <c r="I4" s="64" t="str">
        <f>IFERROR(__xludf.DUMMYFUNCTION("""COMPUTED_VALUE"""),"Hyderabad")</f>
        <v>Hyderabad</v>
      </c>
      <c r="J4" s="64" t="str">
        <f>IFERROR(__xludf.DUMMYFUNCTION("""COMPUTED_VALUE"""),"6")</f>
        <v>6</v>
      </c>
      <c r="K4" s="115" t="str">
        <f>IFERROR(__xludf.DUMMYFUNCTION("""COMPUTED_VALUE"""),"https://drive.google.com/open?id=14_zULZ6Hd6xjm0n-EZCNgOfM0U3palZz")</f>
        <v>https://drive.google.com/open?id=14_zULZ6Hd6xjm0n-EZCNgOfM0U3palZz</v>
      </c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</row>
    <row r="5" ht="28.5" customHeight="1">
      <c r="A5" s="64" t="str">
        <f>IFERROR(__xludf.DUMMYFUNCTION("""COMPUTED_VALUE"""),"2018-2022")</f>
        <v>2018-2022</v>
      </c>
      <c r="B5" s="64" t="str">
        <f>IFERROR(__xludf.DUMMYFUNCTION("""COMPUTED_VALUE"""),"S18: Students Placements")</f>
        <v>S18: Students Placements</v>
      </c>
      <c r="C5" s="64" t="str">
        <f>IFERROR(__xludf.DUMMYFUNCTION("""COMPUTED_VALUE"""),"lekhasree1430@gmail.com")</f>
        <v>lekhasree1430@gmail.com</v>
      </c>
      <c r="D5" s="64" t="str">
        <f>IFERROR(__xludf.DUMMYFUNCTION("""COMPUTED_VALUE"""),"SEM-8")</f>
        <v>SEM-8</v>
      </c>
      <c r="E5" s="64" t="str">
        <f>IFERROR(__xludf.DUMMYFUNCTION("""COMPUTED_VALUE"""),"GAVL Sri lekha")</f>
        <v>GAVL Sri lekha</v>
      </c>
      <c r="F5" s="64" t="str">
        <f>IFERROR(__xludf.DUMMYFUNCTION("""COMPUTED_VALUE"""),"18331A0555")</f>
        <v>18331A0555</v>
      </c>
      <c r="G5" s="64" t="str">
        <f>IFERROR(__xludf.DUMMYFUNCTION("""COMPUTED_VALUE"""),"Capgemini")</f>
        <v>Capgemini</v>
      </c>
      <c r="H5" s="114">
        <f>IFERROR(__xludf.DUMMYFUNCTION("""COMPUTED_VALUE"""),44575.0)</f>
        <v>44575</v>
      </c>
      <c r="I5" s="64" t="str">
        <f>IFERROR(__xludf.DUMMYFUNCTION("""COMPUTED_VALUE"""),"NA")</f>
        <v>NA</v>
      </c>
      <c r="J5" s="64" t="str">
        <f>IFERROR(__xludf.DUMMYFUNCTION("""COMPUTED_VALUE"""),"4")</f>
        <v>4</v>
      </c>
      <c r="K5" s="115" t="str">
        <f>IFERROR(__xludf.DUMMYFUNCTION("""COMPUTED_VALUE"""),"https://drive.google.com/open?id=1n27dXeSQi_XbyI0Qxh545-88cmtBtSqd")</f>
        <v>https://drive.google.com/open?id=1n27dXeSQi_XbyI0Qxh545-88cmtBtSqd</v>
      </c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</row>
    <row r="6" ht="28.5" customHeight="1">
      <c r="A6" s="64" t="str">
        <f>IFERROR(__xludf.DUMMYFUNCTION("""COMPUTED_VALUE"""),"2018-2022")</f>
        <v>2018-2022</v>
      </c>
      <c r="B6" s="64" t="str">
        <f>IFERROR(__xludf.DUMMYFUNCTION("""COMPUTED_VALUE"""),"S18: Students Placements")</f>
        <v>S18: Students Placements</v>
      </c>
      <c r="C6" s="64" t="str">
        <f>IFERROR(__xludf.DUMMYFUNCTION("""COMPUTED_VALUE"""),"shrivarma29@gmail.com")</f>
        <v>shrivarma29@gmail.com</v>
      </c>
      <c r="D6" s="64" t="str">
        <f>IFERROR(__xludf.DUMMYFUNCTION("""COMPUTED_VALUE"""),"SEM-8")</f>
        <v>SEM-8</v>
      </c>
      <c r="E6" s="64" t="str">
        <f>IFERROR(__xludf.DUMMYFUNCTION("""COMPUTED_VALUE"""),"Srihita Gottimukkala")</f>
        <v>Srihita Gottimukkala</v>
      </c>
      <c r="F6" s="64" t="str">
        <f>IFERROR(__xludf.DUMMYFUNCTION("""COMPUTED_VALUE"""),"18331A0551")</f>
        <v>18331A0551</v>
      </c>
      <c r="G6" s="64" t="str">
        <f>IFERROR(__xludf.DUMMYFUNCTION("""COMPUTED_VALUE"""),"Tcs")</f>
        <v>Tcs</v>
      </c>
      <c r="H6" s="114">
        <f>IFERROR(__xludf.DUMMYFUNCTION("""COMPUTED_VALUE"""),44571.0)</f>
        <v>44571</v>
      </c>
      <c r="I6" s="64" t="str">
        <f>IFERROR(__xludf.DUMMYFUNCTION("""COMPUTED_VALUE"""),"Hyderabad")</f>
        <v>Hyderabad</v>
      </c>
      <c r="J6" s="64" t="str">
        <f>IFERROR(__xludf.DUMMYFUNCTION("""COMPUTED_VALUE"""),"3.3lpa")</f>
        <v>3.3lpa</v>
      </c>
      <c r="K6" s="115" t="str">
        <f>IFERROR(__xludf.DUMMYFUNCTION("""COMPUTED_VALUE"""),"https://drive.google.com/open?id=1eqRDfKf6TAFamnY0kDJLrMwUjrnB1G6L")</f>
        <v>https://drive.google.com/open?id=1eqRDfKf6TAFamnY0kDJLrMwUjrnB1G6L</v>
      </c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</row>
    <row r="7" ht="28.5" customHeight="1">
      <c r="A7" s="64" t="str">
        <f>IFERROR(__xludf.DUMMYFUNCTION("""COMPUTED_VALUE"""),"2018-2022")</f>
        <v>2018-2022</v>
      </c>
      <c r="B7" s="64" t="str">
        <f>IFERROR(__xludf.DUMMYFUNCTION("""COMPUTED_VALUE"""),"S18: Students Placements")</f>
        <v>S18: Students Placements</v>
      </c>
      <c r="C7" s="64" t="str">
        <f>IFERROR(__xludf.DUMMYFUNCTION("""COMPUTED_VALUE"""),"rajeshboddapati37@gmail.com")</f>
        <v>rajeshboddapati37@gmail.com</v>
      </c>
      <c r="D7" s="64" t="str">
        <f>IFERROR(__xludf.DUMMYFUNCTION("""COMPUTED_VALUE"""),"SEM-8")</f>
        <v>SEM-8</v>
      </c>
      <c r="E7" s="64" t="str">
        <f>IFERROR(__xludf.DUMMYFUNCTION("""COMPUTED_VALUE"""),"Boddapati Rajesh")</f>
        <v>Boddapati Rajesh</v>
      </c>
      <c r="F7" s="64" t="str">
        <f>IFERROR(__xludf.DUMMYFUNCTION("""COMPUTED_VALUE"""),"18331A0515")</f>
        <v>18331A0515</v>
      </c>
      <c r="G7" s="64" t="str">
        <f>IFERROR(__xludf.DUMMYFUNCTION("""COMPUTED_VALUE"""),"Zensar")</f>
        <v>Zensar</v>
      </c>
      <c r="H7" s="114">
        <f>IFERROR(__xludf.DUMMYFUNCTION("""COMPUTED_VALUE"""),44569.0)</f>
        <v>44569</v>
      </c>
      <c r="I7" s="64" t="str">
        <f>IFERROR(__xludf.DUMMYFUNCTION("""COMPUTED_VALUE"""),"Not told yet")</f>
        <v>Not told yet</v>
      </c>
      <c r="J7" s="64" t="str">
        <f>IFERROR(__xludf.DUMMYFUNCTION("""COMPUTED_VALUE"""),"4LPA")</f>
        <v>4LPA</v>
      </c>
      <c r="K7" s="115" t="str">
        <f>IFERROR(__xludf.DUMMYFUNCTION("""COMPUTED_VALUE"""),"https://drive.google.com/open?id=1TzKAWwUItopmdVYKWq0Fxz3cBchc2C9s")</f>
        <v>https://drive.google.com/open?id=1TzKAWwUItopmdVYKWq0Fxz3cBchc2C9s</v>
      </c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</row>
    <row r="8" ht="28.5" customHeight="1">
      <c r="A8" s="64" t="str">
        <f>IFERROR(__xludf.DUMMYFUNCTION("""COMPUTED_VALUE"""),"2018-2022")</f>
        <v>2018-2022</v>
      </c>
      <c r="B8" s="64" t="str">
        <f>IFERROR(__xludf.DUMMYFUNCTION("""COMPUTED_VALUE"""),"S18: Students Placements")</f>
        <v>S18: Students Placements</v>
      </c>
      <c r="C8" s="64" t="str">
        <f>IFERROR(__xludf.DUMMYFUNCTION("""COMPUTED_VALUE"""),"suryamahesh2000@gmail.com")</f>
        <v>suryamahesh2000@gmail.com</v>
      </c>
      <c r="D8" s="64" t="str">
        <f>IFERROR(__xludf.DUMMYFUNCTION("""COMPUTED_VALUE"""),"SEM-8")</f>
        <v>SEM-8</v>
      </c>
      <c r="E8" s="64" t="str">
        <f>IFERROR(__xludf.DUMMYFUNCTION("""COMPUTED_VALUE"""),"BUDIDI SURYA SAI MAHESWAR")</f>
        <v>BUDIDI SURYA SAI MAHESWAR</v>
      </c>
      <c r="F8" s="64" t="str">
        <f>IFERROR(__xludf.DUMMYFUNCTION("""COMPUTED_VALUE"""),"18331A0521")</f>
        <v>18331A0521</v>
      </c>
      <c r="G8" s="64" t="str">
        <f>IFERROR(__xludf.DUMMYFUNCTION("""COMPUTED_VALUE"""),"HEXAWARE")</f>
        <v>HEXAWARE</v>
      </c>
      <c r="H8" s="114">
        <f>IFERROR(__xludf.DUMMYFUNCTION("""COMPUTED_VALUE"""),44720.0)</f>
        <v>44720</v>
      </c>
      <c r="I8" s="64" t="str">
        <f>IFERROR(__xludf.DUMMYFUNCTION("""COMPUTED_VALUE"""),"CHENNAI")</f>
        <v>CHENNAI</v>
      </c>
      <c r="J8" s="64" t="str">
        <f>IFERROR(__xludf.DUMMYFUNCTION("""COMPUTED_VALUE"""),"4")</f>
        <v>4</v>
      </c>
      <c r="K8" s="115" t="str">
        <f>IFERROR(__xludf.DUMMYFUNCTION("""COMPUTED_VALUE"""),"https://drive.google.com/open?id=1LCsKkG24i9wmznr03mspYdIeItEzVxqQ")</f>
        <v>https://drive.google.com/open?id=1LCsKkG24i9wmznr03mspYdIeItEzVxqQ</v>
      </c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</row>
    <row r="9" ht="28.5" customHeight="1">
      <c r="A9" s="64" t="str">
        <f>IFERROR(__xludf.DUMMYFUNCTION("""COMPUTED_VALUE"""),"2018-2022")</f>
        <v>2018-2022</v>
      </c>
      <c r="B9" s="64" t="str">
        <f>IFERROR(__xludf.DUMMYFUNCTION("""COMPUTED_VALUE"""),"S18: Students Placements")</f>
        <v>S18: Students Placements</v>
      </c>
      <c r="C9" s="64" t="str">
        <f>IFERROR(__xludf.DUMMYFUNCTION("""COMPUTED_VALUE"""),"vdkumar1200@gmail.com")</f>
        <v>vdkumar1200@gmail.com</v>
      </c>
      <c r="D9" s="64" t="str">
        <f>IFERROR(__xludf.DUMMYFUNCTION("""COMPUTED_VALUE"""),"SEM-8")</f>
        <v>SEM-8</v>
      </c>
      <c r="E9" s="64" t="str">
        <f>IFERROR(__xludf.DUMMYFUNCTION("""COMPUTED_VALUE"""),"VADLAPUDI DHEERAJ KUMAR ")</f>
        <v>VADLAPUDI DHEERAJ KUMAR </v>
      </c>
      <c r="F9" s="64" t="str">
        <f>IFERROR(__xludf.DUMMYFUNCTION("""COMPUTED_VALUE"""),"18331A05G4")</f>
        <v>18331A05G4</v>
      </c>
      <c r="G9" s="64" t="str">
        <f>IFERROR(__xludf.DUMMYFUNCTION("""COMPUTED_VALUE"""),"Capgemini ")</f>
        <v>Capgemini </v>
      </c>
      <c r="H9" s="114">
        <f>IFERROR(__xludf.DUMMYFUNCTION("""COMPUTED_VALUE"""),44707.0)</f>
        <v>44707</v>
      </c>
      <c r="I9" s="64" t="str">
        <f>IFERROR(__xludf.DUMMYFUNCTION("""COMPUTED_VALUE"""),"Bangalore ")</f>
        <v>Bangalore </v>
      </c>
      <c r="J9" s="64" t="str">
        <f>IFERROR(__xludf.DUMMYFUNCTION("""COMPUTED_VALUE"""),"4 lpa")</f>
        <v>4 lpa</v>
      </c>
      <c r="K9" s="115" t="str">
        <f>IFERROR(__xludf.DUMMYFUNCTION("""COMPUTED_VALUE"""),"https://drive.google.com/open?id=1rRH2ZCJXnOgm37WwXkGf_PG02fe6BEU5")</f>
        <v>https://drive.google.com/open?id=1rRH2ZCJXnOgm37WwXkGf_PG02fe6BEU5</v>
      </c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</row>
    <row r="10" ht="28.5" customHeight="1">
      <c r="A10" s="64" t="str">
        <f>IFERROR(__xludf.DUMMYFUNCTION("""COMPUTED_VALUE"""),"2018-2022")</f>
        <v>2018-2022</v>
      </c>
      <c r="B10" s="64" t="str">
        <f>IFERROR(__xludf.DUMMYFUNCTION("""COMPUTED_VALUE"""),"S18: Students Placements")</f>
        <v>S18: Students Placements</v>
      </c>
      <c r="C10" s="64" t="str">
        <f>IFERROR(__xludf.DUMMYFUNCTION("""COMPUTED_VALUE"""),"aiswarya15112000@gmail.com")</f>
        <v>aiswarya15112000@gmail.com</v>
      </c>
      <c r="D10" s="64" t="str">
        <f>IFERROR(__xludf.DUMMYFUNCTION("""COMPUTED_VALUE"""),"SEM-8")</f>
        <v>SEM-8</v>
      </c>
      <c r="E10" s="64" t="str">
        <f>IFERROR(__xludf.DUMMYFUNCTION("""COMPUTED_VALUE"""),"Gorle Shri Aiswarya")</f>
        <v>Gorle Shri Aiswarya</v>
      </c>
      <c r="F10" s="64" t="str">
        <f>IFERROR(__xludf.DUMMYFUNCTION("""COMPUTED_VALUE"""),"18331A0549")</f>
        <v>18331A0549</v>
      </c>
      <c r="G10" s="64" t="str">
        <f>IFERROR(__xludf.DUMMYFUNCTION("""COMPUTED_VALUE"""),"Wipro")</f>
        <v>Wipro</v>
      </c>
      <c r="H10" s="114">
        <f>IFERROR(__xludf.DUMMYFUNCTION("""COMPUTED_VALUE"""),44732.0)</f>
        <v>44732</v>
      </c>
      <c r="I10" s="64" t="str">
        <f>IFERROR(__xludf.DUMMYFUNCTION("""COMPUTED_VALUE"""),"Not given")</f>
        <v>Not given</v>
      </c>
      <c r="J10" s="64" t="str">
        <f>IFERROR(__xludf.DUMMYFUNCTION("""COMPUTED_VALUE"""),"3.5")</f>
        <v>3.5</v>
      </c>
      <c r="K10" s="115" t="str">
        <f>IFERROR(__xludf.DUMMYFUNCTION("""COMPUTED_VALUE"""),"https://drive.google.com/open?id=182CeUHgul8js2A2Xhtd4IrhsNNqCMqVI")</f>
        <v>https://drive.google.com/open?id=182CeUHgul8js2A2Xhtd4IrhsNNqCMqVI</v>
      </c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</row>
    <row r="11" ht="28.5" customHeight="1">
      <c r="A11" s="64" t="str">
        <f>IFERROR(__xludf.DUMMYFUNCTION("""COMPUTED_VALUE"""),"2018-2022")</f>
        <v>2018-2022</v>
      </c>
      <c r="B11" s="64" t="str">
        <f>IFERROR(__xludf.DUMMYFUNCTION("""COMPUTED_VALUE"""),"S18: Students Placements")</f>
        <v>S18: Students Placements</v>
      </c>
      <c r="C11" s="64" t="str">
        <f>IFERROR(__xludf.DUMMYFUNCTION("""COMPUTED_VALUE"""),"aiswarya15112000@gmail.com")</f>
        <v>aiswarya15112000@gmail.com</v>
      </c>
      <c r="D11" s="64" t="str">
        <f>IFERROR(__xludf.DUMMYFUNCTION("""COMPUTED_VALUE"""),"SEM-8")</f>
        <v>SEM-8</v>
      </c>
      <c r="E11" s="64" t="str">
        <f>IFERROR(__xludf.DUMMYFUNCTION("""COMPUTED_VALUE"""),"Gorle Shri Aiswarya")</f>
        <v>Gorle Shri Aiswarya</v>
      </c>
      <c r="F11" s="64" t="str">
        <f>IFERROR(__xludf.DUMMYFUNCTION("""COMPUTED_VALUE"""),"18331A0549")</f>
        <v>18331A0549</v>
      </c>
      <c r="G11" s="64" t="str">
        <f>IFERROR(__xludf.DUMMYFUNCTION("""COMPUTED_VALUE"""),"Capgemini")</f>
        <v>Capgemini</v>
      </c>
      <c r="H11" s="114">
        <f>IFERROR(__xludf.DUMMYFUNCTION("""COMPUTED_VALUE"""),44737.0)</f>
        <v>44737</v>
      </c>
      <c r="I11" s="64" t="str">
        <f>IFERROR(__xludf.DUMMYFUNCTION("""COMPUTED_VALUE"""),"Not given")</f>
        <v>Not given</v>
      </c>
      <c r="J11" s="64" t="str">
        <f>IFERROR(__xludf.DUMMYFUNCTION("""COMPUTED_VALUE"""),"4")</f>
        <v>4</v>
      </c>
      <c r="K11" s="115" t="str">
        <f>IFERROR(__xludf.DUMMYFUNCTION("""COMPUTED_VALUE"""),"https://drive.google.com/open?id=1R4u3fohaTi7TEZxouCeFMmE0I7vah8Pd")</f>
        <v>https://drive.google.com/open?id=1R4u3fohaTi7TEZxouCeFMmE0I7vah8Pd</v>
      </c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</row>
    <row r="12" ht="28.5" customHeight="1">
      <c r="A12" s="64" t="str">
        <f>IFERROR(__xludf.DUMMYFUNCTION("""COMPUTED_VALUE"""),"2018-2022")</f>
        <v>2018-2022</v>
      </c>
      <c r="B12" s="64" t="str">
        <f>IFERROR(__xludf.DUMMYFUNCTION("""COMPUTED_VALUE"""),"S18: Students Placements")</f>
        <v>S18: Students Placements</v>
      </c>
      <c r="C12" s="64" t="str">
        <f>IFERROR(__xludf.DUMMYFUNCTION("""COMPUTED_VALUE"""),"aiswarya15112000@gmail.com")</f>
        <v>aiswarya15112000@gmail.com</v>
      </c>
      <c r="D12" s="64" t="str">
        <f>IFERROR(__xludf.DUMMYFUNCTION("""COMPUTED_VALUE"""),"SEM-8")</f>
        <v>SEM-8</v>
      </c>
      <c r="E12" s="64" t="str">
        <f>IFERROR(__xludf.DUMMYFUNCTION("""COMPUTED_VALUE"""),"Gorle Shri Aiswarya")</f>
        <v>Gorle Shri Aiswarya</v>
      </c>
      <c r="F12" s="64" t="str">
        <f>IFERROR(__xludf.DUMMYFUNCTION("""COMPUTED_VALUE"""),"18331A0549")</f>
        <v>18331A0549</v>
      </c>
      <c r="G12" s="64" t="str">
        <f>IFERROR(__xludf.DUMMYFUNCTION("""COMPUTED_VALUE"""),"TCS")</f>
        <v>TCS</v>
      </c>
      <c r="H12" s="114">
        <f>IFERROR(__xludf.DUMMYFUNCTION("""COMPUTED_VALUE"""),44754.0)</f>
        <v>44754</v>
      </c>
      <c r="I12" s="64" t="str">
        <f>IFERROR(__xludf.DUMMYFUNCTION("""COMPUTED_VALUE"""),"Not given")</f>
        <v>Not given</v>
      </c>
      <c r="J12" s="64" t="str">
        <f>IFERROR(__xludf.DUMMYFUNCTION("""COMPUTED_VALUE"""),"3.6")</f>
        <v>3.6</v>
      </c>
      <c r="K12" s="115" t="str">
        <f>IFERROR(__xludf.DUMMYFUNCTION("""COMPUTED_VALUE"""),"https://drive.google.com/open?id=1AdnImYkBMQpTsxJI24rJgH5FhywglYup")</f>
        <v>https://drive.google.com/open?id=1AdnImYkBMQpTsxJI24rJgH5FhywglYup</v>
      </c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</row>
    <row r="13" ht="28.5" customHeight="1">
      <c r="A13" s="64" t="str">
        <f>IFERROR(__xludf.DUMMYFUNCTION("""COMPUTED_VALUE"""),"2018-2022")</f>
        <v>2018-2022</v>
      </c>
      <c r="B13" s="64" t="str">
        <f>IFERROR(__xludf.DUMMYFUNCTION("""COMPUTED_VALUE"""),"S18: Students Placements")</f>
        <v>S18: Students Placements</v>
      </c>
      <c r="C13" s="64" t="str">
        <f>IFERROR(__xludf.DUMMYFUNCTION("""COMPUTED_VALUE"""),"saibhavana.as16@gmail.com")</f>
        <v>saibhavana.as16@gmail.com</v>
      </c>
      <c r="D13" s="64" t="str">
        <f>IFERROR(__xludf.DUMMYFUNCTION("""COMPUTED_VALUE"""),"SEM-8")</f>
        <v>SEM-8</v>
      </c>
      <c r="E13" s="64" t="str">
        <f>IFERROR(__xludf.DUMMYFUNCTION("""COMPUTED_VALUE"""),"Gulla Sai Bhavana")</f>
        <v>Gulla Sai Bhavana</v>
      </c>
      <c r="F13" s="64" t="str">
        <f>IFERROR(__xludf.DUMMYFUNCTION("""COMPUTED_VALUE"""),"18331A0552")</f>
        <v>18331A0552</v>
      </c>
      <c r="G13" s="64" t="str">
        <f>IFERROR(__xludf.DUMMYFUNCTION("""COMPUTED_VALUE"""),"IBM")</f>
        <v>IBM</v>
      </c>
      <c r="H13" s="114">
        <f>IFERROR(__xludf.DUMMYFUNCTION("""COMPUTED_VALUE"""),44781.0)</f>
        <v>44781</v>
      </c>
      <c r="I13" s="64" t="str">
        <f>IFERROR(__xludf.DUMMYFUNCTION("""COMPUTED_VALUE"""),"Bangalore")</f>
        <v>Bangalore</v>
      </c>
      <c r="J13" s="64" t="str">
        <f>IFERROR(__xludf.DUMMYFUNCTION("""COMPUTED_VALUE"""),"4.5")</f>
        <v>4.5</v>
      </c>
      <c r="K13" s="115" t="str">
        <f>IFERROR(__xludf.DUMMYFUNCTION("""COMPUTED_VALUE"""),"https://drive.google.com/open?id=1oKlHFLgb197iFG06xERQ80MBgMyQFlCO")</f>
        <v>https://drive.google.com/open?id=1oKlHFLgb197iFG06xERQ80MBgMyQFlCO</v>
      </c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</row>
    <row r="14" ht="28.5" customHeight="1">
      <c r="A14" s="64" t="str">
        <f>IFERROR(__xludf.DUMMYFUNCTION("""COMPUTED_VALUE"""),"2018-2022")</f>
        <v>2018-2022</v>
      </c>
      <c r="B14" s="64" t="str">
        <f>IFERROR(__xludf.DUMMYFUNCTION("""COMPUTED_VALUE"""),"S18: Students Placements")</f>
        <v>S18: Students Placements</v>
      </c>
      <c r="C14" s="64" t="str">
        <f>IFERROR(__xludf.DUMMYFUNCTION("""COMPUTED_VALUE"""),"saibhavana.as16@gmail.com")</f>
        <v>saibhavana.as16@gmail.com</v>
      </c>
      <c r="D14" s="64" t="str">
        <f>IFERROR(__xludf.DUMMYFUNCTION("""COMPUTED_VALUE"""),"SEM-8")</f>
        <v>SEM-8</v>
      </c>
      <c r="E14" s="64" t="str">
        <f>IFERROR(__xludf.DUMMYFUNCTION("""COMPUTED_VALUE"""),"Gulla Sai Bhavana")</f>
        <v>Gulla Sai Bhavana</v>
      </c>
      <c r="F14" s="64" t="str">
        <f>IFERROR(__xludf.DUMMYFUNCTION("""COMPUTED_VALUE"""),"18331A0552")</f>
        <v>18331A0552</v>
      </c>
      <c r="G14" s="64" t="str">
        <f>IFERROR(__xludf.DUMMYFUNCTION("""COMPUTED_VALUE"""),"Wipro")</f>
        <v>Wipro</v>
      </c>
      <c r="H14" s="114">
        <f>IFERROR(__xludf.DUMMYFUNCTION("""COMPUTED_VALUE"""),44753.0)</f>
        <v>44753</v>
      </c>
      <c r="I14" s="64" t="str">
        <f>IFERROR(__xludf.DUMMYFUNCTION("""COMPUTED_VALUE"""),"Not given")</f>
        <v>Not given</v>
      </c>
      <c r="J14" s="64" t="str">
        <f>IFERROR(__xludf.DUMMYFUNCTION("""COMPUTED_VALUE"""),"3.6")</f>
        <v>3.6</v>
      </c>
      <c r="K14" s="115" t="str">
        <f>IFERROR(__xludf.DUMMYFUNCTION("""COMPUTED_VALUE"""),"https://drive.google.com/open?id=1SQnF_8DCN91WHC55Or2_3svZTsc2qfWR")</f>
        <v>https://drive.google.com/open?id=1SQnF_8DCN91WHC55Or2_3svZTsc2qfWR</v>
      </c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</row>
    <row r="15" ht="28.5" customHeight="1">
      <c r="A15" s="64" t="str">
        <f>IFERROR(__xludf.DUMMYFUNCTION("""COMPUTED_VALUE"""),"2018-2022")</f>
        <v>2018-2022</v>
      </c>
      <c r="B15" s="64" t="str">
        <f>IFERROR(__xludf.DUMMYFUNCTION("""COMPUTED_VALUE"""),"S18: Students Placements")</f>
        <v>S18: Students Placements</v>
      </c>
      <c r="C15" s="64" t="str">
        <f>IFERROR(__xludf.DUMMYFUNCTION("""COMPUTED_VALUE"""),"saibhavana.as16@gmail.com")</f>
        <v>saibhavana.as16@gmail.com</v>
      </c>
      <c r="D15" s="64" t="str">
        <f>IFERROR(__xludf.DUMMYFUNCTION("""COMPUTED_VALUE"""),"SEM-8")</f>
        <v>SEM-8</v>
      </c>
      <c r="E15" s="64" t="str">
        <f>IFERROR(__xludf.DUMMYFUNCTION("""COMPUTED_VALUE"""),"Gulla Sai Bhavana")</f>
        <v>Gulla Sai Bhavana</v>
      </c>
      <c r="F15" s="64" t="str">
        <f>IFERROR(__xludf.DUMMYFUNCTION("""COMPUTED_VALUE"""),"18331A0552")</f>
        <v>18331A0552</v>
      </c>
      <c r="G15" s="64" t="str">
        <f>IFERROR(__xludf.DUMMYFUNCTION("""COMPUTED_VALUE"""),"ICICI prudential life insurance")</f>
        <v>ICICI prudential life insurance</v>
      </c>
      <c r="H15" s="114">
        <f>IFERROR(__xludf.DUMMYFUNCTION("""COMPUTED_VALUE"""),44652.0)</f>
        <v>44652</v>
      </c>
      <c r="I15" s="64" t="str">
        <f>IFERROR(__xludf.DUMMYFUNCTION("""COMPUTED_VALUE"""),"Mumbai")</f>
        <v>Mumbai</v>
      </c>
      <c r="J15" s="64" t="str">
        <f>IFERROR(__xludf.DUMMYFUNCTION("""COMPUTED_VALUE"""),"7.7")</f>
        <v>7.7</v>
      </c>
      <c r="K15" s="115" t="str">
        <f>IFERROR(__xludf.DUMMYFUNCTION("""COMPUTED_VALUE"""),"https://drive.google.com/open?id=1MyYAqkRZDWCeVSdVFKaTl8YKOzJnYgtW")</f>
        <v>https://drive.google.com/open?id=1MyYAqkRZDWCeVSdVFKaTl8YKOzJnYgtW</v>
      </c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</row>
    <row r="16" ht="28.5" customHeight="1">
      <c r="A16" s="64" t="str">
        <f>IFERROR(__xludf.DUMMYFUNCTION("""COMPUTED_VALUE"""),"2018-2022")</f>
        <v>2018-2022</v>
      </c>
      <c r="B16" s="64" t="str">
        <f>IFERROR(__xludf.DUMMYFUNCTION("""COMPUTED_VALUE"""),"S18: Students Placements")</f>
        <v>S18: Students Placements</v>
      </c>
      <c r="C16" s="64" t="str">
        <f>IFERROR(__xludf.DUMMYFUNCTION("""COMPUTED_VALUE"""),"anushaakkena@gmail.com")</f>
        <v>anushaakkena@gmail.com</v>
      </c>
      <c r="D16" s="64" t="str">
        <f>IFERROR(__xludf.DUMMYFUNCTION("""COMPUTED_VALUE"""),"SEM-8")</f>
        <v>SEM-8</v>
      </c>
      <c r="E16" s="64" t="str">
        <f>IFERROR(__xludf.DUMMYFUNCTION("""COMPUTED_VALUE"""),"Akkena Anusha")</f>
        <v>Akkena Anusha</v>
      </c>
      <c r="F16" s="64" t="str">
        <f>IFERROR(__xludf.DUMMYFUNCTION("""COMPUTED_VALUE"""),"18331A0503")</f>
        <v>18331A0503</v>
      </c>
      <c r="G16" s="64" t="str">
        <f>IFERROR(__xludf.DUMMYFUNCTION("""COMPUTED_VALUE"""),"Capgemini")</f>
        <v>Capgemini</v>
      </c>
      <c r="H16" s="114">
        <f>IFERROR(__xludf.DUMMYFUNCTION("""COMPUTED_VALUE"""),44716.0)</f>
        <v>44716</v>
      </c>
      <c r="I16" s="64" t="str">
        <f>IFERROR(__xludf.DUMMYFUNCTION("""COMPUTED_VALUE"""),"Not mentioned")</f>
        <v>Not mentioned</v>
      </c>
      <c r="J16" s="64" t="str">
        <f>IFERROR(__xludf.DUMMYFUNCTION("""COMPUTED_VALUE"""),"4")</f>
        <v>4</v>
      </c>
      <c r="K16" s="115" t="str">
        <f>IFERROR(__xludf.DUMMYFUNCTION("""COMPUTED_VALUE"""),"https://drive.google.com/open?id=15v-MfMEFmUzEFJ3ZTLKtrm2EVBoDx79w")</f>
        <v>https://drive.google.com/open?id=15v-MfMEFmUzEFJ3ZTLKtrm2EVBoDx79w</v>
      </c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</row>
    <row r="17" ht="28.5" customHeight="1">
      <c r="A17" s="64" t="str">
        <f>IFERROR(__xludf.DUMMYFUNCTION("""COMPUTED_VALUE"""),"2018-2022")</f>
        <v>2018-2022</v>
      </c>
      <c r="B17" s="64" t="str">
        <f>IFERROR(__xludf.DUMMYFUNCTION("""COMPUTED_VALUE"""),"S18: Students Placements")</f>
        <v>S18: Students Placements</v>
      </c>
      <c r="C17" s="64" t="str">
        <f>IFERROR(__xludf.DUMMYFUNCTION("""COMPUTED_VALUE"""),"Priyaprasanthi.pulipati@gmail.com")</f>
        <v>Priyaprasanthi.pulipati@gmail.com</v>
      </c>
      <c r="D17" s="64" t="str">
        <f>IFERROR(__xludf.DUMMYFUNCTION("""COMPUTED_VALUE"""),"SEM-8")</f>
        <v>SEM-8</v>
      </c>
      <c r="E17" s="64" t="str">
        <f>IFERROR(__xludf.DUMMYFUNCTION("""COMPUTED_VALUE"""),"Sai Sri Priya Prasanthi Pulipati")</f>
        <v>Sai Sri Priya Prasanthi Pulipati</v>
      </c>
      <c r="F17" s="64" t="str">
        <f>IFERROR(__xludf.DUMMYFUNCTION("""COMPUTED_VALUE"""),"18331A05D2")</f>
        <v>18331A05D2</v>
      </c>
      <c r="G17" s="64" t="str">
        <f>IFERROR(__xludf.DUMMYFUNCTION("""COMPUTED_VALUE"""),"Wipro")</f>
        <v>Wipro</v>
      </c>
      <c r="H17" s="114">
        <f>IFERROR(__xludf.DUMMYFUNCTION("""COMPUTED_VALUE"""),44663.0)</f>
        <v>44663</v>
      </c>
      <c r="I17" s="64" t="str">
        <f>IFERROR(__xludf.DUMMYFUNCTION("""COMPUTED_VALUE"""),"Vizianagaram")</f>
        <v>Vizianagaram</v>
      </c>
      <c r="J17" s="64" t="str">
        <f>IFERROR(__xludf.DUMMYFUNCTION("""COMPUTED_VALUE"""),"Unpaid internship")</f>
        <v>Unpaid internship</v>
      </c>
      <c r="K17" s="115" t="str">
        <f>IFERROR(__xludf.DUMMYFUNCTION("""COMPUTED_VALUE"""),"https://drive.google.com/open?id=1rlINLdDNg-MSnn6DBnOVVMwxnH4wwjcj")</f>
        <v>https://drive.google.com/open?id=1rlINLdDNg-MSnn6DBnOVVMwxnH4wwjcj</v>
      </c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</row>
    <row r="18" ht="28.5" customHeight="1">
      <c r="A18" s="64" t="str">
        <f>IFERROR(__xludf.DUMMYFUNCTION("""COMPUTED_VALUE"""),"2018-2022")</f>
        <v>2018-2022</v>
      </c>
      <c r="B18" s="64" t="str">
        <f>IFERROR(__xludf.DUMMYFUNCTION("""COMPUTED_VALUE"""),"S18: Students Placements")</f>
        <v>S18: Students Placements</v>
      </c>
      <c r="C18" s="64" t="str">
        <f>IFERROR(__xludf.DUMMYFUNCTION("""COMPUTED_VALUE"""),"tadisatishreddy2000@gmail.com")</f>
        <v>tadisatishreddy2000@gmail.com</v>
      </c>
      <c r="D18" s="64" t="str">
        <f>IFERROR(__xludf.DUMMYFUNCTION("""COMPUTED_VALUE"""),"SEM-8")</f>
        <v>SEM-8</v>
      </c>
      <c r="E18" s="64" t="str">
        <f>IFERROR(__xludf.DUMMYFUNCTION("""COMPUTED_VALUE"""),"Tadi Satish Reddy")</f>
        <v>Tadi Satish Reddy</v>
      </c>
      <c r="F18" s="64" t="str">
        <f>IFERROR(__xludf.DUMMYFUNCTION("""COMPUTED_VALUE"""),"18331A05F0")</f>
        <v>18331A05F0</v>
      </c>
      <c r="G18" s="64" t="str">
        <f>IFERROR(__xludf.DUMMYFUNCTION("""COMPUTED_VALUE"""),"Hyundai Mobis")</f>
        <v>Hyundai Mobis</v>
      </c>
      <c r="H18" s="114">
        <f>IFERROR(__xludf.DUMMYFUNCTION("""COMPUTED_VALUE"""),44743.0)</f>
        <v>44743</v>
      </c>
      <c r="I18" s="64" t="str">
        <f>IFERROR(__xludf.DUMMYFUNCTION("""COMPUTED_VALUE"""),"Hyderabad")</f>
        <v>Hyderabad</v>
      </c>
      <c r="J18" s="64" t="str">
        <f>IFERROR(__xludf.DUMMYFUNCTION("""COMPUTED_VALUE"""),"4.5 LPA")</f>
        <v>4.5 LPA</v>
      </c>
      <c r="K18" s="115" t="str">
        <f>IFERROR(__xludf.DUMMYFUNCTION("""COMPUTED_VALUE"""),"https://drive.google.com/open?id=1oE8-5Rv1pgHd2n7iM2-tekmBSDdmdp1X")</f>
        <v>https://drive.google.com/open?id=1oE8-5Rv1pgHd2n7iM2-tekmBSDdmdp1X</v>
      </c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</row>
    <row r="19" ht="28.5" customHeight="1">
      <c r="A19" s="64" t="str">
        <f>IFERROR(__xludf.DUMMYFUNCTION("""COMPUTED_VALUE"""),"2018-2022")</f>
        <v>2018-2022</v>
      </c>
      <c r="B19" s="64" t="str">
        <f>IFERROR(__xludf.DUMMYFUNCTION("""COMPUTED_VALUE"""),"S18: Students Placements")</f>
        <v>S18: Students Placements</v>
      </c>
      <c r="C19" s="64" t="str">
        <f>IFERROR(__xludf.DUMMYFUNCTION("""COMPUTED_VALUE"""),"pitlachandana@gmail.com")</f>
        <v>pitlachandana@gmail.com</v>
      </c>
      <c r="D19" s="64" t="str">
        <f>IFERROR(__xludf.DUMMYFUNCTION("""COMPUTED_VALUE"""),"SEM-8")</f>
        <v>SEM-8</v>
      </c>
      <c r="E19" s="64" t="str">
        <f>IFERROR(__xludf.DUMMYFUNCTION("""COMPUTED_VALUE"""),"pitla chandana")</f>
        <v>pitla chandana</v>
      </c>
      <c r="F19" s="64" t="str">
        <f>IFERROR(__xludf.DUMMYFUNCTION("""COMPUTED_VALUE"""),"18331A05C1")</f>
        <v>18331A05C1</v>
      </c>
      <c r="G19" s="64" t="str">
        <f>IFERROR(__xludf.DUMMYFUNCTION("""COMPUTED_VALUE"""),"COGNIZANT")</f>
        <v>COGNIZANT</v>
      </c>
      <c r="H19" s="114">
        <f>IFERROR(__xludf.DUMMYFUNCTION("""COMPUTED_VALUE"""),44628.0)</f>
        <v>44628</v>
      </c>
      <c r="I19" s="64" t="str">
        <f>IFERROR(__xludf.DUMMYFUNCTION("""COMPUTED_VALUE"""),"HYDERABAD")</f>
        <v>HYDERABAD</v>
      </c>
      <c r="J19" s="64" t="str">
        <f>IFERROR(__xludf.DUMMYFUNCTION("""COMPUTED_VALUE"""),"4 LAC")</f>
        <v>4 LAC</v>
      </c>
      <c r="K19" s="115" t="str">
        <f>IFERROR(__xludf.DUMMYFUNCTION("""COMPUTED_VALUE"""),"https://drive.google.com/open?id=15n55aEqfKyP6UPUXflhsoxybtRV7Im2Z")</f>
        <v>https://drive.google.com/open?id=15n55aEqfKyP6UPUXflhsoxybtRV7Im2Z</v>
      </c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</row>
    <row r="20" ht="28.5" customHeight="1">
      <c r="A20" s="64" t="str">
        <f>IFERROR(__xludf.DUMMYFUNCTION("""COMPUTED_VALUE"""),"2018-2022")</f>
        <v>2018-2022</v>
      </c>
      <c r="B20" s="64" t="str">
        <f>IFERROR(__xludf.DUMMYFUNCTION("""COMPUTED_VALUE"""),"S18: Students Placements")</f>
        <v>S18: Students Placements</v>
      </c>
      <c r="C20" s="64" t="str">
        <f>IFERROR(__xludf.DUMMYFUNCTION("""COMPUTED_VALUE"""),"pragnabuddharaju@gmail.com")</f>
        <v>pragnabuddharaju@gmail.com</v>
      </c>
      <c r="D20" s="64" t="str">
        <f>IFERROR(__xludf.DUMMYFUNCTION("""COMPUTED_VALUE"""),"SEM-6")</f>
        <v>SEM-6</v>
      </c>
      <c r="E20" s="64" t="str">
        <f>IFERROR(__xludf.DUMMYFUNCTION("""COMPUTED_VALUE"""),"Buddharaju Pragna")</f>
        <v>Buddharaju Pragna</v>
      </c>
      <c r="F20" s="64" t="str">
        <f>IFERROR(__xludf.DUMMYFUNCTION("""COMPUTED_VALUE"""),"18331A05H2")</f>
        <v>18331A05H2</v>
      </c>
      <c r="G20" s="64" t="str">
        <f>IFERROR(__xludf.DUMMYFUNCTION("""COMPUTED_VALUE"""),"TCS")</f>
        <v>TCS</v>
      </c>
      <c r="H20" s="114">
        <f>IFERROR(__xludf.DUMMYFUNCTION("""COMPUTED_VALUE"""),44748.0)</f>
        <v>44748</v>
      </c>
      <c r="I20" s="64" t="str">
        <f>IFERROR(__xludf.DUMMYFUNCTION("""COMPUTED_VALUE"""),"Not given")</f>
        <v>Not given</v>
      </c>
      <c r="J20" s="64" t="str">
        <f>IFERROR(__xludf.DUMMYFUNCTION("""COMPUTED_VALUE"""),"3.36")</f>
        <v>3.36</v>
      </c>
      <c r="K20" s="115" t="str">
        <f>IFERROR(__xludf.DUMMYFUNCTION("""COMPUTED_VALUE"""),"https://drive.google.com/open?id=1dKrpoYYtE0hUM6zbt2JQ32HhCmpAw7eb")</f>
        <v>https://drive.google.com/open?id=1dKrpoYYtE0hUM6zbt2JQ32HhCmpAw7eb</v>
      </c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</row>
    <row r="21" ht="28.5" customHeight="1">
      <c r="A21" s="64" t="str">
        <f>IFERROR(__xludf.DUMMYFUNCTION("""COMPUTED_VALUE"""),"2018-2022")</f>
        <v>2018-2022</v>
      </c>
      <c r="B21" s="64" t="str">
        <f>IFERROR(__xludf.DUMMYFUNCTION("""COMPUTED_VALUE"""),"S18: Students Placements")</f>
        <v>S18: Students Placements</v>
      </c>
      <c r="C21" s="64" t="str">
        <f>IFERROR(__xludf.DUMMYFUNCTION("""COMPUTED_VALUE"""),"pragnabuddharaju@gmail.com")</f>
        <v>pragnabuddharaju@gmail.com</v>
      </c>
      <c r="D21" s="64" t="str">
        <f>IFERROR(__xludf.DUMMYFUNCTION("""COMPUTED_VALUE"""),"SEM-6")</f>
        <v>SEM-6</v>
      </c>
      <c r="E21" s="64" t="str">
        <f>IFERROR(__xludf.DUMMYFUNCTION("""COMPUTED_VALUE"""),"Buddharaju Pragna")</f>
        <v>Buddharaju Pragna</v>
      </c>
      <c r="F21" s="64" t="str">
        <f>IFERROR(__xludf.DUMMYFUNCTION("""COMPUTED_VALUE"""),"18331A05H2")</f>
        <v>18331A05H2</v>
      </c>
      <c r="G21" s="64" t="str">
        <f>IFERROR(__xludf.DUMMYFUNCTION("""COMPUTED_VALUE"""),"Capgemini")</f>
        <v>Capgemini</v>
      </c>
      <c r="H21" s="114">
        <f>IFERROR(__xludf.DUMMYFUNCTION("""COMPUTED_VALUE"""),44762.0)</f>
        <v>44762</v>
      </c>
      <c r="I21" s="64" t="str">
        <f>IFERROR(__xludf.DUMMYFUNCTION("""COMPUTED_VALUE"""),"Not given")</f>
        <v>Not given</v>
      </c>
      <c r="J21" s="64" t="str">
        <f>IFERROR(__xludf.DUMMYFUNCTION("""COMPUTED_VALUE"""),"4")</f>
        <v>4</v>
      </c>
      <c r="K21" s="115" t="str">
        <f>IFERROR(__xludf.DUMMYFUNCTION("""COMPUTED_VALUE"""),"https://drive.google.com/open?id=11I6_ATL91tvllYsQB01c8ZC_aPNM__yt")</f>
        <v>https://drive.google.com/open?id=11I6_ATL91tvllYsQB01c8ZC_aPNM__yt</v>
      </c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</row>
    <row r="22" ht="28.5" customHeight="1">
      <c r="A22" s="64" t="str">
        <f>IFERROR(__xludf.DUMMYFUNCTION("""COMPUTED_VALUE"""),"2018-2022")</f>
        <v>2018-2022</v>
      </c>
      <c r="B22" s="64" t="str">
        <f>IFERROR(__xludf.DUMMYFUNCTION("""COMPUTED_VALUE"""),"S18: Students Placements")</f>
        <v>S18: Students Placements</v>
      </c>
      <c r="C22" s="64" t="str">
        <f>IFERROR(__xludf.DUMMYFUNCTION("""COMPUTED_VALUE"""),"sagigayathri02@gmail.com")</f>
        <v>sagigayathri02@gmail.com</v>
      </c>
      <c r="D22" s="64" t="str">
        <f>IFERROR(__xludf.DUMMYFUNCTION("""COMPUTED_VALUE"""),"SEM-8")</f>
        <v>SEM-8</v>
      </c>
      <c r="E22" s="64" t="str">
        <f>IFERROR(__xludf.DUMMYFUNCTION("""COMPUTED_VALUE"""),"Sagi Gayathri")</f>
        <v>Sagi Gayathri</v>
      </c>
      <c r="F22" s="64" t="str">
        <f>IFERROR(__xludf.DUMMYFUNCTION("""COMPUTED_VALUE"""),"18331A05C7")</f>
        <v>18331A05C7</v>
      </c>
      <c r="G22" s="64" t="str">
        <f>IFERROR(__xludf.DUMMYFUNCTION("""COMPUTED_VALUE"""),"Wipro")</f>
        <v>Wipro</v>
      </c>
      <c r="H22" s="114">
        <f>IFERROR(__xludf.DUMMYFUNCTION("""COMPUTED_VALUE"""),44656.0)</f>
        <v>44656</v>
      </c>
      <c r="I22" s="64" t="str">
        <f>IFERROR(__xludf.DUMMYFUNCTION("""COMPUTED_VALUE"""),"Not given")</f>
        <v>Not given</v>
      </c>
      <c r="J22" s="64" t="str">
        <f>IFERROR(__xludf.DUMMYFUNCTION("""COMPUTED_VALUE"""),"3.5")</f>
        <v>3.5</v>
      </c>
      <c r="K22" s="115" t="str">
        <f>IFERROR(__xludf.DUMMYFUNCTION("""COMPUTED_VALUE"""),"https://drive.google.com/open?id=1WPQVCAEf6avo8QyVvfSh5zhD9uLCPNij")</f>
        <v>https://drive.google.com/open?id=1WPQVCAEf6avo8QyVvfSh5zhD9uLCPNij</v>
      </c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</row>
    <row r="23" ht="28.5" customHeight="1">
      <c r="A23" s="64" t="str">
        <f>IFERROR(__xludf.DUMMYFUNCTION("""COMPUTED_VALUE"""),"2018-2022")</f>
        <v>2018-2022</v>
      </c>
      <c r="B23" s="64" t="str">
        <f>IFERROR(__xludf.DUMMYFUNCTION("""COMPUTED_VALUE"""),"S18: Students Placements")</f>
        <v>S18: Students Placements</v>
      </c>
      <c r="C23" s="64" t="str">
        <f>IFERROR(__xludf.DUMMYFUNCTION("""COMPUTED_VALUE"""),"sureshkasi06@gmail.com")</f>
        <v>sureshkasi06@gmail.com</v>
      </c>
      <c r="D23" s="64" t="str">
        <f>IFERROR(__xludf.DUMMYFUNCTION("""COMPUTED_VALUE"""),"SEM-8")</f>
        <v>SEM-8</v>
      </c>
      <c r="E23" s="64" t="str">
        <f>IFERROR(__xludf.DUMMYFUNCTION("""COMPUTED_VALUE"""),"Kasi Suresh")</f>
        <v>Kasi Suresh</v>
      </c>
      <c r="F23" s="64" t="str">
        <f>IFERROR(__xludf.DUMMYFUNCTION("""COMPUTED_VALUE"""),"18331A0573")</f>
        <v>18331A0573</v>
      </c>
      <c r="G23" s="64" t="str">
        <f>IFERROR(__xludf.DUMMYFUNCTION("""COMPUTED_VALUE"""),"Wipro")</f>
        <v>Wipro</v>
      </c>
      <c r="H23" s="114">
        <f>IFERROR(__xludf.DUMMYFUNCTION("""COMPUTED_VALUE"""),44743.0)</f>
        <v>44743</v>
      </c>
      <c r="I23" s="64" t="str">
        <f>IFERROR(__xludf.DUMMYFUNCTION("""COMPUTED_VALUE"""),"Unknown")</f>
        <v>Unknown</v>
      </c>
      <c r="J23" s="64" t="str">
        <f>IFERROR(__xludf.DUMMYFUNCTION("""COMPUTED_VALUE"""),"6.5 LPA")</f>
        <v>6.5 LPA</v>
      </c>
      <c r="K23" s="115" t="str">
        <f>IFERROR(__xludf.DUMMYFUNCTION("""COMPUTED_VALUE"""),"https://drive.google.com/open?id=1WqlqoKN7RCPaHZu3tKUP64aR1eTIIRms")</f>
        <v>https://drive.google.com/open?id=1WqlqoKN7RCPaHZu3tKUP64aR1eTIIRms</v>
      </c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</row>
    <row r="24" ht="28.5" customHeight="1">
      <c r="A24" s="64" t="str">
        <f>IFERROR(__xludf.DUMMYFUNCTION("""COMPUTED_VALUE"""),"2018-2022")</f>
        <v>2018-2022</v>
      </c>
      <c r="B24" s="64" t="str">
        <f>IFERROR(__xludf.DUMMYFUNCTION("""COMPUTED_VALUE"""),"S18: Students Placements")</f>
        <v>S18: Students Placements</v>
      </c>
      <c r="C24" s="64" t="str">
        <f>IFERROR(__xludf.DUMMYFUNCTION("""COMPUTED_VALUE"""),"sureshkasi06@gmail.com")</f>
        <v>sureshkasi06@gmail.com</v>
      </c>
      <c r="D24" s="64" t="str">
        <f>IFERROR(__xludf.DUMMYFUNCTION("""COMPUTED_VALUE"""),"SEM-8")</f>
        <v>SEM-8</v>
      </c>
      <c r="E24" s="64" t="str">
        <f>IFERROR(__xludf.DUMMYFUNCTION("""COMPUTED_VALUE"""),"Kasi Suresh")</f>
        <v>Kasi Suresh</v>
      </c>
      <c r="F24" s="64" t="str">
        <f>IFERROR(__xludf.DUMMYFUNCTION("""COMPUTED_VALUE"""),"18331A0573")</f>
        <v>18331A0573</v>
      </c>
      <c r="G24" s="64" t="str">
        <f>IFERROR(__xludf.DUMMYFUNCTION("""COMPUTED_VALUE"""),"Capgemini")</f>
        <v>Capgemini</v>
      </c>
      <c r="H24" s="114">
        <f>IFERROR(__xludf.DUMMYFUNCTION("""COMPUTED_VALUE"""),44743.0)</f>
        <v>44743</v>
      </c>
      <c r="I24" s="64" t="str">
        <f>IFERROR(__xludf.DUMMYFUNCTION("""COMPUTED_VALUE"""),"Unknown")</f>
        <v>Unknown</v>
      </c>
      <c r="J24" s="64" t="str">
        <f>IFERROR(__xludf.DUMMYFUNCTION("""COMPUTED_VALUE"""),"4LPA")</f>
        <v>4LPA</v>
      </c>
      <c r="K24" s="115" t="str">
        <f>IFERROR(__xludf.DUMMYFUNCTION("""COMPUTED_VALUE"""),"https://drive.google.com/open?id=1mupstIOV7geibVsKyebzZh5v-A2TfVam")</f>
        <v>https://drive.google.com/open?id=1mupstIOV7geibVsKyebzZh5v-A2TfVam</v>
      </c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</row>
    <row r="25" ht="28.5" customHeight="1">
      <c r="A25" s="64" t="str">
        <f>IFERROR(__xludf.DUMMYFUNCTION("""COMPUTED_VALUE"""),"2018-2022")</f>
        <v>2018-2022</v>
      </c>
      <c r="B25" s="64" t="str">
        <f>IFERROR(__xludf.DUMMYFUNCTION("""COMPUTED_VALUE"""),"S18: Students Placements")</f>
        <v>S18: Students Placements</v>
      </c>
      <c r="C25" s="64" t="str">
        <f>IFERROR(__xludf.DUMMYFUNCTION("""COMPUTED_VALUE"""),"sharmilavattikulla@gmail.com")</f>
        <v>sharmilavattikulla@gmail.com</v>
      </c>
      <c r="D25" s="64" t="str">
        <f>IFERROR(__xludf.DUMMYFUNCTION("""COMPUTED_VALUE"""),"SEM-8")</f>
        <v>SEM-8</v>
      </c>
      <c r="E25" s="64" t="str">
        <f>IFERROR(__xludf.DUMMYFUNCTION("""COMPUTED_VALUE"""),"Vattikulla Sharmila")</f>
        <v>Vattikulla Sharmila</v>
      </c>
      <c r="F25" s="64" t="str">
        <f>IFERROR(__xludf.DUMMYFUNCTION("""COMPUTED_VALUE"""),"18331A05H8")</f>
        <v>18331A05H8</v>
      </c>
      <c r="G25" s="64" t="str">
        <f>IFERROR(__xludf.DUMMYFUNCTION("""COMPUTED_VALUE"""),"Wipro")</f>
        <v>Wipro</v>
      </c>
      <c r="H25" s="114">
        <f>IFERROR(__xludf.DUMMYFUNCTION("""COMPUTED_VALUE"""),44641.0)</f>
        <v>44641</v>
      </c>
      <c r="I25" s="64" t="str">
        <f>IFERROR(__xludf.DUMMYFUNCTION("""COMPUTED_VALUE"""),"Not yet known")</f>
        <v>Not yet known</v>
      </c>
      <c r="J25" s="64" t="str">
        <f>IFERROR(__xludf.DUMMYFUNCTION("""COMPUTED_VALUE"""),"3.5")</f>
        <v>3.5</v>
      </c>
      <c r="K25" s="115" t="str">
        <f>IFERROR(__xludf.DUMMYFUNCTION("""COMPUTED_VALUE"""),"https://drive.google.com/open?id=1Sc50u7O2yN6wdOggs836WOqMRMciijHi")</f>
        <v>https://drive.google.com/open?id=1Sc50u7O2yN6wdOggs836WOqMRMciijHi</v>
      </c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</row>
    <row r="26" ht="28.5" customHeight="1">
      <c r="A26" s="64" t="str">
        <f>IFERROR(__xludf.DUMMYFUNCTION("""COMPUTED_VALUE"""),"2018-2022")</f>
        <v>2018-2022</v>
      </c>
      <c r="B26" s="64" t="str">
        <f>IFERROR(__xludf.DUMMYFUNCTION("""COMPUTED_VALUE"""),"S18: Students Placements")</f>
        <v>S18: Students Placements</v>
      </c>
      <c r="C26" s="64" t="str">
        <f>IFERROR(__xludf.DUMMYFUNCTION("""COMPUTED_VALUE"""),"jamiharshini123@gmail.com")</f>
        <v>jamiharshini123@gmail.com</v>
      </c>
      <c r="D26" s="64" t="str">
        <f>IFERROR(__xludf.DUMMYFUNCTION("""COMPUTED_VALUE"""),"SEM-8")</f>
        <v>SEM-8</v>
      </c>
      <c r="E26" s="64" t="str">
        <f>IFERROR(__xludf.DUMMYFUNCTION("""COMPUTED_VALUE"""),"Jami Harshini")</f>
        <v>Jami Harshini</v>
      </c>
      <c r="F26" s="64" t="str">
        <f>IFERROR(__xludf.DUMMYFUNCTION("""COMPUTED_VALUE"""),"18331A0560")</f>
        <v>18331A0560</v>
      </c>
      <c r="G26" s="64" t="str">
        <f>IFERROR(__xludf.DUMMYFUNCTION("""COMPUTED_VALUE"""),"TCS")</f>
        <v>TCS</v>
      </c>
      <c r="H26" s="114">
        <f>IFERROR(__xludf.DUMMYFUNCTION("""COMPUTED_VALUE"""),44717.0)</f>
        <v>44717</v>
      </c>
      <c r="I26" s="64" t="str">
        <f>IFERROR(__xludf.DUMMYFUNCTION("""COMPUTED_VALUE"""),"Hyderabad")</f>
        <v>Hyderabad</v>
      </c>
      <c r="J26" s="64" t="str">
        <f>IFERROR(__xludf.DUMMYFUNCTION("""COMPUTED_VALUE"""),"3.36 LPA")</f>
        <v>3.36 LPA</v>
      </c>
      <c r="K26" s="115" t="str">
        <f>IFERROR(__xludf.DUMMYFUNCTION("""COMPUTED_VALUE"""),"https://drive.google.com/open?id=1ygSpxfiwRrg2HFxEQJvY4dUJ1FceX5cU")</f>
        <v>https://drive.google.com/open?id=1ygSpxfiwRrg2HFxEQJvY4dUJ1FceX5cU</v>
      </c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</row>
    <row r="27" ht="28.5" customHeight="1">
      <c r="A27" s="64" t="str">
        <f>IFERROR(__xludf.DUMMYFUNCTION("""COMPUTED_VALUE"""),"2018-2022")</f>
        <v>2018-2022</v>
      </c>
      <c r="B27" s="64" t="str">
        <f>IFERROR(__xludf.DUMMYFUNCTION("""COMPUTED_VALUE"""),"S18: Students Placements")</f>
        <v>S18: Students Placements</v>
      </c>
      <c r="C27" s="64" t="str">
        <f>IFERROR(__xludf.DUMMYFUNCTION("""COMPUTED_VALUE"""),"jamiharshini123@gmail.com")</f>
        <v>jamiharshini123@gmail.com</v>
      </c>
      <c r="D27" s="64" t="str">
        <f>IFERROR(__xludf.DUMMYFUNCTION("""COMPUTED_VALUE"""),"SEM-8")</f>
        <v>SEM-8</v>
      </c>
      <c r="E27" s="64" t="str">
        <f>IFERROR(__xludf.DUMMYFUNCTION("""COMPUTED_VALUE"""),"Jami Harshini")</f>
        <v>Jami Harshini</v>
      </c>
      <c r="F27" s="64" t="str">
        <f>IFERROR(__xludf.DUMMYFUNCTION("""COMPUTED_VALUE"""),"18331A0560")</f>
        <v>18331A0560</v>
      </c>
      <c r="G27" s="64" t="str">
        <f>IFERROR(__xludf.DUMMYFUNCTION("""COMPUTED_VALUE"""),"Infrasoft")</f>
        <v>Infrasoft</v>
      </c>
      <c r="H27" s="114">
        <f>IFERROR(__xludf.DUMMYFUNCTION("""COMPUTED_VALUE"""),44727.0)</f>
        <v>44727</v>
      </c>
      <c r="I27" s="64" t="str">
        <f>IFERROR(__xludf.DUMMYFUNCTION("""COMPUTED_VALUE"""),"Chennai")</f>
        <v>Chennai</v>
      </c>
      <c r="J27" s="64" t="str">
        <f>IFERROR(__xludf.DUMMYFUNCTION("""COMPUTED_VALUE"""),"5 LPA")</f>
        <v>5 LPA</v>
      </c>
      <c r="K27" s="115" t="str">
        <f>IFERROR(__xludf.DUMMYFUNCTION("""COMPUTED_VALUE"""),"https://drive.google.com/open?id=1b_sBzr_AVYvGHgUPUw4RBFGXzGbjNYxw")</f>
        <v>https://drive.google.com/open?id=1b_sBzr_AVYvGHgUPUw4RBFGXzGbjNYxw</v>
      </c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</row>
    <row r="28" ht="28.5" customHeight="1">
      <c r="A28" s="64" t="str">
        <f>IFERROR(__xludf.DUMMYFUNCTION("""COMPUTED_VALUE"""),"2018-2022")</f>
        <v>2018-2022</v>
      </c>
      <c r="B28" s="64" t="str">
        <f>IFERROR(__xludf.DUMMYFUNCTION("""COMPUTED_VALUE"""),"S18: Students Placements")</f>
        <v>S18: Students Placements</v>
      </c>
      <c r="C28" s="64" t="str">
        <f>IFERROR(__xludf.DUMMYFUNCTION("""COMPUTED_VALUE"""),"ranjeetgara123@gmail.com")</f>
        <v>ranjeetgara123@gmail.com</v>
      </c>
      <c r="D28" s="64" t="str">
        <f>IFERROR(__xludf.DUMMYFUNCTION("""COMPUTED_VALUE"""),"SEM-8")</f>
        <v>SEM-8</v>
      </c>
      <c r="E28" s="64" t="str">
        <f>IFERROR(__xludf.DUMMYFUNCTION("""COMPUTED_VALUE"""),"Gara Ranjeet")</f>
        <v>Gara Ranjeet</v>
      </c>
      <c r="F28" s="64" t="str">
        <f>IFERROR(__xludf.DUMMYFUNCTION("""COMPUTED_VALUE"""),"18331A0544")</f>
        <v>18331A0544</v>
      </c>
      <c r="G28" s="64" t="str">
        <f>IFERROR(__xludf.DUMMYFUNCTION("""COMPUTED_VALUE"""),"Trn Digital")</f>
        <v>Trn Digital</v>
      </c>
      <c r="H28" s="114">
        <f>IFERROR(__xludf.DUMMYFUNCTION("""COMPUTED_VALUE"""),44743.0)</f>
        <v>44743</v>
      </c>
      <c r="I28" s="64" t="str">
        <f>IFERROR(__xludf.DUMMYFUNCTION("""COMPUTED_VALUE"""),"Bengulur")</f>
        <v>Bengulur</v>
      </c>
      <c r="J28" s="64" t="str">
        <f>IFERROR(__xludf.DUMMYFUNCTION("""COMPUTED_VALUE"""),"5lpa")</f>
        <v>5lpa</v>
      </c>
      <c r="K28" s="115" t="str">
        <f>IFERROR(__xludf.DUMMYFUNCTION("""COMPUTED_VALUE"""),"https://drive.google.com/open?id=1nZEMt24baX0onTXz2Liyrd92-XxHFnF0")</f>
        <v>https://drive.google.com/open?id=1nZEMt24baX0onTXz2Liyrd92-XxHFnF0</v>
      </c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</row>
    <row r="29" ht="28.5" customHeight="1">
      <c r="A29" s="64" t="str">
        <f>IFERROR(__xludf.DUMMYFUNCTION("""COMPUTED_VALUE"""),"2018-2022")</f>
        <v>2018-2022</v>
      </c>
      <c r="B29" s="64" t="str">
        <f>IFERROR(__xludf.DUMMYFUNCTION("""COMPUTED_VALUE"""),"S18: Students Placements")</f>
        <v>S18: Students Placements</v>
      </c>
      <c r="C29" s="64" t="str">
        <f>IFERROR(__xludf.DUMMYFUNCTION("""COMPUTED_VALUE"""),"prasunamedi5@gmail.com")</f>
        <v>prasunamedi5@gmail.com</v>
      </c>
      <c r="D29" s="64" t="str">
        <f>IFERROR(__xludf.DUMMYFUNCTION("""COMPUTED_VALUE"""),"SEM-8")</f>
        <v>SEM-8</v>
      </c>
      <c r="E29" s="64" t="str">
        <f>IFERROR(__xludf.DUMMYFUNCTION("""COMPUTED_VALUE"""),"Medi Prasuna")</f>
        <v>Medi Prasuna</v>
      </c>
      <c r="F29" s="64" t="str">
        <f>IFERROR(__xludf.DUMMYFUNCTION("""COMPUTED_VALUE"""),"18331A0596")</f>
        <v>18331A0596</v>
      </c>
      <c r="G29" s="64" t="str">
        <f>IFERROR(__xludf.DUMMYFUNCTION("""COMPUTED_VALUE"""),"Nineleaps")</f>
        <v>Nineleaps</v>
      </c>
      <c r="H29" s="114">
        <f>IFERROR(__xludf.DUMMYFUNCTION("""COMPUTED_VALUE"""),44578.0)</f>
        <v>44578</v>
      </c>
      <c r="I29" s="64" t="str">
        <f>IFERROR(__xludf.DUMMYFUNCTION("""COMPUTED_VALUE"""),"Bangalore")</f>
        <v>Bangalore</v>
      </c>
      <c r="J29" s="64" t="str">
        <f>IFERROR(__xludf.DUMMYFUNCTION("""COMPUTED_VALUE"""),"6 LPA")</f>
        <v>6 LPA</v>
      </c>
      <c r="K29" s="115" t="str">
        <f>IFERROR(__xludf.DUMMYFUNCTION("""COMPUTED_VALUE"""),"https://drive.google.com/open?id=1KuNBmpMZS_uA0_73kYuTsGnKJkSaxJNR")</f>
        <v>https://drive.google.com/open?id=1KuNBmpMZS_uA0_73kYuTsGnKJkSaxJNR</v>
      </c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</row>
    <row r="30" ht="28.5" customHeight="1">
      <c r="A30" s="64" t="str">
        <f>IFERROR(__xludf.DUMMYFUNCTION("""COMPUTED_VALUE"""),"2018-2022")</f>
        <v>2018-2022</v>
      </c>
      <c r="B30" s="64" t="str">
        <f>IFERROR(__xludf.DUMMYFUNCTION("""COMPUTED_VALUE"""),"S18: Students Placements")</f>
        <v>S18: Students Placements</v>
      </c>
      <c r="C30" s="64" t="str">
        <f>IFERROR(__xludf.DUMMYFUNCTION("""COMPUTED_VALUE"""),"haneefleo10@gmail.com")</f>
        <v>haneefleo10@gmail.com</v>
      </c>
      <c r="D30" s="64" t="str">
        <f>IFERROR(__xludf.DUMMYFUNCTION("""COMPUTED_VALUE"""),"SEM-8")</f>
        <v>SEM-8</v>
      </c>
      <c r="E30" s="64" t="str">
        <f>IFERROR(__xludf.DUMMYFUNCTION("""COMPUTED_VALUE"""),"mohammad riyazul haneef sharief")</f>
        <v>mohammad riyazul haneef sharief</v>
      </c>
      <c r="F30" s="64" t="str">
        <f>IFERROR(__xludf.DUMMYFUNCTION("""COMPUTED_VALUE"""),"18331A05H6")</f>
        <v>18331A05H6</v>
      </c>
      <c r="G30" s="64" t="str">
        <f>IFERROR(__xludf.DUMMYFUNCTION("""COMPUTED_VALUE"""),"wipro")</f>
        <v>wipro</v>
      </c>
      <c r="H30" s="114">
        <f>IFERROR(__xludf.DUMMYFUNCTION("""COMPUTED_VALUE"""),44641.0)</f>
        <v>44641</v>
      </c>
      <c r="I30" s="64" t="str">
        <f>IFERROR(__xludf.DUMMYFUNCTION("""COMPUTED_VALUE"""),"hyderabad")</f>
        <v>hyderabad</v>
      </c>
      <c r="J30" s="64" t="str">
        <f>IFERROR(__xludf.DUMMYFUNCTION("""COMPUTED_VALUE"""),"3.5")</f>
        <v>3.5</v>
      </c>
      <c r="K30" s="115" t="str">
        <f>IFERROR(__xludf.DUMMYFUNCTION("""COMPUTED_VALUE"""),"https://drive.google.com/open?id=1hBqV4sg4Pw3O_UkYZNPEOc25dVaFCQ2c")</f>
        <v>https://drive.google.com/open?id=1hBqV4sg4Pw3O_UkYZNPEOc25dVaFCQ2c</v>
      </c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</row>
    <row r="31" ht="28.5" customHeight="1">
      <c r="A31" s="64" t="str">
        <f>IFERROR(__xludf.DUMMYFUNCTION("""COMPUTED_VALUE"""),"2018-2022")</f>
        <v>2018-2022</v>
      </c>
      <c r="B31" s="64" t="str">
        <f>IFERROR(__xludf.DUMMYFUNCTION("""COMPUTED_VALUE"""),"S18: Students Placements")</f>
        <v>S18: Students Placements</v>
      </c>
      <c r="C31" s="64" t="str">
        <f>IFERROR(__xludf.DUMMYFUNCTION("""COMPUTED_VALUE"""),"haneefleo10@gmail.com")</f>
        <v>haneefleo10@gmail.com</v>
      </c>
      <c r="D31" s="64" t="str">
        <f>IFERROR(__xludf.DUMMYFUNCTION("""COMPUTED_VALUE"""),"SEM-8")</f>
        <v>SEM-8</v>
      </c>
      <c r="E31" s="64" t="str">
        <f>IFERROR(__xludf.DUMMYFUNCTION("""COMPUTED_VALUE"""),"mohammad riyazul haneef sharief")</f>
        <v>mohammad riyazul haneef sharief</v>
      </c>
      <c r="F31" s="64" t="str">
        <f>IFERROR(__xludf.DUMMYFUNCTION("""COMPUTED_VALUE"""),"18331A05H6")</f>
        <v>18331A05H6</v>
      </c>
      <c r="G31" s="64" t="str">
        <f>IFERROR(__xludf.DUMMYFUNCTION("""COMPUTED_VALUE"""),"wipro")</f>
        <v>wipro</v>
      </c>
      <c r="H31" s="114">
        <f>IFERROR(__xludf.DUMMYFUNCTION("""COMPUTED_VALUE"""),44642.0)</f>
        <v>44642</v>
      </c>
      <c r="I31" s="64" t="str">
        <f>IFERROR(__xludf.DUMMYFUNCTION("""COMPUTED_VALUE"""),"hyderabad")</f>
        <v>hyderabad</v>
      </c>
      <c r="J31" s="64" t="str">
        <f>IFERROR(__xludf.DUMMYFUNCTION("""COMPUTED_VALUE"""),"3.6")</f>
        <v>3.6</v>
      </c>
      <c r="K31" s="115" t="str">
        <f>IFERROR(__xludf.DUMMYFUNCTION("""COMPUTED_VALUE"""),"https://drive.google.com/open?id=12IpAFvbUR9zj0mziUqWU7AgiiGFeWJDn")</f>
        <v>https://drive.google.com/open?id=12IpAFvbUR9zj0mziUqWU7AgiiGFeWJDn</v>
      </c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</row>
    <row r="32" ht="28.5" customHeight="1">
      <c r="A32" s="64" t="str">
        <f>IFERROR(__xludf.DUMMYFUNCTION("""COMPUTED_VALUE"""),"2018-2022")</f>
        <v>2018-2022</v>
      </c>
      <c r="B32" s="64" t="str">
        <f>IFERROR(__xludf.DUMMYFUNCTION("""COMPUTED_VALUE"""),"S18: Students Placements")</f>
        <v>S18: Students Placements</v>
      </c>
      <c r="C32" s="64" t="str">
        <f>IFERROR(__xludf.DUMMYFUNCTION("""COMPUTED_VALUE"""),"manojvarmaaa13@gmail.com")</f>
        <v>manojvarmaaa13@gmail.com</v>
      </c>
      <c r="D32" s="64" t="str">
        <f>IFERROR(__xludf.DUMMYFUNCTION("""COMPUTED_VALUE"""),"SEM-8")</f>
        <v>SEM-8</v>
      </c>
      <c r="E32" s="64" t="str">
        <f>IFERROR(__xludf.DUMMYFUNCTION("""COMPUTED_VALUE"""),"Manoj varma sagi")</f>
        <v>Manoj varma sagi</v>
      </c>
      <c r="F32" s="64" t="str">
        <f>IFERROR(__xludf.DUMMYFUNCTION("""COMPUTED_VALUE"""),"18331A05C8")</f>
        <v>18331A05C8</v>
      </c>
      <c r="G32" s="64" t="str">
        <f>IFERROR(__xludf.DUMMYFUNCTION("""COMPUTED_VALUE"""),"Revature")</f>
        <v>Revature</v>
      </c>
      <c r="H32" s="114">
        <f>IFERROR(__xludf.DUMMYFUNCTION("""COMPUTED_VALUE"""),44705.0)</f>
        <v>44705</v>
      </c>
      <c r="I32" s="64" t="str">
        <f>IFERROR(__xludf.DUMMYFUNCTION("""COMPUTED_VALUE"""),"Chennai")</f>
        <v>Chennai</v>
      </c>
      <c r="J32" s="64" t="str">
        <f>IFERROR(__xludf.DUMMYFUNCTION("""COMPUTED_VALUE"""),"5L")</f>
        <v>5L</v>
      </c>
      <c r="K32" s="115" t="str">
        <f>IFERROR(__xludf.DUMMYFUNCTION("""COMPUTED_VALUE"""),"https://drive.google.com/open?id=18CSIBf0DwDGccDZjuZgC5i44VXJQgrE0")</f>
        <v>https://drive.google.com/open?id=18CSIBf0DwDGccDZjuZgC5i44VXJQgrE0</v>
      </c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</row>
    <row r="33" ht="28.5" customHeight="1">
      <c r="A33" s="64" t="str">
        <f>IFERROR(__xludf.DUMMYFUNCTION("""COMPUTED_VALUE"""),"2018-2022")</f>
        <v>2018-2022</v>
      </c>
      <c r="B33" s="64" t="str">
        <f>IFERROR(__xludf.DUMMYFUNCTION("""COMPUTED_VALUE"""),"S18: Students Placements")</f>
        <v>S18: Students Placements</v>
      </c>
      <c r="C33" s="64" t="str">
        <f>IFERROR(__xludf.DUMMYFUNCTION("""COMPUTED_VALUE"""),"pratyukuppili2001@gmail.com")</f>
        <v>pratyukuppili2001@gmail.com</v>
      </c>
      <c r="D33" s="64" t="str">
        <f>IFERROR(__xludf.DUMMYFUNCTION("""COMPUTED_VALUE"""),"SEM-8")</f>
        <v>SEM-8</v>
      </c>
      <c r="E33" s="64" t="str">
        <f>IFERROR(__xludf.DUMMYFUNCTION("""COMPUTED_VALUE"""),"Kuppili Pratyusha")</f>
        <v>Kuppili Pratyusha</v>
      </c>
      <c r="F33" s="64" t="str">
        <f>IFERROR(__xludf.DUMMYFUNCTION("""COMPUTED_VALUE"""),"18331A0583")</f>
        <v>18331A0583</v>
      </c>
      <c r="G33" s="64" t="str">
        <f>IFERROR(__xludf.DUMMYFUNCTION("""COMPUTED_VALUE"""),"Wipro")</f>
        <v>Wipro</v>
      </c>
      <c r="H33" s="114">
        <f>IFERROR(__xludf.DUMMYFUNCTION("""COMPUTED_VALUE"""),44718.0)</f>
        <v>44718</v>
      </c>
      <c r="I33" s="64" t="str">
        <f>IFERROR(__xludf.DUMMYFUNCTION("""COMPUTED_VALUE"""),"NA")</f>
        <v>NA</v>
      </c>
      <c r="J33" s="64" t="str">
        <f>IFERROR(__xludf.DUMMYFUNCTION("""COMPUTED_VALUE"""),"3.5")</f>
        <v>3.5</v>
      </c>
      <c r="K33" s="115" t="str">
        <f>IFERROR(__xludf.DUMMYFUNCTION("""COMPUTED_VALUE"""),"https://drive.google.com/open?id=1xnS1kpvZ4yuMLZLTiAlOP-A_y-Vyza1i")</f>
        <v>https://drive.google.com/open?id=1xnS1kpvZ4yuMLZLTiAlOP-A_y-Vyza1i</v>
      </c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</row>
    <row r="34" ht="28.5" customHeight="1">
      <c r="A34" s="64" t="str">
        <f>IFERROR(__xludf.DUMMYFUNCTION("""COMPUTED_VALUE"""),"2018-2022")</f>
        <v>2018-2022</v>
      </c>
      <c r="B34" s="64" t="str">
        <f>IFERROR(__xludf.DUMMYFUNCTION("""COMPUTED_VALUE"""),"S18: Students Placements")</f>
        <v>S18: Students Placements</v>
      </c>
      <c r="C34" s="64" t="str">
        <f>IFERROR(__xludf.DUMMYFUNCTION("""COMPUTED_VALUE"""),"sumitha.donthamsetti@gmail.com")</f>
        <v>sumitha.donthamsetti@gmail.com</v>
      </c>
      <c r="D34" s="64" t="str">
        <f>IFERROR(__xludf.DUMMYFUNCTION("""COMPUTED_VALUE"""),"SEM-4")</f>
        <v>SEM-4</v>
      </c>
      <c r="E34" s="64" t="str">
        <f>IFERROR(__xludf.DUMMYFUNCTION("""COMPUTED_VALUE"""),"Donthamsetti Sumitha")</f>
        <v>Donthamsetti Sumitha</v>
      </c>
      <c r="F34" s="64" t="str">
        <f>IFERROR(__xludf.DUMMYFUNCTION("""COMPUTED_VALUE"""),"18331A0535")</f>
        <v>18331A0535</v>
      </c>
      <c r="G34" s="64" t="str">
        <f>IFERROR(__xludf.DUMMYFUNCTION("""COMPUTED_VALUE"""),"Capgemini")</f>
        <v>Capgemini</v>
      </c>
      <c r="H34" s="114">
        <f>IFERROR(__xludf.DUMMYFUNCTION("""COMPUTED_VALUE"""),44715.0)</f>
        <v>44715</v>
      </c>
      <c r="I34" s="64" t="str">
        <f>IFERROR(__xludf.DUMMYFUNCTION("""COMPUTED_VALUE"""),"Hyderabad")</f>
        <v>Hyderabad</v>
      </c>
      <c r="J34" s="64" t="str">
        <f>IFERROR(__xludf.DUMMYFUNCTION("""COMPUTED_VALUE"""),"4 LPA")</f>
        <v>4 LPA</v>
      </c>
      <c r="K34" s="115" t="str">
        <f>IFERROR(__xludf.DUMMYFUNCTION("""COMPUTED_VALUE"""),"https://drive.google.com/open?id=1kI4PwakFQ2t4yeEjeLQQ1x8M8NSXTHlj")</f>
        <v>https://drive.google.com/open?id=1kI4PwakFQ2t4yeEjeLQQ1x8M8NSXTHlj</v>
      </c>
      <c r="L34" s="135"/>
      <c r="M34" s="135"/>
      <c r="N34" s="135"/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</row>
    <row r="35" ht="28.5" customHeight="1">
      <c r="A35" s="71" t="str">
        <f>IFERROR(__xludf.DUMMYFUNCTION("""COMPUTED_VALUE"""),"2018-2022")</f>
        <v>2018-2022</v>
      </c>
      <c r="B35" s="71" t="str">
        <f>IFERROR(__xludf.DUMMYFUNCTION("""COMPUTED_VALUE"""),"S18: Students Placements")</f>
        <v>S18: Students Placements</v>
      </c>
      <c r="C35" s="71" t="str">
        <f>IFERROR(__xludf.DUMMYFUNCTION("""COMPUTED_VALUE"""),"sachinvenkyindian@gmail.com")</f>
        <v>sachinvenkyindian@gmail.com</v>
      </c>
      <c r="D35" s="71" t="str">
        <f>IFERROR(__xludf.DUMMYFUNCTION("""COMPUTED_VALUE"""),"SEM-8")</f>
        <v>SEM-8</v>
      </c>
      <c r="E35" s="71" t="str">
        <f>IFERROR(__xludf.DUMMYFUNCTION("""COMPUTED_VALUE"""),"Bevara Venkatesh ")</f>
        <v>Bevara Venkatesh </v>
      </c>
      <c r="F35" s="71" t="str">
        <f>IFERROR(__xludf.DUMMYFUNCTION("""COMPUTED_VALUE"""),"18331A0513")</f>
        <v>18331A0513</v>
      </c>
      <c r="G35" s="71" t="str">
        <f>IFERROR(__xludf.DUMMYFUNCTION("""COMPUTED_VALUE"""),"Mindtree")</f>
        <v>Mindtree</v>
      </c>
      <c r="H35" s="72">
        <f>IFERROR(__xludf.DUMMYFUNCTION("""COMPUTED_VALUE"""),44662.0)</f>
        <v>44662</v>
      </c>
      <c r="I35" s="71" t="str">
        <f>IFERROR(__xludf.DUMMYFUNCTION("""COMPUTED_VALUE"""),"Dont know")</f>
        <v>Dont know</v>
      </c>
      <c r="J35" s="71" t="str">
        <f>IFERROR(__xludf.DUMMYFUNCTION("""COMPUTED_VALUE"""),"4lpa")</f>
        <v>4lpa</v>
      </c>
      <c r="K35" s="73" t="str">
        <f>IFERROR(__xludf.DUMMYFUNCTION("""COMPUTED_VALUE"""),"https://drive.google.com/open?id=1SzwVma1bvQzySAMcnIUyR86UB4_jEDZx")</f>
        <v>https://drive.google.com/open?id=1SzwVma1bvQzySAMcnIUyR86UB4_jEDZx</v>
      </c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  <c r="AA35" s="136"/>
      <c r="AB35" s="136"/>
      <c r="AC35" s="136"/>
      <c r="AD35" s="136"/>
    </row>
    <row r="36" ht="28.5" customHeight="1">
      <c r="A36" s="64" t="str">
        <f>IFERROR(__xludf.DUMMYFUNCTION("""COMPUTED_VALUE"""),"2018-2022")</f>
        <v>2018-2022</v>
      </c>
      <c r="B36" s="64" t="str">
        <f>IFERROR(__xludf.DUMMYFUNCTION("""COMPUTED_VALUE"""),"S18: Students Placements")</f>
        <v>S18: Students Placements</v>
      </c>
      <c r="C36" s="64" t="str">
        <f>IFERROR(__xludf.DUMMYFUNCTION("""COMPUTED_VALUE"""),"sachinvenkyindian@gmail.com")</f>
        <v>sachinvenkyindian@gmail.com</v>
      </c>
      <c r="D36" s="64" t="str">
        <f>IFERROR(__xludf.DUMMYFUNCTION("""COMPUTED_VALUE"""),"SEM-8")</f>
        <v>SEM-8</v>
      </c>
      <c r="E36" s="64" t="str">
        <f>IFERROR(__xludf.DUMMYFUNCTION("""COMPUTED_VALUE"""),"Bevara Venkatesh ")</f>
        <v>Bevara Venkatesh </v>
      </c>
      <c r="F36" s="64" t="str">
        <f>IFERROR(__xludf.DUMMYFUNCTION("""COMPUTED_VALUE"""),"18331A0513")</f>
        <v>18331A0513</v>
      </c>
      <c r="G36" s="64" t="str">
        <f>IFERROR(__xludf.DUMMYFUNCTION("""COMPUTED_VALUE"""),"Capgemini ")</f>
        <v>Capgemini </v>
      </c>
      <c r="H36" s="114">
        <f>IFERROR(__xludf.DUMMYFUNCTION("""COMPUTED_VALUE"""),44662.0)</f>
        <v>44662</v>
      </c>
      <c r="I36" s="64" t="str">
        <f>IFERROR(__xludf.DUMMYFUNCTION("""COMPUTED_VALUE"""),"Dont know")</f>
        <v>Dont know</v>
      </c>
      <c r="J36" s="64" t="str">
        <f>IFERROR(__xludf.DUMMYFUNCTION("""COMPUTED_VALUE"""),"4lpa")</f>
        <v>4lpa</v>
      </c>
      <c r="K36" s="115" t="str">
        <f>IFERROR(__xludf.DUMMYFUNCTION("""COMPUTED_VALUE"""),"https://drive.google.com/open?id=1xh-6CUN_jqOL7YsUT-Wu8T20JJbUj-UT")</f>
        <v>https://drive.google.com/open?id=1xh-6CUN_jqOL7YsUT-Wu8T20JJbUj-UT</v>
      </c>
      <c r="L36" s="135"/>
      <c r="M36" s="135"/>
      <c r="N36" s="135"/>
      <c r="O36" s="135"/>
      <c r="P36" s="135"/>
      <c r="Q36" s="135"/>
      <c r="R36" s="135"/>
      <c r="S36" s="135"/>
      <c r="T36" s="135"/>
      <c r="U36" s="135"/>
      <c r="V36" s="135"/>
      <c r="W36" s="135"/>
      <c r="X36" s="135"/>
      <c r="Y36" s="135"/>
      <c r="Z36" s="135"/>
      <c r="AA36" s="135"/>
      <c r="AB36" s="135"/>
      <c r="AC36" s="135"/>
      <c r="AD36" s="135"/>
    </row>
    <row r="37" ht="28.5" customHeight="1">
      <c r="A37" s="64" t="str">
        <f>IFERROR(__xludf.DUMMYFUNCTION("""COMPUTED_VALUE"""),"2018-2022")</f>
        <v>2018-2022</v>
      </c>
      <c r="B37" s="64" t="str">
        <f>IFERROR(__xludf.DUMMYFUNCTION("""COMPUTED_VALUE"""),"S18: Students Placements")</f>
        <v>S18: Students Placements</v>
      </c>
      <c r="C37" s="64" t="str">
        <f>IFERROR(__xludf.DUMMYFUNCTION("""COMPUTED_VALUE"""),"praveen.tarun115@gmail.com")</f>
        <v>praveen.tarun115@gmail.com</v>
      </c>
      <c r="D37" s="64" t="str">
        <f>IFERROR(__xludf.DUMMYFUNCTION("""COMPUTED_VALUE"""),"SEM-8")</f>
        <v>SEM-8</v>
      </c>
      <c r="E37" s="64" t="str">
        <f>IFERROR(__xludf.DUMMYFUNCTION("""COMPUTED_VALUE"""),"Bugata Praveen")</f>
        <v>Bugata Praveen</v>
      </c>
      <c r="F37" s="64" t="str">
        <f>IFERROR(__xludf.DUMMYFUNCTION("""COMPUTED_VALUE"""),"18331A0523")</f>
        <v>18331A0523</v>
      </c>
      <c r="G37" s="64" t="str">
        <f>IFERROR(__xludf.DUMMYFUNCTION("""COMPUTED_VALUE"""),"TCS")</f>
        <v>TCS</v>
      </c>
      <c r="H37" s="114">
        <f>IFERROR(__xludf.DUMMYFUNCTION("""COMPUTED_VALUE"""),44774.0)</f>
        <v>44774</v>
      </c>
      <c r="I37" s="64" t="str">
        <f>IFERROR(__xludf.DUMMYFUNCTION("""COMPUTED_VALUE"""),"Hyderabad ")</f>
        <v>Hyderabad </v>
      </c>
      <c r="J37" s="64" t="str">
        <f>IFERROR(__xludf.DUMMYFUNCTION("""COMPUTED_VALUE"""),"3.36")</f>
        <v>3.36</v>
      </c>
      <c r="K37" s="115" t="str">
        <f>IFERROR(__xludf.DUMMYFUNCTION("""COMPUTED_VALUE"""),"https://drive.google.com/open?id=1oQTlIUlLTU4l6H3Z8lsz7HxqgYeHhzzs")</f>
        <v>https://drive.google.com/open?id=1oQTlIUlLTU4l6H3Z8lsz7HxqgYeHhzzs</v>
      </c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</row>
    <row r="38" ht="28.5" customHeight="1">
      <c r="A38" s="64" t="str">
        <f>IFERROR(__xludf.DUMMYFUNCTION("""COMPUTED_VALUE"""),"2018-2022")</f>
        <v>2018-2022</v>
      </c>
      <c r="B38" s="64" t="str">
        <f>IFERROR(__xludf.DUMMYFUNCTION("""COMPUTED_VALUE"""),"S18: Students Placements")</f>
        <v>S18: Students Placements</v>
      </c>
      <c r="C38" s="64" t="str">
        <f>IFERROR(__xludf.DUMMYFUNCTION("""COMPUTED_VALUE"""),"sachinvenkyindian@gmail.com")</f>
        <v>sachinvenkyindian@gmail.com</v>
      </c>
      <c r="D38" s="64" t="str">
        <f>IFERROR(__xludf.DUMMYFUNCTION("""COMPUTED_VALUE"""),"SEM-8")</f>
        <v>SEM-8</v>
      </c>
      <c r="E38" s="64" t="str">
        <f>IFERROR(__xludf.DUMMYFUNCTION("""COMPUTED_VALUE"""),"Bevara Venkatesh ")</f>
        <v>Bevara Venkatesh </v>
      </c>
      <c r="F38" s="64" t="str">
        <f>IFERROR(__xludf.DUMMYFUNCTION("""COMPUTED_VALUE"""),"18331A0513")</f>
        <v>18331A0513</v>
      </c>
      <c r="G38" s="64" t="str">
        <f>IFERROR(__xludf.DUMMYFUNCTION("""COMPUTED_VALUE"""),"Hexaware ")</f>
        <v>Hexaware </v>
      </c>
      <c r="H38" s="114">
        <f>IFERROR(__xludf.DUMMYFUNCTION("""COMPUTED_VALUE"""),44662.0)</f>
        <v>44662</v>
      </c>
      <c r="I38" s="64" t="str">
        <f>IFERROR(__xludf.DUMMYFUNCTION("""COMPUTED_VALUE"""),"Dont know ")</f>
        <v>Dont know </v>
      </c>
      <c r="J38" s="64" t="str">
        <f>IFERROR(__xludf.DUMMYFUNCTION("""COMPUTED_VALUE"""),"4lpa")</f>
        <v>4lpa</v>
      </c>
      <c r="K38" s="115" t="str">
        <f>IFERROR(__xludf.DUMMYFUNCTION("""COMPUTED_VALUE"""),"https://drive.google.com/open?id=1HxRFFojddfZhy4pNdOKAY6TXBt1DeE3G")</f>
        <v>https://drive.google.com/open?id=1HxRFFojddfZhy4pNdOKAY6TXBt1DeE3G</v>
      </c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5"/>
      <c r="AB38" s="135"/>
      <c r="AC38" s="135"/>
      <c r="AD38" s="135"/>
    </row>
    <row r="39" ht="28.5" customHeight="1">
      <c r="A39" s="64" t="str">
        <f>IFERROR(__xludf.DUMMYFUNCTION("""COMPUTED_VALUE"""),"2018-2022")</f>
        <v>2018-2022</v>
      </c>
      <c r="B39" s="64" t="str">
        <f>IFERROR(__xludf.DUMMYFUNCTION("""COMPUTED_VALUE"""),"S18: Students Placements")</f>
        <v>S18: Students Placements</v>
      </c>
      <c r="C39" s="64" t="str">
        <f>IFERROR(__xludf.DUMMYFUNCTION("""COMPUTED_VALUE"""),"sachinvenkyindian@gmail.com")</f>
        <v>sachinvenkyindian@gmail.com</v>
      </c>
      <c r="D39" s="64" t="str">
        <f>IFERROR(__xludf.DUMMYFUNCTION("""COMPUTED_VALUE"""),"SEM-8")</f>
        <v>SEM-8</v>
      </c>
      <c r="E39" s="64" t="str">
        <f>IFERROR(__xludf.DUMMYFUNCTION("""COMPUTED_VALUE"""),"Bevara Venkatesh ")</f>
        <v>Bevara Venkatesh </v>
      </c>
      <c r="F39" s="64" t="str">
        <f>IFERROR(__xludf.DUMMYFUNCTION("""COMPUTED_VALUE"""),"18331A0513")</f>
        <v>18331A0513</v>
      </c>
      <c r="G39" s="64" t="str">
        <f>IFERROR(__xludf.DUMMYFUNCTION("""COMPUTED_VALUE"""),"Wipro")</f>
        <v>Wipro</v>
      </c>
      <c r="H39" s="114">
        <f>IFERROR(__xludf.DUMMYFUNCTION("""COMPUTED_VALUE"""),44662.0)</f>
        <v>44662</v>
      </c>
      <c r="I39" s="64" t="str">
        <f>IFERROR(__xludf.DUMMYFUNCTION("""COMPUTED_VALUE"""),"Dont know")</f>
        <v>Dont know</v>
      </c>
      <c r="J39" s="64" t="str">
        <f>IFERROR(__xludf.DUMMYFUNCTION("""COMPUTED_VALUE"""),"5.5")</f>
        <v>5.5</v>
      </c>
      <c r="K39" s="115" t="str">
        <f>IFERROR(__xludf.DUMMYFUNCTION("""COMPUTED_VALUE"""),"https://drive.google.com/open?id=1v9JLEHywb-uUy8bGNC3GjW6SgkJmpS0c")</f>
        <v>https://drive.google.com/open?id=1v9JLEHywb-uUy8bGNC3GjW6SgkJmpS0c</v>
      </c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  <c r="AC39" s="135"/>
      <c r="AD39" s="135"/>
    </row>
    <row r="40" ht="28.5" customHeight="1">
      <c r="A40" s="64" t="str">
        <f>IFERROR(__xludf.DUMMYFUNCTION("""COMPUTED_VALUE"""),"2018-2022")</f>
        <v>2018-2022</v>
      </c>
      <c r="B40" s="64" t="str">
        <f>IFERROR(__xludf.DUMMYFUNCTION("""COMPUTED_VALUE"""),"S18: Students Placements")</f>
        <v>S18: Students Placements</v>
      </c>
      <c r="C40" s="64" t="str">
        <f>IFERROR(__xludf.DUMMYFUNCTION("""COMPUTED_VALUE"""),"nani.bhogapurapu1106@gmail.com")</f>
        <v>nani.bhogapurapu1106@gmail.com</v>
      </c>
      <c r="D40" s="64" t="str">
        <f>IFERROR(__xludf.DUMMYFUNCTION("""COMPUTED_VALUE"""),"SEM-8")</f>
        <v>SEM-8</v>
      </c>
      <c r="E40" s="64" t="str">
        <f>IFERROR(__xludf.DUMMYFUNCTION("""COMPUTED_VALUE"""),"B Prasad")</f>
        <v>B Prasad</v>
      </c>
      <c r="F40" s="64" t="str">
        <f>IFERROR(__xludf.DUMMYFUNCTION("""COMPUTED_VALUE"""),"18331A0514")</f>
        <v>18331A0514</v>
      </c>
      <c r="G40" s="64" t="str">
        <f>IFERROR(__xludf.DUMMYFUNCTION("""COMPUTED_VALUE"""),"Virtusa")</f>
        <v>Virtusa</v>
      </c>
      <c r="H40" s="114">
        <f>IFERROR(__xludf.DUMMYFUNCTION("""COMPUTED_VALUE"""),44723.0)</f>
        <v>44723</v>
      </c>
      <c r="I40" s="64" t="str">
        <f>IFERROR(__xludf.DUMMYFUNCTION("""COMPUTED_VALUE"""),"—")</f>
        <v>—</v>
      </c>
      <c r="J40" s="64" t="str">
        <f>IFERROR(__xludf.DUMMYFUNCTION("""COMPUTED_VALUE"""),"450000")</f>
        <v>450000</v>
      </c>
      <c r="K40" s="115" t="str">
        <f>IFERROR(__xludf.DUMMYFUNCTION("""COMPUTED_VALUE"""),"https://drive.google.com/open?id=1Gi_5ij4VeUVfCmlwcC-fub9ubQUZaqe2")</f>
        <v>https://drive.google.com/open?id=1Gi_5ij4VeUVfCmlwcC-fub9ubQUZaqe2</v>
      </c>
      <c r="L40" s="135"/>
      <c r="M40" s="135"/>
      <c r="N40" s="135"/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  <c r="AC40" s="135"/>
      <c r="AD40" s="135"/>
    </row>
    <row r="41" ht="28.5" customHeight="1">
      <c r="A41" s="64" t="str">
        <f>IFERROR(__xludf.DUMMYFUNCTION("""COMPUTED_VALUE"""),"2018-2022")</f>
        <v>2018-2022</v>
      </c>
      <c r="B41" s="64" t="str">
        <f>IFERROR(__xludf.DUMMYFUNCTION("""COMPUTED_VALUE"""),"S18: Students Placements")</f>
        <v>S18: Students Placements</v>
      </c>
      <c r="C41" s="64" t="str">
        <f>IFERROR(__xludf.DUMMYFUNCTION("""COMPUTED_VALUE"""),"annam.venkat24a@gmail.com")</f>
        <v>annam.venkat24a@gmail.com</v>
      </c>
      <c r="D41" s="64" t="str">
        <f>IFERROR(__xludf.DUMMYFUNCTION("""COMPUTED_VALUE"""),"SEM-8")</f>
        <v>SEM-8</v>
      </c>
      <c r="E41" s="64" t="str">
        <f>IFERROR(__xludf.DUMMYFUNCTION("""COMPUTED_VALUE"""),"Lohith venkat Annam ")</f>
        <v>Lohith venkat Annam </v>
      </c>
      <c r="F41" s="64" t="str">
        <f>IFERROR(__xludf.DUMMYFUNCTION("""COMPUTED_VALUE"""),"18331A0506")</f>
        <v>18331A0506</v>
      </c>
      <c r="G41" s="64" t="str">
        <f>IFERROR(__xludf.DUMMYFUNCTION("""COMPUTED_VALUE"""),"Zensar ")</f>
        <v>Zensar </v>
      </c>
      <c r="H41" s="114">
        <f>IFERROR(__xludf.DUMMYFUNCTION("""COMPUTED_VALUE"""),44762.0)</f>
        <v>44762</v>
      </c>
      <c r="I41" s="64" t="str">
        <f>IFERROR(__xludf.DUMMYFUNCTION("""COMPUTED_VALUE"""),"Hyderabad ")</f>
        <v>Hyderabad </v>
      </c>
      <c r="J41" s="64" t="str">
        <f>IFERROR(__xludf.DUMMYFUNCTION("""COMPUTED_VALUE"""),"4")</f>
        <v>4</v>
      </c>
      <c r="K41" s="115" t="str">
        <f>IFERROR(__xludf.DUMMYFUNCTION("""COMPUTED_VALUE"""),"https://drive.google.com/open?id=1EDQ4Q2i0hjkmh99LPVKvOHUeTL69iJz-")</f>
        <v>https://drive.google.com/open?id=1EDQ4Q2i0hjkmh99LPVKvOHUeTL69iJz-</v>
      </c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135"/>
      <c r="AC41" s="135"/>
      <c r="AD41" s="135"/>
    </row>
    <row r="42" ht="28.5" customHeight="1">
      <c r="A42" s="64" t="str">
        <f>IFERROR(__xludf.DUMMYFUNCTION("""COMPUTED_VALUE"""),"2018-2022")</f>
        <v>2018-2022</v>
      </c>
      <c r="B42" s="64" t="str">
        <f>IFERROR(__xludf.DUMMYFUNCTION("""COMPUTED_VALUE"""),"S18: Students Placements")</f>
        <v>S18: Students Placements</v>
      </c>
      <c r="C42" s="64" t="str">
        <f>IFERROR(__xludf.DUMMYFUNCTION("""COMPUTED_VALUE"""),"nani.bhogapurapu1106@gmail.com")</f>
        <v>nani.bhogapurapu1106@gmail.com</v>
      </c>
      <c r="D42" s="64" t="str">
        <f>IFERROR(__xludf.DUMMYFUNCTION("""COMPUTED_VALUE"""),"SEM-8")</f>
        <v>SEM-8</v>
      </c>
      <c r="E42" s="64" t="str">
        <f>IFERROR(__xludf.DUMMYFUNCTION("""COMPUTED_VALUE"""),"B Prasad")</f>
        <v>B Prasad</v>
      </c>
      <c r="F42" s="64" t="str">
        <f>IFERROR(__xludf.DUMMYFUNCTION("""COMPUTED_VALUE"""),"18331A0514")</f>
        <v>18331A0514</v>
      </c>
      <c r="G42" s="64" t="str">
        <f>IFERROR(__xludf.DUMMYFUNCTION("""COMPUTED_VALUE"""),"Wipro")</f>
        <v>Wipro</v>
      </c>
      <c r="H42" s="114">
        <f>IFERROR(__xludf.DUMMYFUNCTION("""COMPUTED_VALUE"""),44723.0)</f>
        <v>44723</v>
      </c>
      <c r="I42" s="64" t="str">
        <f>IFERROR(__xludf.DUMMYFUNCTION("""COMPUTED_VALUE"""),"—")</f>
        <v>—</v>
      </c>
      <c r="J42" s="64" t="str">
        <f>IFERROR(__xludf.DUMMYFUNCTION("""COMPUTED_VALUE"""),"360000")</f>
        <v>360000</v>
      </c>
      <c r="K42" s="115" t="str">
        <f>IFERROR(__xludf.DUMMYFUNCTION("""COMPUTED_VALUE"""),"https://drive.google.com/open?id=1PRE1qe4Sha5GpZbyDT-TrczxIuR5f2Bv")</f>
        <v>https://drive.google.com/open?id=1PRE1qe4Sha5GpZbyDT-TrczxIuR5f2Bv</v>
      </c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</row>
    <row r="43" ht="28.5" customHeight="1">
      <c r="A43" s="64" t="str">
        <f>IFERROR(__xludf.DUMMYFUNCTION("""COMPUTED_VALUE"""),"2018-2022")</f>
        <v>2018-2022</v>
      </c>
      <c r="B43" s="64" t="str">
        <f>IFERROR(__xludf.DUMMYFUNCTION("""COMPUTED_VALUE"""),"S18: Students Placements")</f>
        <v>S18: Students Placements</v>
      </c>
      <c r="C43" s="64" t="str">
        <f>IFERROR(__xludf.DUMMYFUNCTION("""COMPUTED_VALUE"""),"nani.bhogapurapu1106@gmail.com")</f>
        <v>nani.bhogapurapu1106@gmail.com</v>
      </c>
      <c r="D43" s="64" t="str">
        <f>IFERROR(__xludf.DUMMYFUNCTION("""COMPUTED_VALUE"""),"SEM-8")</f>
        <v>SEM-8</v>
      </c>
      <c r="E43" s="64" t="str">
        <f>IFERROR(__xludf.DUMMYFUNCTION("""COMPUTED_VALUE"""),"B Prasad")</f>
        <v>B Prasad</v>
      </c>
      <c r="F43" s="64" t="str">
        <f>IFERROR(__xludf.DUMMYFUNCTION("""COMPUTED_VALUE"""),"18331A0514")</f>
        <v>18331A0514</v>
      </c>
      <c r="G43" s="64" t="str">
        <f>IFERROR(__xludf.DUMMYFUNCTION("""COMPUTED_VALUE"""),"Infosys")</f>
        <v>Infosys</v>
      </c>
      <c r="H43" s="114">
        <f>IFERROR(__xludf.DUMMYFUNCTION("""COMPUTED_VALUE"""),44723.0)</f>
        <v>44723</v>
      </c>
      <c r="I43" s="64" t="str">
        <f>IFERROR(__xludf.DUMMYFUNCTION("""COMPUTED_VALUE"""),"—")</f>
        <v>—</v>
      </c>
      <c r="J43" s="64" t="str">
        <f>IFERROR(__xludf.DUMMYFUNCTION("""COMPUTED_VALUE"""),"625000")</f>
        <v>625000</v>
      </c>
      <c r="K43" s="115" t="str">
        <f>IFERROR(__xludf.DUMMYFUNCTION("""COMPUTED_VALUE"""),"https://drive.google.com/open?id=10Ku5E62Gd_X9NlW3SyI23bLo1nHVOOTr")</f>
        <v>https://drive.google.com/open?id=10Ku5E62Gd_X9NlW3SyI23bLo1nHVOOTr</v>
      </c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5"/>
      <c r="AC43" s="135"/>
      <c r="AD43" s="135"/>
    </row>
    <row r="44" ht="28.5" customHeight="1">
      <c r="A44" s="64" t="str">
        <f>IFERROR(__xludf.DUMMYFUNCTION("""COMPUTED_VALUE"""),"2018-2022")</f>
        <v>2018-2022</v>
      </c>
      <c r="B44" s="64" t="str">
        <f>IFERROR(__xludf.DUMMYFUNCTION("""COMPUTED_VALUE"""),"S18: Students Placements")</f>
        <v>S18: Students Placements</v>
      </c>
      <c r="C44" s="64" t="str">
        <f>IFERROR(__xludf.DUMMYFUNCTION("""COMPUTED_VALUE"""),"tammineniyashwanth@gmail.com")</f>
        <v>tammineniyashwanth@gmail.com</v>
      </c>
      <c r="D44" s="64" t="str">
        <f>IFERROR(__xludf.DUMMYFUNCTION("""COMPUTED_VALUE"""),"SEM-8")</f>
        <v>SEM-8</v>
      </c>
      <c r="E44" s="64" t="str">
        <f>IFERROR(__xludf.DUMMYFUNCTION("""COMPUTED_VALUE"""),"TAMMINANA YASHWANTH")</f>
        <v>TAMMINANA YASHWANTH</v>
      </c>
      <c r="F44" s="64" t="str">
        <f>IFERROR(__xludf.DUMMYFUNCTION("""COMPUTED_VALUE"""),"18331A05F2")</f>
        <v>18331A05F2</v>
      </c>
      <c r="G44" s="64" t="str">
        <f>IFERROR(__xludf.DUMMYFUNCTION("""COMPUTED_VALUE"""),"INFOSYS, WIPRO, COGNIZANT")</f>
        <v>INFOSYS, WIPRO, COGNIZANT</v>
      </c>
      <c r="H44" s="114">
        <f>IFERROR(__xludf.DUMMYFUNCTION("""COMPUTED_VALUE"""),44757.0)</f>
        <v>44757</v>
      </c>
      <c r="I44" s="64" t="str">
        <f>IFERROR(__xludf.DUMMYFUNCTION("""COMPUTED_VALUE"""),"Hyderabad &amp; Chennai")</f>
        <v>Hyderabad &amp; Chennai</v>
      </c>
      <c r="J44" s="64" t="str">
        <f>IFERROR(__xludf.DUMMYFUNCTION("""COMPUTED_VALUE"""),"5.5 LPA")</f>
        <v>5.5 LPA</v>
      </c>
      <c r="K44" s="115" t="str">
        <f>IFERROR(__xludf.DUMMYFUNCTION("""COMPUTED_VALUE"""),"https://drive.google.com/open?id=1aoUkZBcN2ML6PLKzMhKZOLGvSduWTyzX")</f>
        <v>https://drive.google.com/open?id=1aoUkZBcN2ML6PLKzMhKZOLGvSduWTyzX</v>
      </c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</row>
    <row r="45" ht="28.5" customHeight="1">
      <c r="A45" s="64" t="str">
        <f>IFERROR(__xludf.DUMMYFUNCTION("""COMPUTED_VALUE"""),"2018-2022")</f>
        <v>2018-2022</v>
      </c>
      <c r="B45" s="64" t="str">
        <f>IFERROR(__xludf.DUMMYFUNCTION("""COMPUTED_VALUE"""),"S18: Students Placements")</f>
        <v>S18: Students Placements</v>
      </c>
      <c r="C45" s="64" t="str">
        <f>IFERROR(__xludf.DUMMYFUNCTION("""COMPUTED_VALUE"""),"visrutha2001@gmail.com")</f>
        <v>visrutha2001@gmail.com</v>
      </c>
      <c r="D45" s="64" t="str">
        <f>IFERROR(__xludf.DUMMYFUNCTION("""COMPUTED_VALUE"""),"SEM-8")</f>
        <v>SEM-8</v>
      </c>
      <c r="E45" s="64" t="str">
        <f>IFERROR(__xludf.DUMMYFUNCTION("""COMPUTED_VALUE"""),"Nakkina Visrutha")</f>
        <v>Nakkina Visrutha</v>
      </c>
      <c r="F45" s="64" t="str">
        <f>IFERROR(__xludf.DUMMYFUNCTION("""COMPUTED_VALUE"""),"18331A05A6")</f>
        <v>18331A05A6</v>
      </c>
      <c r="G45" s="64" t="str">
        <f>IFERROR(__xludf.DUMMYFUNCTION("""COMPUTED_VALUE"""),"Wipro")</f>
        <v>Wipro</v>
      </c>
      <c r="H45" s="114">
        <f>IFERROR(__xludf.DUMMYFUNCTION("""COMPUTED_VALUE"""),44580.0)</f>
        <v>44580</v>
      </c>
      <c r="I45" s="64" t="str">
        <f>IFERROR(__xludf.DUMMYFUNCTION("""COMPUTED_VALUE"""),"Not given")</f>
        <v>Not given</v>
      </c>
      <c r="J45" s="64" t="str">
        <f>IFERROR(__xludf.DUMMYFUNCTION("""COMPUTED_VALUE"""),"3.5")</f>
        <v>3.5</v>
      </c>
      <c r="K45" s="115" t="str">
        <f>IFERROR(__xludf.DUMMYFUNCTION("""COMPUTED_VALUE"""),"https://drive.google.com/open?id=1Fq8ntn83IQFZjCmTbG2xuGOFjEVnA7oP")</f>
        <v>https://drive.google.com/open?id=1Fq8ntn83IQFZjCmTbG2xuGOFjEVnA7oP</v>
      </c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  <c r="X45" s="135"/>
      <c r="Y45" s="135"/>
      <c r="Z45" s="135"/>
      <c r="AA45" s="135"/>
      <c r="AB45" s="135"/>
      <c r="AC45" s="135"/>
      <c r="AD45" s="135"/>
    </row>
    <row r="46" ht="28.5" customHeight="1">
      <c r="A46" s="64" t="str">
        <f>IFERROR(__xludf.DUMMYFUNCTION("""COMPUTED_VALUE"""),"2018-2022")</f>
        <v>2018-2022</v>
      </c>
      <c r="B46" s="64" t="str">
        <f>IFERROR(__xludf.DUMMYFUNCTION("""COMPUTED_VALUE"""),"S18: Students Placements")</f>
        <v>S18: Students Placements</v>
      </c>
      <c r="C46" s="64" t="str">
        <f>IFERROR(__xludf.DUMMYFUNCTION("""COMPUTED_VALUE"""),"gorsaumamahesh@gmail.com")</f>
        <v>gorsaumamahesh@gmail.com</v>
      </c>
      <c r="D46" s="64" t="str">
        <f>IFERROR(__xludf.DUMMYFUNCTION("""COMPUTED_VALUE"""),"SEM-8")</f>
        <v>SEM-8</v>
      </c>
      <c r="E46" s="64" t="str">
        <f>IFERROR(__xludf.DUMMYFUNCTION("""COMPUTED_VALUE"""),"Gorsa Uma Mahesh")</f>
        <v>Gorsa Uma Mahesh</v>
      </c>
      <c r="F46" s="64" t="str">
        <f>IFERROR(__xludf.DUMMYFUNCTION("""COMPUTED_VALUE"""),"18331A0550")</f>
        <v>18331A0550</v>
      </c>
      <c r="G46" s="64" t="str">
        <f>IFERROR(__xludf.DUMMYFUNCTION("""COMPUTED_VALUE"""),"Capgemini")</f>
        <v>Capgemini</v>
      </c>
      <c r="H46" s="114">
        <f>IFERROR(__xludf.DUMMYFUNCTION("""COMPUTED_VALUE"""),44622.0)</f>
        <v>44622</v>
      </c>
      <c r="I46" s="64" t="str">
        <f>IFERROR(__xludf.DUMMYFUNCTION("""COMPUTED_VALUE"""),"Hyderabad, Bangalore, Chennai, Pune")</f>
        <v>Hyderabad, Bangalore, Chennai, Pune</v>
      </c>
      <c r="J46" s="64" t="str">
        <f>IFERROR(__xludf.DUMMYFUNCTION("""COMPUTED_VALUE"""),"4 LPA")</f>
        <v>4 LPA</v>
      </c>
      <c r="K46" s="115" t="str">
        <f>IFERROR(__xludf.DUMMYFUNCTION("""COMPUTED_VALUE"""),"https://drive.google.com/open?id=1kDF-MB6lGC-Z5LbMtHfLutR5nCFaEE1X")</f>
        <v>https://drive.google.com/open?id=1kDF-MB6lGC-Z5LbMtHfLutR5nCFaEE1X</v>
      </c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</row>
    <row r="47" ht="28.5" customHeight="1">
      <c r="A47" s="64" t="str">
        <f>IFERROR(__xludf.DUMMYFUNCTION("""COMPUTED_VALUE"""),"2018-2022")</f>
        <v>2018-2022</v>
      </c>
      <c r="B47" s="64" t="str">
        <f>IFERROR(__xludf.DUMMYFUNCTION("""COMPUTED_VALUE"""),"S18: Students Placements")</f>
        <v>S18: Students Placements</v>
      </c>
      <c r="C47" s="64" t="str">
        <f>IFERROR(__xludf.DUMMYFUNCTION("""COMPUTED_VALUE"""),"gorsaumamahesh@gmail.com")</f>
        <v>gorsaumamahesh@gmail.com</v>
      </c>
      <c r="D47" s="64" t="str">
        <f>IFERROR(__xludf.DUMMYFUNCTION("""COMPUTED_VALUE"""),"SEM-8")</f>
        <v>SEM-8</v>
      </c>
      <c r="E47" s="64" t="str">
        <f>IFERROR(__xludf.DUMMYFUNCTION("""COMPUTED_VALUE"""),"Gorsa Uma Mahesh")</f>
        <v>Gorsa Uma Mahesh</v>
      </c>
      <c r="F47" s="64" t="str">
        <f>IFERROR(__xludf.DUMMYFUNCTION("""COMPUTED_VALUE"""),"18331A0550")</f>
        <v>18331A0550</v>
      </c>
      <c r="G47" s="64" t="str">
        <f>IFERROR(__xludf.DUMMYFUNCTION("""COMPUTED_VALUE"""),"Wipro")</f>
        <v>Wipro</v>
      </c>
      <c r="H47" s="114">
        <f>IFERROR(__xludf.DUMMYFUNCTION("""COMPUTED_VALUE"""),44641.0)</f>
        <v>44641</v>
      </c>
      <c r="I47" s="64" t="str">
        <f>IFERROR(__xludf.DUMMYFUNCTION("""COMPUTED_VALUE"""),"Not Mentioned")</f>
        <v>Not Mentioned</v>
      </c>
      <c r="J47" s="64" t="str">
        <f>IFERROR(__xludf.DUMMYFUNCTION("""COMPUTED_VALUE"""),"3.5 LPA")</f>
        <v>3.5 LPA</v>
      </c>
      <c r="K47" s="115" t="str">
        <f>IFERROR(__xludf.DUMMYFUNCTION("""COMPUTED_VALUE"""),"https://drive.google.com/open?id=1E5XqRSmk05zWihTMLgZg6Ql9IoaxNiDl")</f>
        <v>https://drive.google.com/open?id=1E5XqRSmk05zWihTMLgZg6Ql9IoaxNiDl</v>
      </c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/>
      <c r="AA47" s="135"/>
      <c r="AB47" s="135"/>
      <c r="AC47" s="135"/>
      <c r="AD47" s="135"/>
    </row>
    <row r="48" ht="28.5" customHeight="1">
      <c r="A48" s="64" t="str">
        <f>IFERROR(__xludf.DUMMYFUNCTION("""COMPUTED_VALUE"""),"2018-2022")</f>
        <v>2018-2022</v>
      </c>
      <c r="B48" s="64" t="str">
        <f>IFERROR(__xludf.DUMMYFUNCTION("""COMPUTED_VALUE"""),"S18: Students Placements")</f>
        <v>S18: Students Placements</v>
      </c>
      <c r="C48" s="64" t="str">
        <f>IFERROR(__xludf.DUMMYFUNCTION("""COMPUTED_VALUE"""),"gorsaumamahesh@gmail.com")</f>
        <v>gorsaumamahesh@gmail.com</v>
      </c>
      <c r="D48" s="64" t="str">
        <f>IFERROR(__xludf.DUMMYFUNCTION("""COMPUTED_VALUE"""),"SEM-8")</f>
        <v>SEM-8</v>
      </c>
      <c r="E48" s="64" t="str">
        <f>IFERROR(__xludf.DUMMYFUNCTION("""COMPUTED_VALUE"""),"Gorsa Uma Mahesh")</f>
        <v>Gorsa Uma Mahesh</v>
      </c>
      <c r="F48" s="64" t="str">
        <f>IFERROR(__xludf.DUMMYFUNCTION("""COMPUTED_VALUE"""),"18331A0550")</f>
        <v>18331A0550</v>
      </c>
      <c r="G48" s="64" t="str">
        <f>IFERROR(__xludf.DUMMYFUNCTION("""COMPUTED_VALUE"""),"Infosys")</f>
        <v>Infosys</v>
      </c>
      <c r="H48" s="114">
        <f>IFERROR(__xludf.DUMMYFUNCTION("""COMPUTED_VALUE"""),44608.0)</f>
        <v>44608</v>
      </c>
      <c r="I48" s="64" t="str">
        <f>IFERROR(__xludf.DUMMYFUNCTION("""COMPUTED_VALUE"""),"Not Mentioned")</f>
        <v>Not Mentioned</v>
      </c>
      <c r="J48" s="64" t="str">
        <f>IFERROR(__xludf.DUMMYFUNCTION("""COMPUTED_VALUE"""),"3.6 LPA")</f>
        <v>3.6 LPA</v>
      </c>
      <c r="K48" s="115" t="str">
        <f>IFERROR(__xludf.DUMMYFUNCTION("""COMPUTED_VALUE"""),"https://drive.google.com/open?id=1sdkBp2g2wlH95wnFfXO8E9JBzRju_s2I")</f>
        <v>https://drive.google.com/open?id=1sdkBp2g2wlH95wnFfXO8E9JBzRju_s2I</v>
      </c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  <c r="X48" s="135"/>
      <c r="Y48" s="135"/>
      <c r="Z48" s="135"/>
      <c r="AA48" s="135"/>
      <c r="AB48" s="135"/>
      <c r="AC48" s="135"/>
      <c r="AD48" s="135"/>
    </row>
    <row r="49" ht="28.5" customHeight="1">
      <c r="A49" s="135" t="str">
        <f>IFERROR(__xludf.DUMMYFUNCTION("""COMPUTED_VALUE"""),"2018-2022")</f>
        <v>2018-2022</v>
      </c>
      <c r="B49" s="135" t="str">
        <f>IFERROR(__xludf.DUMMYFUNCTION("""COMPUTED_VALUE"""),"S18: Students Placements")</f>
        <v>S18: Students Placements</v>
      </c>
      <c r="C49" s="135" t="str">
        <f>IFERROR(__xludf.DUMMYFUNCTION("""COMPUTED_VALUE"""),"chaitra2026@gmail.com")</f>
        <v>chaitra2026@gmail.com</v>
      </c>
      <c r="D49" s="135" t="str">
        <f>IFERROR(__xludf.DUMMYFUNCTION("""COMPUTED_VALUE"""),"SEM-7")</f>
        <v>SEM-7</v>
      </c>
      <c r="E49" s="135" t="str">
        <f>IFERROR(__xludf.DUMMYFUNCTION("""COMPUTED_VALUE"""),"Chaitra Mudili")</f>
        <v>Chaitra Mudili</v>
      </c>
      <c r="F49" s="135" t="str">
        <f>IFERROR(__xludf.DUMMYFUNCTION("""COMPUTED_VALUE"""),"18331A05A0")</f>
        <v>18331A05A0</v>
      </c>
      <c r="G49" s="135" t="str">
        <f>IFERROR(__xludf.DUMMYFUNCTION("""COMPUTED_VALUE"""),"Nineleaps")</f>
        <v>Nineleaps</v>
      </c>
      <c r="H49" s="137">
        <f>IFERROR(__xludf.DUMMYFUNCTION("""COMPUTED_VALUE"""),44582.0)</f>
        <v>44582</v>
      </c>
      <c r="I49" s="135" t="str">
        <f>IFERROR(__xludf.DUMMYFUNCTION("""COMPUTED_VALUE"""),"Bengaluru")</f>
        <v>Bengaluru</v>
      </c>
      <c r="J49" s="135" t="str">
        <f>IFERROR(__xludf.DUMMYFUNCTION("""COMPUTED_VALUE"""),"6 LPA")</f>
        <v>6 LPA</v>
      </c>
      <c r="K49" s="138" t="str">
        <f>IFERROR(__xludf.DUMMYFUNCTION("""COMPUTED_VALUE"""),"https://drive.google.com/open?id=18-a0w47scSsmZJAzorKo9Sn3YYYe_smU")</f>
        <v>https://drive.google.com/open?id=18-a0w47scSsmZJAzorKo9Sn3YYYe_smU</v>
      </c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  <c r="X49" s="135"/>
      <c r="Y49" s="135"/>
      <c r="Z49" s="135"/>
      <c r="AA49" s="135"/>
      <c r="AB49" s="135"/>
      <c r="AC49" s="135"/>
      <c r="AD49" s="135"/>
    </row>
    <row r="50" ht="28.5" customHeight="1">
      <c r="A50" s="135" t="str">
        <f>IFERROR(__xludf.DUMMYFUNCTION("""COMPUTED_VALUE"""),"2018-2022")</f>
        <v>2018-2022</v>
      </c>
      <c r="B50" s="135" t="str">
        <f>IFERROR(__xludf.DUMMYFUNCTION("""COMPUTED_VALUE"""),"S18: Students Placements")</f>
        <v>S18: Students Placements</v>
      </c>
      <c r="C50" s="135" t="str">
        <f>IFERROR(__xludf.DUMMYFUNCTION("""COMPUTED_VALUE"""),"chaitra2026@gmail.com")</f>
        <v>chaitra2026@gmail.com</v>
      </c>
      <c r="D50" s="135" t="str">
        <f>IFERROR(__xludf.DUMMYFUNCTION("""COMPUTED_VALUE"""),"SEM-7")</f>
        <v>SEM-7</v>
      </c>
      <c r="E50" s="135" t="str">
        <f>IFERROR(__xludf.DUMMYFUNCTION("""COMPUTED_VALUE"""),"Chaitra Mudili")</f>
        <v>Chaitra Mudili</v>
      </c>
      <c r="F50" s="135" t="str">
        <f>IFERROR(__xludf.DUMMYFUNCTION("""COMPUTED_VALUE"""),"18331A05A0")</f>
        <v>18331A05A0</v>
      </c>
      <c r="G50" s="135" t="str">
        <f>IFERROR(__xludf.DUMMYFUNCTION("""COMPUTED_VALUE"""),"TCS")</f>
        <v>TCS</v>
      </c>
      <c r="H50" s="137">
        <f>IFERROR(__xludf.DUMMYFUNCTION("""COMPUTED_VALUE"""),44513.0)</f>
        <v>44513</v>
      </c>
      <c r="I50" s="135" t="str">
        <f>IFERROR(__xludf.DUMMYFUNCTION("""COMPUTED_VALUE"""),"Hyderabad")</f>
        <v>Hyderabad</v>
      </c>
      <c r="J50" s="135" t="str">
        <f>IFERROR(__xludf.DUMMYFUNCTION("""COMPUTED_VALUE"""),"3.5 LPA")</f>
        <v>3.5 LPA</v>
      </c>
      <c r="K50" s="138" t="str">
        <f>IFERROR(__xludf.DUMMYFUNCTION("""COMPUTED_VALUE"""),"https://drive.google.com/open?id=1zVX-SuzGECg7LzbRtMFuZdxD-iQBGGF_")</f>
        <v>https://drive.google.com/open?id=1zVX-SuzGECg7LzbRtMFuZdxD-iQBGGF_</v>
      </c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135"/>
      <c r="AC50" s="135"/>
      <c r="AD50" s="135"/>
    </row>
    <row r="51" ht="28.5" customHeight="1">
      <c r="A51" s="135" t="str">
        <f>IFERROR(__xludf.DUMMYFUNCTION("""COMPUTED_VALUE"""),"2018-2022")</f>
        <v>2018-2022</v>
      </c>
      <c r="B51" s="135" t="str">
        <f>IFERROR(__xludf.DUMMYFUNCTION("""COMPUTED_VALUE"""),"S18: Students Placements")</f>
        <v>S18: Students Placements</v>
      </c>
      <c r="C51" s="135" t="str">
        <f>IFERROR(__xludf.DUMMYFUNCTION("""COMPUTED_VALUE"""),"chaitra2026@gmail.com")</f>
        <v>chaitra2026@gmail.com</v>
      </c>
      <c r="D51" s="135" t="str">
        <f>IFERROR(__xludf.DUMMYFUNCTION("""COMPUTED_VALUE"""),"SEM-7")</f>
        <v>SEM-7</v>
      </c>
      <c r="E51" s="135" t="str">
        <f>IFERROR(__xludf.DUMMYFUNCTION("""COMPUTED_VALUE"""),"Chaitra Mudili")</f>
        <v>Chaitra Mudili</v>
      </c>
      <c r="F51" s="135" t="str">
        <f>IFERROR(__xludf.DUMMYFUNCTION("""COMPUTED_VALUE"""),"18331A05A0")</f>
        <v>18331A05A0</v>
      </c>
      <c r="G51" s="135" t="str">
        <f>IFERROR(__xludf.DUMMYFUNCTION("""COMPUTED_VALUE"""),"EPAM")</f>
        <v>EPAM</v>
      </c>
      <c r="H51" s="137">
        <f>IFERROR(__xludf.DUMMYFUNCTION("""COMPUTED_VALUE"""),44553.0)</f>
        <v>44553</v>
      </c>
      <c r="I51" s="135" t="str">
        <f>IFERROR(__xludf.DUMMYFUNCTION("""COMPUTED_VALUE"""),"Hyderabad")</f>
        <v>Hyderabad</v>
      </c>
      <c r="J51" s="135" t="str">
        <f>IFERROR(__xludf.DUMMYFUNCTION("""COMPUTED_VALUE"""),"6 LPA")</f>
        <v>6 LPA</v>
      </c>
      <c r="K51" s="138" t="str">
        <f>IFERROR(__xludf.DUMMYFUNCTION("""COMPUTED_VALUE"""),"https://drive.google.com/open?id=1VxliUCGOODJ1C5PpsB812wypWpNRq2HE")</f>
        <v>https://drive.google.com/open?id=1VxliUCGOODJ1C5PpsB812wypWpNRq2HE</v>
      </c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135"/>
      <c r="AC51" s="135"/>
      <c r="AD51" s="135"/>
    </row>
    <row r="52" ht="28.5" customHeight="1">
      <c r="A52" s="135" t="str">
        <f>IFERROR(__xludf.DUMMYFUNCTION("""COMPUTED_VALUE"""),"2018-2022")</f>
        <v>2018-2022</v>
      </c>
      <c r="B52" s="135" t="str">
        <f>IFERROR(__xludf.DUMMYFUNCTION("""COMPUTED_VALUE"""),"S18: Students Placements")</f>
        <v>S18: Students Placements</v>
      </c>
      <c r="C52" s="135" t="str">
        <f>IFERROR(__xludf.DUMMYFUNCTION("""COMPUTED_VALUE"""),"chaitra2026@gmail.com")</f>
        <v>chaitra2026@gmail.com</v>
      </c>
      <c r="D52" s="135" t="str">
        <f>IFERROR(__xludf.DUMMYFUNCTION("""COMPUTED_VALUE"""),"SEM-7")</f>
        <v>SEM-7</v>
      </c>
      <c r="E52" s="135" t="str">
        <f>IFERROR(__xludf.DUMMYFUNCTION("""COMPUTED_VALUE"""),"Chaitra Mudili")</f>
        <v>Chaitra Mudili</v>
      </c>
      <c r="F52" s="135" t="str">
        <f>IFERROR(__xludf.DUMMYFUNCTION("""COMPUTED_VALUE"""),"18331A05A0")</f>
        <v>18331A05A0</v>
      </c>
      <c r="G52" s="135" t="str">
        <f>IFERROR(__xludf.DUMMYFUNCTION("""COMPUTED_VALUE"""),"IBM")</f>
        <v>IBM</v>
      </c>
      <c r="H52" s="137">
        <f>IFERROR(__xludf.DUMMYFUNCTION("""COMPUTED_VALUE"""),44524.0)</f>
        <v>44524</v>
      </c>
      <c r="I52" s="135" t="str">
        <f>IFERROR(__xludf.DUMMYFUNCTION("""COMPUTED_VALUE"""),"Hyderabad")</f>
        <v>Hyderabad</v>
      </c>
      <c r="J52" s="135" t="str">
        <f>IFERROR(__xludf.DUMMYFUNCTION("""COMPUTED_VALUE"""),"4 LPA")</f>
        <v>4 LPA</v>
      </c>
      <c r="K52" s="138" t="str">
        <f>IFERROR(__xludf.DUMMYFUNCTION("""COMPUTED_VALUE"""),"https://drive.google.com/open?id=16vJ2c7Sz-n251ixoB4r11aHuR7ZrMQU6")</f>
        <v>https://drive.google.com/open?id=16vJ2c7Sz-n251ixoB4r11aHuR7ZrMQU6</v>
      </c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</row>
    <row r="53" ht="28.5" customHeight="1">
      <c r="A53" s="135" t="str">
        <f>IFERROR(__xludf.DUMMYFUNCTION("""COMPUTED_VALUE"""),"2018-2022")</f>
        <v>2018-2022</v>
      </c>
      <c r="B53" s="135" t="str">
        <f>IFERROR(__xludf.DUMMYFUNCTION("""COMPUTED_VALUE"""),"S18: Students Placements")</f>
        <v>S18: Students Placements</v>
      </c>
      <c r="C53" s="135" t="str">
        <f>IFERROR(__xludf.DUMMYFUNCTION("""COMPUTED_VALUE"""),"chaitra2026@gmail.com")</f>
        <v>chaitra2026@gmail.com</v>
      </c>
      <c r="D53" s="135" t="str">
        <f>IFERROR(__xludf.DUMMYFUNCTION("""COMPUTED_VALUE"""),"SEM-7")</f>
        <v>SEM-7</v>
      </c>
      <c r="E53" s="135" t="str">
        <f>IFERROR(__xludf.DUMMYFUNCTION("""COMPUTED_VALUE"""),"Chaitra Mudili")</f>
        <v>Chaitra Mudili</v>
      </c>
      <c r="F53" s="135" t="str">
        <f>IFERROR(__xludf.DUMMYFUNCTION("""COMPUTED_VALUE"""),"18331A05A0")</f>
        <v>18331A05A0</v>
      </c>
      <c r="G53" s="135" t="str">
        <f>IFERROR(__xludf.DUMMYFUNCTION("""COMPUTED_VALUE"""),"Virtusa")</f>
        <v>Virtusa</v>
      </c>
      <c r="H53" s="137">
        <f>IFERROR(__xludf.DUMMYFUNCTION("""COMPUTED_VALUE"""),44490.0)</f>
        <v>44490</v>
      </c>
      <c r="I53" s="135" t="str">
        <f>IFERROR(__xludf.DUMMYFUNCTION("""COMPUTED_VALUE"""),"Hyderabad")</f>
        <v>Hyderabad</v>
      </c>
      <c r="J53" s="135" t="str">
        <f>IFERROR(__xludf.DUMMYFUNCTION("""COMPUTED_VALUE"""),"4 LPA")</f>
        <v>4 LPA</v>
      </c>
      <c r="K53" s="138" t="str">
        <f>IFERROR(__xludf.DUMMYFUNCTION("""COMPUTED_VALUE"""),"https://drive.google.com/open?id=1mrksKbOLasPCDh4N0rELWArGlMLbYDww")</f>
        <v>https://drive.google.com/open?id=1mrksKbOLasPCDh4N0rELWArGlMLbYDww</v>
      </c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  <c r="X53" s="135"/>
      <c r="Y53" s="135"/>
      <c r="Z53" s="135"/>
      <c r="AA53" s="135"/>
      <c r="AB53" s="135"/>
      <c r="AC53" s="135"/>
      <c r="AD53" s="135"/>
    </row>
    <row r="54" ht="28.5" customHeight="1">
      <c r="A54" s="135" t="str">
        <f>IFERROR(__xludf.DUMMYFUNCTION("""COMPUTED_VALUE"""),"2018-2022")</f>
        <v>2018-2022</v>
      </c>
      <c r="B54" s="135" t="str">
        <f>IFERROR(__xludf.DUMMYFUNCTION("""COMPUTED_VALUE"""),"S18: Students Placements")</f>
        <v>S18: Students Placements</v>
      </c>
      <c r="C54" s="135" t="str">
        <f>IFERROR(__xludf.DUMMYFUNCTION("""COMPUTED_VALUE"""),"chaitra2026@gmail.com")</f>
        <v>chaitra2026@gmail.com</v>
      </c>
      <c r="D54" s="135" t="str">
        <f>IFERROR(__xludf.DUMMYFUNCTION("""COMPUTED_VALUE"""),"SEM-8")</f>
        <v>SEM-8</v>
      </c>
      <c r="E54" s="135" t="str">
        <f>IFERROR(__xludf.DUMMYFUNCTION("""COMPUTED_VALUE"""),"Chaitra Mudili")</f>
        <v>Chaitra Mudili</v>
      </c>
      <c r="F54" s="135" t="str">
        <f>IFERROR(__xludf.DUMMYFUNCTION("""COMPUTED_VALUE"""),"18331A05A0")</f>
        <v>18331A05A0</v>
      </c>
      <c r="G54" s="135" t="str">
        <f>IFERROR(__xludf.DUMMYFUNCTION("""COMPUTED_VALUE"""),"CoMakeIT")</f>
        <v>CoMakeIT</v>
      </c>
      <c r="H54" s="137">
        <f>IFERROR(__xludf.DUMMYFUNCTION("""COMPUTED_VALUE"""),44621.0)</f>
        <v>44621</v>
      </c>
      <c r="I54" s="135" t="str">
        <f>IFERROR(__xludf.DUMMYFUNCTION("""COMPUTED_VALUE"""),"Hyderabad")</f>
        <v>Hyderabad</v>
      </c>
      <c r="J54" s="135" t="str">
        <f>IFERROR(__xludf.DUMMYFUNCTION("""COMPUTED_VALUE"""),"8 LPA")</f>
        <v>8 LPA</v>
      </c>
      <c r="K54" s="138" t="str">
        <f>IFERROR(__xludf.DUMMYFUNCTION("""COMPUTED_VALUE"""),"https://drive.google.com/open?id=1cyON3c8nXK_FYMBZYNBrHQbAuLtneQDw")</f>
        <v>https://drive.google.com/open?id=1cyON3c8nXK_FYMBZYNBrHQbAuLtneQDw</v>
      </c>
      <c r="L54" s="135"/>
      <c r="M54" s="135"/>
      <c r="N54" s="135"/>
      <c r="O54" s="135"/>
      <c r="P54" s="135"/>
      <c r="Q54" s="135"/>
      <c r="R54" s="135"/>
      <c r="S54" s="135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</row>
    <row r="55" ht="28.5" customHeight="1">
      <c r="A55" s="135"/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</row>
    <row r="56" ht="28.5" customHeight="1">
      <c r="A56" s="135"/>
      <c r="B56" s="135"/>
      <c r="C56" s="135"/>
      <c r="D56" s="135"/>
      <c r="E56" s="135"/>
      <c r="F56" s="135"/>
      <c r="G56" s="135"/>
      <c r="H56" s="135"/>
      <c r="I56" s="135"/>
      <c r="J56" s="135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5"/>
      <c r="Y56" s="135"/>
      <c r="Z56" s="135"/>
      <c r="AA56" s="135"/>
      <c r="AB56" s="135"/>
      <c r="AC56" s="135"/>
      <c r="AD56" s="135"/>
    </row>
    <row r="57" ht="28.5" customHeight="1">
      <c r="A57" s="135"/>
      <c r="B57" s="135"/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</row>
    <row r="58" ht="28.5" customHeight="1">
      <c r="A58" s="135"/>
      <c r="B58" s="135"/>
      <c r="C58" s="135"/>
      <c r="D58" s="135"/>
      <c r="E58" s="135"/>
      <c r="F58" s="135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</row>
    <row r="59" ht="28.5" customHeight="1">
      <c r="A59" s="135"/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</row>
    <row r="60" ht="28.5" customHeight="1">
      <c r="A60" s="135"/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5"/>
      <c r="Y60" s="135"/>
      <c r="Z60" s="135"/>
      <c r="AA60" s="135"/>
      <c r="AB60" s="135"/>
      <c r="AC60" s="135"/>
      <c r="AD60" s="135"/>
    </row>
    <row r="61" ht="28.5" customHeight="1">
      <c r="A61" s="135"/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  <c r="X61" s="135"/>
      <c r="Y61" s="135"/>
      <c r="Z61" s="135"/>
      <c r="AA61" s="135"/>
      <c r="AB61" s="135"/>
      <c r="AC61" s="135"/>
      <c r="AD61" s="135"/>
    </row>
    <row r="62" ht="28.5" customHeight="1">
      <c r="A62" s="135"/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5"/>
      <c r="Y62" s="135"/>
      <c r="Z62" s="135"/>
      <c r="AA62" s="135"/>
      <c r="AB62" s="135"/>
      <c r="AC62" s="135"/>
      <c r="AD62" s="135"/>
    </row>
    <row r="63" ht="28.5" customHeight="1">
      <c r="A63" s="135"/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</row>
    <row r="64" ht="28.5" customHeight="1">
      <c r="A64" s="135"/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  <c r="X64" s="135"/>
      <c r="Y64" s="135"/>
      <c r="Z64" s="135"/>
      <c r="AA64" s="135"/>
      <c r="AB64" s="135"/>
      <c r="AC64" s="135"/>
      <c r="AD64" s="135"/>
    </row>
    <row r="65" ht="28.5" customHeight="1">
      <c r="A65" s="135"/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5"/>
      <c r="Y65" s="135"/>
      <c r="Z65" s="135"/>
      <c r="AA65" s="135"/>
      <c r="AB65" s="135"/>
      <c r="AC65" s="135"/>
      <c r="AD65" s="135"/>
    </row>
    <row r="66" ht="28.5" customHeight="1">
      <c r="A66" s="135"/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</row>
    <row r="67" ht="28.5" customHeight="1">
      <c r="A67" s="135"/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  <c r="AA67" s="135"/>
      <c r="AB67" s="135"/>
      <c r="AC67" s="135"/>
      <c r="AD67" s="135"/>
    </row>
    <row r="68" ht="28.5" customHeight="1">
      <c r="A68" s="135"/>
      <c r="B68" s="135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  <c r="AA68" s="135"/>
      <c r="AB68" s="135"/>
      <c r="AC68" s="135"/>
      <c r="AD68" s="135"/>
    </row>
    <row r="69" ht="28.5" customHeight="1">
      <c r="A69" s="135"/>
      <c r="B69" s="135"/>
      <c r="C69" s="135"/>
      <c r="D69" s="135"/>
      <c r="E69" s="135"/>
      <c r="F69" s="135"/>
      <c r="G69" s="135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  <c r="AA69" s="135"/>
      <c r="AB69" s="135"/>
      <c r="AC69" s="135"/>
      <c r="AD69" s="135"/>
    </row>
    <row r="70" ht="28.5" customHeight="1">
      <c r="A70" s="135"/>
      <c r="B70" s="135"/>
      <c r="C70" s="135"/>
      <c r="D70" s="135"/>
      <c r="E70" s="135"/>
      <c r="F70" s="135"/>
      <c r="G70" s="135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</row>
    <row r="71" ht="28.5" customHeight="1">
      <c r="A71" s="135"/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</row>
    <row r="72" ht="28.5" customHeight="1">
      <c r="A72" s="135"/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</row>
    <row r="73" ht="28.5" customHeight="1">
      <c r="A73" s="135"/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</row>
    <row r="74" ht="28.5" customHeight="1">
      <c r="A74" s="135"/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</row>
    <row r="75" ht="28.5" customHeight="1">
      <c r="A75" s="135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</row>
    <row r="76" ht="28.5" customHeight="1">
      <c r="A76" s="135"/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</row>
    <row r="77" ht="28.5" customHeight="1">
      <c r="A77" s="135"/>
      <c r="B77" s="135"/>
      <c r="C77" s="135"/>
      <c r="D77" s="135"/>
      <c r="E77" s="135"/>
      <c r="F77" s="135"/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</row>
    <row r="78" ht="28.5" customHeight="1">
      <c r="A78" s="135"/>
      <c r="B78" s="135"/>
      <c r="C78" s="135"/>
      <c r="D78" s="135"/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</row>
    <row r="79" ht="28.5" customHeight="1">
      <c r="A79" s="135"/>
      <c r="B79" s="135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  <c r="AA79" s="135"/>
      <c r="AB79" s="135"/>
      <c r="AC79" s="135"/>
      <c r="AD79" s="135"/>
    </row>
    <row r="80" ht="28.5" customHeight="1">
      <c r="A80" s="135"/>
      <c r="B80" s="135"/>
      <c r="C80" s="135"/>
      <c r="D80" s="135"/>
      <c r="E80" s="135"/>
      <c r="F80" s="135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</row>
    <row r="81" ht="28.5" customHeight="1">
      <c r="A81" s="135"/>
      <c r="B81" s="135"/>
      <c r="C81" s="135"/>
      <c r="D81" s="135"/>
      <c r="E81" s="135"/>
      <c r="F81" s="135"/>
      <c r="G81" s="135"/>
      <c r="H81" s="135"/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  <c r="AA81" s="135"/>
      <c r="AB81" s="135"/>
      <c r="AC81" s="135"/>
      <c r="AD81" s="135"/>
    </row>
    <row r="82" ht="28.5" customHeight="1">
      <c r="A82" s="135"/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</row>
    <row r="83" ht="28.5" customHeight="1">
      <c r="A83" s="135"/>
      <c r="B83" s="135"/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</row>
    <row r="84" ht="28.5" customHeight="1">
      <c r="A84" s="135"/>
      <c r="B84" s="135"/>
      <c r="C84" s="135"/>
      <c r="D84" s="135"/>
      <c r="E84" s="135"/>
      <c r="F84" s="135"/>
      <c r="G84" s="135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</row>
    <row r="85" ht="28.5" customHeight="1">
      <c r="A85" s="135"/>
      <c r="B85" s="135"/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</row>
    <row r="86" ht="28.5" customHeight="1">
      <c r="A86" s="135"/>
      <c r="B86" s="135"/>
      <c r="C86" s="135"/>
      <c r="D86" s="135"/>
      <c r="E86" s="135"/>
      <c r="F86" s="135"/>
      <c r="G86" s="135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  <c r="AA86" s="135"/>
      <c r="AB86" s="135"/>
      <c r="AC86" s="135"/>
      <c r="AD86" s="135"/>
    </row>
    <row r="87" ht="28.5" customHeight="1">
      <c r="A87" s="135"/>
      <c r="B87" s="135"/>
      <c r="C87" s="135"/>
      <c r="D87" s="135"/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  <c r="AA87" s="135"/>
      <c r="AB87" s="135"/>
      <c r="AC87" s="135"/>
      <c r="AD87" s="135"/>
    </row>
    <row r="88" ht="28.5" customHeight="1">
      <c r="A88" s="135"/>
      <c r="B88" s="135"/>
      <c r="C88" s="135"/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  <c r="AA88" s="135"/>
      <c r="AB88" s="135"/>
      <c r="AC88" s="135"/>
      <c r="AD88" s="135"/>
    </row>
    <row r="89" ht="28.5" customHeight="1">
      <c r="A89" s="135"/>
      <c r="B89" s="135"/>
      <c r="C89" s="135"/>
      <c r="D89" s="135"/>
      <c r="E89" s="135"/>
      <c r="F89" s="135"/>
      <c r="G89" s="135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  <c r="AA89" s="135"/>
      <c r="AB89" s="135"/>
      <c r="AC89" s="135"/>
      <c r="AD89" s="135"/>
    </row>
    <row r="90" ht="28.5" customHeight="1">
      <c r="A90" s="135"/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</row>
    <row r="91" ht="28.5" customHeight="1">
      <c r="A91" s="135"/>
      <c r="B91" s="135"/>
      <c r="C91" s="135"/>
      <c r="D91" s="135"/>
      <c r="E91" s="135"/>
      <c r="F91" s="135"/>
      <c r="G91" s="135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</row>
    <row r="92" ht="28.5" customHeight="1">
      <c r="A92" s="135"/>
      <c r="B92" s="135"/>
      <c r="C92" s="135"/>
      <c r="D92" s="135"/>
      <c r="E92" s="135"/>
      <c r="F92" s="135"/>
      <c r="G92" s="135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  <c r="AA92" s="135"/>
      <c r="AB92" s="135"/>
      <c r="AC92" s="135"/>
      <c r="AD92" s="135"/>
    </row>
    <row r="93" ht="28.5" customHeight="1">
      <c r="A93" s="135"/>
      <c r="B93" s="135"/>
      <c r="C93" s="135"/>
      <c r="D93" s="135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</row>
    <row r="94" ht="28.5" customHeight="1">
      <c r="A94" s="135"/>
      <c r="B94" s="135"/>
      <c r="C94" s="135"/>
      <c r="D94" s="135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</row>
    <row r="95" ht="28.5" customHeight="1">
      <c r="A95" s="135"/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</row>
    <row r="96" ht="28.5" customHeight="1">
      <c r="A96" s="135"/>
      <c r="B96" s="135"/>
      <c r="C96" s="135"/>
      <c r="D96" s="135"/>
      <c r="E96" s="135"/>
      <c r="F96" s="135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135"/>
      <c r="AC96" s="135"/>
      <c r="AD96" s="135"/>
    </row>
    <row r="97" ht="28.5" customHeight="1">
      <c r="A97" s="135"/>
      <c r="B97" s="135"/>
      <c r="C97" s="135"/>
      <c r="D97" s="135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</row>
    <row r="98" ht="28.5" customHeight="1">
      <c r="A98" s="135"/>
      <c r="B98" s="135"/>
      <c r="C98" s="135"/>
      <c r="D98" s="135"/>
      <c r="E98" s="135"/>
      <c r="F98" s="135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  <c r="AA98" s="135"/>
      <c r="AB98" s="135"/>
      <c r="AC98" s="135"/>
      <c r="AD98" s="135"/>
    </row>
    <row r="99" ht="28.5" customHeight="1">
      <c r="A99" s="135"/>
      <c r="B99" s="135"/>
      <c r="C99" s="135"/>
      <c r="D99" s="135"/>
      <c r="E99" s="135"/>
      <c r="F99" s="135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</row>
    <row r="100" ht="28.5" customHeight="1">
      <c r="A100" s="135"/>
      <c r="B100" s="135"/>
      <c r="C100" s="135"/>
      <c r="D100" s="135"/>
      <c r="E100" s="135"/>
      <c r="F100" s="135"/>
      <c r="G100" s="135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  <c r="AA100" s="135"/>
      <c r="AB100" s="135"/>
      <c r="AC100" s="135"/>
      <c r="AD100" s="135"/>
    </row>
    <row r="101" ht="28.5" customHeight="1">
      <c r="A101" s="135"/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</row>
    <row r="102" ht="28.5" customHeight="1">
      <c r="A102" s="135"/>
      <c r="B102" s="135"/>
      <c r="C102" s="135"/>
      <c r="D102" s="135"/>
      <c r="E102" s="135"/>
      <c r="F102" s="135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  <c r="AA102" s="135"/>
      <c r="AB102" s="135"/>
      <c r="AC102" s="135"/>
      <c r="AD102" s="135"/>
    </row>
    <row r="103" ht="28.5" customHeight="1">
      <c r="A103" s="135"/>
      <c r="B103" s="135"/>
      <c r="C103" s="135"/>
      <c r="D103" s="135"/>
      <c r="E103" s="135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</row>
    <row r="104" ht="28.5" customHeight="1">
      <c r="A104" s="135"/>
      <c r="B104" s="135"/>
      <c r="C104" s="135"/>
      <c r="D104" s="135"/>
      <c r="E104" s="135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  <c r="AA104" s="135"/>
      <c r="AB104" s="135"/>
      <c r="AC104" s="135"/>
      <c r="AD104" s="135"/>
    </row>
    <row r="105" ht="28.5" customHeight="1">
      <c r="A105" s="135"/>
      <c r="B105" s="135"/>
      <c r="C105" s="135"/>
      <c r="D105" s="135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135"/>
    </row>
    <row r="106" ht="28.5" customHeight="1">
      <c r="A106" s="135"/>
      <c r="B106" s="135"/>
      <c r="C106" s="135"/>
      <c r="D106" s="135"/>
      <c r="E106" s="135"/>
      <c r="F106" s="135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135"/>
    </row>
    <row r="107" ht="28.5" customHeight="1">
      <c r="A107" s="135"/>
      <c r="B107" s="135"/>
      <c r="C107" s="135"/>
      <c r="D107" s="135"/>
      <c r="E107" s="135"/>
      <c r="F107" s="135"/>
      <c r="G107" s="135"/>
      <c r="H107" s="135"/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  <c r="AA107" s="135"/>
      <c r="AB107" s="135"/>
      <c r="AC107" s="135"/>
      <c r="AD107" s="135"/>
    </row>
    <row r="108" ht="28.5" customHeight="1">
      <c r="A108" s="135"/>
      <c r="B108" s="135"/>
      <c r="C108" s="135"/>
      <c r="D108" s="135"/>
      <c r="E108" s="135"/>
      <c r="F108" s="135"/>
      <c r="G108" s="135"/>
      <c r="H108" s="135"/>
      <c r="I108" s="135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135"/>
      <c r="U108" s="135"/>
      <c r="V108" s="135"/>
      <c r="W108" s="135"/>
      <c r="X108" s="135"/>
      <c r="Y108" s="135"/>
      <c r="Z108" s="135"/>
      <c r="AA108" s="135"/>
      <c r="AB108" s="135"/>
      <c r="AC108" s="135"/>
      <c r="AD108" s="135"/>
    </row>
    <row r="109" ht="28.5" customHeight="1">
      <c r="A109" s="135"/>
      <c r="B109" s="135"/>
      <c r="C109" s="135"/>
      <c r="D109" s="135"/>
      <c r="E109" s="135"/>
      <c r="F109" s="135"/>
      <c r="G109" s="135"/>
      <c r="H109" s="135"/>
      <c r="I109" s="135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</row>
    <row r="110" ht="28.5" customHeight="1">
      <c r="A110" s="135"/>
      <c r="B110" s="135"/>
      <c r="C110" s="135"/>
      <c r="D110" s="135"/>
      <c r="E110" s="135"/>
      <c r="F110" s="135"/>
      <c r="G110" s="135"/>
      <c r="H110" s="135"/>
      <c r="I110" s="135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  <c r="AA110" s="135"/>
      <c r="AB110" s="135"/>
      <c r="AC110" s="135"/>
      <c r="AD110" s="135"/>
    </row>
    <row r="111" ht="28.5" customHeight="1">
      <c r="A111" s="135"/>
      <c r="B111" s="135"/>
      <c r="C111" s="135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  <c r="AA111" s="135"/>
      <c r="AB111" s="135"/>
      <c r="AC111" s="135"/>
      <c r="AD111" s="135"/>
    </row>
    <row r="112" ht="28.5" customHeight="1">
      <c r="A112" s="135"/>
      <c r="B112" s="135"/>
      <c r="C112" s="135"/>
      <c r="D112" s="135"/>
      <c r="E112" s="135"/>
      <c r="F112" s="135"/>
      <c r="G112" s="135"/>
      <c r="H112" s="135"/>
      <c r="I112" s="135"/>
      <c r="J112" s="135"/>
      <c r="K112" s="135"/>
      <c r="L112" s="135"/>
      <c r="M112" s="135"/>
      <c r="N112" s="135"/>
      <c r="O112" s="135"/>
      <c r="P112" s="135"/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</row>
    <row r="113" ht="28.5" customHeight="1">
      <c r="A113" s="135"/>
      <c r="B113" s="135"/>
      <c r="C113" s="135"/>
      <c r="D113" s="135"/>
      <c r="E113" s="135"/>
      <c r="F113" s="135"/>
      <c r="G113" s="135"/>
      <c r="H113" s="135"/>
      <c r="I113" s="135"/>
      <c r="J113" s="135"/>
      <c r="K113" s="135"/>
      <c r="L113" s="135"/>
      <c r="M113" s="135"/>
      <c r="N113" s="135"/>
      <c r="O113" s="135"/>
      <c r="P113" s="135"/>
      <c r="Q113" s="135"/>
      <c r="R113" s="135"/>
      <c r="S113" s="135"/>
      <c r="T113" s="135"/>
      <c r="U113" s="135"/>
      <c r="V113" s="135"/>
      <c r="W113" s="135"/>
      <c r="X113" s="135"/>
      <c r="Y113" s="135"/>
      <c r="Z113" s="135"/>
      <c r="AA113" s="135"/>
      <c r="AB113" s="135"/>
      <c r="AC113" s="135"/>
      <c r="AD113" s="135"/>
    </row>
    <row r="114" ht="28.5" customHeight="1">
      <c r="A114" s="135"/>
      <c r="B114" s="135"/>
      <c r="C114" s="135"/>
      <c r="D114" s="135"/>
      <c r="E114" s="135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  <c r="T114" s="135"/>
      <c r="U114" s="135"/>
      <c r="V114" s="135"/>
      <c r="W114" s="135"/>
      <c r="X114" s="135"/>
      <c r="Y114" s="135"/>
      <c r="Z114" s="135"/>
      <c r="AA114" s="135"/>
      <c r="AB114" s="135"/>
      <c r="AC114" s="135"/>
      <c r="AD114" s="135"/>
    </row>
    <row r="115" ht="28.5" customHeight="1">
      <c r="A115" s="135"/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5"/>
    </row>
    <row r="116" ht="28.5" customHeight="1">
      <c r="A116" s="135"/>
      <c r="B116" s="135"/>
      <c r="C116" s="135"/>
      <c r="D116" s="135"/>
      <c r="E116" s="135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5"/>
    </row>
    <row r="117" ht="28.5" customHeight="1">
      <c r="A117" s="135"/>
      <c r="B117" s="135"/>
      <c r="C117" s="135"/>
      <c r="D117" s="135"/>
      <c r="E117" s="135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</row>
    <row r="118" ht="28.5" customHeight="1">
      <c r="A118" s="135"/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</row>
    <row r="119" ht="28.5" customHeight="1">
      <c r="A119" s="135"/>
      <c r="B119" s="135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35"/>
      <c r="X119" s="135"/>
      <c r="Y119" s="135"/>
      <c r="Z119" s="135"/>
      <c r="AA119" s="135"/>
      <c r="AB119" s="135"/>
      <c r="AC119" s="135"/>
      <c r="AD119" s="135"/>
    </row>
    <row r="120" ht="28.5" customHeight="1">
      <c r="A120" s="135"/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5"/>
    </row>
    <row r="121" ht="28.5" customHeight="1">
      <c r="A121" s="135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5"/>
      <c r="U121" s="135"/>
      <c r="V121" s="135"/>
      <c r="W121" s="135"/>
      <c r="X121" s="135"/>
      <c r="Y121" s="135"/>
      <c r="Z121" s="135"/>
      <c r="AA121" s="135"/>
      <c r="AB121" s="135"/>
      <c r="AC121" s="135"/>
      <c r="AD121" s="135"/>
    </row>
    <row r="122" ht="28.5" customHeight="1">
      <c r="A122" s="13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  <c r="AA122" s="135"/>
      <c r="AB122" s="135"/>
      <c r="AC122" s="135"/>
      <c r="AD122" s="135"/>
    </row>
    <row r="123" ht="28.5" customHeight="1">
      <c r="A123" s="13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  <c r="AA123" s="135"/>
      <c r="AB123" s="135"/>
      <c r="AC123" s="135"/>
      <c r="AD123" s="135"/>
    </row>
    <row r="124" ht="28.5" customHeight="1">
      <c r="A124" s="135"/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  <c r="AA124" s="135"/>
      <c r="AB124" s="135"/>
      <c r="AC124" s="135"/>
      <c r="AD124" s="135"/>
    </row>
    <row r="125" ht="28.5" customHeight="1">
      <c r="A125" s="135"/>
      <c r="B125" s="135"/>
      <c r="C125" s="135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  <c r="AA125" s="135"/>
      <c r="AB125" s="135"/>
      <c r="AC125" s="135"/>
      <c r="AD125" s="135"/>
    </row>
    <row r="126" ht="28.5" customHeight="1">
      <c r="A126" s="135"/>
      <c r="B126" s="135"/>
      <c r="C126" s="135"/>
      <c r="D126" s="135"/>
      <c r="E126" s="135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5"/>
      <c r="U126" s="135"/>
      <c r="V126" s="135"/>
      <c r="W126" s="135"/>
      <c r="X126" s="135"/>
      <c r="Y126" s="135"/>
      <c r="Z126" s="135"/>
      <c r="AA126" s="135"/>
      <c r="AB126" s="135"/>
      <c r="AC126" s="135"/>
      <c r="AD126" s="135"/>
    </row>
    <row r="127" ht="28.5" customHeight="1">
      <c r="A127" s="135"/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  <c r="AA127" s="135"/>
      <c r="AB127" s="135"/>
      <c r="AC127" s="135"/>
      <c r="AD127" s="135"/>
    </row>
    <row r="128" ht="28.5" customHeight="1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  <c r="AA128" s="135"/>
      <c r="AB128" s="135"/>
      <c r="AC128" s="135"/>
      <c r="AD128" s="135"/>
    </row>
    <row r="129" ht="28.5" customHeight="1">
      <c r="A129" s="135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  <c r="AA129" s="135"/>
      <c r="AB129" s="135"/>
      <c r="AC129" s="135"/>
      <c r="AD129" s="135"/>
    </row>
    <row r="130" ht="28.5" customHeight="1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/>
      <c r="AC130" s="135"/>
      <c r="AD130" s="135"/>
    </row>
    <row r="131" ht="28.5" customHeight="1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  <c r="AA131" s="135"/>
      <c r="AB131" s="135"/>
      <c r="AC131" s="135"/>
      <c r="AD131" s="135"/>
    </row>
    <row r="132" ht="28.5" customHeight="1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5"/>
      <c r="U132" s="135"/>
      <c r="V132" s="135"/>
      <c r="W132" s="135"/>
      <c r="X132" s="135"/>
      <c r="Y132" s="135"/>
      <c r="Z132" s="135"/>
      <c r="AA132" s="135"/>
      <c r="AB132" s="135"/>
      <c r="AC132" s="135"/>
      <c r="AD132" s="135"/>
    </row>
    <row r="133" ht="28.5" customHeight="1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  <c r="AA133" s="135"/>
      <c r="AB133" s="135"/>
      <c r="AC133" s="135"/>
      <c r="AD133" s="135"/>
    </row>
    <row r="134" ht="28.5" customHeight="1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  <c r="AA134" s="135"/>
      <c r="AB134" s="135"/>
      <c r="AC134" s="135"/>
      <c r="AD134" s="135"/>
    </row>
    <row r="135" ht="28.5" customHeight="1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  <c r="AA135" s="135"/>
      <c r="AB135" s="135"/>
      <c r="AC135" s="135"/>
      <c r="AD135" s="135"/>
    </row>
    <row r="136" ht="28.5" customHeight="1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  <c r="AA136" s="135"/>
      <c r="AB136" s="135"/>
      <c r="AC136" s="135"/>
      <c r="AD136" s="135"/>
    </row>
    <row r="137" ht="28.5" customHeight="1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  <c r="AA137" s="135"/>
      <c r="AB137" s="135"/>
      <c r="AC137" s="135"/>
      <c r="AD137" s="135"/>
    </row>
    <row r="138" ht="28.5" customHeight="1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  <c r="AA138" s="135"/>
      <c r="AB138" s="135"/>
      <c r="AC138" s="135"/>
      <c r="AD138" s="135"/>
    </row>
    <row r="139" ht="28.5" customHeight="1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  <c r="AA139" s="135"/>
      <c r="AB139" s="135"/>
      <c r="AC139" s="135"/>
      <c r="AD139" s="135"/>
    </row>
    <row r="140" ht="28.5" customHeight="1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</row>
    <row r="141" ht="28.5" customHeight="1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</row>
    <row r="142" ht="28.5" customHeight="1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</row>
    <row r="143" ht="28.5" customHeight="1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</row>
    <row r="144" ht="28.5" customHeight="1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</row>
    <row r="145" ht="28.5" customHeight="1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</row>
    <row r="146" ht="28.5" customHeight="1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</row>
    <row r="147" ht="28.5" customHeight="1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</row>
    <row r="148" ht="28.5" customHeight="1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</row>
    <row r="149" ht="28.5" customHeight="1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5"/>
      <c r="U149" s="135"/>
      <c r="V149" s="135"/>
      <c r="W149" s="135"/>
      <c r="X149" s="135"/>
      <c r="Y149" s="135"/>
      <c r="Z149" s="135"/>
      <c r="AA149" s="135"/>
      <c r="AB149" s="135"/>
      <c r="AC149" s="135"/>
      <c r="AD149" s="135"/>
    </row>
    <row r="150" ht="28.5" customHeight="1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  <c r="AA150" s="135"/>
      <c r="AB150" s="135"/>
      <c r="AC150" s="135"/>
      <c r="AD150" s="135"/>
    </row>
    <row r="151" ht="28.5" customHeight="1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  <c r="AA151" s="135"/>
      <c r="AB151" s="135"/>
      <c r="AC151" s="135"/>
      <c r="AD151" s="135"/>
    </row>
    <row r="152" ht="28.5" customHeight="1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</row>
    <row r="153" ht="28.5" customHeight="1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  <c r="AA153" s="135"/>
      <c r="AB153" s="135"/>
      <c r="AC153" s="135"/>
      <c r="AD153" s="135"/>
    </row>
    <row r="154" ht="28.5" customHeight="1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</row>
    <row r="155" ht="28.5" customHeight="1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  <c r="AA155" s="135"/>
      <c r="AB155" s="135"/>
      <c r="AC155" s="135"/>
      <c r="AD155" s="135"/>
    </row>
    <row r="156" ht="28.5" customHeight="1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  <c r="AA156" s="135"/>
      <c r="AB156" s="135"/>
      <c r="AC156" s="135"/>
      <c r="AD156" s="135"/>
    </row>
    <row r="157" ht="28.5" customHeight="1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</row>
    <row r="158" ht="28.5" customHeight="1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  <c r="AA158" s="135"/>
      <c r="AB158" s="135"/>
      <c r="AC158" s="135"/>
      <c r="AD158" s="135"/>
    </row>
    <row r="159" ht="28.5" customHeight="1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  <c r="AA159" s="135"/>
      <c r="AB159" s="135"/>
      <c r="AC159" s="135"/>
      <c r="AD159" s="135"/>
    </row>
    <row r="160" ht="28.5" customHeight="1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</row>
    <row r="161" ht="28.5" customHeight="1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</row>
    <row r="162" ht="28.5" customHeight="1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  <c r="AA162" s="135"/>
      <c r="AB162" s="135"/>
      <c r="AC162" s="135"/>
      <c r="AD162" s="135"/>
    </row>
    <row r="163" ht="28.5" customHeight="1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  <c r="AA163" s="135"/>
      <c r="AB163" s="135"/>
      <c r="AC163" s="135"/>
      <c r="AD163" s="135"/>
    </row>
    <row r="164" ht="28.5" customHeight="1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  <c r="AA164" s="135"/>
      <c r="AB164" s="135"/>
      <c r="AC164" s="135"/>
      <c r="AD164" s="135"/>
    </row>
    <row r="165" ht="28.5" customHeight="1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  <c r="AA165" s="135"/>
      <c r="AB165" s="135"/>
      <c r="AC165" s="135"/>
      <c r="AD165" s="135"/>
    </row>
    <row r="166" ht="28.5" customHeight="1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  <c r="AA166" s="135"/>
      <c r="AB166" s="135"/>
      <c r="AC166" s="135"/>
      <c r="AD166" s="135"/>
    </row>
    <row r="167" ht="28.5" customHeight="1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  <c r="AA167" s="135"/>
      <c r="AB167" s="135"/>
      <c r="AC167" s="135"/>
      <c r="AD167" s="135"/>
    </row>
    <row r="168" ht="28.5" customHeight="1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  <c r="AA168" s="135"/>
      <c r="AB168" s="135"/>
      <c r="AC168" s="135"/>
      <c r="AD168" s="135"/>
    </row>
    <row r="169" ht="28.5" customHeight="1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  <c r="AA169" s="135"/>
      <c r="AB169" s="135"/>
      <c r="AC169" s="135"/>
      <c r="AD169" s="135"/>
    </row>
    <row r="170" ht="28.5" customHeight="1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  <c r="AA170" s="135"/>
      <c r="AB170" s="135"/>
      <c r="AC170" s="135"/>
      <c r="AD170" s="135"/>
    </row>
    <row r="171" ht="28.5" customHeight="1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  <c r="AA171" s="135"/>
      <c r="AB171" s="135"/>
      <c r="AC171" s="135"/>
      <c r="AD171" s="135"/>
    </row>
    <row r="172" ht="28.5" customHeight="1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  <c r="AA172" s="135"/>
      <c r="AB172" s="135"/>
      <c r="AC172" s="135"/>
      <c r="AD172" s="135"/>
    </row>
    <row r="173" ht="28.5" customHeight="1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/>
      <c r="AC173" s="135"/>
      <c r="AD173" s="135"/>
    </row>
    <row r="174" ht="28.5" customHeight="1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  <c r="AA174" s="135"/>
      <c r="AB174" s="135"/>
      <c r="AC174" s="135"/>
      <c r="AD174" s="135"/>
    </row>
    <row r="175" ht="28.5" customHeight="1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  <c r="AA175" s="135"/>
      <c r="AB175" s="135"/>
      <c r="AC175" s="135"/>
      <c r="AD175" s="135"/>
    </row>
    <row r="176" ht="28.5" customHeight="1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5"/>
    </row>
    <row r="177" ht="28.5" customHeight="1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  <c r="AA177" s="135"/>
      <c r="AB177" s="135"/>
      <c r="AC177" s="135"/>
      <c r="AD177" s="135"/>
    </row>
    <row r="178" ht="28.5" customHeight="1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</row>
    <row r="179" ht="28.5" customHeight="1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5"/>
      <c r="Y179" s="135"/>
      <c r="Z179" s="135"/>
      <c r="AA179" s="135"/>
      <c r="AB179" s="135"/>
      <c r="AC179" s="135"/>
      <c r="AD179" s="135"/>
    </row>
    <row r="180" ht="28.5" customHeight="1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5"/>
      <c r="Y180" s="135"/>
      <c r="Z180" s="135"/>
      <c r="AA180" s="135"/>
      <c r="AB180" s="135"/>
      <c r="AC180" s="135"/>
      <c r="AD180" s="135"/>
    </row>
    <row r="181" ht="28.5" customHeight="1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  <c r="AA181" s="135"/>
      <c r="AB181" s="135"/>
      <c r="AC181" s="135"/>
      <c r="AD181" s="135"/>
    </row>
    <row r="182" ht="28.5" customHeight="1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  <c r="AA182" s="135"/>
      <c r="AB182" s="135"/>
      <c r="AC182" s="135"/>
      <c r="AD182" s="135"/>
    </row>
    <row r="183" ht="28.5" customHeight="1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  <c r="AA183" s="135"/>
      <c r="AB183" s="135"/>
      <c r="AC183" s="135"/>
      <c r="AD183" s="135"/>
    </row>
    <row r="184" ht="28.5" customHeight="1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5"/>
      <c r="U184" s="135"/>
      <c r="V184" s="135"/>
      <c r="W184" s="135"/>
      <c r="X184" s="135"/>
      <c r="Y184" s="135"/>
      <c r="Z184" s="135"/>
      <c r="AA184" s="135"/>
      <c r="AB184" s="135"/>
      <c r="AC184" s="135"/>
      <c r="AD184" s="135"/>
    </row>
    <row r="185" ht="28.5" customHeight="1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  <c r="AA185" s="135"/>
      <c r="AB185" s="135"/>
      <c r="AC185" s="135"/>
      <c r="AD185" s="135"/>
    </row>
    <row r="186" ht="28.5" customHeight="1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  <c r="AA186" s="135"/>
      <c r="AB186" s="135"/>
      <c r="AC186" s="135"/>
      <c r="AD186" s="135"/>
    </row>
    <row r="187" ht="28.5" customHeight="1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  <c r="AA187" s="135"/>
      <c r="AB187" s="135"/>
      <c r="AC187" s="135"/>
      <c r="AD187" s="135"/>
    </row>
    <row r="188" ht="28.5" customHeight="1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  <c r="AA188" s="135"/>
      <c r="AB188" s="135"/>
      <c r="AC188" s="135"/>
      <c r="AD188" s="135"/>
    </row>
    <row r="189" ht="28.5" customHeight="1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5"/>
    </row>
    <row r="190" ht="28.5" customHeight="1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5"/>
    </row>
    <row r="191" ht="28.5" customHeight="1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5"/>
      <c r="U191" s="135"/>
      <c r="V191" s="135"/>
      <c r="W191" s="135"/>
      <c r="X191" s="135"/>
      <c r="Y191" s="135"/>
      <c r="Z191" s="135"/>
      <c r="AA191" s="135"/>
      <c r="AB191" s="135"/>
      <c r="AC191" s="135"/>
      <c r="AD191" s="135"/>
    </row>
    <row r="192" ht="28.5" customHeight="1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W192" s="135"/>
      <c r="X192" s="135"/>
      <c r="Y192" s="135"/>
      <c r="Z192" s="135"/>
      <c r="AA192" s="135"/>
      <c r="AB192" s="135"/>
      <c r="AC192" s="135"/>
      <c r="AD192" s="135"/>
    </row>
    <row r="193" ht="28.5" customHeight="1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5"/>
      <c r="U193" s="135"/>
      <c r="V193" s="135"/>
      <c r="W193" s="135"/>
      <c r="X193" s="135"/>
      <c r="Y193" s="135"/>
      <c r="Z193" s="135"/>
      <c r="AA193" s="135"/>
      <c r="AB193" s="135"/>
      <c r="AC193" s="135"/>
      <c r="AD193" s="135"/>
    </row>
    <row r="194" ht="28.5" customHeight="1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</row>
    <row r="195" ht="28.5" customHeight="1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5"/>
      <c r="U195" s="135"/>
      <c r="V195" s="135"/>
      <c r="W195" s="135"/>
      <c r="X195" s="135"/>
      <c r="Y195" s="135"/>
      <c r="Z195" s="135"/>
      <c r="AA195" s="135"/>
      <c r="AB195" s="135"/>
      <c r="AC195" s="135"/>
      <c r="AD195" s="135"/>
    </row>
    <row r="196" ht="28.5" customHeight="1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5"/>
      <c r="U196" s="135"/>
      <c r="V196" s="135"/>
      <c r="W196" s="135"/>
      <c r="X196" s="135"/>
      <c r="Y196" s="135"/>
      <c r="Z196" s="135"/>
      <c r="AA196" s="135"/>
      <c r="AB196" s="135"/>
      <c r="AC196" s="135"/>
      <c r="AD196" s="135"/>
    </row>
    <row r="197" ht="28.5" customHeight="1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5"/>
      <c r="U197" s="135"/>
      <c r="V197" s="135"/>
      <c r="W197" s="135"/>
      <c r="X197" s="135"/>
      <c r="Y197" s="135"/>
      <c r="Z197" s="135"/>
      <c r="AA197" s="135"/>
      <c r="AB197" s="135"/>
      <c r="AC197" s="135"/>
      <c r="AD197" s="135"/>
    </row>
    <row r="198" ht="28.5" customHeight="1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5"/>
      <c r="Z198" s="135"/>
      <c r="AA198" s="135"/>
      <c r="AB198" s="135"/>
      <c r="AC198" s="135"/>
      <c r="AD198" s="135"/>
    </row>
    <row r="199" ht="28.5" customHeight="1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5"/>
      <c r="U199" s="135"/>
      <c r="V199" s="135"/>
      <c r="W199" s="135"/>
      <c r="X199" s="135"/>
      <c r="Y199" s="135"/>
      <c r="Z199" s="135"/>
      <c r="AA199" s="135"/>
      <c r="AB199" s="135"/>
      <c r="AC199" s="135"/>
      <c r="AD199" s="135"/>
    </row>
    <row r="200" ht="28.5" customHeight="1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5"/>
      <c r="U200" s="135"/>
      <c r="V200" s="135"/>
      <c r="W200" s="135"/>
      <c r="X200" s="135"/>
      <c r="Y200" s="135"/>
      <c r="Z200" s="135"/>
      <c r="AA200" s="135"/>
      <c r="AB200" s="135"/>
      <c r="AC200" s="135"/>
      <c r="AD200" s="135"/>
    </row>
    <row r="201" ht="28.5" customHeight="1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</row>
    <row r="202" ht="28.5" customHeight="1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  <c r="AA202" s="135"/>
      <c r="AB202" s="135"/>
      <c r="AC202" s="135"/>
      <c r="AD202" s="135"/>
    </row>
    <row r="203" ht="28.5" customHeight="1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5"/>
      <c r="U203" s="135"/>
      <c r="V203" s="135"/>
      <c r="W203" s="135"/>
      <c r="X203" s="135"/>
      <c r="Y203" s="135"/>
      <c r="Z203" s="135"/>
      <c r="AA203" s="135"/>
      <c r="AB203" s="135"/>
      <c r="AC203" s="135"/>
      <c r="AD203" s="135"/>
    </row>
    <row r="204" ht="28.5" customHeight="1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</row>
    <row r="205" ht="28.5" customHeight="1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5"/>
      <c r="U205" s="135"/>
      <c r="V205" s="135"/>
      <c r="W205" s="135"/>
      <c r="X205" s="135"/>
      <c r="Y205" s="135"/>
      <c r="Z205" s="135"/>
      <c r="AA205" s="135"/>
      <c r="AB205" s="135"/>
      <c r="AC205" s="135"/>
      <c r="AD205" s="135"/>
    </row>
    <row r="206" ht="28.5" customHeight="1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</row>
    <row r="207" ht="28.5" customHeight="1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</row>
    <row r="208" ht="28.5" customHeight="1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</row>
    <row r="209" ht="28.5" customHeight="1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</row>
    <row r="210" ht="28.5" customHeight="1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5"/>
      <c r="U210" s="135"/>
      <c r="V210" s="135"/>
      <c r="W210" s="135"/>
      <c r="X210" s="135"/>
      <c r="Y210" s="135"/>
      <c r="Z210" s="135"/>
      <c r="AA210" s="135"/>
      <c r="AB210" s="135"/>
      <c r="AC210" s="135"/>
      <c r="AD210" s="135"/>
    </row>
    <row r="211" ht="28.5" customHeight="1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5"/>
      <c r="AA211" s="135"/>
      <c r="AB211" s="135"/>
      <c r="AC211" s="135"/>
      <c r="AD211" s="135"/>
    </row>
    <row r="212" ht="28.5" customHeight="1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5"/>
      <c r="U212" s="135"/>
      <c r="V212" s="135"/>
      <c r="W212" s="135"/>
      <c r="X212" s="135"/>
      <c r="Y212" s="135"/>
      <c r="Z212" s="135"/>
      <c r="AA212" s="135"/>
      <c r="AB212" s="135"/>
      <c r="AC212" s="135"/>
      <c r="AD212" s="135"/>
    </row>
    <row r="213" ht="28.5" customHeight="1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5"/>
      <c r="U213" s="135"/>
      <c r="V213" s="135"/>
      <c r="W213" s="135"/>
      <c r="X213" s="135"/>
      <c r="Y213" s="135"/>
      <c r="Z213" s="135"/>
      <c r="AA213" s="135"/>
      <c r="AB213" s="135"/>
      <c r="AC213" s="135"/>
      <c r="AD213" s="135"/>
    </row>
    <row r="214" ht="28.5" customHeight="1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5"/>
      <c r="U214" s="135"/>
      <c r="V214" s="135"/>
      <c r="W214" s="135"/>
      <c r="X214" s="135"/>
      <c r="Y214" s="135"/>
      <c r="Z214" s="135"/>
      <c r="AA214" s="135"/>
      <c r="AB214" s="135"/>
      <c r="AC214" s="135"/>
      <c r="AD214" s="135"/>
    </row>
    <row r="215" ht="28.5" customHeight="1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5"/>
      <c r="U215" s="135"/>
      <c r="V215" s="135"/>
      <c r="W215" s="135"/>
      <c r="X215" s="135"/>
      <c r="Y215" s="135"/>
      <c r="Z215" s="135"/>
      <c r="AA215" s="135"/>
      <c r="AB215" s="135"/>
      <c r="AC215" s="135"/>
      <c r="AD215" s="135"/>
    </row>
    <row r="216" ht="28.5" customHeight="1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5"/>
      <c r="U216" s="135"/>
      <c r="V216" s="135"/>
      <c r="W216" s="135"/>
      <c r="X216" s="135"/>
      <c r="Y216" s="135"/>
      <c r="Z216" s="135"/>
      <c r="AA216" s="135"/>
      <c r="AB216" s="135"/>
      <c r="AC216" s="135"/>
      <c r="AD216" s="135"/>
    </row>
    <row r="217" ht="28.5" customHeight="1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</row>
    <row r="218" ht="28.5" customHeight="1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</row>
    <row r="219" ht="28.5" customHeight="1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5"/>
      <c r="U219" s="135"/>
      <c r="V219" s="135"/>
      <c r="W219" s="135"/>
      <c r="X219" s="135"/>
      <c r="Y219" s="135"/>
      <c r="Z219" s="135"/>
      <c r="AA219" s="135"/>
      <c r="AB219" s="135"/>
      <c r="AC219" s="135"/>
      <c r="AD219" s="135"/>
    </row>
    <row r="220" ht="28.5" customHeight="1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5"/>
      <c r="U220" s="135"/>
      <c r="V220" s="135"/>
      <c r="W220" s="135"/>
      <c r="X220" s="135"/>
      <c r="Y220" s="135"/>
      <c r="Z220" s="135"/>
      <c r="AA220" s="135"/>
      <c r="AB220" s="135"/>
      <c r="AC220" s="135"/>
      <c r="AD220" s="135"/>
    </row>
    <row r="221" ht="28.5" customHeight="1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5"/>
      <c r="U221" s="135"/>
      <c r="V221" s="135"/>
      <c r="W221" s="135"/>
      <c r="X221" s="135"/>
      <c r="Y221" s="135"/>
      <c r="Z221" s="135"/>
      <c r="AA221" s="135"/>
      <c r="AB221" s="135"/>
      <c r="AC221" s="135"/>
      <c r="AD221" s="135"/>
    </row>
    <row r="222" ht="28.5" customHeight="1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5"/>
      <c r="U222" s="135"/>
      <c r="V222" s="135"/>
      <c r="W222" s="135"/>
      <c r="X222" s="135"/>
      <c r="Y222" s="135"/>
      <c r="Z222" s="135"/>
      <c r="AA222" s="135"/>
      <c r="AB222" s="135"/>
      <c r="AC222" s="135"/>
      <c r="AD222" s="135"/>
    </row>
    <row r="223" ht="28.5" customHeight="1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5"/>
      <c r="Y223" s="135"/>
      <c r="Z223" s="135"/>
      <c r="AA223" s="135"/>
      <c r="AB223" s="135"/>
      <c r="AC223" s="135"/>
      <c r="AD223" s="135"/>
    </row>
    <row r="224" ht="28.5" customHeight="1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135"/>
      <c r="AD224" s="135"/>
    </row>
    <row r="225" ht="28.5" customHeight="1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5"/>
      <c r="U225" s="135"/>
      <c r="V225" s="135"/>
      <c r="W225" s="135"/>
      <c r="X225" s="135"/>
      <c r="Y225" s="135"/>
      <c r="Z225" s="135"/>
      <c r="AA225" s="135"/>
      <c r="AB225" s="135"/>
      <c r="AC225" s="135"/>
      <c r="AD225" s="135"/>
    </row>
    <row r="226" ht="28.5" customHeight="1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5"/>
      <c r="Y226" s="135"/>
      <c r="Z226" s="135"/>
      <c r="AA226" s="135"/>
      <c r="AB226" s="135"/>
      <c r="AC226" s="135"/>
      <c r="AD226" s="135"/>
    </row>
    <row r="227" ht="28.5" customHeight="1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5"/>
      <c r="Y227" s="135"/>
      <c r="Z227" s="135"/>
      <c r="AA227" s="135"/>
      <c r="AB227" s="135"/>
      <c r="AC227" s="135"/>
      <c r="AD227" s="135"/>
    </row>
    <row r="228" ht="28.5" customHeight="1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  <c r="X228" s="135"/>
      <c r="Y228" s="135"/>
      <c r="Z228" s="135"/>
      <c r="AA228" s="135"/>
      <c r="AB228" s="135"/>
      <c r="AC228" s="135"/>
      <c r="AD228" s="135"/>
    </row>
    <row r="229" ht="28.5" customHeight="1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5"/>
      <c r="Y229" s="135"/>
      <c r="Z229" s="135"/>
      <c r="AA229" s="135"/>
      <c r="AB229" s="135"/>
      <c r="AC229" s="135"/>
      <c r="AD229" s="135"/>
    </row>
    <row r="230" ht="28.5" customHeight="1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  <c r="Z230" s="135"/>
      <c r="AA230" s="135"/>
      <c r="AB230" s="135"/>
      <c r="AC230" s="135"/>
      <c r="AD230" s="135"/>
    </row>
    <row r="231" ht="28.5" customHeight="1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  <c r="Z231" s="135"/>
      <c r="AA231" s="135"/>
      <c r="AB231" s="135"/>
      <c r="AC231" s="135"/>
      <c r="AD231" s="135"/>
    </row>
    <row r="232" ht="28.5" customHeight="1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  <c r="Z232" s="135"/>
      <c r="AA232" s="135"/>
      <c r="AB232" s="135"/>
      <c r="AC232" s="135"/>
      <c r="AD232" s="135"/>
    </row>
    <row r="233" ht="28.5" customHeight="1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  <c r="Z233" s="135"/>
      <c r="AA233" s="135"/>
      <c r="AB233" s="135"/>
      <c r="AC233" s="135"/>
      <c r="AD233" s="135"/>
    </row>
    <row r="234" ht="28.5" customHeight="1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  <c r="Z234" s="135"/>
      <c r="AA234" s="135"/>
      <c r="AB234" s="135"/>
      <c r="AC234" s="135"/>
      <c r="AD234" s="135"/>
    </row>
    <row r="235" ht="28.5" customHeight="1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  <c r="Z235" s="135"/>
      <c r="AA235" s="135"/>
      <c r="AB235" s="135"/>
      <c r="AC235" s="135"/>
      <c r="AD235" s="135"/>
    </row>
    <row r="236" ht="28.5" customHeight="1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  <c r="Z236" s="135"/>
      <c r="AA236" s="135"/>
      <c r="AB236" s="135"/>
      <c r="AC236" s="135"/>
      <c r="AD236" s="135"/>
    </row>
    <row r="237" ht="28.5" customHeight="1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  <c r="Z237" s="135"/>
      <c r="AA237" s="135"/>
      <c r="AB237" s="135"/>
      <c r="AC237" s="135"/>
      <c r="AD237" s="135"/>
    </row>
    <row r="238" ht="28.5" customHeight="1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  <c r="Z238" s="135"/>
      <c r="AA238" s="135"/>
      <c r="AB238" s="135"/>
      <c r="AC238" s="135"/>
      <c r="AD238" s="135"/>
    </row>
    <row r="239" ht="28.5" customHeight="1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  <c r="Z239" s="135"/>
      <c r="AA239" s="135"/>
      <c r="AB239" s="135"/>
      <c r="AC239" s="135"/>
      <c r="AD239" s="135"/>
    </row>
    <row r="240" ht="28.5" customHeight="1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  <c r="Z240" s="135"/>
      <c r="AA240" s="135"/>
      <c r="AB240" s="135"/>
      <c r="AC240" s="135"/>
      <c r="AD240" s="135"/>
    </row>
    <row r="241" ht="28.5" customHeight="1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  <c r="Z241" s="135"/>
      <c r="AA241" s="135"/>
      <c r="AB241" s="135"/>
      <c r="AC241" s="135"/>
      <c r="AD241" s="135"/>
    </row>
    <row r="242" ht="28.5" customHeight="1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5"/>
      <c r="U242" s="135"/>
      <c r="V242" s="135"/>
      <c r="W242" s="135"/>
      <c r="X242" s="135"/>
      <c r="Y242" s="135"/>
      <c r="Z242" s="135"/>
      <c r="AA242" s="135"/>
      <c r="AB242" s="135"/>
      <c r="AC242" s="135"/>
      <c r="AD242" s="135"/>
    </row>
    <row r="243" ht="28.5" customHeight="1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  <c r="Z243" s="135"/>
      <c r="AA243" s="135"/>
      <c r="AB243" s="135"/>
      <c r="AC243" s="135"/>
      <c r="AD243" s="135"/>
    </row>
    <row r="244" ht="28.5" customHeight="1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  <c r="Z244" s="135"/>
      <c r="AA244" s="135"/>
      <c r="AB244" s="135"/>
      <c r="AC244" s="135"/>
      <c r="AD244" s="135"/>
    </row>
    <row r="245" ht="28.5" customHeight="1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  <c r="Z245" s="135"/>
      <c r="AA245" s="135"/>
      <c r="AB245" s="135"/>
      <c r="AC245" s="135"/>
      <c r="AD245" s="135"/>
    </row>
    <row r="246" ht="28.5" customHeight="1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  <c r="Z246" s="135"/>
      <c r="AA246" s="135"/>
      <c r="AB246" s="135"/>
      <c r="AC246" s="135"/>
      <c r="AD246" s="135"/>
    </row>
    <row r="247" ht="28.5" customHeight="1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  <c r="Z247" s="135"/>
      <c r="AA247" s="135"/>
      <c r="AB247" s="135"/>
      <c r="AC247" s="135"/>
      <c r="AD247" s="135"/>
    </row>
    <row r="248" ht="28.5" customHeight="1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  <c r="Z248" s="135"/>
      <c r="AA248" s="135"/>
      <c r="AB248" s="135"/>
      <c r="AC248" s="135"/>
      <c r="AD248" s="135"/>
    </row>
    <row r="249" ht="28.5" customHeight="1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  <c r="Z249" s="135"/>
      <c r="AA249" s="135"/>
      <c r="AB249" s="135"/>
      <c r="AC249" s="135"/>
      <c r="AD249" s="135"/>
    </row>
    <row r="250" ht="28.5" customHeight="1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  <c r="Z250" s="135"/>
      <c r="AA250" s="135"/>
      <c r="AB250" s="135"/>
      <c r="AC250" s="135"/>
      <c r="AD250" s="135"/>
    </row>
    <row r="251" ht="28.5" customHeight="1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</row>
    <row r="252" ht="28.5" customHeight="1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  <c r="Z252" s="135"/>
      <c r="AA252" s="135"/>
      <c r="AB252" s="135"/>
      <c r="AC252" s="135"/>
      <c r="AD252" s="135"/>
    </row>
    <row r="253" ht="28.5" customHeight="1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  <c r="Z253" s="135"/>
      <c r="AA253" s="135"/>
      <c r="AB253" s="135"/>
      <c r="AC253" s="135"/>
      <c r="AD253" s="135"/>
    </row>
    <row r="254" ht="28.5" customHeight="1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  <c r="Z254" s="135"/>
      <c r="AA254" s="135"/>
      <c r="AB254" s="135"/>
      <c r="AC254" s="135"/>
      <c r="AD254" s="135"/>
    </row>
    <row r="255" ht="28.5" customHeight="1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  <c r="Z255" s="135"/>
      <c r="AA255" s="135"/>
      <c r="AB255" s="135"/>
      <c r="AC255" s="135"/>
      <c r="AD255" s="135"/>
    </row>
    <row r="256" ht="28.5" customHeight="1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  <c r="Z256" s="135"/>
      <c r="AA256" s="135"/>
      <c r="AB256" s="135"/>
      <c r="AC256" s="135"/>
      <c r="AD256" s="135"/>
    </row>
    <row r="257" ht="28.5" customHeight="1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  <c r="Z257" s="135"/>
      <c r="AA257" s="135"/>
      <c r="AB257" s="135"/>
      <c r="AC257" s="135"/>
      <c r="AD257" s="135"/>
    </row>
    <row r="258" ht="28.5" customHeight="1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  <c r="Z258" s="135"/>
      <c r="AA258" s="135"/>
      <c r="AB258" s="135"/>
      <c r="AC258" s="135"/>
      <c r="AD258" s="135"/>
    </row>
    <row r="259" ht="28.5" customHeight="1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  <c r="Z259" s="135"/>
      <c r="AA259" s="135"/>
      <c r="AB259" s="135"/>
      <c r="AC259" s="135"/>
      <c r="AD259" s="135"/>
    </row>
    <row r="260" ht="28.5" customHeight="1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  <c r="Z260" s="135"/>
      <c r="AA260" s="135"/>
      <c r="AB260" s="135"/>
      <c r="AC260" s="135"/>
      <c r="AD260" s="135"/>
    </row>
    <row r="261" ht="28.5" customHeight="1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  <c r="Z261" s="135"/>
      <c r="AA261" s="135"/>
      <c r="AB261" s="135"/>
      <c r="AC261" s="135"/>
      <c r="AD261" s="135"/>
    </row>
    <row r="262" ht="28.5" customHeight="1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  <c r="Z262" s="135"/>
      <c r="AA262" s="135"/>
      <c r="AB262" s="135"/>
      <c r="AC262" s="135"/>
      <c r="AD262" s="135"/>
    </row>
    <row r="263" ht="28.5" customHeight="1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  <c r="Z263" s="135"/>
      <c r="AA263" s="135"/>
      <c r="AB263" s="135"/>
      <c r="AC263" s="135"/>
      <c r="AD263" s="135"/>
    </row>
    <row r="264" ht="28.5" customHeight="1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  <c r="Z264" s="135"/>
      <c r="AA264" s="135"/>
      <c r="AB264" s="135"/>
      <c r="AC264" s="135"/>
      <c r="AD264" s="135"/>
    </row>
    <row r="265" ht="28.5" customHeight="1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  <c r="Z265" s="135"/>
      <c r="AA265" s="135"/>
      <c r="AB265" s="135"/>
      <c r="AC265" s="135"/>
      <c r="AD265" s="135"/>
    </row>
    <row r="266" ht="28.5" customHeight="1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  <c r="Z266" s="135"/>
      <c r="AA266" s="135"/>
      <c r="AB266" s="135"/>
      <c r="AC266" s="135"/>
      <c r="AD266" s="135"/>
    </row>
    <row r="267" ht="28.5" customHeight="1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  <c r="Z267" s="135"/>
      <c r="AA267" s="135"/>
      <c r="AB267" s="135"/>
      <c r="AC267" s="135"/>
      <c r="AD267" s="135"/>
    </row>
    <row r="268" ht="28.5" customHeight="1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  <c r="Z268" s="135"/>
      <c r="AA268" s="135"/>
      <c r="AB268" s="135"/>
      <c r="AC268" s="135"/>
      <c r="AD268" s="135"/>
    </row>
    <row r="269" ht="28.5" customHeight="1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  <c r="Z269" s="135"/>
      <c r="AA269" s="135"/>
      <c r="AB269" s="135"/>
      <c r="AC269" s="135"/>
      <c r="AD269" s="135"/>
    </row>
    <row r="270" ht="28.5" customHeight="1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  <c r="Z270" s="135"/>
      <c r="AA270" s="135"/>
      <c r="AB270" s="135"/>
      <c r="AC270" s="135"/>
      <c r="AD270" s="135"/>
    </row>
    <row r="271" ht="28.5" customHeight="1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  <c r="Z271" s="135"/>
      <c r="AA271" s="135"/>
      <c r="AB271" s="135"/>
      <c r="AC271" s="135"/>
      <c r="AD271" s="135"/>
    </row>
    <row r="272" ht="28.5" customHeight="1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</row>
    <row r="273" ht="28.5" customHeight="1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</row>
    <row r="274" ht="28.5" customHeight="1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  <c r="Z274" s="135"/>
      <c r="AA274" s="135"/>
      <c r="AB274" s="135"/>
      <c r="AC274" s="135"/>
      <c r="AD274" s="135"/>
    </row>
    <row r="275" ht="28.5" customHeight="1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  <c r="Z275" s="135"/>
      <c r="AA275" s="135"/>
      <c r="AB275" s="135"/>
      <c r="AC275" s="135"/>
      <c r="AD275" s="135"/>
    </row>
    <row r="276" ht="28.5" customHeight="1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  <c r="Z276" s="135"/>
      <c r="AA276" s="135"/>
      <c r="AB276" s="135"/>
      <c r="AC276" s="135"/>
      <c r="AD276" s="135"/>
    </row>
    <row r="277" ht="28.5" customHeight="1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  <c r="Z277" s="135"/>
      <c r="AA277" s="135"/>
      <c r="AB277" s="135"/>
      <c r="AC277" s="135"/>
      <c r="AD277" s="135"/>
    </row>
    <row r="278" ht="28.5" customHeight="1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  <c r="Z278" s="135"/>
      <c r="AA278" s="135"/>
      <c r="AB278" s="135"/>
      <c r="AC278" s="135"/>
      <c r="AD278" s="135"/>
    </row>
    <row r="279" ht="28.5" customHeight="1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  <c r="Z279" s="135"/>
      <c r="AA279" s="135"/>
      <c r="AB279" s="135"/>
      <c r="AC279" s="135"/>
      <c r="AD279" s="135"/>
    </row>
    <row r="280" ht="28.5" customHeight="1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  <c r="Z280" s="135"/>
      <c r="AA280" s="135"/>
      <c r="AB280" s="135"/>
      <c r="AC280" s="135"/>
      <c r="AD280" s="135"/>
    </row>
    <row r="281" ht="28.5" customHeight="1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  <c r="Z281" s="135"/>
      <c r="AA281" s="135"/>
      <c r="AB281" s="135"/>
      <c r="AC281" s="135"/>
      <c r="AD281" s="135"/>
    </row>
    <row r="282" ht="28.5" customHeight="1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  <c r="Z282" s="135"/>
      <c r="AA282" s="135"/>
      <c r="AB282" s="135"/>
      <c r="AC282" s="135"/>
      <c r="AD282" s="135"/>
    </row>
    <row r="283" ht="28.5" customHeight="1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  <c r="Z283" s="135"/>
      <c r="AA283" s="135"/>
      <c r="AB283" s="135"/>
      <c r="AC283" s="135"/>
      <c r="AD283" s="135"/>
    </row>
    <row r="284" ht="28.5" customHeight="1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  <c r="Z284" s="135"/>
      <c r="AA284" s="135"/>
      <c r="AB284" s="135"/>
      <c r="AC284" s="135"/>
      <c r="AD284" s="135"/>
    </row>
    <row r="285" ht="28.5" customHeight="1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  <c r="Z285" s="135"/>
      <c r="AA285" s="135"/>
      <c r="AB285" s="135"/>
      <c r="AC285" s="135"/>
      <c r="AD285" s="135"/>
    </row>
    <row r="286" ht="28.5" customHeight="1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  <c r="Z286" s="135"/>
      <c r="AA286" s="135"/>
      <c r="AB286" s="135"/>
      <c r="AC286" s="135"/>
      <c r="AD286" s="135"/>
    </row>
    <row r="287" ht="28.5" customHeight="1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  <c r="Z287" s="135"/>
      <c r="AA287" s="135"/>
      <c r="AB287" s="135"/>
      <c r="AC287" s="135"/>
      <c r="AD287" s="135"/>
    </row>
    <row r="288" ht="28.5" customHeight="1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  <c r="Z288" s="135"/>
      <c r="AA288" s="135"/>
      <c r="AB288" s="135"/>
      <c r="AC288" s="135"/>
      <c r="AD288" s="135"/>
    </row>
    <row r="289" ht="28.5" customHeight="1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  <c r="Z289" s="135"/>
      <c r="AA289" s="135"/>
      <c r="AB289" s="135"/>
      <c r="AC289" s="135"/>
      <c r="AD289" s="135"/>
    </row>
    <row r="290" ht="28.5" customHeight="1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  <c r="Z290" s="135"/>
      <c r="AA290" s="135"/>
      <c r="AB290" s="135"/>
      <c r="AC290" s="135"/>
      <c r="AD290" s="135"/>
    </row>
    <row r="291" ht="28.5" customHeight="1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  <c r="Z291" s="135"/>
      <c r="AA291" s="135"/>
      <c r="AB291" s="135"/>
      <c r="AC291" s="135"/>
      <c r="AD291" s="135"/>
    </row>
    <row r="292" ht="28.5" customHeight="1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  <c r="Z292" s="135"/>
      <c r="AA292" s="135"/>
      <c r="AB292" s="135"/>
      <c r="AC292" s="135"/>
      <c r="AD292" s="135"/>
    </row>
    <row r="293" ht="28.5" customHeight="1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  <c r="Z293" s="135"/>
      <c r="AA293" s="135"/>
      <c r="AB293" s="135"/>
      <c r="AC293" s="135"/>
      <c r="AD293" s="135"/>
    </row>
    <row r="294" ht="28.5" customHeight="1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  <c r="Z294" s="135"/>
      <c r="AA294" s="135"/>
      <c r="AB294" s="135"/>
      <c r="AC294" s="135"/>
      <c r="AD294" s="135"/>
    </row>
    <row r="295" ht="28.5" customHeight="1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  <c r="Z295" s="135"/>
      <c r="AA295" s="135"/>
      <c r="AB295" s="135"/>
      <c r="AC295" s="135"/>
      <c r="AD295" s="135"/>
    </row>
    <row r="296" ht="28.5" customHeight="1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  <c r="Z296" s="135"/>
      <c r="AA296" s="135"/>
      <c r="AB296" s="135"/>
      <c r="AC296" s="135"/>
      <c r="AD296" s="135"/>
    </row>
    <row r="297" ht="28.5" customHeight="1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  <c r="Z297" s="135"/>
      <c r="AA297" s="135"/>
      <c r="AB297" s="135"/>
      <c r="AC297" s="135"/>
      <c r="AD297" s="135"/>
    </row>
    <row r="298" ht="28.5" customHeight="1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  <c r="Z298" s="135"/>
      <c r="AA298" s="135"/>
      <c r="AB298" s="135"/>
      <c r="AC298" s="135"/>
      <c r="AD298" s="135"/>
    </row>
    <row r="299" ht="28.5" customHeight="1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  <c r="Z299" s="135"/>
      <c r="AA299" s="135"/>
      <c r="AB299" s="135"/>
      <c r="AC299" s="135"/>
      <c r="AD299" s="135"/>
    </row>
    <row r="300" ht="28.5" customHeight="1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  <c r="Z300" s="135"/>
      <c r="AA300" s="135"/>
      <c r="AB300" s="135"/>
      <c r="AC300" s="135"/>
      <c r="AD300" s="135"/>
    </row>
    <row r="301" ht="28.5" customHeight="1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  <c r="Z301" s="135"/>
      <c r="AA301" s="135"/>
      <c r="AB301" s="135"/>
      <c r="AC301" s="135"/>
      <c r="AD301" s="135"/>
    </row>
    <row r="302" ht="28.5" customHeight="1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  <c r="Z302" s="135"/>
      <c r="AA302" s="135"/>
      <c r="AB302" s="135"/>
      <c r="AC302" s="135"/>
      <c r="AD302" s="135"/>
    </row>
    <row r="303" ht="28.5" customHeight="1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  <c r="Z303" s="135"/>
      <c r="AA303" s="135"/>
      <c r="AB303" s="135"/>
      <c r="AC303" s="135"/>
      <c r="AD303" s="135"/>
    </row>
    <row r="304" ht="28.5" customHeight="1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  <c r="Z304" s="135"/>
      <c r="AA304" s="135"/>
      <c r="AB304" s="135"/>
      <c r="AC304" s="135"/>
      <c r="AD304" s="135"/>
    </row>
    <row r="305" ht="28.5" customHeight="1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  <c r="Z305" s="135"/>
      <c r="AA305" s="135"/>
      <c r="AB305" s="135"/>
      <c r="AC305" s="135"/>
      <c r="AD305" s="135"/>
    </row>
    <row r="306" ht="28.5" customHeight="1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  <c r="Z306" s="135"/>
      <c r="AA306" s="135"/>
      <c r="AB306" s="135"/>
      <c r="AC306" s="135"/>
      <c r="AD306" s="135"/>
    </row>
    <row r="307" ht="28.5" customHeight="1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  <c r="Z307" s="135"/>
      <c r="AA307" s="135"/>
      <c r="AB307" s="135"/>
      <c r="AC307" s="135"/>
      <c r="AD307" s="135"/>
    </row>
    <row r="308" ht="28.5" customHeight="1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  <c r="Z308" s="135"/>
      <c r="AA308" s="135"/>
      <c r="AB308" s="135"/>
      <c r="AC308" s="135"/>
      <c r="AD308" s="135"/>
    </row>
    <row r="309" ht="28.5" customHeight="1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  <c r="Z309" s="135"/>
      <c r="AA309" s="135"/>
      <c r="AB309" s="135"/>
      <c r="AC309" s="135"/>
      <c r="AD309" s="135"/>
    </row>
    <row r="310" ht="28.5" customHeight="1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  <c r="Z310" s="135"/>
      <c r="AA310" s="135"/>
      <c r="AB310" s="135"/>
      <c r="AC310" s="135"/>
      <c r="AD310" s="135"/>
    </row>
    <row r="311" ht="28.5" customHeight="1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  <c r="Z311" s="135"/>
      <c r="AA311" s="135"/>
      <c r="AB311" s="135"/>
      <c r="AC311" s="135"/>
      <c r="AD311" s="135"/>
    </row>
    <row r="312" ht="28.5" customHeight="1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  <c r="Z312" s="135"/>
      <c r="AA312" s="135"/>
      <c r="AB312" s="135"/>
      <c r="AC312" s="135"/>
      <c r="AD312" s="135"/>
    </row>
    <row r="313" ht="28.5" customHeight="1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  <c r="Z313" s="135"/>
      <c r="AA313" s="135"/>
      <c r="AB313" s="135"/>
      <c r="AC313" s="135"/>
      <c r="AD313" s="135"/>
    </row>
    <row r="314" ht="28.5" customHeight="1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  <c r="Z314" s="135"/>
      <c r="AA314" s="135"/>
      <c r="AB314" s="135"/>
      <c r="AC314" s="135"/>
      <c r="AD314" s="135"/>
    </row>
    <row r="315" ht="28.5" customHeight="1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  <c r="Z315" s="135"/>
      <c r="AA315" s="135"/>
      <c r="AB315" s="135"/>
      <c r="AC315" s="135"/>
      <c r="AD315" s="135"/>
    </row>
    <row r="316" ht="28.5" customHeight="1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  <c r="Z316" s="135"/>
      <c r="AA316" s="135"/>
      <c r="AB316" s="135"/>
      <c r="AC316" s="135"/>
      <c r="AD316" s="135"/>
    </row>
    <row r="317" ht="28.5" customHeight="1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  <c r="AA317" s="135"/>
      <c r="AB317" s="135"/>
      <c r="AC317" s="135"/>
      <c r="AD317" s="135"/>
    </row>
    <row r="318" ht="28.5" customHeight="1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  <c r="Z318" s="135"/>
      <c r="AA318" s="135"/>
      <c r="AB318" s="135"/>
      <c r="AC318" s="135"/>
      <c r="AD318" s="135"/>
    </row>
    <row r="319" ht="28.5" customHeight="1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  <c r="Z319" s="135"/>
      <c r="AA319" s="135"/>
      <c r="AB319" s="135"/>
      <c r="AC319" s="135"/>
      <c r="AD319" s="135"/>
    </row>
    <row r="320" ht="28.5" customHeight="1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  <c r="Z320" s="135"/>
      <c r="AA320" s="135"/>
      <c r="AB320" s="135"/>
      <c r="AC320" s="135"/>
      <c r="AD320" s="135"/>
    </row>
    <row r="321" ht="28.5" customHeight="1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  <c r="Z321" s="135"/>
      <c r="AA321" s="135"/>
      <c r="AB321" s="135"/>
      <c r="AC321" s="135"/>
      <c r="AD321" s="135"/>
    </row>
    <row r="322" ht="28.5" customHeight="1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  <c r="Z322" s="135"/>
      <c r="AA322" s="135"/>
      <c r="AB322" s="135"/>
      <c r="AC322" s="135"/>
      <c r="AD322" s="135"/>
    </row>
    <row r="323" ht="28.5" customHeight="1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  <c r="Z323" s="135"/>
      <c r="AA323" s="135"/>
      <c r="AB323" s="135"/>
      <c r="AC323" s="135"/>
      <c r="AD323" s="135"/>
    </row>
    <row r="324" ht="28.5" customHeight="1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  <c r="Z324" s="135"/>
      <c r="AA324" s="135"/>
      <c r="AB324" s="135"/>
      <c r="AC324" s="135"/>
      <c r="AD324" s="135"/>
    </row>
    <row r="325" ht="28.5" customHeight="1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  <c r="Z325" s="135"/>
      <c r="AA325" s="135"/>
      <c r="AB325" s="135"/>
      <c r="AC325" s="135"/>
      <c r="AD325" s="135"/>
    </row>
    <row r="326" ht="28.5" customHeight="1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  <c r="Z326" s="135"/>
      <c r="AA326" s="135"/>
      <c r="AB326" s="135"/>
      <c r="AC326" s="135"/>
      <c r="AD326" s="135"/>
    </row>
    <row r="327" ht="28.5" customHeight="1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  <c r="Z327" s="135"/>
      <c r="AA327" s="135"/>
      <c r="AB327" s="135"/>
      <c r="AC327" s="135"/>
      <c r="AD327" s="135"/>
    </row>
    <row r="328" ht="28.5" customHeight="1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  <c r="Z328" s="135"/>
      <c r="AA328" s="135"/>
      <c r="AB328" s="135"/>
      <c r="AC328" s="135"/>
      <c r="AD328" s="135"/>
    </row>
    <row r="329" ht="28.5" customHeight="1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  <c r="Z329" s="135"/>
      <c r="AA329" s="135"/>
      <c r="AB329" s="135"/>
      <c r="AC329" s="135"/>
      <c r="AD329" s="135"/>
    </row>
    <row r="330" ht="28.5" customHeight="1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  <c r="Z330" s="135"/>
      <c r="AA330" s="135"/>
      <c r="AB330" s="135"/>
      <c r="AC330" s="135"/>
      <c r="AD330" s="135"/>
    </row>
    <row r="331" ht="28.5" customHeight="1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  <c r="Z331" s="135"/>
      <c r="AA331" s="135"/>
      <c r="AB331" s="135"/>
      <c r="AC331" s="135"/>
      <c r="AD331" s="135"/>
    </row>
    <row r="332" ht="28.5" customHeight="1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  <c r="Z332" s="135"/>
      <c r="AA332" s="135"/>
      <c r="AB332" s="135"/>
      <c r="AC332" s="135"/>
      <c r="AD332" s="135"/>
    </row>
    <row r="333" ht="28.5" customHeight="1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  <c r="Z333" s="135"/>
      <c r="AA333" s="135"/>
      <c r="AB333" s="135"/>
      <c r="AC333" s="135"/>
      <c r="AD333" s="135"/>
    </row>
    <row r="334" ht="28.5" customHeight="1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  <c r="Z334" s="135"/>
      <c r="AA334" s="135"/>
      <c r="AB334" s="135"/>
      <c r="AC334" s="135"/>
      <c r="AD334" s="135"/>
    </row>
    <row r="335" ht="28.5" customHeight="1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  <c r="Z335" s="135"/>
      <c r="AA335" s="135"/>
      <c r="AB335" s="135"/>
      <c r="AC335" s="135"/>
      <c r="AD335" s="135"/>
    </row>
    <row r="336" ht="28.5" customHeight="1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  <c r="Z336" s="135"/>
      <c r="AA336" s="135"/>
      <c r="AB336" s="135"/>
      <c r="AC336" s="135"/>
      <c r="AD336" s="135"/>
    </row>
    <row r="337" ht="28.5" customHeight="1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  <c r="Z337" s="135"/>
      <c r="AA337" s="135"/>
      <c r="AB337" s="135"/>
      <c r="AC337" s="135"/>
      <c r="AD337" s="135"/>
    </row>
    <row r="338" ht="28.5" customHeight="1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  <c r="Z338" s="135"/>
      <c r="AA338" s="135"/>
      <c r="AB338" s="135"/>
      <c r="AC338" s="135"/>
      <c r="AD338" s="135"/>
    </row>
    <row r="339" ht="28.5" customHeight="1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  <c r="Z339" s="135"/>
      <c r="AA339" s="135"/>
      <c r="AB339" s="135"/>
      <c r="AC339" s="135"/>
      <c r="AD339" s="135"/>
    </row>
    <row r="340" ht="28.5" customHeight="1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  <c r="Z340" s="135"/>
      <c r="AA340" s="135"/>
      <c r="AB340" s="135"/>
      <c r="AC340" s="135"/>
      <c r="AD340" s="135"/>
    </row>
    <row r="341" ht="28.5" customHeight="1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  <c r="Z341" s="135"/>
      <c r="AA341" s="135"/>
      <c r="AB341" s="135"/>
      <c r="AC341" s="135"/>
      <c r="AD341" s="135"/>
    </row>
    <row r="342" ht="28.5" customHeight="1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  <c r="AA342" s="135"/>
      <c r="AB342" s="135"/>
      <c r="AC342" s="135"/>
      <c r="AD342" s="135"/>
    </row>
    <row r="343" ht="28.5" customHeight="1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  <c r="AA343" s="135"/>
      <c r="AB343" s="135"/>
      <c r="AC343" s="135"/>
      <c r="AD343" s="135"/>
    </row>
    <row r="344" ht="28.5" customHeight="1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  <c r="Z344" s="135"/>
      <c r="AA344" s="135"/>
      <c r="AB344" s="135"/>
      <c r="AC344" s="135"/>
      <c r="AD344" s="135"/>
    </row>
    <row r="345" ht="28.5" customHeight="1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  <c r="AA345" s="135"/>
      <c r="AB345" s="135"/>
      <c r="AC345" s="135"/>
      <c r="AD345" s="135"/>
    </row>
    <row r="346" ht="28.5" customHeight="1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  <c r="Z346" s="135"/>
      <c r="AA346" s="135"/>
      <c r="AB346" s="135"/>
      <c r="AC346" s="135"/>
      <c r="AD346" s="135"/>
    </row>
    <row r="347" ht="28.5" customHeight="1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  <c r="Z347" s="135"/>
      <c r="AA347" s="135"/>
      <c r="AB347" s="135"/>
      <c r="AC347" s="135"/>
      <c r="AD347" s="135"/>
    </row>
    <row r="348" ht="28.5" customHeight="1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  <c r="AA348" s="135"/>
      <c r="AB348" s="135"/>
      <c r="AC348" s="135"/>
      <c r="AD348" s="135"/>
    </row>
    <row r="349" ht="28.5" customHeight="1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  <c r="AA349" s="135"/>
      <c r="AB349" s="135"/>
      <c r="AC349" s="135"/>
      <c r="AD349" s="135"/>
    </row>
    <row r="350" ht="28.5" customHeight="1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  <c r="AA350" s="135"/>
      <c r="AB350" s="135"/>
      <c r="AC350" s="135"/>
      <c r="AD350" s="135"/>
    </row>
    <row r="351" ht="28.5" customHeight="1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  <c r="Z351" s="135"/>
      <c r="AA351" s="135"/>
      <c r="AB351" s="135"/>
      <c r="AC351" s="135"/>
      <c r="AD351" s="135"/>
    </row>
    <row r="352" ht="28.5" customHeight="1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  <c r="Z352" s="135"/>
      <c r="AA352" s="135"/>
      <c r="AB352" s="135"/>
      <c r="AC352" s="135"/>
      <c r="AD352" s="135"/>
    </row>
    <row r="353" ht="28.5" customHeight="1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  <c r="Z353" s="135"/>
      <c r="AA353" s="135"/>
      <c r="AB353" s="135"/>
      <c r="AC353" s="135"/>
      <c r="AD353" s="135"/>
    </row>
    <row r="354" ht="28.5" customHeight="1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  <c r="Z354" s="135"/>
      <c r="AA354" s="135"/>
      <c r="AB354" s="135"/>
      <c r="AC354" s="135"/>
      <c r="AD354" s="135"/>
    </row>
    <row r="355" ht="28.5" customHeight="1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  <c r="Z355" s="135"/>
      <c r="AA355" s="135"/>
      <c r="AB355" s="135"/>
      <c r="AC355" s="135"/>
      <c r="AD355" s="135"/>
    </row>
    <row r="356" ht="28.5" customHeight="1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  <c r="Z356" s="135"/>
      <c r="AA356" s="135"/>
      <c r="AB356" s="135"/>
      <c r="AC356" s="135"/>
      <c r="AD356" s="135"/>
    </row>
    <row r="357" ht="28.5" customHeight="1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  <c r="Z357" s="135"/>
      <c r="AA357" s="135"/>
      <c r="AB357" s="135"/>
      <c r="AC357" s="135"/>
      <c r="AD357" s="135"/>
    </row>
    <row r="358" ht="28.5" customHeight="1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  <c r="Z358" s="135"/>
      <c r="AA358" s="135"/>
      <c r="AB358" s="135"/>
      <c r="AC358" s="135"/>
      <c r="AD358" s="135"/>
    </row>
    <row r="359" ht="28.5" customHeight="1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  <c r="Z359" s="135"/>
      <c r="AA359" s="135"/>
      <c r="AB359" s="135"/>
      <c r="AC359" s="135"/>
      <c r="AD359" s="135"/>
    </row>
    <row r="360" ht="28.5" customHeight="1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  <c r="Z360" s="135"/>
      <c r="AA360" s="135"/>
      <c r="AB360" s="135"/>
      <c r="AC360" s="135"/>
      <c r="AD360" s="135"/>
    </row>
    <row r="361" ht="28.5" customHeight="1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  <c r="Z361" s="135"/>
      <c r="AA361" s="135"/>
      <c r="AB361" s="135"/>
      <c r="AC361" s="135"/>
      <c r="AD361" s="135"/>
    </row>
    <row r="362" ht="28.5" customHeight="1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  <c r="Z362" s="135"/>
      <c r="AA362" s="135"/>
      <c r="AB362" s="135"/>
      <c r="AC362" s="135"/>
      <c r="AD362" s="135"/>
    </row>
    <row r="363" ht="28.5" customHeight="1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  <c r="Z363" s="135"/>
      <c r="AA363" s="135"/>
      <c r="AB363" s="135"/>
      <c r="AC363" s="135"/>
      <c r="AD363" s="135"/>
    </row>
    <row r="364" ht="28.5" customHeight="1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  <c r="Z364" s="135"/>
      <c r="AA364" s="135"/>
      <c r="AB364" s="135"/>
      <c r="AC364" s="135"/>
      <c r="AD364" s="135"/>
    </row>
    <row r="365" ht="28.5" customHeight="1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  <c r="Z365" s="135"/>
      <c r="AA365" s="135"/>
      <c r="AB365" s="135"/>
      <c r="AC365" s="135"/>
      <c r="AD365" s="135"/>
    </row>
    <row r="366" ht="28.5" customHeight="1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  <c r="Z366" s="135"/>
      <c r="AA366" s="135"/>
      <c r="AB366" s="135"/>
      <c r="AC366" s="135"/>
      <c r="AD366" s="135"/>
    </row>
    <row r="367" ht="28.5" customHeight="1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  <c r="Z367" s="135"/>
      <c r="AA367" s="135"/>
      <c r="AB367" s="135"/>
      <c r="AC367" s="135"/>
      <c r="AD367" s="135"/>
    </row>
    <row r="368" ht="28.5" customHeight="1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  <c r="Z368" s="135"/>
      <c r="AA368" s="135"/>
      <c r="AB368" s="135"/>
      <c r="AC368" s="135"/>
      <c r="AD368" s="135"/>
    </row>
    <row r="369" ht="28.5" customHeight="1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  <c r="Z369" s="135"/>
      <c r="AA369" s="135"/>
      <c r="AB369" s="135"/>
      <c r="AC369" s="135"/>
      <c r="AD369" s="135"/>
    </row>
    <row r="370" ht="28.5" customHeight="1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  <c r="Z370" s="135"/>
      <c r="AA370" s="135"/>
      <c r="AB370" s="135"/>
      <c r="AC370" s="135"/>
      <c r="AD370" s="135"/>
    </row>
    <row r="371" ht="28.5" customHeight="1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  <c r="Z371" s="135"/>
      <c r="AA371" s="135"/>
      <c r="AB371" s="135"/>
      <c r="AC371" s="135"/>
      <c r="AD371" s="135"/>
    </row>
    <row r="372" ht="28.5" customHeight="1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  <c r="Z372" s="135"/>
      <c r="AA372" s="135"/>
      <c r="AB372" s="135"/>
      <c r="AC372" s="135"/>
      <c r="AD372" s="135"/>
    </row>
    <row r="373" ht="28.5" customHeight="1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  <c r="Z373" s="135"/>
      <c r="AA373" s="135"/>
      <c r="AB373" s="135"/>
      <c r="AC373" s="135"/>
      <c r="AD373" s="135"/>
    </row>
    <row r="374" ht="28.5" customHeight="1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  <c r="Z374" s="135"/>
      <c r="AA374" s="135"/>
      <c r="AB374" s="135"/>
      <c r="AC374" s="135"/>
      <c r="AD374" s="135"/>
    </row>
    <row r="375" ht="28.5" customHeight="1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  <c r="Z375" s="135"/>
      <c r="AA375" s="135"/>
      <c r="AB375" s="135"/>
      <c r="AC375" s="135"/>
      <c r="AD375" s="135"/>
    </row>
    <row r="376" ht="28.5" customHeight="1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  <c r="Z376" s="135"/>
      <c r="AA376" s="135"/>
      <c r="AB376" s="135"/>
      <c r="AC376" s="135"/>
      <c r="AD376" s="135"/>
    </row>
    <row r="377" ht="28.5" customHeight="1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  <c r="Z377" s="135"/>
      <c r="AA377" s="135"/>
      <c r="AB377" s="135"/>
      <c r="AC377" s="135"/>
      <c r="AD377" s="135"/>
    </row>
    <row r="378" ht="28.5" customHeight="1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  <c r="Z378" s="135"/>
      <c r="AA378" s="135"/>
      <c r="AB378" s="135"/>
      <c r="AC378" s="135"/>
      <c r="AD378" s="135"/>
    </row>
    <row r="379" ht="28.5" customHeight="1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  <c r="Z379" s="135"/>
      <c r="AA379" s="135"/>
      <c r="AB379" s="135"/>
      <c r="AC379" s="135"/>
      <c r="AD379" s="135"/>
    </row>
    <row r="380" ht="28.5" customHeight="1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  <c r="Z380" s="135"/>
      <c r="AA380" s="135"/>
      <c r="AB380" s="135"/>
      <c r="AC380" s="135"/>
      <c r="AD380" s="135"/>
    </row>
    <row r="381" ht="28.5" customHeight="1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  <c r="Z381" s="135"/>
      <c r="AA381" s="135"/>
      <c r="AB381" s="135"/>
      <c r="AC381" s="135"/>
      <c r="AD381" s="135"/>
    </row>
    <row r="382" ht="28.5" customHeight="1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  <c r="Z382" s="135"/>
      <c r="AA382" s="135"/>
      <c r="AB382" s="135"/>
      <c r="AC382" s="135"/>
      <c r="AD382" s="135"/>
    </row>
    <row r="383" ht="28.5" customHeight="1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  <c r="Z383" s="135"/>
      <c r="AA383" s="135"/>
      <c r="AB383" s="135"/>
      <c r="AC383" s="135"/>
      <c r="AD383" s="135"/>
    </row>
    <row r="384" ht="28.5" customHeight="1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  <c r="Z384" s="135"/>
      <c r="AA384" s="135"/>
      <c r="AB384" s="135"/>
      <c r="AC384" s="135"/>
      <c r="AD384" s="135"/>
    </row>
    <row r="385" ht="28.5" customHeight="1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  <c r="Z385" s="135"/>
      <c r="AA385" s="135"/>
      <c r="AB385" s="135"/>
      <c r="AC385" s="135"/>
      <c r="AD385" s="135"/>
    </row>
    <row r="386" ht="28.5" customHeight="1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  <c r="Z386" s="135"/>
      <c r="AA386" s="135"/>
      <c r="AB386" s="135"/>
      <c r="AC386" s="135"/>
      <c r="AD386" s="135"/>
    </row>
    <row r="387" ht="28.5" customHeight="1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  <c r="Z387" s="135"/>
      <c r="AA387" s="135"/>
      <c r="AB387" s="135"/>
      <c r="AC387" s="135"/>
      <c r="AD387" s="135"/>
    </row>
    <row r="388" ht="28.5" customHeight="1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  <c r="Z388" s="135"/>
      <c r="AA388" s="135"/>
      <c r="AB388" s="135"/>
      <c r="AC388" s="135"/>
      <c r="AD388" s="135"/>
    </row>
    <row r="389" ht="28.5" customHeight="1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  <c r="Z389" s="135"/>
      <c r="AA389" s="135"/>
      <c r="AB389" s="135"/>
      <c r="AC389" s="135"/>
      <c r="AD389" s="135"/>
    </row>
    <row r="390" ht="28.5" customHeight="1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  <c r="Z390" s="135"/>
      <c r="AA390" s="135"/>
      <c r="AB390" s="135"/>
      <c r="AC390" s="135"/>
      <c r="AD390" s="135"/>
    </row>
    <row r="391" ht="28.5" customHeight="1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  <c r="Z391" s="135"/>
      <c r="AA391" s="135"/>
      <c r="AB391" s="135"/>
      <c r="AC391" s="135"/>
      <c r="AD391" s="135"/>
    </row>
    <row r="392" ht="28.5" customHeight="1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  <c r="Z392" s="135"/>
      <c r="AA392" s="135"/>
      <c r="AB392" s="135"/>
      <c r="AC392" s="135"/>
      <c r="AD392" s="135"/>
    </row>
    <row r="393" ht="28.5" customHeight="1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  <c r="Z393" s="135"/>
      <c r="AA393" s="135"/>
      <c r="AB393" s="135"/>
      <c r="AC393" s="135"/>
      <c r="AD393" s="135"/>
    </row>
    <row r="394" ht="28.5" customHeight="1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  <c r="Z394" s="135"/>
      <c r="AA394" s="135"/>
      <c r="AB394" s="135"/>
      <c r="AC394" s="135"/>
      <c r="AD394" s="135"/>
    </row>
    <row r="395" ht="28.5" customHeight="1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  <c r="Z395" s="135"/>
      <c r="AA395" s="135"/>
      <c r="AB395" s="135"/>
      <c r="AC395" s="135"/>
      <c r="AD395" s="135"/>
    </row>
    <row r="396" ht="28.5" customHeight="1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  <c r="Z396" s="135"/>
      <c r="AA396" s="135"/>
      <c r="AB396" s="135"/>
      <c r="AC396" s="135"/>
      <c r="AD396" s="135"/>
    </row>
    <row r="397" ht="28.5" customHeight="1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  <c r="Z397" s="135"/>
      <c r="AA397" s="135"/>
      <c r="AB397" s="135"/>
      <c r="AC397" s="135"/>
      <c r="AD397" s="135"/>
    </row>
    <row r="398" ht="28.5" customHeight="1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  <c r="Z398" s="135"/>
      <c r="AA398" s="135"/>
      <c r="AB398" s="135"/>
      <c r="AC398" s="135"/>
      <c r="AD398" s="135"/>
    </row>
    <row r="399" ht="28.5" customHeight="1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  <c r="Z399" s="135"/>
      <c r="AA399" s="135"/>
      <c r="AB399" s="135"/>
      <c r="AC399" s="135"/>
      <c r="AD399" s="135"/>
    </row>
    <row r="400" ht="28.5" customHeight="1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  <c r="Z400" s="135"/>
      <c r="AA400" s="135"/>
      <c r="AB400" s="135"/>
      <c r="AC400" s="135"/>
      <c r="AD400" s="135"/>
    </row>
    <row r="401" ht="28.5" customHeight="1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  <c r="Z401" s="135"/>
      <c r="AA401" s="135"/>
      <c r="AB401" s="135"/>
      <c r="AC401" s="135"/>
      <c r="AD401" s="135"/>
    </row>
    <row r="402" ht="28.5" customHeight="1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  <c r="Z402" s="135"/>
      <c r="AA402" s="135"/>
      <c r="AB402" s="135"/>
      <c r="AC402" s="135"/>
      <c r="AD402" s="135"/>
    </row>
    <row r="403" ht="28.5" customHeight="1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  <c r="Z403" s="135"/>
      <c r="AA403" s="135"/>
      <c r="AB403" s="135"/>
      <c r="AC403" s="135"/>
      <c r="AD403" s="135"/>
    </row>
    <row r="404" ht="28.5" customHeight="1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  <c r="Z404" s="135"/>
      <c r="AA404" s="135"/>
      <c r="AB404" s="135"/>
      <c r="AC404" s="135"/>
      <c r="AD404" s="135"/>
    </row>
    <row r="405" ht="28.5" customHeight="1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  <c r="Z405" s="135"/>
      <c r="AA405" s="135"/>
      <c r="AB405" s="135"/>
      <c r="AC405" s="135"/>
      <c r="AD405" s="135"/>
    </row>
    <row r="406" ht="28.5" customHeight="1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  <c r="Z406" s="135"/>
      <c r="AA406" s="135"/>
      <c r="AB406" s="135"/>
      <c r="AC406" s="135"/>
      <c r="AD406" s="135"/>
    </row>
    <row r="407" ht="28.5" customHeight="1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  <c r="Z407" s="135"/>
      <c r="AA407" s="135"/>
      <c r="AB407" s="135"/>
      <c r="AC407" s="135"/>
      <c r="AD407" s="135"/>
    </row>
    <row r="408" ht="28.5" customHeight="1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  <c r="Z408" s="135"/>
      <c r="AA408" s="135"/>
      <c r="AB408" s="135"/>
      <c r="AC408" s="135"/>
      <c r="AD408" s="135"/>
    </row>
    <row r="409" ht="28.5" customHeight="1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  <c r="Z409" s="135"/>
      <c r="AA409" s="135"/>
      <c r="AB409" s="135"/>
      <c r="AC409" s="135"/>
      <c r="AD409" s="135"/>
    </row>
    <row r="410" ht="28.5" customHeight="1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  <c r="Z410" s="135"/>
      <c r="AA410" s="135"/>
      <c r="AB410" s="135"/>
      <c r="AC410" s="135"/>
      <c r="AD410" s="135"/>
    </row>
    <row r="411" ht="28.5" customHeight="1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  <c r="Z411" s="135"/>
      <c r="AA411" s="135"/>
      <c r="AB411" s="135"/>
      <c r="AC411" s="135"/>
      <c r="AD411" s="135"/>
    </row>
    <row r="412" ht="28.5" customHeight="1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  <c r="Z412" s="135"/>
      <c r="AA412" s="135"/>
      <c r="AB412" s="135"/>
      <c r="AC412" s="135"/>
      <c r="AD412" s="135"/>
    </row>
    <row r="413" ht="28.5" customHeight="1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  <c r="Z413" s="135"/>
      <c r="AA413" s="135"/>
      <c r="AB413" s="135"/>
      <c r="AC413" s="135"/>
      <c r="AD413" s="135"/>
    </row>
    <row r="414" ht="28.5" customHeight="1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  <c r="Z414" s="135"/>
      <c r="AA414" s="135"/>
      <c r="AB414" s="135"/>
      <c r="AC414" s="135"/>
      <c r="AD414" s="135"/>
    </row>
    <row r="415" ht="28.5" customHeight="1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  <c r="Z415" s="135"/>
      <c r="AA415" s="135"/>
      <c r="AB415" s="135"/>
      <c r="AC415" s="135"/>
      <c r="AD415" s="135"/>
    </row>
    <row r="416" ht="28.5" customHeight="1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  <c r="Z416" s="135"/>
      <c r="AA416" s="135"/>
      <c r="AB416" s="135"/>
      <c r="AC416" s="135"/>
      <c r="AD416" s="135"/>
    </row>
    <row r="417" ht="28.5" customHeight="1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  <c r="Z417" s="135"/>
      <c r="AA417" s="135"/>
      <c r="AB417" s="135"/>
      <c r="AC417" s="135"/>
      <c r="AD417" s="135"/>
    </row>
    <row r="418" ht="28.5" customHeight="1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  <c r="Z418" s="135"/>
      <c r="AA418" s="135"/>
      <c r="AB418" s="135"/>
      <c r="AC418" s="135"/>
      <c r="AD418" s="135"/>
    </row>
    <row r="419" ht="28.5" customHeight="1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  <c r="Z419" s="135"/>
      <c r="AA419" s="135"/>
      <c r="AB419" s="135"/>
      <c r="AC419" s="135"/>
      <c r="AD419" s="135"/>
    </row>
    <row r="420" ht="28.5" customHeight="1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  <c r="Z420" s="135"/>
      <c r="AA420" s="135"/>
      <c r="AB420" s="135"/>
      <c r="AC420" s="135"/>
      <c r="AD420" s="135"/>
    </row>
    <row r="421" ht="28.5" customHeight="1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  <c r="Z421" s="135"/>
      <c r="AA421" s="135"/>
      <c r="AB421" s="135"/>
      <c r="AC421" s="135"/>
      <c r="AD421" s="135"/>
    </row>
    <row r="422" ht="28.5" customHeight="1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  <c r="Z422" s="135"/>
      <c r="AA422" s="135"/>
      <c r="AB422" s="135"/>
      <c r="AC422" s="135"/>
      <c r="AD422" s="135"/>
    </row>
    <row r="423" ht="28.5" customHeight="1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  <c r="Z423" s="135"/>
      <c r="AA423" s="135"/>
      <c r="AB423" s="135"/>
      <c r="AC423" s="135"/>
      <c r="AD423" s="135"/>
    </row>
    <row r="424" ht="28.5" customHeight="1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  <c r="Z424" s="135"/>
      <c r="AA424" s="135"/>
      <c r="AB424" s="135"/>
      <c r="AC424" s="135"/>
      <c r="AD424" s="135"/>
    </row>
    <row r="425" ht="28.5" customHeight="1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  <c r="Z425" s="135"/>
      <c r="AA425" s="135"/>
      <c r="AB425" s="135"/>
      <c r="AC425" s="135"/>
      <c r="AD425" s="135"/>
    </row>
    <row r="426" ht="28.5" customHeight="1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  <c r="Z426" s="135"/>
      <c r="AA426" s="135"/>
      <c r="AB426" s="135"/>
      <c r="AC426" s="135"/>
      <c r="AD426" s="135"/>
    </row>
    <row r="427" ht="28.5" customHeight="1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  <c r="Z427" s="135"/>
      <c r="AA427" s="135"/>
      <c r="AB427" s="135"/>
      <c r="AC427" s="135"/>
      <c r="AD427" s="135"/>
    </row>
    <row r="428" ht="28.5" customHeight="1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  <c r="Z428" s="135"/>
      <c r="AA428" s="135"/>
      <c r="AB428" s="135"/>
      <c r="AC428" s="135"/>
      <c r="AD428" s="135"/>
    </row>
    <row r="429" ht="28.5" customHeight="1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  <c r="Z429" s="135"/>
      <c r="AA429" s="135"/>
      <c r="AB429" s="135"/>
      <c r="AC429" s="135"/>
      <c r="AD429" s="135"/>
    </row>
    <row r="430" ht="28.5" customHeight="1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  <c r="Z430" s="135"/>
      <c r="AA430" s="135"/>
      <c r="AB430" s="135"/>
      <c r="AC430" s="135"/>
      <c r="AD430" s="135"/>
    </row>
    <row r="431" ht="28.5" customHeight="1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  <c r="Z431" s="135"/>
      <c r="AA431" s="135"/>
      <c r="AB431" s="135"/>
      <c r="AC431" s="135"/>
      <c r="AD431" s="135"/>
    </row>
    <row r="432" ht="28.5" customHeight="1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  <c r="Z432" s="135"/>
      <c r="AA432" s="135"/>
      <c r="AB432" s="135"/>
      <c r="AC432" s="135"/>
      <c r="AD432" s="135"/>
    </row>
    <row r="433" ht="28.5" customHeight="1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  <c r="Z433" s="135"/>
      <c r="AA433" s="135"/>
      <c r="AB433" s="135"/>
      <c r="AC433" s="135"/>
      <c r="AD433" s="135"/>
    </row>
    <row r="434" ht="28.5" customHeight="1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  <c r="Z434" s="135"/>
      <c r="AA434" s="135"/>
      <c r="AB434" s="135"/>
      <c r="AC434" s="135"/>
      <c r="AD434" s="135"/>
    </row>
    <row r="435" ht="28.5" customHeight="1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  <c r="Z435" s="135"/>
      <c r="AA435" s="135"/>
      <c r="AB435" s="135"/>
      <c r="AC435" s="135"/>
      <c r="AD435" s="135"/>
    </row>
    <row r="436" ht="28.5" customHeight="1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  <c r="Z436" s="135"/>
      <c r="AA436" s="135"/>
      <c r="AB436" s="135"/>
      <c r="AC436" s="135"/>
      <c r="AD436" s="135"/>
    </row>
    <row r="437" ht="28.5" customHeight="1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  <c r="Z437" s="135"/>
      <c r="AA437" s="135"/>
      <c r="AB437" s="135"/>
      <c r="AC437" s="135"/>
      <c r="AD437" s="135"/>
    </row>
    <row r="438" ht="28.5" customHeight="1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  <c r="Z438" s="135"/>
      <c r="AA438" s="135"/>
      <c r="AB438" s="135"/>
      <c r="AC438" s="135"/>
      <c r="AD438" s="135"/>
    </row>
    <row r="439" ht="28.5" customHeight="1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  <c r="Z439" s="135"/>
      <c r="AA439" s="135"/>
      <c r="AB439" s="135"/>
      <c r="AC439" s="135"/>
      <c r="AD439" s="135"/>
    </row>
    <row r="440" ht="28.5" customHeight="1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  <c r="Z440" s="135"/>
      <c r="AA440" s="135"/>
      <c r="AB440" s="135"/>
      <c r="AC440" s="135"/>
      <c r="AD440" s="135"/>
    </row>
    <row r="441" ht="28.5" customHeight="1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  <c r="Z441" s="135"/>
      <c r="AA441" s="135"/>
      <c r="AB441" s="135"/>
      <c r="AC441" s="135"/>
      <c r="AD441" s="135"/>
    </row>
    <row r="442" ht="28.5" customHeight="1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  <c r="Z442" s="135"/>
      <c r="AA442" s="135"/>
      <c r="AB442" s="135"/>
      <c r="AC442" s="135"/>
      <c r="AD442" s="135"/>
    </row>
    <row r="443" ht="28.5" customHeight="1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  <c r="Z443" s="135"/>
      <c r="AA443" s="135"/>
      <c r="AB443" s="135"/>
      <c r="AC443" s="135"/>
      <c r="AD443" s="135"/>
    </row>
    <row r="444" ht="28.5" customHeight="1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  <c r="Z444" s="135"/>
      <c r="AA444" s="135"/>
      <c r="AB444" s="135"/>
      <c r="AC444" s="135"/>
      <c r="AD444" s="135"/>
    </row>
    <row r="445" ht="28.5" customHeight="1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  <c r="Z445" s="135"/>
      <c r="AA445" s="135"/>
      <c r="AB445" s="135"/>
      <c r="AC445" s="135"/>
      <c r="AD445" s="135"/>
    </row>
    <row r="446" ht="28.5" customHeight="1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  <c r="Z446" s="135"/>
      <c r="AA446" s="135"/>
      <c r="AB446" s="135"/>
      <c r="AC446" s="135"/>
      <c r="AD446" s="135"/>
    </row>
    <row r="447" ht="28.5" customHeight="1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  <c r="Z447" s="135"/>
      <c r="AA447" s="135"/>
      <c r="AB447" s="135"/>
      <c r="AC447" s="135"/>
      <c r="AD447" s="135"/>
    </row>
    <row r="448" ht="28.5" customHeight="1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  <c r="Z448" s="135"/>
      <c r="AA448" s="135"/>
      <c r="AB448" s="135"/>
      <c r="AC448" s="135"/>
      <c r="AD448" s="135"/>
    </row>
    <row r="449" ht="28.5" customHeight="1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  <c r="Z449" s="135"/>
      <c r="AA449" s="135"/>
      <c r="AB449" s="135"/>
      <c r="AC449" s="135"/>
      <c r="AD449" s="135"/>
    </row>
    <row r="450" ht="28.5" customHeight="1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  <c r="Z450" s="135"/>
      <c r="AA450" s="135"/>
      <c r="AB450" s="135"/>
      <c r="AC450" s="135"/>
      <c r="AD450" s="135"/>
    </row>
    <row r="451" ht="28.5" customHeight="1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  <c r="Z451" s="135"/>
      <c r="AA451" s="135"/>
      <c r="AB451" s="135"/>
      <c r="AC451" s="135"/>
      <c r="AD451" s="135"/>
    </row>
    <row r="452" ht="28.5" customHeight="1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  <c r="Z452" s="135"/>
      <c r="AA452" s="135"/>
      <c r="AB452" s="135"/>
      <c r="AC452" s="135"/>
      <c r="AD452" s="135"/>
    </row>
    <row r="453" ht="28.5" customHeight="1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  <c r="Z453" s="135"/>
      <c r="AA453" s="135"/>
      <c r="AB453" s="135"/>
      <c r="AC453" s="135"/>
      <c r="AD453" s="135"/>
    </row>
    <row r="454" ht="28.5" customHeight="1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  <c r="Z454" s="135"/>
      <c r="AA454" s="135"/>
      <c r="AB454" s="135"/>
      <c r="AC454" s="135"/>
      <c r="AD454" s="135"/>
    </row>
    <row r="455" ht="28.5" customHeight="1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  <c r="Z455" s="135"/>
      <c r="AA455" s="135"/>
      <c r="AB455" s="135"/>
      <c r="AC455" s="135"/>
      <c r="AD455" s="135"/>
    </row>
    <row r="456" ht="28.5" customHeight="1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  <c r="Z456" s="135"/>
      <c r="AA456" s="135"/>
      <c r="AB456" s="135"/>
      <c r="AC456" s="135"/>
      <c r="AD456" s="135"/>
    </row>
    <row r="457" ht="28.5" customHeight="1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  <c r="Z457" s="135"/>
      <c r="AA457" s="135"/>
      <c r="AB457" s="135"/>
      <c r="AC457" s="135"/>
      <c r="AD457" s="135"/>
    </row>
    <row r="458" ht="28.5" customHeight="1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  <c r="Z458" s="135"/>
      <c r="AA458" s="135"/>
      <c r="AB458" s="135"/>
      <c r="AC458" s="135"/>
      <c r="AD458" s="135"/>
    </row>
    <row r="459" ht="28.5" customHeight="1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  <c r="Z459" s="135"/>
      <c r="AA459" s="135"/>
      <c r="AB459" s="135"/>
      <c r="AC459" s="135"/>
      <c r="AD459" s="135"/>
    </row>
    <row r="460" ht="28.5" customHeight="1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  <c r="Z460" s="135"/>
      <c r="AA460" s="135"/>
      <c r="AB460" s="135"/>
      <c r="AC460" s="135"/>
      <c r="AD460" s="135"/>
    </row>
    <row r="461" ht="28.5" customHeight="1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  <c r="Z461" s="135"/>
      <c r="AA461" s="135"/>
      <c r="AB461" s="135"/>
      <c r="AC461" s="135"/>
      <c r="AD461" s="135"/>
    </row>
    <row r="462" ht="28.5" customHeight="1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  <c r="Z462" s="135"/>
      <c r="AA462" s="135"/>
      <c r="AB462" s="135"/>
      <c r="AC462" s="135"/>
      <c r="AD462" s="135"/>
    </row>
    <row r="463" ht="28.5" customHeight="1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  <c r="Z463" s="135"/>
      <c r="AA463" s="135"/>
      <c r="AB463" s="135"/>
      <c r="AC463" s="135"/>
      <c r="AD463" s="135"/>
    </row>
    <row r="464" ht="28.5" customHeight="1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  <c r="Z464" s="135"/>
      <c r="AA464" s="135"/>
      <c r="AB464" s="135"/>
      <c r="AC464" s="135"/>
      <c r="AD464" s="135"/>
    </row>
    <row r="465" ht="28.5" customHeight="1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  <c r="Z465" s="135"/>
      <c r="AA465" s="135"/>
      <c r="AB465" s="135"/>
      <c r="AC465" s="135"/>
      <c r="AD465" s="135"/>
    </row>
    <row r="466" ht="28.5" customHeight="1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  <c r="Z466" s="135"/>
      <c r="AA466" s="135"/>
      <c r="AB466" s="135"/>
      <c r="AC466" s="135"/>
      <c r="AD466" s="135"/>
    </row>
    <row r="467" ht="28.5" customHeight="1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  <c r="Z467" s="135"/>
      <c r="AA467" s="135"/>
      <c r="AB467" s="135"/>
      <c r="AC467" s="135"/>
      <c r="AD467" s="135"/>
    </row>
    <row r="468" ht="28.5" customHeight="1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  <c r="Z468" s="135"/>
      <c r="AA468" s="135"/>
      <c r="AB468" s="135"/>
      <c r="AC468" s="135"/>
      <c r="AD468" s="135"/>
    </row>
    <row r="469" ht="28.5" customHeight="1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  <c r="Z469" s="135"/>
      <c r="AA469" s="135"/>
      <c r="AB469" s="135"/>
      <c r="AC469" s="135"/>
      <c r="AD469" s="135"/>
    </row>
    <row r="470" ht="28.5" customHeight="1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  <c r="Z470" s="135"/>
      <c r="AA470" s="135"/>
      <c r="AB470" s="135"/>
      <c r="AC470" s="135"/>
      <c r="AD470" s="135"/>
    </row>
    <row r="471" ht="28.5" customHeight="1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  <c r="Z471" s="135"/>
      <c r="AA471" s="135"/>
      <c r="AB471" s="135"/>
      <c r="AC471" s="135"/>
      <c r="AD471" s="135"/>
    </row>
    <row r="472" ht="28.5" customHeight="1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5"/>
      <c r="U472" s="135"/>
      <c r="V472" s="135"/>
      <c r="W472" s="135"/>
      <c r="X472" s="135"/>
      <c r="Y472" s="135"/>
      <c r="Z472" s="135"/>
      <c r="AA472" s="135"/>
      <c r="AB472" s="135"/>
      <c r="AC472" s="135"/>
      <c r="AD472" s="135"/>
    </row>
    <row r="473" ht="28.5" customHeight="1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5"/>
      <c r="U473" s="135"/>
      <c r="V473" s="135"/>
      <c r="W473" s="135"/>
      <c r="X473" s="135"/>
      <c r="Y473" s="135"/>
      <c r="Z473" s="135"/>
      <c r="AA473" s="135"/>
      <c r="AB473" s="135"/>
      <c r="AC473" s="135"/>
      <c r="AD473" s="135"/>
    </row>
    <row r="474" ht="28.5" customHeight="1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5"/>
      <c r="U474" s="135"/>
      <c r="V474" s="135"/>
      <c r="W474" s="135"/>
      <c r="X474" s="135"/>
      <c r="Y474" s="135"/>
      <c r="Z474" s="135"/>
      <c r="AA474" s="135"/>
      <c r="AB474" s="135"/>
      <c r="AC474" s="135"/>
      <c r="AD474" s="135"/>
    </row>
    <row r="475" ht="28.5" customHeight="1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5"/>
      <c r="U475" s="135"/>
      <c r="V475" s="135"/>
      <c r="W475" s="135"/>
      <c r="X475" s="135"/>
      <c r="Y475" s="135"/>
      <c r="Z475" s="135"/>
      <c r="AA475" s="135"/>
      <c r="AB475" s="135"/>
      <c r="AC475" s="135"/>
      <c r="AD475" s="135"/>
    </row>
    <row r="476" ht="28.5" customHeight="1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5"/>
      <c r="U476" s="135"/>
      <c r="V476" s="135"/>
      <c r="W476" s="135"/>
      <c r="X476" s="135"/>
      <c r="Y476" s="135"/>
      <c r="Z476" s="135"/>
      <c r="AA476" s="135"/>
      <c r="AB476" s="135"/>
      <c r="AC476" s="135"/>
      <c r="AD476" s="135"/>
    </row>
    <row r="477" ht="28.5" customHeight="1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5"/>
      <c r="U477" s="135"/>
      <c r="V477" s="135"/>
      <c r="W477" s="135"/>
      <c r="X477" s="135"/>
      <c r="Y477" s="135"/>
      <c r="Z477" s="135"/>
      <c r="AA477" s="135"/>
      <c r="AB477" s="135"/>
      <c r="AC477" s="135"/>
      <c r="AD477" s="135"/>
    </row>
    <row r="478" ht="28.5" customHeight="1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5"/>
      <c r="U478" s="135"/>
      <c r="V478" s="135"/>
      <c r="W478" s="135"/>
      <c r="X478" s="135"/>
      <c r="Y478" s="135"/>
      <c r="Z478" s="135"/>
      <c r="AA478" s="135"/>
      <c r="AB478" s="135"/>
      <c r="AC478" s="135"/>
      <c r="AD478" s="135"/>
    </row>
    <row r="479" ht="28.5" customHeight="1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5"/>
      <c r="U479" s="135"/>
      <c r="V479" s="135"/>
      <c r="W479" s="135"/>
      <c r="X479" s="135"/>
      <c r="Y479" s="135"/>
      <c r="Z479" s="135"/>
      <c r="AA479" s="135"/>
      <c r="AB479" s="135"/>
      <c r="AC479" s="135"/>
      <c r="AD479" s="135"/>
    </row>
    <row r="480" ht="28.5" customHeight="1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5"/>
      <c r="U480" s="135"/>
      <c r="V480" s="135"/>
      <c r="W480" s="135"/>
      <c r="X480" s="135"/>
      <c r="Y480" s="135"/>
      <c r="Z480" s="135"/>
      <c r="AA480" s="135"/>
      <c r="AB480" s="135"/>
      <c r="AC480" s="135"/>
      <c r="AD480" s="135"/>
    </row>
    <row r="481" ht="28.5" customHeight="1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  <c r="V481" s="135"/>
      <c r="W481" s="135"/>
      <c r="X481" s="135"/>
      <c r="Y481" s="135"/>
      <c r="Z481" s="135"/>
      <c r="AA481" s="135"/>
      <c r="AB481" s="135"/>
      <c r="AC481" s="135"/>
      <c r="AD481" s="135"/>
    </row>
    <row r="482" ht="28.5" customHeight="1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5"/>
      <c r="U482" s="135"/>
      <c r="V482" s="135"/>
      <c r="W482" s="135"/>
      <c r="X482" s="135"/>
      <c r="Y482" s="135"/>
      <c r="Z482" s="135"/>
      <c r="AA482" s="135"/>
      <c r="AB482" s="135"/>
      <c r="AC482" s="135"/>
      <c r="AD482" s="135"/>
    </row>
    <row r="483" ht="28.5" customHeight="1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5"/>
      <c r="U483" s="135"/>
      <c r="V483" s="135"/>
      <c r="W483" s="135"/>
      <c r="X483" s="135"/>
      <c r="Y483" s="135"/>
      <c r="Z483" s="135"/>
      <c r="AA483" s="135"/>
      <c r="AB483" s="135"/>
      <c r="AC483" s="135"/>
      <c r="AD483" s="135"/>
    </row>
    <row r="484" ht="28.5" customHeight="1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5"/>
      <c r="U484" s="135"/>
      <c r="V484" s="135"/>
      <c r="W484" s="135"/>
      <c r="X484" s="135"/>
      <c r="Y484" s="135"/>
      <c r="Z484" s="135"/>
      <c r="AA484" s="135"/>
      <c r="AB484" s="135"/>
      <c r="AC484" s="135"/>
      <c r="AD484" s="135"/>
    </row>
    <row r="485" ht="28.5" customHeight="1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5"/>
      <c r="U485" s="135"/>
      <c r="V485" s="135"/>
      <c r="W485" s="135"/>
      <c r="X485" s="135"/>
      <c r="Y485" s="135"/>
      <c r="Z485" s="135"/>
      <c r="AA485" s="135"/>
      <c r="AB485" s="135"/>
      <c r="AC485" s="135"/>
      <c r="AD485" s="135"/>
    </row>
    <row r="486" ht="28.5" customHeight="1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5"/>
      <c r="U486" s="135"/>
      <c r="V486" s="135"/>
      <c r="W486" s="135"/>
      <c r="X486" s="135"/>
      <c r="Y486" s="135"/>
      <c r="Z486" s="135"/>
      <c r="AA486" s="135"/>
      <c r="AB486" s="135"/>
      <c r="AC486" s="135"/>
      <c r="AD486" s="135"/>
    </row>
    <row r="487" ht="28.5" customHeight="1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5"/>
      <c r="U487" s="135"/>
      <c r="V487" s="135"/>
      <c r="W487" s="135"/>
      <c r="X487" s="135"/>
      <c r="Y487" s="135"/>
      <c r="Z487" s="135"/>
      <c r="AA487" s="135"/>
      <c r="AB487" s="135"/>
      <c r="AC487" s="135"/>
      <c r="AD487" s="135"/>
    </row>
    <row r="488" ht="28.5" customHeight="1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5"/>
      <c r="U488" s="135"/>
      <c r="V488" s="135"/>
      <c r="W488" s="135"/>
      <c r="X488" s="135"/>
      <c r="Y488" s="135"/>
      <c r="Z488" s="135"/>
      <c r="AA488" s="135"/>
      <c r="AB488" s="135"/>
      <c r="AC488" s="135"/>
      <c r="AD488" s="135"/>
    </row>
    <row r="489" ht="28.5" customHeight="1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5"/>
      <c r="U489" s="135"/>
      <c r="V489" s="135"/>
      <c r="W489" s="135"/>
      <c r="X489" s="135"/>
      <c r="Y489" s="135"/>
      <c r="Z489" s="135"/>
      <c r="AA489" s="135"/>
      <c r="AB489" s="135"/>
      <c r="AC489" s="135"/>
      <c r="AD489" s="135"/>
    </row>
    <row r="490" ht="28.5" customHeight="1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5"/>
      <c r="U490" s="135"/>
      <c r="V490" s="135"/>
      <c r="W490" s="135"/>
      <c r="X490" s="135"/>
      <c r="Y490" s="135"/>
      <c r="Z490" s="135"/>
      <c r="AA490" s="135"/>
      <c r="AB490" s="135"/>
      <c r="AC490" s="135"/>
      <c r="AD490" s="135"/>
    </row>
    <row r="491" ht="28.5" customHeight="1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5"/>
      <c r="U491" s="135"/>
      <c r="V491" s="135"/>
      <c r="W491" s="135"/>
      <c r="X491" s="135"/>
      <c r="Y491" s="135"/>
      <c r="Z491" s="135"/>
      <c r="AA491" s="135"/>
      <c r="AB491" s="135"/>
      <c r="AC491" s="135"/>
      <c r="AD491" s="135"/>
    </row>
    <row r="492" ht="28.5" customHeight="1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5"/>
      <c r="U492" s="135"/>
      <c r="V492" s="135"/>
      <c r="W492" s="135"/>
      <c r="X492" s="135"/>
      <c r="Y492" s="135"/>
      <c r="Z492" s="135"/>
      <c r="AA492" s="135"/>
      <c r="AB492" s="135"/>
      <c r="AC492" s="135"/>
      <c r="AD492" s="135"/>
    </row>
    <row r="493" ht="28.5" customHeight="1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5"/>
      <c r="U493" s="135"/>
      <c r="V493" s="135"/>
      <c r="W493" s="135"/>
      <c r="X493" s="135"/>
      <c r="Y493" s="135"/>
      <c r="Z493" s="135"/>
      <c r="AA493" s="135"/>
      <c r="AB493" s="135"/>
      <c r="AC493" s="135"/>
      <c r="AD493" s="135"/>
    </row>
    <row r="494" ht="28.5" customHeight="1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5"/>
      <c r="U494" s="135"/>
      <c r="V494" s="135"/>
      <c r="W494" s="135"/>
      <c r="X494" s="135"/>
      <c r="Y494" s="135"/>
      <c r="Z494" s="135"/>
      <c r="AA494" s="135"/>
      <c r="AB494" s="135"/>
      <c r="AC494" s="135"/>
      <c r="AD494" s="135"/>
    </row>
    <row r="495" ht="28.5" customHeight="1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5"/>
      <c r="U495" s="135"/>
      <c r="V495" s="135"/>
      <c r="W495" s="135"/>
      <c r="X495" s="135"/>
      <c r="Y495" s="135"/>
      <c r="Z495" s="135"/>
      <c r="AA495" s="135"/>
      <c r="AB495" s="135"/>
      <c r="AC495" s="135"/>
      <c r="AD495" s="135"/>
    </row>
    <row r="496" ht="28.5" customHeight="1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5"/>
      <c r="U496" s="135"/>
      <c r="V496" s="135"/>
      <c r="W496" s="135"/>
      <c r="X496" s="135"/>
      <c r="Y496" s="135"/>
      <c r="Z496" s="135"/>
      <c r="AA496" s="135"/>
      <c r="AB496" s="135"/>
      <c r="AC496" s="135"/>
      <c r="AD496" s="135"/>
    </row>
    <row r="497" ht="28.5" customHeight="1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5"/>
      <c r="U497" s="135"/>
      <c r="V497" s="135"/>
      <c r="W497" s="135"/>
      <c r="X497" s="135"/>
      <c r="Y497" s="135"/>
      <c r="Z497" s="135"/>
      <c r="AA497" s="135"/>
      <c r="AB497" s="135"/>
      <c r="AC497" s="135"/>
      <c r="AD497" s="135"/>
    </row>
    <row r="498" ht="28.5" customHeight="1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5"/>
      <c r="U498" s="135"/>
      <c r="V498" s="135"/>
      <c r="W498" s="135"/>
      <c r="X498" s="135"/>
      <c r="Y498" s="135"/>
      <c r="Z498" s="135"/>
      <c r="AA498" s="135"/>
      <c r="AB498" s="135"/>
      <c r="AC498" s="135"/>
      <c r="AD498" s="135"/>
    </row>
    <row r="499" ht="28.5" customHeight="1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5"/>
      <c r="U499" s="135"/>
      <c r="V499" s="135"/>
      <c r="W499" s="135"/>
      <c r="X499" s="135"/>
      <c r="Y499" s="135"/>
      <c r="Z499" s="135"/>
      <c r="AA499" s="135"/>
      <c r="AB499" s="135"/>
      <c r="AC499" s="135"/>
      <c r="AD499" s="135"/>
    </row>
    <row r="500" ht="28.5" customHeight="1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5"/>
      <c r="U500" s="135"/>
      <c r="V500" s="135"/>
      <c r="W500" s="135"/>
      <c r="X500" s="135"/>
      <c r="Y500" s="135"/>
      <c r="Z500" s="135"/>
      <c r="AA500" s="135"/>
      <c r="AB500" s="135"/>
      <c r="AC500" s="135"/>
      <c r="AD500" s="135"/>
    </row>
    <row r="501" ht="28.5" customHeight="1">
      <c r="A501" s="135"/>
      <c r="B501" s="135"/>
      <c r="C501" s="135"/>
      <c r="D501" s="135"/>
      <c r="E501" s="135"/>
      <c r="F501" s="135"/>
      <c r="G501" s="135"/>
      <c r="H501" s="135"/>
      <c r="I501" s="135"/>
      <c r="J501" s="135"/>
      <c r="K501" s="135"/>
      <c r="L501" s="135"/>
      <c r="M501" s="135"/>
      <c r="N501" s="135"/>
      <c r="O501" s="135"/>
      <c r="P501" s="135"/>
      <c r="Q501" s="135"/>
      <c r="R501" s="135"/>
      <c r="S501" s="135"/>
      <c r="T501" s="135"/>
      <c r="U501" s="135"/>
      <c r="V501" s="135"/>
      <c r="W501" s="135"/>
      <c r="X501" s="135"/>
      <c r="Y501" s="135"/>
      <c r="Z501" s="135"/>
      <c r="AA501" s="135"/>
      <c r="AB501" s="135"/>
      <c r="AC501" s="135"/>
      <c r="AD501" s="135"/>
    </row>
    <row r="502" ht="28.5" customHeight="1">
      <c r="A502" s="135"/>
      <c r="B502" s="135"/>
      <c r="C502" s="135"/>
      <c r="D502" s="135"/>
      <c r="E502" s="135"/>
      <c r="F502" s="135"/>
      <c r="G502" s="135"/>
      <c r="H502" s="135"/>
      <c r="I502" s="135"/>
      <c r="J502" s="135"/>
      <c r="K502" s="135"/>
      <c r="L502" s="135"/>
      <c r="M502" s="135"/>
      <c r="N502" s="135"/>
      <c r="O502" s="135"/>
      <c r="P502" s="135"/>
      <c r="Q502" s="135"/>
      <c r="R502" s="135"/>
      <c r="S502" s="135"/>
      <c r="T502" s="135"/>
      <c r="U502" s="135"/>
      <c r="V502" s="135"/>
      <c r="W502" s="135"/>
      <c r="X502" s="135"/>
      <c r="Y502" s="135"/>
      <c r="Z502" s="135"/>
      <c r="AA502" s="135"/>
      <c r="AB502" s="135"/>
      <c r="AC502" s="135"/>
      <c r="AD502" s="135"/>
    </row>
    <row r="503" ht="28.5" customHeight="1">
      <c r="A503" s="135"/>
      <c r="B503" s="135"/>
      <c r="C503" s="135"/>
      <c r="D503" s="135"/>
      <c r="E503" s="135"/>
      <c r="F503" s="135"/>
      <c r="G503" s="135"/>
      <c r="H503" s="135"/>
      <c r="I503" s="135"/>
      <c r="J503" s="135"/>
      <c r="K503" s="135"/>
      <c r="L503" s="135"/>
      <c r="M503" s="135"/>
      <c r="N503" s="135"/>
      <c r="O503" s="135"/>
      <c r="P503" s="135"/>
      <c r="Q503" s="135"/>
      <c r="R503" s="135"/>
      <c r="S503" s="135"/>
      <c r="T503" s="135"/>
      <c r="U503" s="135"/>
      <c r="V503" s="135"/>
      <c r="W503" s="135"/>
      <c r="X503" s="135"/>
      <c r="Y503" s="135"/>
      <c r="Z503" s="135"/>
      <c r="AA503" s="135"/>
      <c r="AB503" s="135"/>
      <c r="AC503" s="135"/>
      <c r="AD503" s="135"/>
    </row>
    <row r="504" ht="28.5" customHeight="1">
      <c r="A504" s="135"/>
      <c r="B504" s="135"/>
      <c r="C504" s="135"/>
      <c r="D504" s="135"/>
      <c r="E504" s="135"/>
      <c r="F504" s="135"/>
      <c r="G504" s="135"/>
      <c r="H504" s="135"/>
      <c r="I504" s="135"/>
      <c r="J504" s="135"/>
      <c r="K504" s="135"/>
      <c r="L504" s="135"/>
      <c r="M504" s="135"/>
      <c r="N504" s="135"/>
      <c r="O504" s="135"/>
      <c r="P504" s="135"/>
      <c r="Q504" s="135"/>
      <c r="R504" s="135"/>
      <c r="S504" s="135"/>
      <c r="T504" s="135"/>
      <c r="U504" s="135"/>
      <c r="V504" s="135"/>
      <c r="W504" s="135"/>
      <c r="X504" s="135"/>
      <c r="Y504" s="135"/>
      <c r="Z504" s="135"/>
      <c r="AA504" s="135"/>
      <c r="AB504" s="135"/>
      <c r="AC504" s="135"/>
      <c r="AD504" s="135"/>
    </row>
    <row r="505" ht="28.5" customHeight="1">
      <c r="A505" s="135"/>
      <c r="B505" s="135"/>
      <c r="C505" s="135"/>
      <c r="D505" s="135"/>
      <c r="E505" s="135"/>
      <c r="F505" s="135"/>
      <c r="G505" s="135"/>
      <c r="H505" s="135"/>
      <c r="I505" s="135"/>
      <c r="J505" s="135"/>
      <c r="K505" s="135"/>
      <c r="L505" s="135"/>
      <c r="M505" s="135"/>
      <c r="N505" s="135"/>
      <c r="O505" s="135"/>
      <c r="P505" s="135"/>
      <c r="Q505" s="135"/>
      <c r="R505" s="135"/>
      <c r="S505" s="135"/>
      <c r="T505" s="135"/>
      <c r="U505" s="135"/>
      <c r="V505" s="135"/>
      <c r="W505" s="135"/>
      <c r="X505" s="135"/>
      <c r="Y505" s="135"/>
      <c r="Z505" s="135"/>
      <c r="AA505" s="135"/>
      <c r="AB505" s="135"/>
      <c r="AC505" s="135"/>
      <c r="AD505" s="135"/>
    </row>
    <row r="506" ht="28.5" customHeight="1">
      <c r="A506" s="135"/>
      <c r="B506" s="135"/>
      <c r="C506" s="135"/>
      <c r="D506" s="135"/>
      <c r="E506" s="135"/>
      <c r="F506" s="135"/>
      <c r="G506" s="135"/>
      <c r="H506" s="135"/>
      <c r="I506" s="135"/>
      <c r="J506" s="135"/>
      <c r="K506" s="135"/>
      <c r="L506" s="135"/>
      <c r="M506" s="135"/>
      <c r="N506" s="135"/>
      <c r="O506" s="135"/>
      <c r="P506" s="135"/>
      <c r="Q506" s="135"/>
      <c r="R506" s="135"/>
      <c r="S506" s="135"/>
      <c r="T506" s="135"/>
      <c r="U506" s="135"/>
      <c r="V506" s="135"/>
      <c r="W506" s="135"/>
      <c r="X506" s="135"/>
      <c r="Y506" s="135"/>
      <c r="Z506" s="135"/>
      <c r="AA506" s="135"/>
      <c r="AB506" s="135"/>
      <c r="AC506" s="135"/>
      <c r="AD506" s="135"/>
    </row>
    <row r="507" ht="28.5" customHeight="1">
      <c r="A507" s="135"/>
      <c r="B507" s="135"/>
      <c r="C507" s="135"/>
      <c r="D507" s="135"/>
      <c r="E507" s="135"/>
      <c r="F507" s="135"/>
      <c r="G507" s="135"/>
      <c r="H507" s="135"/>
      <c r="I507" s="135"/>
      <c r="J507" s="135"/>
      <c r="K507" s="135"/>
      <c r="L507" s="135"/>
      <c r="M507" s="135"/>
      <c r="N507" s="135"/>
      <c r="O507" s="135"/>
      <c r="P507" s="135"/>
      <c r="Q507" s="135"/>
      <c r="R507" s="135"/>
      <c r="S507" s="135"/>
      <c r="T507" s="135"/>
      <c r="U507" s="135"/>
      <c r="V507" s="135"/>
      <c r="W507" s="135"/>
      <c r="X507" s="135"/>
      <c r="Y507" s="135"/>
      <c r="Z507" s="135"/>
      <c r="AA507" s="135"/>
      <c r="AB507" s="135"/>
      <c r="AC507" s="135"/>
      <c r="AD507" s="135"/>
    </row>
    <row r="508" ht="28.5" customHeight="1">
      <c r="A508" s="135"/>
      <c r="B508" s="135"/>
      <c r="C508" s="135"/>
      <c r="D508" s="135"/>
      <c r="E508" s="135"/>
      <c r="F508" s="135"/>
      <c r="G508" s="135"/>
      <c r="H508" s="135"/>
      <c r="I508" s="135"/>
      <c r="J508" s="135"/>
      <c r="K508" s="135"/>
      <c r="L508" s="135"/>
      <c r="M508" s="135"/>
      <c r="N508" s="135"/>
      <c r="O508" s="135"/>
      <c r="P508" s="135"/>
      <c r="Q508" s="135"/>
      <c r="R508" s="135"/>
      <c r="S508" s="135"/>
      <c r="T508" s="135"/>
      <c r="U508" s="135"/>
      <c r="V508" s="135"/>
      <c r="W508" s="135"/>
      <c r="X508" s="135"/>
      <c r="Y508" s="135"/>
      <c r="Z508" s="135"/>
      <c r="AA508" s="135"/>
      <c r="AB508" s="135"/>
      <c r="AC508" s="135"/>
      <c r="AD508" s="135"/>
    </row>
    <row r="509" ht="28.5" customHeight="1">
      <c r="A509" s="135"/>
      <c r="B509" s="135"/>
      <c r="C509" s="135"/>
      <c r="D509" s="135"/>
      <c r="E509" s="135"/>
      <c r="F509" s="135"/>
      <c r="G509" s="135"/>
      <c r="H509" s="135"/>
      <c r="I509" s="135"/>
      <c r="J509" s="135"/>
      <c r="K509" s="135"/>
      <c r="L509" s="135"/>
      <c r="M509" s="135"/>
      <c r="N509" s="135"/>
      <c r="O509" s="135"/>
      <c r="P509" s="135"/>
      <c r="Q509" s="135"/>
      <c r="R509" s="135"/>
      <c r="S509" s="135"/>
      <c r="T509" s="135"/>
      <c r="U509" s="135"/>
      <c r="V509" s="135"/>
      <c r="W509" s="135"/>
      <c r="X509" s="135"/>
      <c r="Y509" s="135"/>
      <c r="Z509" s="135"/>
      <c r="AA509" s="135"/>
      <c r="AB509" s="135"/>
      <c r="AC509" s="135"/>
      <c r="AD509" s="135"/>
    </row>
    <row r="510" ht="28.5" customHeight="1">
      <c r="A510" s="135"/>
      <c r="B510" s="135"/>
      <c r="C510" s="135"/>
      <c r="D510" s="135"/>
      <c r="E510" s="135"/>
      <c r="F510" s="135"/>
      <c r="G510" s="135"/>
      <c r="H510" s="135"/>
      <c r="I510" s="135"/>
      <c r="J510" s="135"/>
      <c r="K510" s="135"/>
      <c r="L510" s="135"/>
      <c r="M510" s="135"/>
      <c r="N510" s="135"/>
      <c r="O510" s="135"/>
      <c r="P510" s="135"/>
      <c r="Q510" s="135"/>
      <c r="R510" s="135"/>
      <c r="S510" s="135"/>
      <c r="T510" s="135"/>
      <c r="U510" s="135"/>
      <c r="V510" s="135"/>
      <c r="W510" s="135"/>
      <c r="X510" s="135"/>
      <c r="Y510" s="135"/>
      <c r="Z510" s="135"/>
      <c r="AA510" s="135"/>
      <c r="AB510" s="135"/>
      <c r="AC510" s="135"/>
      <c r="AD510" s="135"/>
    </row>
    <row r="511" ht="28.5" customHeight="1">
      <c r="A511" s="135"/>
      <c r="B511" s="135"/>
      <c r="C511" s="135"/>
      <c r="D511" s="135"/>
      <c r="E511" s="135"/>
      <c r="F511" s="135"/>
      <c r="G511" s="135"/>
      <c r="H511" s="135"/>
      <c r="I511" s="135"/>
      <c r="J511" s="135"/>
      <c r="K511" s="135"/>
      <c r="L511" s="135"/>
      <c r="M511" s="135"/>
      <c r="N511" s="135"/>
      <c r="O511" s="135"/>
      <c r="P511" s="135"/>
      <c r="Q511" s="135"/>
      <c r="R511" s="135"/>
      <c r="S511" s="135"/>
      <c r="T511" s="135"/>
      <c r="U511" s="135"/>
      <c r="V511" s="135"/>
      <c r="W511" s="135"/>
      <c r="X511" s="135"/>
      <c r="Y511" s="135"/>
      <c r="Z511" s="135"/>
      <c r="AA511" s="135"/>
      <c r="AB511" s="135"/>
      <c r="AC511" s="135"/>
      <c r="AD511" s="135"/>
    </row>
    <row r="512" ht="28.5" customHeight="1">
      <c r="A512" s="135"/>
      <c r="B512" s="135"/>
      <c r="C512" s="135"/>
      <c r="D512" s="135"/>
      <c r="E512" s="135"/>
      <c r="F512" s="135"/>
      <c r="G512" s="135"/>
      <c r="H512" s="135"/>
      <c r="I512" s="135"/>
      <c r="J512" s="135"/>
      <c r="K512" s="135"/>
      <c r="L512" s="135"/>
      <c r="M512" s="135"/>
      <c r="N512" s="135"/>
      <c r="O512" s="135"/>
      <c r="P512" s="135"/>
      <c r="Q512" s="135"/>
      <c r="R512" s="135"/>
      <c r="S512" s="135"/>
      <c r="T512" s="135"/>
      <c r="U512" s="135"/>
      <c r="V512" s="135"/>
      <c r="W512" s="135"/>
      <c r="X512" s="135"/>
      <c r="Y512" s="135"/>
      <c r="Z512" s="135"/>
      <c r="AA512" s="135"/>
      <c r="AB512" s="135"/>
      <c r="AC512" s="135"/>
      <c r="AD512" s="135"/>
    </row>
    <row r="513" ht="28.5" customHeight="1">
      <c r="A513" s="135"/>
      <c r="B513" s="135"/>
      <c r="C513" s="135"/>
      <c r="D513" s="135"/>
      <c r="E513" s="135"/>
      <c r="F513" s="135"/>
      <c r="G513" s="135"/>
      <c r="H513" s="135"/>
      <c r="I513" s="135"/>
      <c r="J513" s="135"/>
      <c r="K513" s="135"/>
      <c r="L513" s="135"/>
      <c r="M513" s="135"/>
      <c r="N513" s="135"/>
      <c r="O513" s="135"/>
      <c r="P513" s="135"/>
      <c r="Q513" s="135"/>
      <c r="R513" s="135"/>
      <c r="S513" s="135"/>
      <c r="T513" s="135"/>
      <c r="U513" s="135"/>
      <c r="V513" s="135"/>
      <c r="W513" s="135"/>
      <c r="X513" s="135"/>
      <c r="Y513" s="135"/>
      <c r="Z513" s="135"/>
      <c r="AA513" s="135"/>
      <c r="AB513" s="135"/>
      <c r="AC513" s="135"/>
      <c r="AD513" s="135"/>
    </row>
    <row r="514" ht="28.5" customHeight="1">
      <c r="A514" s="135"/>
      <c r="B514" s="135"/>
      <c r="C514" s="135"/>
      <c r="D514" s="135"/>
      <c r="E514" s="135"/>
      <c r="F514" s="135"/>
      <c r="G514" s="135"/>
      <c r="H514" s="135"/>
      <c r="I514" s="135"/>
      <c r="J514" s="135"/>
      <c r="K514" s="135"/>
      <c r="L514" s="135"/>
      <c r="M514" s="135"/>
      <c r="N514" s="135"/>
      <c r="O514" s="135"/>
      <c r="P514" s="135"/>
      <c r="Q514" s="135"/>
      <c r="R514" s="135"/>
      <c r="S514" s="135"/>
      <c r="T514" s="135"/>
      <c r="U514" s="135"/>
      <c r="V514" s="135"/>
      <c r="W514" s="135"/>
      <c r="X514" s="135"/>
      <c r="Y514" s="135"/>
      <c r="Z514" s="135"/>
      <c r="AA514" s="135"/>
      <c r="AB514" s="135"/>
      <c r="AC514" s="135"/>
      <c r="AD514" s="135"/>
    </row>
    <row r="515" ht="28.5" customHeight="1">
      <c r="A515" s="135"/>
      <c r="B515" s="135"/>
      <c r="C515" s="135"/>
      <c r="D515" s="135"/>
      <c r="E515" s="135"/>
      <c r="F515" s="135"/>
      <c r="G515" s="135"/>
      <c r="H515" s="135"/>
      <c r="I515" s="135"/>
      <c r="J515" s="135"/>
      <c r="K515" s="135"/>
      <c r="L515" s="135"/>
      <c r="M515" s="135"/>
      <c r="N515" s="135"/>
      <c r="O515" s="135"/>
      <c r="P515" s="135"/>
      <c r="Q515" s="135"/>
      <c r="R515" s="135"/>
      <c r="S515" s="135"/>
      <c r="T515" s="135"/>
      <c r="U515" s="135"/>
      <c r="V515" s="135"/>
      <c r="W515" s="135"/>
      <c r="X515" s="135"/>
      <c r="Y515" s="135"/>
      <c r="Z515" s="135"/>
      <c r="AA515" s="135"/>
      <c r="AB515" s="135"/>
      <c r="AC515" s="135"/>
      <c r="AD515" s="135"/>
    </row>
    <row r="516" ht="28.5" customHeight="1">
      <c r="A516" s="135"/>
      <c r="B516" s="135"/>
      <c r="C516" s="135"/>
      <c r="D516" s="135"/>
      <c r="E516" s="135"/>
      <c r="F516" s="135"/>
      <c r="G516" s="135"/>
      <c r="H516" s="135"/>
      <c r="I516" s="135"/>
      <c r="J516" s="135"/>
      <c r="K516" s="135"/>
      <c r="L516" s="135"/>
      <c r="M516" s="135"/>
      <c r="N516" s="135"/>
      <c r="O516" s="135"/>
      <c r="P516" s="135"/>
      <c r="Q516" s="135"/>
      <c r="R516" s="135"/>
      <c r="S516" s="135"/>
      <c r="T516" s="135"/>
      <c r="U516" s="135"/>
      <c r="V516" s="135"/>
      <c r="W516" s="135"/>
      <c r="X516" s="135"/>
      <c r="Y516" s="135"/>
      <c r="Z516" s="135"/>
      <c r="AA516" s="135"/>
      <c r="AB516" s="135"/>
      <c r="AC516" s="135"/>
      <c r="AD516" s="135"/>
    </row>
    <row r="517" ht="28.5" customHeight="1">
      <c r="A517" s="135"/>
      <c r="B517" s="135"/>
      <c r="C517" s="135"/>
      <c r="D517" s="135"/>
      <c r="E517" s="135"/>
      <c r="F517" s="135"/>
      <c r="G517" s="135"/>
      <c r="H517" s="135"/>
      <c r="I517" s="135"/>
      <c r="J517" s="135"/>
      <c r="K517" s="135"/>
      <c r="L517" s="135"/>
      <c r="M517" s="135"/>
      <c r="N517" s="135"/>
      <c r="O517" s="135"/>
      <c r="P517" s="135"/>
      <c r="Q517" s="135"/>
      <c r="R517" s="135"/>
      <c r="S517" s="135"/>
      <c r="T517" s="135"/>
      <c r="U517" s="135"/>
      <c r="V517" s="135"/>
      <c r="W517" s="135"/>
      <c r="X517" s="135"/>
      <c r="Y517" s="135"/>
      <c r="Z517" s="135"/>
      <c r="AA517" s="135"/>
      <c r="AB517" s="135"/>
      <c r="AC517" s="135"/>
      <c r="AD517" s="135"/>
    </row>
    <row r="518" ht="28.5" customHeight="1">
      <c r="A518" s="135"/>
      <c r="B518" s="135"/>
      <c r="C518" s="135"/>
      <c r="D518" s="135"/>
      <c r="E518" s="135"/>
      <c r="F518" s="135"/>
      <c r="G518" s="135"/>
      <c r="H518" s="135"/>
      <c r="I518" s="135"/>
      <c r="J518" s="135"/>
      <c r="K518" s="135"/>
      <c r="L518" s="135"/>
      <c r="M518" s="135"/>
      <c r="N518" s="135"/>
      <c r="O518" s="135"/>
      <c r="P518" s="135"/>
      <c r="Q518" s="135"/>
      <c r="R518" s="135"/>
      <c r="S518" s="135"/>
      <c r="T518" s="135"/>
      <c r="U518" s="135"/>
      <c r="V518" s="135"/>
      <c r="W518" s="135"/>
      <c r="X518" s="135"/>
      <c r="Y518" s="135"/>
      <c r="Z518" s="135"/>
      <c r="AA518" s="135"/>
      <c r="AB518" s="135"/>
      <c r="AC518" s="135"/>
      <c r="AD518" s="135"/>
    </row>
    <row r="519" ht="28.5" customHeight="1">
      <c r="A519" s="135"/>
      <c r="B519" s="135"/>
      <c r="C519" s="135"/>
      <c r="D519" s="135"/>
      <c r="E519" s="135"/>
      <c r="F519" s="135"/>
      <c r="G519" s="135"/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5"/>
      <c r="S519" s="135"/>
      <c r="T519" s="135"/>
      <c r="U519" s="135"/>
      <c r="V519" s="135"/>
      <c r="W519" s="135"/>
      <c r="X519" s="135"/>
      <c r="Y519" s="135"/>
      <c r="Z519" s="135"/>
      <c r="AA519" s="135"/>
      <c r="AB519" s="135"/>
      <c r="AC519" s="135"/>
      <c r="AD519" s="135"/>
    </row>
    <row r="520" ht="28.5" customHeight="1">
      <c r="A520" s="135"/>
      <c r="B520" s="135"/>
      <c r="C520" s="135"/>
      <c r="D520" s="135"/>
      <c r="E520" s="135"/>
      <c r="F520" s="135"/>
      <c r="G520" s="135"/>
      <c r="H520" s="135"/>
      <c r="I520" s="135"/>
      <c r="J520" s="135"/>
      <c r="K520" s="135"/>
      <c r="L520" s="135"/>
      <c r="M520" s="135"/>
      <c r="N520" s="135"/>
      <c r="O520" s="135"/>
      <c r="P520" s="135"/>
      <c r="Q520" s="135"/>
      <c r="R520" s="135"/>
      <c r="S520" s="135"/>
      <c r="T520" s="135"/>
      <c r="U520" s="135"/>
      <c r="V520" s="135"/>
      <c r="W520" s="135"/>
      <c r="X520" s="135"/>
      <c r="Y520" s="135"/>
      <c r="Z520" s="135"/>
      <c r="AA520" s="135"/>
      <c r="AB520" s="135"/>
      <c r="AC520" s="135"/>
      <c r="AD520" s="135"/>
    </row>
    <row r="521" ht="28.5" customHeight="1">
      <c r="A521" s="135"/>
      <c r="B521" s="135"/>
      <c r="C521" s="135"/>
      <c r="D521" s="135"/>
      <c r="E521" s="135"/>
      <c r="F521" s="135"/>
      <c r="G521" s="135"/>
      <c r="H521" s="135"/>
      <c r="I521" s="135"/>
      <c r="J521" s="135"/>
      <c r="K521" s="135"/>
      <c r="L521" s="135"/>
      <c r="M521" s="135"/>
      <c r="N521" s="135"/>
      <c r="O521" s="135"/>
      <c r="P521" s="135"/>
      <c r="Q521" s="135"/>
      <c r="R521" s="135"/>
      <c r="S521" s="135"/>
      <c r="T521" s="135"/>
      <c r="U521" s="135"/>
      <c r="V521" s="135"/>
      <c r="W521" s="135"/>
      <c r="X521" s="135"/>
      <c r="Y521" s="135"/>
      <c r="Z521" s="135"/>
      <c r="AA521" s="135"/>
      <c r="AB521" s="135"/>
      <c r="AC521" s="135"/>
      <c r="AD521" s="135"/>
    </row>
    <row r="522" ht="28.5" customHeight="1">
      <c r="A522" s="135"/>
      <c r="B522" s="135"/>
      <c r="C522" s="135"/>
      <c r="D522" s="135"/>
      <c r="E522" s="135"/>
      <c r="F522" s="135"/>
      <c r="G522" s="135"/>
      <c r="H522" s="135"/>
      <c r="I522" s="135"/>
      <c r="J522" s="135"/>
      <c r="K522" s="135"/>
      <c r="L522" s="135"/>
      <c r="M522" s="135"/>
      <c r="N522" s="135"/>
      <c r="O522" s="135"/>
      <c r="P522" s="135"/>
      <c r="Q522" s="135"/>
      <c r="R522" s="135"/>
      <c r="S522" s="135"/>
      <c r="T522" s="135"/>
      <c r="U522" s="135"/>
      <c r="V522" s="135"/>
      <c r="W522" s="135"/>
      <c r="X522" s="135"/>
      <c r="Y522" s="135"/>
      <c r="Z522" s="135"/>
      <c r="AA522" s="135"/>
      <c r="AB522" s="135"/>
      <c r="AC522" s="135"/>
      <c r="AD522" s="135"/>
    </row>
    <row r="523" ht="28.5" customHeight="1">
      <c r="A523" s="135"/>
      <c r="B523" s="135"/>
      <c r="C523" s="135"/>
      <c r="D523" s="135"/>
      <c r="E523" s="135"/>
      <c r="F523" s="135"/>
      <c r="G523" s="135"/>
      <c r="H523" s="135"/>
      <c r="I523" s="135"/>
      <c r="J523" s="135"/>
      <c r="K523" s="135"/>
      <c r="L523" s="135"/>
      <c r="M523" s="135"/>
      <c r="N523" s="135"/>
      <c r="O523" s="135"/>
      <c r="P523" s="135"/>
      <c r="Q523" s="135"/>
      <c r="R523" s="135"/>
      <c r="S523" s="135"/>
      <c r="T523" s="135"/>
      <c r="U523" s="135"/>
      <c r="V523" s="135"/>
      <c r="W523" s="135"/>
      <c r="X523" s="135"/>
      <c r="Y523" s="135"/>
      <c r="Z523" s="135"/>
      <c r="AA523" s="135"/>
      <c r="AB523" s="135"/>
      <c r="AC523" s="135"/>
      <c r="AD523" s="135"/>
    </row>
    <row r="524" ht="28.5" customHeight="1">
      <c r="A524" s="135"/>
      <c r="B524" s="135"/>
      <c r="C524" s="135"/>
      <c r="D524" s="135"/>
      <c r="E524" s="135"/>
      <c r="F524" s="135"/>
      <c r="G524" s="135"/>
      <c r="H524" s="135"/>
      <c r="I524" s="135"/>
      <c r="J524" s="135"/>
      <c r="K524" s="135"/>
      <c r="L524" s="135"/>
      <c r="M524" s="135"/>
      <c r="N524" s="135"/>
      <c r="O524" s="135"/>
      <c r="P524" s="135"/>
      <c r="Q524" s="135"/>
      <c r="R524" s="135"/>
      <c r="S524" s="135"/>
      <c r="T524" s="135"/>
      <c r="U524" s="135"/>
      <c r="V524" s="135"/>
      <c r="W524" s="135"/>
      <c r="X524" s="135"/>
      <c r="Y524" s="135"/>
      <c r="Z524" s="135"/>
      <c r="AA524" s="135"/>
      <c r="AB524" s="135"/>
      <c r="AC524" s="135"/>
      <c r="AD524" s="135"/>
    </row>
    <row r="525" ht="28.5" customHeight="1">
      <c r="A525" s="135"/>
      <c r="B525" s="135"/>
      <c r="C525" s="135"/>
      <c r="D525" s="135"/>
      <c r="E525" s="135"/>
      <c r="F525" s="135"/>
      <c r="G525" s="135"/>
      <c r="H525" s="135"/>
      <c r="I525" s="135"/>
      <c r="J525" s="135"/>
      <c r="K525" s="135"/>
      <c r="L525" s="135"/>
      <c r="M525" s="135"/>
      <c r="N525" s="135"/>
      <c r="O525" s="135"/>
      <c r="P525" s="135"/>
      <c r="Q525" s="135"/>
      <c r="R525" s="135"/>
      <c r="S525" s="135"/>
      <c r="T525" s="135"/>
      <c r="U525" s="135"/>
      <c r="V525" s="135"/>
      <c r="W525" s="135"/>
      <c r="X525" s="135"/>
      <c r="Y525" s="135"/>
      <c r="Z525" s="135"/>
      <c r="AA525" s="135"/>
      <c r="AB525" s="135"/>
      <c r="AC525" s="135"/>
      <c r="AD525" s="135"/>
    </row>
    <row r="526" ht="28.5" customHeight="1">
      <c r="A526" s="135"/>
      <c r="B526" s="135"/>
      <c r="C526" s="135"/>
      <c r="D526" s="135"/>
      <c r="E526" s="135"/>
      <c r="F526" s="135"/>
      <c r="G526" s="135"/>
      <c r="H526" s="135"/>
      <c r="I526" s="135"/>
      <c r="J526" s="135"/>
      <c r="K526" s="135"/>
      <c r="L526" s="135"/>
      <c r="M526" s="135"/>
      <c r="N526" s="135"/>
      <c r="O526" s="135"/>
      <c r="P526" s="135"/>
      <c r="Q526" s="135"/>
      <c r="R526" s="135"/>
      <c r="S526" s="135"/>
      <c r="T526" s="135"/>
      <c r="U526" s="135"/>
      <c r="V526" s="135"/>
      <c r="W526" s="135"/>
      <c r="X526" s="135"/>
      <c r="Y526" s="135"/>
      <c r="Z526" s="135"/>
      <c r="AA526" s="135"/>
      <c r="AB526" s="135"/>
      <c r="AC526" s="135"/>
      <c r="AD526" s="135"/>
    </row>
    <row r="527" ht="28.5" customHeight="1">
      <c r="A527" s="135"/>
      <c r="B527" s="135"/>
      <c r="C527" s="135"/>
      <c r="D527" s="135"/>
      <c r="E527" s="135"/>
      <c r="F527" s="135"/>
      <c r="G527" s="135"/>
      <c r="H527" s="135"/>
      <c r="I527" s="135"/>
      <c r="J527" s="135"/>
      <c r="K527" s="135"/>
      <c r="L527" s="135"/>
      <c r="M527" s="135"/>
      <c r="N527" s="135"/>
      <c r="O527" s="135"/>
      <c r="P527" s="135"/>
      <c r="Q527" s="135"/>
      <c r="R527" s="135"/>
      <c r="S527" s="135"/>
      <c r="T527" s="135"/>
      <c r="U527" s="135"/>
      <c r="V527" s="135"/>
      <c r="W527" s="135"/>
      <c r="X527" s="135"/>
      <c r="Y527" s="135"/>
      <c r="Z527" s="135"/>
      <c r="AA527" s="135"/>
      <c r="AB527" s="135"/>
      <c r="AC527" s="135"/>
      <c r="AD527" s="135"/>
    </row>
    <row r="528" ht="28.5" customHeight="1">
      <c r="A528" s="135"/>
      <c r="B528" s="135"/>
      <c r="C528" s="135"/>
      <c r="D528" s="135"/>
      <c r="E528" s="135"/>
      <c r="F528" s="135"/>
      <c r="G528" s="135"/>
      <c r="H528" s="135"/>
      <c r="I528" s="135"/>
      <c r="J528" s="135"/>
      <c r="K528" s="135"/>
      <c r="L528" s="135"/>
      <c r="M528" s="135"/>
      <c r="N528" s="135"/>
      <c r="O528" s="135"/>
      <c r="P528" s="135"/>
      <c r="Q528" s="135"/>
      <c r="R528" s="135"/>
      <c r="S528" s="135"/>
      <c r="T528" s="135"/>
      <c r="U528" s="135"/>
      <c r="V528" s="135"/>
      <c r="W528" s="135"/>
      <c r="X528" s="135"/>
      <c r="Y528" s="135"/>
      <c r="Z528" s="135"/>
      <c r="AA528" s="135"/>
      <c r="AB528" s="135"/>
      <c r="AC528" s="135"/>
      <c r="AD528" s="135"/>
    </row>
    <row r="529" ht="28.5" customHeight="1">
      <c r="A529" s="135"/>
      <c r="B529" s="135"/>
      <c r="C529" s="135"/>
      <c r="D529" s="135"/>
      <c r="E529" s="135"/>
      <c r="F529" s="135"/>
      <c r="G529" s="135"/>
      <c r="H529" s="135"/>
      <c r="I529" s="135"/>
      <c r="J529" s="135"/>
      <c r="K529" s="135"/>
      <c r="L529" s="135"/>
      <c r="M529" s="135"/>
      <c r="N529" s="135"/>
      <c r="O529" s="135"/>
      <c r="P529" s="135"/>
      <c r="Q529" s="135"/>
      <c r="R529" s="135"/>
      <c r="S529" s="135"/>
      <c r="T529" s="135"/>
      <c r="U529" s="135"/>
      <c r="V529" s="135"/>
      <c r="W529" s="135"/>
      <c r="X529" s="135"/>
      <c r="Y529" s="135"/>
      <c r="Z529" s="135"/>
      <c r="AA529" s="135"/>
      <c r="AB529" s="135"/>
      <c r="AC529" s="135"/>
      <c r="AD529" s="135"/>
    </row>
    <row r="530" ht="28.5" customHeight="1">
      <c r="A530" s="135"/>
      <c r="B530" s="135"/>
      <c r="C530" s="135"/>
      <c r="D530" s="135"/>
      <c r="E530" s="135"/>
      <c r="F530" s="135"/>
      <c r="G530" s="135"/>
      <c r="H530" s="135"/>
      <c r="I530" s="135"/>
      <c r="J530" s="135"/>
      <c r="K530" s="135"/>
      <c r="L530" s="135"/>
      <c r="M530" s="135"/>
      <c r="N530" s="135"/>
      <c r="O530" s="135"/>
      <c r="P530" s="135"/>
      <c r="Q530" s="135"/>
      <c r="R530" s="135"/>
      <c r="S530" s="135"/>
      <c r="T530" s="135"/>
      <c r="U530" s="135"/>
      <c r="V530" s="135"/>
      <c r="W530" s="135"/>
      <c r="X530" s="135"/>
      <c r="Y530" s="135"/>
      <c r="Z530" s="135"/>
      <c r="AA530" s="135"/>
      <c r="AB530" s="135"/>
      <c r="AC530" s="135"/>
      <c r="AD530" s="135"/>
    </row>
    <row r="531" ht="28.5" customHeight="1">
      <c r="A531" s="135"/>
      <c r="B531" s="135"/>
      <c r="C531" s="135"/>
      <c r="D531" s="135"/>
      <c r="E531" s="135"/>
      <c r="F531" s="135"/>
      <c r="G531" s="135"/>
      <c r="H531" s="135"/>
      <c r="I531" s="135"/>
      <c r="J531" s="135"/>
      <c r="K531" s="135"/>
      <c r="L531" s="135"/>
      <c r="M531" s="135"/>
      <c r="N531" s="135"/>
      <c r="O531" s="135"/>
      <c r="P531" s="135"/>
      <c r="Q531" s="135"/>
      <c r="R531" s="135"/>
      <c r="S531" s="135"/>
      <c r="T531" s="135"/>
      <c r="U531" s="135"/>
      <c r="V531" s="135"/>
      <c r="W531" s="135"/>
      <c r="X531" s="135"/>
      <c r="Y531" s="135"/>
      <c r="Z531" s="135"/>
      <c r="AA531" s="135"/>
      <c r="AB531" s="135"/>
      <c r="AC531" s="135"/>
      <c r="AD531" s="135"/>
    </row>
    <row r="532" ht="28.5" customHeight="1">
      <c r="A532" s="135"/>
      <c r="B532" s="135"/>
      <c r="C532" s="135"/>
      <c r="D532" s="135"/>
      <c r="E532" s="135"/>
      <c r="F532" s="135"/>
      <c r="G532" s="135"/>
      <c r="H532" s="135"/>
      <c r="I532" s="135"/>
      <c r="J532" s="135"/>
      <c r="K532" s="135"/>
      <c r="L532" s="135"/>
      <c r="M532" s="135"/>
      <c r="N532" s="135"/>
      <c r="O532" s="135"/>
      <c r="P532" s="135"/>
      <c r="Q532" s="135"/>
      <c r="R532" s="135"/>
      <c r="S532" s="135"/>
      <c r="T532" s="135"/>
      <c r="U532" s="135"/>
      <c r="V532" s="135"/>
      <c r="W532" s="135"/>
      <c r="X532" s="135"/>
      <c r="Y532" s="135"/>
      <c r="Z532" s="135"/>
      <c r="AA532" s="135"/>
      <c r="AB532" s="135"/>
      <c r="AC532" s="135"/>
      <c r="AD532" s="135"/>
    </row>
    <row r="533" ht="28.5" customHeight="1">
      <c r="A533" s="135"/>
      <c r="B533" s="135"/>
      <c r="C533" s="135"/>
      <c r="D533" s="135"/>
      <c r="E533" s="135"/>
      <c r="F533" s="135"/>
      <c r="G533" s="135"/>
      <c r="H533" s="135"/>
      <c r="I533" s="135"/>
      <c r="J533" s="135"/>
      <c r="K533" s="135"/>
      <c r="L533" s="135"/>
      <c r="M533" s="135"/>
      <c r="N533" s="135"/>
      <c r="O533" s="135"/>
      <c r="P533" s="135"/>
      <c r="Q533" s="135"/>
      <c r="R533" s="135"/>
      <c r="S533" s="135"/>
      <c r="T533" s="135"/>
      <c r="U533" s="135"/>
      <c r="V533" s="135"/>
      <c r="W533" s="135"/>
      <c r="X533" s="135"/>
      <c r="Y533" s="135"/>
      <c r="Z533" s="135"/>
      <c r="AA533" s="135"/>
      <c r="AB533" s="135"/>
      <c r="AC533" s="135"/>
      <c r="AD533" s="135"/>
    </row>
    <row r="534" ht="28.5" customHeight="1">
      <c r="A534" s="135"/>
      <c r="B534" s="135"/>
      <c r="C534" s="135"/>
      <c r="D534" s="135"/>
      <c r="E534" s="135"/>
      <c r="F534" s="135"/>
      <c r="G534" s="135"/>
      <c r="H534" s="135"/>
      <c r="I534" s="135"/>
      <c r="J534" s="135"/>
      <c r="K534" s="135"/>
      <c r="L534" s="135"/>
      <c r="M534" s="135"/>
      <c r="N534" s="135"/>
      <c r="O534" s="135"/>
      <c r="P534" s="135"/>
      <c r="Q534" s="135"/>
      <c r="R534" s="135"/>
      <c r="S534" s="135"/>
      <c r="T534" s="135"/>
      <c r="U534" s="135"/>
      <c r="V534" s="135"/>
      <c r="W534" s="135"/>
      <c r="X534" s="135"/>
      <c r="Y534" s="135"/>
      <c r="Z534" s="135"/>
      <c r="AA534" s="135"/>
      <c r="AB534" s="135"/>
      <c r="AC534" s="135"/>
      <c r="AD534" s="135"/>
    </row>
    <row r="535" ht="28.5" customHeight="1">
      <c r="A535" s="135"/>
      <c r="B535" s="135"/>
      <c r="C535" s="135"/>
      <c r="D535" s="135"/>
      <c r="E535" s="135"/>
      <c r="F535" s="135"/>
      <c r="G535" s="135"/>
      <c r="H535" s="135"/>
      <c r="I535" s="135"/>
      <c r="J535" s="135"/>
      <c r="K535" s="135"/>
      <c r="L535" s="135"/>
      <c r="M535" s="135"/>
      <c r="N535" s="135"/>
      <c r="O535" s="135"/>
      <c r="P535" s="135"/>
      <c r="Q535" s="135"/>
      <c r="R535" s="135"/>
      <c r="S535" s="135"/>
      <c r="T535" s="135"/>
      <c r="U535" s="135"/>
      <c r="V535" s="135"/>
      <c r="W535" s="135"/>
      <c r="X535" s="135"/>
      <c r="Y535" s="135"/>
      <c r="Z535" s="135"/>
      <c r="AA535" s="135"/>
      <c r="AB535" s="135"/>
      <c r="AC535" s="135"/>
      <c r="AD535" s="135"/>
    </row>
    <row r="536" ht="28.5" customHeight="1">
      <c r="A536" s="135"/>
      <c r="B536" s="135"/>
      <c r="C536" s="135"/>
      <c r="D536" s="135"/>
      <c r="E536" s="135"/>
      <c r="F536" s="135"/>
      <c r="G536" s="135"/>
      <c r="H536" s="135"/>
      <c r="I536" s="135"/>
      <c r="J536" s="135"/>
      <c r="K536" s="135"/>
      <c r="L536" s="135"/>
      <c r="M536" s="135"/>
      <c r="N536" s="135"/>
      <c r="O536" s="135"/>
      <c r="P536" s="135"/>
      <c r="Q536" s="135"/>
      <c r="R536" s="135"/>
      <c r="S536" s="135"/>
      <c r="T536" s="135"/>
      <c r="U536" s="135"/>
      <c r="V536" s="135"/>
      <c r="W536" s="135"/>
      <c r="X536" s="135"/>
      <c r="Y536" s="135"/>
      <c r="Z536" s="135"/>
      <c r="AA536" s="135"/>
      <c r="AB536" s="135"/>
      <c r="AC536" s="135"/>
      <c r="AD536" s="135"/>
    </row>
    <row r="537" ht="28.5" customHeight="1">
      <c r="A537" s="135"/>
      <c r="B537" s="135"/>
      <c r="C537" s="135"/>
      <c r="D537" s="135"/>
      <c r="E537" s="135"/>
      <c r="F537" s="135"/>
      <c r="G537" s="135"/>
      <c r="H537" s="135"/>
      <c r="I537" s="135"/>
      <c r="J537" s="135"/>
      <c r="K537" s="135"/>
      <c r="L537" s="135"/>
      <c r="M537" s="135"/>
      <c r="N537" s="135"/>
      <c r="O537" s="135"/>
      <c r="P537" s="135"/>
      <c r="Q537" s="135"/>
      <c r="R537" s="135"/>
      <c r="S537" s="135"/>
      <c r="T537" s="135"/>
      <c r="U537" s="135"/>
      <c r="V537" s="135"/>
      <c r="W537" s="135"/>
      <c r="X537" s="135"/>
      <c r="Y537" s="135"/>
      <c r="Z537" s="135"/>
      <c r="AA537" s="135"/>
      <c r="AB537" s="135"/>
      <c r="AC537" s="135"/>
      <c r="AD537" s="135"/>
    </row>
    <row r="538" ht="28.5" customHeight="1">
      <c r="A538" s="135"/>
      <c r="B538" s="135"/>
      <c r="C538" s="135"/>
      <c r="D538" s="135"/>
      <c r="E538" s="135"/>
      <c r="F538" s="135"/>
      <c r="G538" s="135"/>
      <c r="H538" s="135"/>
      <c r="I538" s="135"/>
      <c r="J538" s="135"/>
      <c r="K538" s="135"/>
      <c r="L538" s="135"/>
      <c r="M538" s="135"/>
      <c r="N538" s="135"/>
      <c r="O538" s="135"/>
      <c r="P538" s="135"/>
      <c r="Q538" s="135"/>
      <c r="R538" s="135"/>
      <c r="S538" s="135"/>
      <c r="T538" s="135"/>
      <c r="U538" s="135"/>
      <c r="V538" s="135"/>
      <c r="W538" s="135"/>
      <c r="X538" s="135"/>
      <c r="Y538" s="135"/>
      <c r="Z538" s="135"/>
      <c r="AA538" s="135"/>
      <c r="AB538" s="135"/>
      <c r="AC538" s="135"/>
      <c r="AD538" s="135"/>
    </row>
    <row r="539" ht="28.5" customHeight="1">
      <c r="A539" s="135"/>
      <c r="B539" s="135"/>
      <c r="C539" s="135"/>
      <c r="D539" s="135"/>
      <c r="E539" s="135"/>
      <c r="F539" s="135"/>
      <c r="G539" s="135"/>
      <c r="H539" s="135"/>
      <c r="I539" s="135"/>
      <c r="J539" s="135"/>
      <c r="K539" s="135"/>
      <c r="L539" s="135"/>
      <c r="M539" s="135"/>
      <c r="N539" s="135"/>
      <c r="O539" s="135"/>
      <c r="P539" s="135"/>
      <c r="Q539" s="135"/>
      <c r="R539" s="135"/>
      <c r="S539" s="135"/>
      <c r="T539" s="135"/>
      <c r="U539" s="135"/>
      <c r="V539" s="135"/>
      <c r="W539" s="135"/>
      <c r="X539" s="135"/>
      <c r="Y539" s="135"/>
      <c r="Z539" s="135"/>
      <c r="AA539" s="135"/>
      <c r="AB539" s="135"/>
      <c r="AC539" s="135"/>
      <c r="AD539" s="135"/>
    </row>
    <row r="540" ht="28.5" customHeight="1">
      <c r="A540" s="135"/>
      <c r="B540" s="135"/>
      <c r="C540" s="135"/>
      <c r="D540" s="135"/>
      <c r="E540" s="135"/>
      <c r="F540" s="135"/>
      <c r="G540" s="135"/>
      <c r="H540" s="135"/>
      <c r="I540" s="135"/>
      <c r="J540" s="135"/>
      <c r="K540" s="135"/>
      <c r="L540" s="135"/>
      <c r="M540" s="135"/>
      <c r="N540" s="135"/>
      <c r="O540" s="135"/>
      <c r="P540" s="135"/>
      <c r="Q540" s="135"/>
      <c r="R540" s="135"/>
      <c r="S540" s="135"/>
      <c r="T540" s="135"/>
      <c r="U540" s="135"/>
      <c r="V540" s="135"/>
      <c r="W540" s="135"/>
      <c r="X540" s="135"/>
      <c r="Y540" s="135"/>
      <c r="Z540" s="135"/>
      <c r="AA540" s="135"/>
      <c r="AB540" s="135"/>
      <c r="AC540" s="135"/>
      <c r="AD540" s="135"/>
    </row>
    <row r="541" ht="28.5" customHeight="1">
      <c r="A541" s="135"/>
      <c r="B541" s="135"/>
      <c r="C541" s="135"/>
      <c r="D541" s="135"/>
      <c r="E541" s="135"/>
      <c r="F541" s="135"/>
      <c r="G541" s="135"/>
      <c r="H541" s="135"/>
      <c r="I541" s="135"/>
      <c r="J541" s="135"/>
      <c r="K541" s="135"/>
      <c r="L541" s="135"/>
      <c r="M541" s="135"/>
      <c r="N541" s="135"/>
      <c r="O541" s="135"/>
      <c r="P541" s="135"/>
      <c r="Q541" s="135"/>
      <c r="R541" s="135"/>
      <c r="S541" s="135"/>
      <c r="T541" s="135"/>
      <c r="U541" s="135"/>
      <c r="V541" s="135"/>
      <c r="W541" s="135"/>
      <c r="X541" s="135"/>
      <c r="Y541" s="135"/>
      <c r="Z541" s="135"/>
      <c r="AA541" s="135"/>
      <c r="AB541" s="135"/>
      <c r="AC541" s="135"/>
      <c r="AD541" s="135"/>
    </row>
    <row r="542" ht="28.5" customHeight="1">
      <c r="A542" s="135"/>
      <c r="B542" s="135"/>
      <c r="C542" s="135"/>
      <c r="D542" s="135"/>
      <c r="E542" s="135"/>
      <c r="F542" s="135"/>
      <c r="G542" s="135"/>
      <c r="H542" s="135"/>
      <c r="I542" s="135"/>
      <c r="J542" s="135"/>
      <c r="K542" s="135"/>
      <c r="L542" s="135"/>
      <c r="M542" s="135"/>
      <c r="N542" s="135"/>
      <c r="O542" s="135"/>
      <c r="P542" s="135"/>
      <c r="Q542" s="135"/>
      <c r="R542" s="135"/>
      <c r="S542" s="135"/>
      <c r="T542" s="135"/>
      <c r="U542" s="135"/>
      <c r="V542" s="135"/>
      <c r="W542" s="135"/>
      <c r="X542" s="135"/>
      <c r="Y542" s="135"/>
      <c r="Z542" s="135"/>
      <c r="AA542" s="135"/>
      <c r="AB542" s="135"/>
      <c r="AC542" s="135"/>
      <c r="AD542" s="135"/>
    </row>
    <row r="543" ht="28.5" customHeight="1">
      <c r="A543" s="135"/>
      <c r="B543" s="135"/>
      <c r="C543" s="135"/>
      <c r="D543" s="135"/>
      <c r="E543" s="135"/>
      <c r="F543" s="135"/>
      <c r="G543" s="135"/>
      <c r="H543" s="135"/>
      <c r="I543" s="135"/>
      <c r="J543" s="135"/>
      <c r="K543" s="135"/>
      <c r="L543" s="135"/>
      <c r="M543" s="135"/>
      <c r="N543" s="135"/>
      <c r="O543" s="135"/>
      <c r="P543" s="135"/>
      <c r="Q543" s="135"/>
      <c r="R543" s="135"/>
      <c r="S543" s="135"/>
      <c r="T543" s="135"/>
      <c r="U543" s="135"/>
      <c r="V543" s="135"/>
      <c r="W543" s="135"/>
      <c r="X543" s="135"/>
      <c r="Y543" s="135"/>
      <c r="Z543" s="135"/>
      <c r="AA543" s="135"/>
      <c r="AB543" s="135"/>
      <c r="AC543" s="135"/>
      <c r="AD543" s="135"/>
    </row>
    <row r="544" ht="28.5" customHeight="1">
      <c r="A544" s="135"/>
      <c r="B544" s="135"/>
      <c r="C544" s="135"/>
      <c r="D544" s="135"/>
      <c r="E544" s="135"/>
      <c r="F544" s="135"/>
      <c r="G544" s="135"/>
      <c r="H544" s="135"/>
      <c r="I544" s="135"/>
      <c r="J544" s="135"/>
      <c r="K544" s="135"/>
      <c r="L544" s="135"/>
      <c r="M544" s="135"/>
      <c r="N544" s="135"/>
      <c r="O544" s="135"/>
      <c r="P544" s="135"/>
      <c r="Q544" s="135"/>
      <c r="R544" s="135"/>
      <c r="S544" s="135"/>
      <c r="T544" s="135"/>
      <c r="U544" s="135"/>
      <c r="V544" s="135"/>
      <c r="W544" s="135"/>
      <c r="X544" s="135"/>
      <c r="Y544" s="135"/>
      <c r="Z544" s="135"/>
      <c r="AA544" s="135"/>
      <c r="AB544" s="135"/>
      <c r="AC544" s="135"/>
      <c r="AD544" s="135"/>
    </row>
    <row r="545" ht="28.5" customHeight="1">
      <c r="A545" s="135"/>
      <c r="B545" s="135"/>
      <c r="C545" s="135"/>
      <c r="D545" s="135"/>
      <c r="E545" s="135"/>
      <c r="F545" s="135"/>
      <c r="G545" s="135"/>
      <c r="H545" s="135"/>
      <c r="I545" s="135"/>
      <c r="J545" s="135"/>
      <c r="K545" s="135"/>
      <c r="L545" s="135"/>
      <c r="M545" s="135"/>
      <c r="N545" s="135"/>
      <c r="O545" s="135"/>
      <c r="P545" s="135"/>
      <c r="Q545" s="135"/>
      <c r="R545" s="135"/>
      <c r="S545" s="135"/>
      <c r="T545" s="135"/>
      <c r="U545" s="135"/>
      <c r="V545" s="135"/>
      <c r="W545" s="135"/>
      <c r="X545" s="135"/>
      <c r="Y545" s="135"/>
      <c r="Z545" s="135"/>
      <c r="AA545" s="135"/>
      <c r="AB545" s="135"/>
      <c r="AC545" s="135"/>
      <c r="AD545" s="135"/>
    </row>
    <row r="546" ht="28.5" customHeight="1">
      <c r="A546" s="135"/>
      <c r="B546" s="135"/>
      <c r="C546" s="135"/>
      <c r="D546" s="135"/>
      <c r="E546" s="135"/>
      <c r="F546" s="135"/>
      <c r="G546" s="135"/>
      <c r="H546" s="135"/>
      <c r="I546" s="135"/>
      <c r="J546" s="135"/>
      <c r="K546" s="135"/>
      <c r="L546" s="135"/>
      <c r="M546" s="135"/>
      <c r="N546" s="135"/>
      <c r="O546" s="135"/>
      <c r="P546" s="135"/>
      <c r="Q546" s="135"/>
      <c r="R546" s="135"/>
      <c r="S546" s="135"/>
      <c r="T546" s="135"/>
      <c r="U546" s="135"/>
      <c r="V546" s="135"/>
      <c r="W546" s="135"/>
      <c r="X546" s="135"/>
      <c r="Y546" s="135"/>
      <c r="Z546" s="135"/>
      <c r="AA546" s="135"/>
      <c r="AB546" s="135"/>
      <c r="AC546" s="135"/>
      <c r="AD546" s="135"/>
    </row>
    <row r="547" ht="28.5" customHeight="1">
      <c r="A547" s="135"/>
      <c r="B547" s="135"/>
      <c r="C547" s="135"/>
      <c r="D547" s="135"/>
      <c r="E547" s="135"/>
      <c r="F547" s="135"/>
      <c r="G547" s="135"/>
      <c r="H547" s="135"/>
      <c r="I547" s="135"/>
      <c r="J547" s="135"/>
      <c r="K547" s="135"/>
      <c r="L547" s="135"/>
      <c r="M547" s="135"/>
      <c r="N547" s="135"/>
      <c r="O547" s="135"/>
      <c r="P547" s="135"/>
      <c r="Q547" s="135"/>
      <c r="R547" s="135"/>
      <c r="S547" s="135"/>
      <c r="T547" s="135"/>
      <c r="U547" s="135"/>
      <c r="V547" s="135"/>
      <c r="W547" s="135"/>
      <c r="X547" s="135"/>
      <c r="Y547" s="135"/>
      <c r="Z547" s="135"/>
      <c r="AA547" s="135"/>
      <c r="AB547" s="135"/>
      <c r="AC547" s="135"/>
      <c r="AD547" s="135"/>
    </row>
    <row r="548" ht="28.5" customHeight="1">
      <c r="A548" s="135"/>
      <c r="B548" s="135"/>
      <c r="C548" s="135"/>
      <c r="D548" s="135"/>
      <c r="E548" s="135"/>
      <c r="F548" s="135"/>
      <c r="G548" s="135"/>
      <c r="H548" s="135"/>
      <c r="I548" s="135"/>
      <c r="J548" s="135"/>
      <c r="K548" s="135"/>
      <c r="L548" s="135"/>
      <c r="M548" s="135"/>
      <c r="N548" s="135"/>
      <c r="O548" s="135"/>
      <c r="P548" s="135"/>
      <c r="Q548" s="135"/>
      <c r="R548" s="135"/>
      <c r="S548" s="135"/>
      <c r="T548" s="135"/>
      <c r="U548" s="135"/>
      <c r="V548" s="135"/>
      <c r="W548" s="135"/>
      <c r="X548" s="135"/>
      <c r="Y548" s="135"/>
      <c r="Z548" s="135"/>
      <c r="AA548" s="135"/>
      <c r="AB548" s="135"/>
      <c r="AC548" s="135"/>
      <c r="AD548" s="135"/>
    </row>
    <row r="549" ht="28.5" customHeight="1">
      <c r="A549" s="135"/>
      <c r="B549" s="135"/>
      <c r="C549" s="135"/>
      <c r="D549" s="135"/>
      <c r="E549" s="135"/>
      <c r="F549" s="135"/>
      <c r="G549" s="135"/>
      <c r="H549" s="135"/>
      <c r="I549" s="135"/>
      <c r="J549" s="135"/>
      <c r="K549" s="135"/>
      <c r="L549" s="135"/>
      <c r="M549" s="135"/>
      <c r="N549" s="135"/>
      <c r="O549" s="135"/>
      <c r="P549" s="135"/>
      <c r="Q549" s="135"/>
      <c r="R549" s="135"/>
      <c r="S549" s="135"/>
      <c r="T549" s="135"/>
      <c r="U549" s="135"/>
      <c r="V549" s="135"/>
      <c r="W549" s="135"/>
      <c r="X549" s="135"/>
      <c r="Y549" s="135"/>
      <c r="Z549" s="135"/>
      <c r="AA549" s="135"/>
      <c r="AB549" s="135"/>
      <c r="AC549" s="135"/>
      <c r="AD549" s="135"/>
    </row>
    <row r="550" ht="28.5" customHeight="1">
      <c r="A550" s="135"/>
      <c r="B550" s="135"/>
      <c r="C550" s="135"/>
      <c r="D550" s="135"/>
      <c r="E550" s="135"/>
      <c r="F550" s="135"/>
      <c r="G550" s="135"/>
      <c r="H550" s="135"/>
      <c r="I550" s="135"/>
      <c r="J550" s="135"/>
      <c r="K550" s="135"/>
      <c r="L550" s="135"/>
      <c r="M550" s="135"/>
      <c r="N550" s="135"/>
      <c r="O550" s="135"/>
      <c r="P550" s="135"/>
      <c r="Q550" s="135"/>
      <c r="R550" s="135"/>
      <c r="S550" s="135"/>
      <c r="T550" s="135"/>
      <c r="U550" s="135"/>
      <c r="V550" s="135"/>
      <c r="W550" s="135"/>
      <c r="X550" s="135"/>
      <c r="Y550" s="135"/>
      <c r="Z550" s="135"/>
      <c r="AA550" s="135"/>
      <c r="AB550" s="135"/>
      <c r="AC550" s="135"/>
      <c r="AD550" s="135"/>
    </row>
    <row r="551" ht="28.5" customHeight="1">
      <c r="A551" s="135"/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35"/>
      <c r="Q551" s="135"/>
      <c r="R551" s="135"/>
      <c r="S551" s="135"/>
      <c r="T551" s="135"/>
      <c r="U551" s="135"/>
      <c r="V551" s="135"/>
      <c r="W551" s="135"/>
      <c r="X551" s="135"/>
      <c r="Y551" s="135"/>
      <c r="Z551" s="135"/>
      <c r="AA551" s="135"/>
      <c r="AB551" s="135"/>
      <c r="AC551" s="135"/>
      <c r="AD551" s="135"/>
    </row>
    <row r="552" ht="28.5" customHeight="1">
      <c r="A552" s="135"/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35"/>
      <c r="Q552" s="135"/>
      <c r="R552" s="135"/>
      <c r="S552" s="135"/>
      <c r="T552" s="135"/>
      <c r="U552" s="135"/>
      <c r="V552" s="135"/>
      <c r="W552" s="135"/>
      <c r="X552" s="135"/>
      <c r="Y552" s="135"/>
      <c r="Z552" s="135"/>
      <c r="AA552" s="135"/>
      <c r="AB552" s="135"/>
      <c r="AC552" s="135"/>
      <c r="AD552" s="135"/>
    </row>
    <row r="553" ht="28.5" customHeight="1">
      <c r="A553" s="135"/>
      <c r="B553" s="135"/>
      <c r="C553" s="135"/>
      <c r="D553" s="135"/>
      <c r="E553" s="135"/>
      <c r="F553" s="135"/>
      <c r="G553" s="135"/>
      <c r="H553" s="135"/>
      <c r="I553" s="135"/>
      <c r="J553" s="135"/>
      <c r="K553" s="135"/>
      <c r="L553" s="135"/>
      <c r="M553" s="135"/>
      <c r="N553" s="135"/>
      <c r="O553" s="135"/>
      <c r="P553" s="135"/>
      <c r="Q553" s="135"/>
      <c r="R553" s="135"/>
      <c r="S553" s="135"/>
      <c r="T553" s="135"/>
      <c r="U553" s="135"/>
      <c r="V553" s="135"/>
      <c r="W553" s="135"/>
      <c r="X553" s="135"/>
      <c r="Y553" s="135"/>
      <c r="Z553" s="135"/>
      <c r="AA553" s="135"/>
      <c r="AB553" s="135"/>
      <c r="AC553" s="135"/>
      <c r="AD553" s="135"/>
    </row>
    <row r="554" ht="28.5" customHeight="1">
      <c r="A554" s="135"/>
      <c r="B554" s="135"/>
      <c r="C554" s="135"/>
      <c r="D554" s="135"/>
      <c r="E554" s="135"/>
      <c r="F554" s="135"/>
      <c r="G554" s="135"/>
      <c r="H554" s="135"/>
      <c r="I554" s="135"/>
      <c r="J554" s="135"/>
      <c r="K554" s="135"/>
      <c r="L554" s="135"/>
      <c r="M554" s="135"/>
      <c r="N554" s="135"/>
      <c r="O554" s="135"/>
      <c r="P554" s="135"/>
      <c r="Q554" s="135"/>
      <c r="R554" s="135"/>
      <c r="S554" s="135"/>
      <c r="T554" s="135"/>
      <c r="U554" s="135"/>
      <c r="V554" s="135"/>
      <c r="W554" s="135"/>
      <c r="X554" s="135"/>
      <c r="Y554" s="135"/>
      <c r="Z554" s="135"/>
      <c r="AA554" s="135"/>
      <c r="AB554" s="135"/>
      <c r="AC554" s="135"/>
      <c r="AD554" s="135"/>
    </row>
    <row r="555" ht="28.5" customHeight="1">
      <c r="A555" s="135"/>
      <c r="B555" s="135"/>
      <c r="C555" s="135"/>
      <c r="D555" s="135"/>
      <c r="E555" s="135"/>
      <c r="F555" s="135"/>
      <c r="G555" s="135"/>
      <c r="H555" s="135"/>
      <c r="I555" s="135"/>
      <c r="J555" s="135"/>
      <c r="K555" s="135"/>
      <c r="L555" s="135"/>
      <c r="M555" s="135"/>
      <c r="N555" s="135"/>
      <c r="O555" s="135"/>
      <c r="P555" s="135"/>
      <c r="Q555" s="135"/>
      <c r="R555" s="135"/>
      <c r="S555" s="135"/>
      <c r="T555" s="135"/>
      <c r="U555" s="135"/>
      <c r="V555" s="135"/>
      <c r="W555" s="135"/>
      <c r="X555" s="135"/>
      <c r="Y555" s="135"/>
      <c r="Z555" s="135"/>
      <c r="AA555" s="135"/>
      <c r="AB555" s="135"/>
      <c r="AC555" s="135"/>
      <c r="AD555" s="135"/>
    </row>
    <row r="556" ht="28.5" customHeight="1">
      <c r="A556" s="135"/>
      <c r="B556" s="135"/>
      <c r="C556" s="135"/>
      <c r="D556" s="135"/>
      <c r="E556" s="135"/>
      <c r="F556" s="135"/>
      <c r="G556" s="135"/>
      <c r="H556" s="135"/>
      <c r="I556" s="135"/>
      <c r="J556" s="135"/>
      <c r="K556" s="135"/>
      <c r="L556" s="135"/>
      <c r="M556" s="135"/>
      <c r="N556" s="135"/>
      <c r="O556" s="135"/>
      <c r="P556" s="135"/>
      <c r="Q556" s="135"/>
      <c r="R556" s="135"/>
      <c r="S556" s="135"/>
      <c r="T556" s="135"/>
      <c r="U556" s="135"/>
      <c r="V556" s="135"/>
      <c r="W556" s="135"/>
      <c r="X556" s="135"/>
      <c r="Y556" s="135"/>
      <c r="Z556" s="135"/>
      <c r="AA556" s="135"/>
      <c r="AB556" s="135"/>
      <c r="AC556" s="135"/>
      <c r="AD556" s="135"/>
    </row>
    <row r="557" ht="28.5" customHeight="1">
      <c r="A557" s="135"/>
      <c r="B557" s="135"/>
      <c r="C557" s="135"/>
      <c r="D557" s="135"/>
      <c r="E557" s="135"/>
      <c r="F557" s="135"/>
      <c r="G557" s="135"/>
      <c r="H557" s="135"/>
      <c r="I557" s="135"/>
      <c r="J557" s="135"/>
      <c r="K557" s="135"/>
      <c r="L557" s="135"/>
      <c r="M557" s="135"/>
      <c r="N557" s="135"/>
      <c r="O557" s="135"/>
      <c r="P557" s="135"/>
      <c r="Q557" s="135"/>
      <c r="R557" s="135"/>
      <c r="S557" s="135"/>
      <c r="T557" s="135"/>
      <c r="U557" s="135"/>
      <c r="V557" s="135"/>
      <c r="W557" s="135"/>
      <c r="X557" s="135"/>
      <c r="Y557" s="135"/>
      <c r="Z557" s="135"/>
      <c r="AA557" s="135"/>
      <c r="AB557" s="135"/>
      <c r="AC557" s="135"/>
      <c r="AD557" s="135"/>
    </row>
    <row r="558" ht="28.5" customHeight="1">
      <c r="A558" s="135"/>
      <c r="B558" s="135"/>
      <c r="C558" s="135"/>
      <c r="D558" s="135"/>
      <c r="E558" s="135"/>
      <c r="F558" s="135"/>
      <c r="G558" s="135"/>
      <c r="H558" s="135"/>
      <c r="I558" s="135"/>
      <c r="J558" s="135"/>
      <c r="K558" s="135"/>
      <c r="L558" s="135"/>
      <c r="M558" s="135"/>
      <c r="N558" s="135"/>
      <c r="O558" s="135"/>
      <c r="P558" s="135"/>
      <c r="Q558" s="135"/>
      <c r="R558" s="135"/>
      <c r="S558" s="135"/>
      <c r="T558" s="135"/>
      <c r="U558" s="135"/>
      <c r="V558" s="135"/>
      <c r="W558" s="135"/>
      <c r="X558" s="135"/>
      <c r="Y558" s="135"/>
      <c r="Z558" s="135"/>
      <c r="AA558" s="135"/>
      <c r="AB558" s="135"/>
      <c r="AC558" s="135"/>
      <c r="AD558" s="135"/>
    </row>
    <row r="559" ht="28.5" customHeight="1">
      <c r="A559" s="135"/>
      <c r="B559" s="135"/>
      <c r="C559" s="135"/>
      <c r="D559" s="135"/>
      <c r="E559" s="135"/>
      <c r="F559" s="135"/>
      <c r="G559" s="135"/>
      <c r="H559" s="135"/>
      <c r="I559" s="135"/>
      <c r="J559" s="135"/>
      <c r="K559" s="135"/>
      <c r="L559" s="135"/>
      <c r="M559" s="135"/>
      <c r="N559" s="135"/>
      <c r="O559" s="135"/>
      <c r="P559" s="135"/>
      <c r="Q559" s="135"/>
      <c r="R559" s="135"/>
      <c r="S559" s="135"/>
      <c r="T559" s="135"/>
      <c r="U559" s="135"/>
      <c r="V559" s="135"/>
      <c r="W559" s="135"/>
      <c r="X559" s="135"/>
      <c r="Y559" s="135"/>
      <c r="Z559" s="135"/>
      <c r="AA559" s="135"/>
      <c r="AB559" s="135"/>
      <c r="AC559" s="135"/>
      <c r="AD559" s="135"/>
    </row>
    <row r="560" ht="28.5" customHeight="1">
      <c r="A560" s="135"/>
      <c r="B560" s="135"/>
      <c r="C560" s="135"/>
      <c r="D560" s="135"/>
      <c r="E560" s="135"/>
      <c r="F560" s="135"/>
      <c r="G560" s="135"/>
      <c r="H560" s="135"/>
      <c r="I560" s="135"/>
      <c r="J560" s="135"/>
      <c r="K560" s="135"/>
      <c r="L560" s="135"/>
      <c r="M560" s="135"/>
      <c r="N560" s="135"/>
      <c r="O560" s="135"/>
      <c r="P560" s="135"/>
      <c r="Q560" s="135"/>
      <c r="R560" s="135"/>
      <c r="S560" s="135"/>
      <c r="T560" s="135"/>
      <c r="U560" s="135"/>
      <c r="V560" s="135"/>
      <c r="W560" s="135"/>
      <c r="X560" s="135"/>
      <c r="Y560" s="135"/>
      <c r="Z560" s="135"/>
      <c r="AA560" s="135"/>
      <c r="AB560" s="135"/>
      <c r="AC560" s="135"/>
      <c r="AD560" s="135"/>
    </row>
    <row r="561" ht="28.5" customHeight="1">
      <c r="A561" s="135"/>
      <c r="B561" s="135"/>
      <c r="C561" s="135"/>
      <c r="D561" s="135"/>
      <c r="E561" s="135"/>
      <c r="F561" s="135"/>
      <c r="G561" s="135"/>
      <c r="H561" s="135"/>
      <c r="I561" s="135"/>
      <c r="J561" s="135"/>
      <c r="K561" s="135"/>
      <c r="L561" s="135"/>
      <c r="M561" s="135"/>
      <c r="N561" s="135"/>
      <c r="O561" s="135"/>
      <c r="P561" s="135"/>
      <c r="Q561" s="135"/>
      <c r="R561" s="135"/>
      <c r="S561" s="135"/>
      <c r="T561" s="135"/>
      <c r="U561" s="135"/>
      <c r="V561" s="135"/>
      <c r="W561" s="135"/>
      <c r="X561" s="135"/>
      <c r="Y561" s="135"/>
      <c r="Z561" s="135"/>
      <c r="AA561" s="135"/>
      <c r="AB561" s="135"/>
      <c r="AC561" s="135"/>
      <c r="AD561" s="135"/>
    </row>
    <row r="562" ht="28.5" customHeight="1">
      <c r="A562" s="135"/>
      <c r="B562" s="135"/>
      <c r="C562" s="135"/>
      <c r="D562" s="135"/>
      <c r="E562" s="135"/>
      <c r="F562" s="135"/>
      <c r="G562" s="135"/>
      <c r="H562" s="135"/>
      <c r="I562" s="135"/>
      <c r="J562" s="135"/>
      <c r="K562" s="135"/>
      <c r="L562" s="135"/>
      <c r="M562" s="135"/>
      <c r="N562" s="135"/>
      <c r="O562" s="135"/>
      <c r="P562" s="135"/>
      <c r="Q562" s="135"/>
      <c r="R562" s="135"/>
      <c r="S562" s="135"/>
      <c r="T562" s="135"/>
      <c r="U562" s="135"/>
      <c r="V562" s="135"/>
      <c r="W562" s="135"/>
      <c r="X562" s="135"/>
      <c r="Y562" s="135"/>
      <c r="Z562" s="135"/>
      <c r="AA562" s="135"/>
      <c r="AB562" s="135"/>
      <c r="AC562" s="135"/>
      <c r="AD562" s="135"/>
    </row>
    <row r="563" ht="28.5" customHeight="1">
      <c r="A563" s="135"/>
      <c r="B563" s="135"/>
      <c r="C563" s="135"/>
      <c r="D563" s="135"/>
      <c r="E563" s="135"/>
      <c r="F563" s="135"/>
      <c r="G563" s="135"/>
      <c r="H563" s="135"/>
      <c r="I563" s="135"/>
      <c r="J563" s="135"/>
      <c r="K563" s="135"/>
      <c r="L563" s="135"/>
      <c r="M563" s="135"/>
      <c r="N563" s="135"/>
      <c r="O563" s="135"/>
      <c r="P563" s="135"/>
      <c r="Q563" s="135"/>
      <c r="R563" s="135"/>
      <c r="S563" s="135"/>
      <c r="T563" s="135"/>
      <c r="U563" s="135"/>
      <c r="V563" s="135"/>
      <c r="W563" s="135"/>
      <c r="X563" s="135"/>
      <c r="Y563" s="135"/>
      <c r="Z563" s="135"/>
      <c r="AA563" s="135"/>
      <c r="AB563" s="135"/>
      <c r="AC563" s="135"/>
      <c r="AD563" s="135"/>
    </row>
    <row r="564" ht="28.5" customHeight="1">
      <c r="A564" s="135"/>
      <c r="B564" s="135"/>
      <c r="C564" s="135"/>
      <c r="D564" s="135"/>
      <c r="E564" s="135"/>
      <c r="F564" s="135"/>
      <c r="G564" s="135"/>
      <c r="H564" s="135"/>
      <c r="I564" s="135"/>
      <c r="J564" s="135"/>
      <c r="K564" s="135"/>
      <c r="L564" s="135"/>
      <c r="M564" s="135"/>
      <c r="N564" s="135"/>
      <c r="O564" s="135"/>
      <c r="P564" s="135"/>
      <c r="Q564" s="135"/>
      <c r="R564" s="135"/>
      <c r="S564" s="135"/>
      <c r="T564" s="135"/>
      <c r="U564" s="135"/>
      <c r="V564" s="135"/>
      <c r="W564" s="135"/>
      <c r="X564" s="135"/>
      <c r="Y564" s="135"/>
      <c r="Z564" s="135"/>
      <c r="AA564" s="135"/>
      <c r="AB564" s="135"/>
      <c r="AC564" s="135"/>
      <c r="AD564" s="135"/>
    </row>
    <row r="565" ht="28.5" customHeight="1">
      <c r="A565" s="135"/>
      <c r="B565" s="135"/>
      <c r="C565" s="135"/>
      <c r="D565" s="135"/>
      <c r="E565" s="135"/>
      <c r="F565" s="135"/>
      <c r="G565" s="135"/>
      <c r="H565" s="135"/>
      <c r="I565" s="135"/>
      <c r="J565" s="135"/>
      <c r="K565" s="135"/>
      <c r="L565" s="135"/>
      <c r="M565" s="135"/>
      <c r="N565" s="135"/>
      <c r="O565" s="135"/>
      <c r="P565" s="135"/>
      <c r="Q565" s="135"/>
      <c r="R565" s="135"/>
      <c r="S565" s="135"/>
      <c r="T565" s="135"/>
      <c r="U565" s="135"/>
      <c r="V565" s="135"/>
      <c r="W565" s="135"/>
      <c r="X565" s="135"/>
      <c r="Y565" s="135"/>
      <c r="Z565" s="135"/>
      <c r="AA565" s="135"/>
      <c r="AB565" s="135"/>
      <c r="AC565" s="135"/>
      <c r="AD565" s="135"/>
    </row>
    <row r="566" ht="28.5" customHeight="1">
      <c r="A566" s="135"/>
      <c r="B566" s="135"/>
      <c r="C566" s="135"/>
      <c r="D566" s="135"/>
      <c r="E566" s="135"/>
      <c r="F566" s="135"/>
      <c r="G566" s="135"/>
      <c r="H566" s="135"/>
      <c r="I566" s="135"/>
      <c r="J566" s="135"/>
      <c r="K566" s="135"/>
      <c r="L566" s="135"/>
      <c r="M566" s="135"/>
      <c r="N566" s="135"/>
      <c r="O566" s="135"/>
      <c r="P566" s="135"/>
      <c r="Q566" s="135"/>
      <c r="R566" s="135"/>
      <c r="S566" s="135"/>
      <c r="T566" s="135"/>
      <c r="U566" s="135"/>
      <c r="V566" s="135"/>
      <c r="W566" s="135"/>
      <c r="X566" s="135"/>
      <c r="Y566" s="135"/>
      <c r="Z566" s="135"/>
      <c r="AA566" s="135"/>
      <c r="AB566" s="135"/>
      <c r="AC566" s="135"/>
      <c r="AD566" s="135"/>
    </row>
    <row r="567" ht="28.5" customHeight="1">
      <c r="A567" s="135"/>
      <c r="B567" s="135"/>
      <c r="C567" s="135"/>
      <c r="D567" s="135"/>
      <c r="E567" s="135"/>
      <c r="F567" s="135"/>
      <c r="G567" s="135"/>
      <c r="H567" s="135"/>
      <c r="I567" s="135"/>
      <c r="J567" s="135"/>
      <c r="K567" s="135"/>
      <c r="L567" s="135"/>
      <c r="M567" s="135"/>
      <c r="N567" s="135"/>
      <c r="O567" s="135"/>
      <c r="P567" s="135"/>
      <c r="Q567" s="135"/>
      <c r="R567" s="135"/>
      <c r="S567" s="135"/>
      <c r="T567" s="135"/>
      <c r="U567" s="135"/>
      <c r="V567" s="135"/>
      <c r="W567" s="135"/>
      <c r="X567" s="135"/>
      <c r="Y567" s="135"/>
      <c r="Z567" s="135"/>
      <c r="AA567" s="135"/>
      <c r="AB567" s="135"/>
      <c r="AC567" s="135"/>
      <c r="AD567" s="135"/>
    </row>
    <row r="568" ht="28.5" customHeight="1">
      <c r="A568" s="135"/>
      <c r="B568" s="135"/>
      <c r="C568" s="135"/>
      <c r="D568" s="135"/>
      <c r="E568" s="135"/>
      <c r="F568" s="135"/>
      <c r="G568" s="135"/>
      <c r="H568" s="135"/>
      <c r="I568" s="135"/>
      <c r="J568" s="135"/>
      <c r="K568" s="135"/>
      <c r="L568" s="135"/>
      <c r="M568" s="135"/>
      <c r="N568" s="135"/>
      <c r="O568" s="135"/>
      <c r="P568" s="135"/>
      <c r="Q568" s="135"/>
      <c r="R568" s="135"/>
      <c r="S568" s="135"/>
      <c r="T568" s="135"/>
      <c r="U568" s="135"/>
      <c r="V568" s="135"/>
      <c r="W568" s="135"/>
      <c r="X568" s="135"/>
      <c r="Y568" s="135"/>
      <c r="Z568" s="135"/>
      <c r="AA568" s="135"/>
      <c r="AB568" s="135"/>
      <c r="AC568" s="135"/>
      <c r="AD568" s="135"/>
    </row>
    <row r="569" ht="28.5" customHeight="1">
      <c r="A569" s="135"/>
      <c r="B569" s="135"/>
      <c r="C569" s="135"/>
      <c r="D569" s="135"/>
      <c r="E569" s="135"/>
      <c r="F569" s="135"/>
      <c r="G569" s="135"/>
      <c r="H569" s="135"/>
      <c r="I569" s="135"/>
      <c r="J569" s="135"/>
      <c r="K569" s="135"/>
      <c r="L569" s="135"/>
      <c r="M569" s="135"/>
      <c r="N569" s="135"/>
      <c r="O569" s="135"/>
      <c r="P569" s="135"/>
      <c r="Q569" s="135"/>
      <c r="R569" s="135"/>
      <c r="S569" s="135"/>
      <c r="T569" s="135"/>
      <c r="U569" s="135"/>
      <c r="V569" s="135"/>
      <c r="W569" s="135"/>
      <c r="X569" s="135"/>
      <c r="Y569" s="135"/>
      <c r="Z569" s="135"/>
      <c r="AA569" s="135"/>
      <c r="AB569" s="135"/>
      <c r="AC569" s="135"/>
      <c r="AD569" s="135"/>
    </row>
    <row r="570" ht="28.5" customHeight="1">
      <c r="A570" s="135"/>
      <c r="B570" s="135"/>
      <c r="C570" s="135"/>
      <c r="D570" s="135"/>
      <c r="E570" s="135"/>
      <c r="F570" s="135"/>
      <c r="G570" s="135"/>
      <c r="H570" s="135"/>
      <c r="I570" s="135"/>
      <c r="J570" s="135"/>
      <c r="K570" s="135"/>
      <c r="L570" s="135"/>
      <c r="M570" s="135"/>
      <c r="N570" s="135"/>
      <c r="O570" s="135"/>
      <c r="P570" s="135"/>
      <c r="Q570" s="135"/>
      <c r="R570" s="135"/>
      <c r="S570" s="135"/>
      <c r="T570" s="135"/>
      <c r="U570" s="135"/>
      <c r="V570" s="135"/>
      <c r="W570" s="135"/>
      <c r="X570" s="135"/>
      <c r="Y570" s="135"/>
      <c r="Z570" s="135"/>
      <c r="AA570" s="135"/>
      <c r="AB570" s="135"/>
      <c r="AC570" s="135"/>
      <c r="AD570" s="135"/>
    </row>
    <row r="571" ht="28.5" customHeight="1">
      <c r="A571" s="135"/>
      <c r="B571" s="135"/>
      <c r="C571" s="135"/>
      <c r="D571" s="135"/>
      <c r="E571" s="135"/>
      <c r="F571" s="135"/>
      <c r="G571" s="135"/>
      <c r="H571" s="135"/>
      <c r="I571" s="135"/>
      <c r="J571" s="135"/>
      <c r="K571" s="135"/>
      <c r="L571" s="135"/>
      <c r="M571" s="135"/>
      <c r="N571" s="135"/>
      <c r="O571" s="135"/>
      <c r="P571" s="135"/>
      <c r="Q571" s="135"/>
      <c r="R571" s="135"/>
      <c r="S571" s="135"/>
      <c r="T571" s="135"/>
      <c r="U571" s="135"/>
      <c r="V571" s="135"/>
      <c r="W571" s="135"/>
      <c r="X571" s="135"/>
      <c r="Y571" s="135"/>
      <c r="Z571" s="135"/>
      <c r="AA571" s="135"/>
      <c r="AB571" s="135"/>
      <c r="AC571" s="135"/>
      <c r="AD571" s="135"/>
    </row>
    <row r="572" ht="28.5" customHeight="1">
      <c r="A572" s="135"/>
      <c r="B572" s="135"/>
      <c r="C572" s="135"/>
      <c r="D572" s="135"/>
      <c r="E572" s="135"/>
      <c r="F572" s="135"/>
      <c r="G572" s="135"/>
      <c r="H572" s="135"/>
      <c r="I572" s="135"/>
      <c r="J572" s="135"/>
      <c r="K572" s="135"/>
      <c r="L572" s="135"/>
      <c r="M572" s="135"/>
      <c r="N572" s="135"/>
      <c r="O572" s="135"/>
      <c r="P572" s="135"/>
      <c r="Q572" s="135"/>
      <c r="R572" s="135"/>
      <c r="S572" s="135"/>
      <c r="T572" s="135"/>
      <c r="U572" s="135"/>
      <c r="V572" s="135"/>
      <c r="W572" s="135"/>
      <c r="X572" s="135"/>
      <c r="Y572" s="135"/>
      <c r="Z572" s="135"/>
      <c r="AA572" s="135"/>
      <c r="AB572" s="135"/>
      <c r="AC572" s="135"/>
      <c r="AD572" s="135"/>
    </row>
    <row r="573" ht="28.5" customHeight="1">
      <c r="A573" s="135"/>
      <c r="B573" s="135"/>
      <c r="C573" s="135"/>
      <c r="D573" s="135"/>
      <c r="E573" s="135"/>
      <c r="F573" s="135"/>
      <c r="G573" s="135"/>
      <c r="H573" s="135"/>
      <c r="I573" s="135"/>
      <c r="J573" s="135"/>
      <c r="K573" s="135"/>
      <c r="L573" s="135"/>
      <c r="M573" s="135"/>
      <c r="N573" s="135"/>
      <c r="O573" s="135"/>
      <c r="P573" s="135"/>
      <c r="Q573" s="135"/>
      <c r="R573" s="135"/>
      <c r="S573" s="135"/>
      <c r="T573" s="135"/>
      <c r="U573" s="135"/>
      <c r="V573" s="135"/>
      <c r="W573" s="135"/>
      <c r="X573" s="135"/>
      <c r="Y573" s="135"/>
      <c r="Z573" s="135"/>
      <c r="AA573" s="135"/>
      <c r="AB573" s="135"/>
      <c r="AC573" s="135"/>
      <c r="AD573" s="135"/>
    </row>
    <row r="574" ht="28.5" customHeight="1">
      <c r="A574" s="135"/>
      <c r="B574" s="135"/>
      <c r="C574" s="135"/>
      <c r="D574" s="135"/>
      <c r="E574" s="135"/>
      <c r="F574" s="135"/>
      <c r="G574" s="135"/>
      <c r="H574" s="135"/>
      <c r="I574" s="135"/>
      <c r="J574" s="135"/>
      <c r="K574" s="135"/>
      <c r="L574" s="135"/>
      <c r="M574" s="135"/>
      <c r="N574" s="135"/>
      <c r="O574" s="135"/>
      <c r="P574" s="135"/>
      <c r="Q574" s="135"/>
      <c r="R574" s="135"/>
      <c r="S574" s="135"/>
      <c r="T574" s="135"/>
      <c r="U574" s="135"/>
      <c r="V574" s="135"/>
      <c r="W574" s="135"/>
      <c r="X574" s="135"/>
      <c r="Y574" s="135"/>
      <c r="Z574" s="135"/>
      <c r="AA574" s="135"/>
      <c r="AB574" s="135"/>
      <c r="AC574" s="135"/>
      <c r="AD574" s="135"/>
    </row>
    <row r="575" ht="28.5" customHeight="1">
      <c r="A575" s="135"/>
      <c r="B575" s="135"/>
      <c r="C575" s="135"/>
      <c r="D575" s="135"/>
      <c r="E575" s="135"/>
      <c r="F575" s="135"/>
      <c r="G575" s="135"/>
      <c r="H575" s="135"/>
      <c r="I575" s="135"/>
      <c r="J575" s="135"/>
      <c r="K575" s="135"/>
      <c r="L575" s="135"/>
      <c r="M575" s="135"/>
      <c r="N575" s="135"/>
      <c r="O575" s="135"/>
      <c r="P575" s="135"/>
      <c r="Q575" s="135"/>
      <c r="R575" s="135"/>
      <c r="S575" s="135"/>
      <c r="T575" s="135"/>
      <c r="U575" s="135"/>
      <c r="V575" s="135"/>
      <c r="W575" s="135"/>
      <c r="X575" s="135"/>
      <c r="Y575" s="135"/>
      <c r="Z575" s="135"/>
      <c r="AA575" s="135"/>
      <c r="AB575" s="135"/>
      <c r="AC575" s="135"/>
      <c r="AD575" s="135"/>
    </row>
    <row r="576" ht="28.5" customHeight="1">
      <c r="A576" s="135"/>
      <c r="B576" s="135"/>
      <c r="C576" s="135"/>
      <c r="D576" s="135"/>
      <c r="E576" s="135"/>
      <c r="F576" s="135"/>
      <c r="G576" s="135"/>
      <c r="H576" s="135"/>
      <c r="I576" s="135"/>
      <c r="J576" s="135"/>
      <c r="K576" s="135"/>
      <c r="L576" s="135"/>
      <c r="M576" s="135"/>
      <c r="N576" s="135"/>
      <c r="O576" s="135"/>
      <c r="P576" s="135"/>
      <c r="Q576" s="135"/>
      <c r="R576" s="135"/>
      <c r="S576" s="135"/>
      <c r="T576" s="135"/>
      <c r="U576" s="135"/>
      <c r="V576" s="135"/>
      <c r="W576" s="135"/>
      <c r="X576" s="135"/>
      <c r="Y576" s="135"/>
      <c r="Z576" s="135"/>
      <c r="AA576" s="135"/>
      <c r="AB576" s="135"/>
      <c r="AC576" s="135"/>
      <c r="AD576" s="135"/>
    </row>
    <row r="577" ht="28.5" customHeight="1">
      <c r="A577" s="135"/>
      <c r="B577" s="135"/>
      <c r="C577" s="135"/>
      <c r="D577" s="135"/>
      <c r="E577" s="135"/>
      <c r="F577" s="135"/>
      <c r="G577" s="135"/>
      <c r="H577" s="135"/>
      <c r="I577" s="135"/>
      <c r="J577" s="135"/>
      <c r="K577" s="135"/>
      <c r="L577" s="135"/>
      <c r="M577" s="135"/>
      <c r="N577" s="135"/>
      <c r="O577" s="135"/>
      <c r="P577" s="135"/>
      <c r="Q577" s="135"/>
      <c r="R577" s="135"/>
      <c r="S577" s="135"/>
      <c r="T577" s="135"/>
      <c r="U577" s="135"/>
      <c r="V577" s="135"/>
      <c r="W577" s="135"/>
      <c r="X577" s="135"/>
      <c r="Y577" s="135"/>
      <c r="Z577" s="135"/>
      <c r="AA577" s="135"/>
      <c r="AB577" s="135"/>
      <c r="AC577" s="135"/>
      <c r="AD577" s="135"/>
    </row>
    <row r="578" ht="28.5" customHeight="1">
      <c r="A578" s="135"/>
      <c r="B578" s="135"/>
      <c r="C578" s="135"/>
      <c r="D578" s="135"/>
      <c r="E578" s="135"/>
      <c r="F578" s="135"/>
      <c r="G578" s="135"/>
      <c r="H578" s="135"/>
      <c r="I578" s="135"/>
      <c r="J578" s="135"/>
      <c r="K578" s="135"/>
      <c r="L578" s="135"/>
      <c r="M578" s="135"/>
      <c r="N578" s="135"/>
      <c r="O578" s="135"/>
      <c r="P578" s="135"/>
      <c r="Q578" s="135"/>
      <c r="R578" s="135"/>
      <c r="S578" s="135"/>
      <c r="T578" s="135"/>
      <c r="U578" s="135"/>
      <c r="V578" s="135"/>
      <c r="W578" s="135"/>
      <c r="X578" s="135"/>
      <c r="Y578" s="135"/>
      <c r="Z578" s="135"/>
      <c r="AA578" s="135"/>
      <c r="AB578" s="135"/>
      <c r="AC578" s="135"/>
      <c r="AD578" s="135"/>
    </row>
    <row r="579" ht="28.5" customHeight="1">
      <c r="A579" s="135"/>
      <c r="B579" s="135"/>
      <c r="C579" s="135"/>
      <c r="D579" s="135"/>
      <c r="E579" s="135"/>
      <c r="F579" s="135"/>
      <c r="G579" s="135"/>
      <c r="H579" s="135"/>
      <c r="I579" s="135"/>
      <c r="J579" s="135"/>
      <c r="K579" s="135"/>
      <c r="L579" s="135"/>
      <c r="M579" s="135"/>
      <c r="N579" s="135"/>
      <c r="O579" s="135"/>
      <c r="P579" s="135"/>
      <c r="Q579" s="135"/>
      <c r="R579" s="135"/>
      <c r="S579" s="135"/>
      <c r="T579" s="135"/>
      <c r="U579" s="135"/>
      <c r="V579" s="135"/>
      <c r="W579" s="135"/>
      <c r="X579" s="135"/>
      <c r="Y579" s="135"/>
      <c r="Z579" s="135"/>
      <c r="AA579" s="135"/>
      <c r="AB579" s="135"/>
      <c r="AC579" s="135"/>
      <c r="AD579" s="135"/>
    </row>
    <row r="580" ht="28.5" customHeight="1">
      <c r="A580" s="135"/>
      <c r="B580" s="135"/>
      <c r="C580" s="135"/>
      <c r="D580" s="135"/>
      <c r="E580" s="135"/>
      <c r="F580" s="135"/>
      <c r="G580" s="135"/>
      <c r="H580" s="135"/>
      <c r="I580" s="135"/>
      <c r="J580" s="135"/>
      <c r="K580" s="135"/>
      <c r="L580" s="135"/>
      <c r="M580" s="135"/>
      <c r="N580" s="135"/>
      <c r="O580" s="135"/>
      <c r="P580" s="135"/>
      <c r="Q580" s="135"/>
      <c r="R580" s="135"/>
      <c r="S580" s="135"/>
      <c r="T580" s="135"/>
      <c r="U580" s="135"/>
      <c r="V580" s="135"/>
      <c r="W580" s="135"/>
      <c r="X580" s="135"/>
      <c r="Y580" s="135"/>
      <c r="Z580" s="135"/>
      <c r="AA580" s="135"/>
      <c r="AB580" s="135"/>
      <c r="AC580" s="135"/>
      <c r="AD580" s="135"/>
    </row>
    <row r="581" ht="28.5" customHeight="1">
      <c r="A581" s="135"/>
      <c r="B581" s="135"/>
      <c r="C581" s="135"/>
      <c r="D581" s="135"/>
      <c r="E581" s="135"/>
      <c r="F581" s="135"/>
      <c r="G581" s="135"/>
      <c r="H581" s="135"/>
      <c r="I581" s="135"/>
      <c r="J581" s="135"/>
      <c r="K581" s="135"/>
      <c r="L581" s="135"/>
      <c r="M581" s="135"/>
      <c r="N581" s="135"/>
      <c r="O581" s="135"/>
      <c r="P581" s="135"/>
      <c r="Q581" s="135"/>
      <c r="R581" s="135"/>
      <c r="S581" s="135"/>
      <c r="T581" s="135"/>
      <c r="U581" s="135"/>
      <c r="V581" s="135"/>
      <c r="W581" s="135"/>
      <c r="X581" s="135"/>
      <c r="Y581" s="135"/>
      <c r="Z581" s="135"/>
      <c r="AA581" s="135"/>
      <c r="AB581" s="135"/>
      <c r="AC581" s="135"/>
      <c r="AD581" s="135"/>
    </row>
    <row r="582" ht="28.5" customHeight="1">
      <c r="A582" s="135"/>
      <c r="B582" s="135"/>
      <c r="C582" s="135"/>
      <c r="D582" s="135"/>
      <c r="E582" s="135"/>
      <c r="F582" s="135"/>
      <c r="G582" s="135"/>
      <c r="H582" s="135"/>
      <c r="I582" s="135"/>
      <c r="J582" s="135"/>
      <c r="K582" s="135"/>
      <c r="L582" s="135"/>
      <c r="M582" s="135"/>
      <c r="N582" s="135"/>
      <c r="O582" s="135"/>
      <c r="P582" s="135"/>
      <c r="Q582" s="135"/>
      <c r="R582" s="135"/>
      <c r="S582" s="135"/>
      <c r="T582" s="135"/>
      <c r="U582" s="135"/>
      <c r="V582" s="135"/>
      <c r="W582" s="135"/>
      <c r="X582" s="135"/>
      <c r="Y582" s="135"/>
      <c r="Z582" s="135"/>
      <c r="AA582" s="135"/>
      <c r="AB582" s="135"/>
      <c r="AC582" s="135"/>
      <c r="AD582" s="135"/>
    </row>
    <row r="583" ht="28.5" customHeight="1">
      <c r="A583" s="135"/>
      <c r="B583" s="135"/>
      <c r="C583" s="135"/>
      <c r="D583" s="135"/>
      <c r="E583" s="135"/>
      <c r="F583" s="135"/>
      <c r="G583" s="135"/>
      <c r="H583" s="135"/>
      <c r="I583" s="135"/>
      <c r="J583" s="135"/>
      <c r="K583" s="135"/>
      <c r="L583" s="135"/>
      <c r="M583" s="135"/>
      <c r="N583" s="135"/>
      <c r="O583" s="135"/>
      <c r="P583" s="135"/>
      <c r="Q583" s="135"/>
      <c r="R583" s="135"/>
      <c r="S583" s="135"/>
      <c r="T583" s="135"/>
      <c r="U583" s="135"/>
      <c r="V583" s="135"/>
      <c r="W583" s="135"/>
      <c r="X583" s="135"/>
      <c r="Y583" s="135"/>
      <c r="Z583" s="135"/>
      <c r="AA583" s="135"/>
      <c r="AB583" s="135"/>
      <c r="AC583" s="135"/>
      <c r="AD583" s="135"/>
    </row>
    <row r="584" ht="28.5" customHeight="1">
      <c r="A584" s="135"/>
      <c r="B584" s="135"/>
      <c r="C584" s="135"/>
      <c r="D584" s="135"/>
      <c r="E584" s="135"/>
      <c r="F584" s="135"/>
      <c r="G584" s="135"/>
      <c r="H584" s="135"/>
      <c r="I584" s="135"/>
      <c r="J584" s="135"/>
      <c r="K584" s="135"/>
      <c r="L584" s="135"/>
      <c r="M584" s="135"/>
      <c r="N584" s="135"/>
      <c r="O584" s="135"/>
      <c r="P584" s="135"/>
      <c r="Q584" s="135"/>
      <c r="R584" s="135"/>
      <c r="S584" s="135"/>
      <c r="T584" s="135"/>
      <c r="U584" s="135"/>
      <c r="V584" s="135"/>
      <c r="W584" s="135"/>
      <c r="X584" s="135"/>
      <c r="Y584" s="135"/>
      <c r="Z584" s="135"/>
      <c r="AA584" s="135"/>
      <c r="AB584" s="135"/>
      <c r="AC584" s="135"/>
      <c r="AD584" s="135"/>
    </row>
    <row r="585" ht="28.5" customHeight="1">
      <c r="A585" s="135"/>
      <c r="B585" s="135"/>
      <c r="C585" s="135"/>
      <c r="D585" s="135"/>
      <c r="E585" s="135"/>
      <c r="F585" s="135"/>
      <c r="G585" s="135"/>
      <c r="H585" s="135"/>
      <c r="I585" s="135"/>
      <c r="J585" s="135"/>
      <c r="K585" s="135"/>
      <c r="L585" s="135"/>
      <c r="M585" s="135"/>
      <c r="N585" s="135"/>
      <c r="O585" s="135"/>
      <c r="P585" s="135"/>
      <c r="Q585" s="135"/>
      <c r="R585" s="135"/>
      <c r="S585" s="135"/>
      <c r="T585" s="135"/>
      <c r="U585" s="135"/>
      <c r="V585" s="135"/>
      <c r="W585" s="135"/>
      <c r="X585" s="135"/>
      <c r="Y585" s="135"/>
      <c r="Z585" s="135"/>
      <c r="AA585" s="135"/>
      <c r="AB585" s="135"/>
      <c r="AC585" s="135"/>
      <c r="AD585" s="135"/>
    </row>
    <row r="586" ht="28.5" customHeight="1">
      <c r="A586" s="135"/>
      <c r="B586" s="135"/>
      <c r="C586" s="135"/>
      <c r="D586" s="135"/>
      <c r="E586" s="135"/>
      <c r="F586" s="135"/>
      <c r="G586" s="135"/>
      <c r="H586" s="135"/>
      <c r="I586" s="135"/>
      <c r="J586" s="135"/>
      <c r="K586" s="135"/>
      <c r="L586" s="135"/>
      <c r="M586" s="135"/>
      <c r="N586" s="135"/>
      <c r="O586" s="135"/>
      <c r="P586" s="135"/>
      <c r="Q586" s="135"/>
      <c r="R586" s="135"/>
      <c r="S586" s="135"/>
      <c r="T586" s="135"/>
      <c r="U586" s="135"/>
      <c r="V586" s="135"/>
      <c r="W586" s="135"/>
      <c r="X586" s="135"/>
      <c r="Y586" s="135"/>
      <c r="Z586" s="135"/>
      <c r="AA586" s="135"/>
      <c r="AB586" s="135"/>
      <c r="AC586" s="135"/>
      <c r="AD586" s="135"/>
    </row>
    <row r="587" ht="28.5" customHeight="1">
      <c r="A587" s="135"/>
      <c r="B587" s="135"/>
      <c r="C587" s="135"/>
      <c r="D587" s="135"/>
      <c r="E587" s="135"/>
      <c r="F587" s="135"/>
      <c r="G587" s="135"/>
      <c r="H587" s="135"/>
      <c r="I587" s="135"/>
      <c r="J587" s="135"/>
      <c r="K587" s="135"/>
      <c r="L587" s="135"/>
      <c r="M587" s="135"/>
      <c r="N587" s="135"/>
      <c r="O587" s="135"/>
      <c r="P587" s="135"/>
      <c r="Q587" s="135"/>
      <c r="R587" s="135"/>
      <c r="S587" s="135"/>
      <c r="T587" s="135"/>
      <c r="U587" s="135"/>
      <c r="V587" s="135"/>
      <c r="W587" s="135"/>
      <c r="X587" s="135"/>
      <c r="Y587" s="135"/>
      <c r="Z587" s="135"/>
      <c r="AA587" s="135"/>
      <c r="AB587" s="135"/>
      <c r="AC587" s="135"/>
      <c r="AD587" s="135"/>
    </row>
    <row r="588" ht="28.5" customHeight="1">
      <c r="A588" s="135"/>
      <c r="B588" s="135"/>
      <c r="C588" s="135"/>
      <c r="D588" s="135"/>
      <c r="E588" s="135"/>
      <c r="F588" s="135"/>
      <c r="G588" s="135"/>
      <c r="H588" s="135"/>
      <c r="I588" s="135"/>
      <c r="J588" s="135"/>
      <c r="K588" s="135"/>
      <c r="L588" s="135"/>
      <c r="M588" s="135"/>
      <c r="N588" s="135"/>
      <c r="O588" s="135"/>
      <c r="P588" s="135"/>
      <c r="Q588" s="135"/>
      <c r="R588" s="135"/>
      <c r="S588" s="135"/>
      <c r="T588" s="135"/>
      <c r="U588" s="135"/>
      <c r="V588" s="135"/>
      <c r="W588" s="135"/>
      <c r="X588" s="135"/>
      <c r="Y588" s="135"/>
      <c r="Z588" s="135"/>
      <c r="AA588" s="135"/>
      <c r="AB588" s="135"/>
      <c r="AC588" s="135"/>
      <c r="AD588" s="135"/>
    </row>
    <row r="589" ht="28.5" customHeight="1">
      <c r="A589" s="135"/>
      <c r="B589" s="135"/>
      <c r="C589" s="135"/>
      <c r="D589" s="135"/>
      <c r="E589" s="135"/>
      <c r="F589" s="135"/>
      <c r="G589" s="135"/>
      <c r="H589" s="135"/>
      <c r="I589" s="135"/>
      <c r="J589" s="135"/>
      <c r="K589" s="135"/>
      <c r="L589" s="135"/>
      <c r="M589" s="135"/>
      <c r="N589" s="135"/>
      <c r="O589" s="135"/>
      <c r="P589" s="135"/>
      <c r="Q589" s="135"/>
      <c r="R589" s="135"/>
      <c r="S589" s="135"/>
      <c r="T589" s="135"/>
      <c r="U589" s="135"/>
      <c r="V589" s="135"/>
      <c r="W589" s="135"/>
      <c r="X589" s="135"/>
      <c r="Y589" s="135"/>
      <c r="Z589" s="135"/>
      <c r="AA589" s="135"/>
      <c r="AB589" s="135"/>
      <c r="AC589" s="135"/>
      <c r="AD589" s="135"/>
    </row>
    <row r="590" ht="28.5" customHeight="1">
      <c r="A590" s="135"/>
      <c r="B590" s="135"/>
      <c r="C590" s="135"/>
      <c r="D590" s="135"/>
      <c r="E590" s="135"/>
      <c r="F590" s="135"/>
      <c r="G590" s="135"/>
      <c r="H590" s="135"/>
      <c r="I590" s="135"/>
      <c r="J590" s="135"/>
      <c r="K590" s="135"/>
      <c r="L590" s="135"/>
      <c r="M590" s="135"/>
      <c r="N590" s="135"/>
      <c r="O590" s="135"/>
      <c r="P590" s="135"/>
      <c r="Q590" s="135"/>
      <c r="R590" s="135"/>
      <c r="S590" s="135"/>
      <c r="T590" s="135"/>
      <c r="U590" s="135"/>
      <c r="V590" s="135"/>
      <c r="W590" s="135"/>
      <c r="X590" s="135"/>
      <c r="Y590" s="135"/>
      <c r="Z590" s="135"/>
      <c r="AA590" s="135"/>
      <c r="AB590" s="135"/>
      <c r="AC590" s="135"/>
      <c r="AD590" s="135"/>
    </row>
    <row r="591" ht="28.5" customHeight="1">
      <c r="A591" s="135"/>
      <c r="B591" s="135"/>
      <c r="C591" s="135"/>
      <c r="D591" s="135"/>
      <c r="E591" s="135"/>
      <c r="F591" s="135"/>
      <c r="G591" s="135"/>
      <c r="H591" s="135"/>
      <c r="I591" s="135"/>
      <c r="J591" s="135"/>
      <c r="K591" s="135"/>
      <c r="L591" s="135"/>
      <c r="M591" s="135"/>
      <c r="N591" s="135"/>
      <c r="O591" s="135"/>
      <c r="P591" s="135"/>
      <c r="Q591" s="135"/>
      <c r="R591" s="135"/>
      <c r="S591" s="135"/>
      <c r="T591" s="135"/>
      <c r="U591" s="135"/>
      <c r="V591" s="135"/>
      <c r="W591" s="135"/>
      <c r="X591" s="135"/>
      <c r="Y591" s="135"/>
      <c r="Z591" s="135"/>
      <c r="AA591" s="135"/>
      <c r="AB591" s="135"/>
      <c r="AC591" s="135"/>
      <c r="AD591" s="135"/>
    </row>
    <row r="592" ht="28.5" customHeight="1">
      <c r="A592" s="135"/>
      <c r="B592" s="135"/>
      <c r="C592" s="135"/>
      <c r="D592" s="135"/>
      <c r="E592" s="135"/>
      <c r="F592" s="135"/>
      <c r="G592" s="135"/>
      <c r="H592" s="135"/>
      <c r="I592" s="135"/>
      <c r="J592" s="135"/>
      <c r="K592" s="135"/>
      <c r="L592" s="135"/>
      <c r="M592" s="135"/>
      <c r="N592" s="135"/>
      <c r="O592" s="135"/>
      <c r="P592" s="135"/>
      <c r="Q592" s="135"/>
      <c r="R592" s="135"/>
      <c r="S592" s="135"/>
      <c r="T592" s="135"/>
      <c r="U592" s="135"/>
      <c r="V592" s="135"/>
      <c r="W592" s="135"/>
      <c r="X592" s="135"/>
      <c r="Y592" s="135"/>
      <c r="Z592" s="135"/>
      <c r="AA592" s="135"/>
      <c r="AB592" s="135"/>
      <c r="AC592" s="135"/>
      <c r="AD592" s="135"/>
    </row>
    <row r="593" ht="28.5" customHeight="1">
      <c r="A593" s="135"/>
      <c r="B593" s="135"/>
      <c r="C593" s="135"/>
      <c r="D593" s="135"/>
      <c r="E593" s="135"/>
      <c r="F593" s="135"/>
      <c r="G593" s="135"/>
      <c r="H593" s="135"/>
      <c r="I593" s="135"/>
      <c r="J593" s="135"/>
      <c r="K593" s="135"/>
      <c r="L593" s="135"/>
      <c r="M593" s="135"/>
      <c r="N593" s="135"/>
      <c r="O593" s="135"/>
      <c r="P593" s="135"/>
      <c r="Q593" s="135"/>
      <c r="R593" s="135"/>
      <c r="S593" s="135"/>
      <c r="T593" s="135"/>
      <c r="U593" s="135"/>
      <c r="V593" s="135"/>
      <c r="W593" s="135"/>
      <c r="X593" s="135"/>
      <c r="Y593" s="135"/>
      <c r="Z593" s="135"/>
      <c r="AA593" s="135"/>
      <c r="AB593" s="135"/>
      <c r="AC593" s="135"/>
      <c r="AD593" s="135"/>
    </row>
    <row r="594" ht="28.5" customHeight="1">
      <c r="A594" s="135"/>
      <c r="B594" s="135"/>
      <c r="C594" s="135"/>
      <c r="D594" s="135"/>
      <c r="E594" s="135"/>
      <c r="F594" s="135"/>
      <c r="G594" s="135"/>
      <c r="H594" s="135"/>
      <c r="I594" s="135"/>
      <c r="J594" s="135"/>
      <c r="K594" s="135"/>
      <c r="L594" s="135"/>
      <c r="M594" s="135"/>
      <c r="N594" s="135"/>
      <c r="O594" s="135"/>
      <c r="P594" s="135"/>
      <c r="Q594" s="135"/>
      <c r="R594" s="135"/>
      <c r="S594" s="135"/>
      <c r="T594" s="135"/>
      <c r="U594" s="135"/>
      <c r="V594" s="135"/>
      <c r="W594" s="135"/>
      <c r="X594" s="135"/>
      <c r="Y594" s="135"/>
      <c r="Z594" s="135"/>
      <c r="AA594" s="135"/>
      <c r="AB594" s="135"/>
      <c r="AC594" s="135"/>
      <c r="AD594" s="135"/>
    </row>
    <row r="595" ht="28.5" customHeight="1">
      <c r="A595" s="135"/>
      <c r="B595" s="135"/>
      <c r="C595" s="135"/>
      <c r="D595" s="135"/>
      <c r="E595" s="135"/>
      <c r="F595" s="135"/>
      <c r="G595" s="135"/>
      <c r="H595" s="135"/>
      <c r="I595" s="135"/>
      <c r="J595" s="135"/>
      <c r="K595" s="135"/>
      <c r="L595" s="135"/>
      <c r="M595" s="135"/>
      <c r="N595" s="135"/>
      <c r="O595" s="135"/>
      <c r="P595" s="135"/>
      <c r="Q595" s="135"/>
      <c r="R595" s="135"/>
      <c r="S595" s="135"/>
      <c r="T595" s="135"/>
      <c r="U595" s="135"/>
      <c r="V595" s="135"/>
      <c r="W595" s="135"/>
      <c r="X595" s="135"/>
      <c r="Y595" s="135"/>
      <c r="Z595" s="135"/>
      <c r="AA595" s="135"/>
      <c r="AB595" s="135"/>
      <c r="AC595" s="135"/>
      <c r="AD595" s="135"/>
    </row>
    <row r="596" ht="28.5" customHeight="1">
      <c r="A596" s="135"/>
      <c r="B596" s="135"/>
      <c r="C596" s="135"/>
      <c r="D596" s="135"/>
      <c r="E596" s="135"/>
      <c r="F596" s="135"/>
      <c r="G596" s="135"/>
      <c r="H596" s="135"/>
      <c r="I596" s="135"/>
      <c r="J596" s="135"/>
      <c r="K596" s="135"/>
      <c r="L596" s="135"/>
      <c r="M596" s="135"/>
      <c r="N596" s="135"/>
      <c r="O596" s="135"/>
      <c r="P596" s="135"/>
      <c r="Q596" s="135"/>
      <c r="R596" s="135"/>
      <c r="S596" s="135"/>
      <c r="T596" s="135"/>
      <c r="U596" s="135"/>
      <c r="V596" s="135"/>
      <c r="W596" s="135"/>
      <c r="X596" s="135"/>
      <c r="Y596" s="135"/>
      <c r="Z596" s="135"/>
      <c r="AA596" s="135"/>
      <c r="AB596" s="135"/>
      <c r="AC596" s="135"/>
      <c r="AD596" s="135"/>
    </row>
    <row r="597" ht="28.5" customHeight="1">
      <c r="A597" s="135"/>
      <c r="B597" s="135"/>
      <c r="C597" s="135"/>
      <c r="D597" s="135"/>
      <c r="E597" s="135"/>
      <c r="F597" s="135"/>
      <c r="G597" s="135"/>
      <c r="H597" s="135"/>
      <c r="I597" s="135"/>
      <c r="J597" s="135"/>
      <c r="K597" s="135"/>
      <c r="L597" s="135"/>
      <c r="M597" s="135"/>
      <c r="N597" s="135"/>
      <c r="O597" s="135"/>
      <c r="P597" s="135"/>
      <c r="Q597" s="135"/>
      <c r="R597" s="135"/>
      <c r="S597" s="135"/>
      <c r="T597" s="135"/>
      <c r="U597" s="135"/>
      <c r="V597" s="135"/>
      <c r="W597" s="135"/>
      <c r="X597" s="135"/>
      <c r="Y597" s="135"/>
      <c r="Z597" s="135"/>
      <c r="AA597" s="135"/>
      <c r="AB597" s="135"/>
      <c r="AC597" s="135"/>
      <c r="AD597" s="135"/>
    </row>
    <row r="598" ht="28.5" customHeight="1">
      <c r="A598" s="135"/>
      <c r="B598" s="135"/>
      <c r="C598" s="135"/>
      <c r="D598" s="135"/>
      <c r="E598" s="135"/>
      <c r="F598" s="135"/>
      <c r="G598" s="135"/>
      <c r="H598" s="135"/>
      <c r="I598" s="135"/>
      <c r="J598" s="135"/>
      <c r="K598" s="135"/>
      <c r="L598" s="135"/>
      <c r="M598" s="135"/>
      <c r="N598" s="135"/>
      <c r="O598" s="135"/>
      <c r="P598" s="135"/>
      <c r="Q598" s="135"/>
      <c r="R598" s="135"/>
      <c r="S598" s="135"/>
      <c r="T598" s="135"/>
      <c r="U598" s="135"/>
      <c r="V598" s="135"/>
      <c r="W598" s="135"/>
      <c r="X598" s="135"/>
      <c r="Y598" s="135"/>
      <c r="Z598" s="135"/>
      <c r="AA598" s="135"/>
      <c r="AB598" s="135"/>
      <c r="AC598" s="135"/>
      <c r="AD598" s="135"/>
    </row>
    <row r="599" ht="28.5" customHeight="1">
      <c r="A599" s="135"/>
      <c r="B599" s="135"/>
      <c r="C599" s="135"/>
      <c r="D599" s="135"/>
      <c r="E599" s="135"/>
      <c r="F599" s="135"/>
      <c r="G599" s="135"/>
      <c r="H599" s="135"/>
      <c r="I599" s="135"/>
      <c r="J599" s="135"/>
      <c r="K599" s="135"/>
      <c r="L599" s="135"/>
      <c r="M599" s="135"/>
      <c r="N599" s="135"/>
      <c r="O599" s="135"/>
      <c r="P599" s="135"/>
      <c r="Q599" s="135"/>
      <c r="R599" s="135"/>
      <c r="S599" s="135"/>
      <c r="T599" s="135"/>
      <c r="U599" s="135"/>
      <c r="V599" s="135"/>
      <c r="W599" s="135"/>
      <c r="X599" s="135"/>
      <c r="Y599" s="135"/>
      <c r="Z599" s="135"/>
      <c r="AA599" s="135"/>
      <c r="AB599" s="135"/>
      <c r="AC599" s="135"/>
      <c r="AD599" s="135"/>
    </row>
    <row r="600" ht="28.5" customHeight="1">
      <c r="A600" s="135"/>
      <c r="B600" s="135"/>
      <c r="C600" s="135"/>
      <c r="D600" s="135"/>
      <c r="E600" s="135"/>
      <c r="F600" s="135"/>
      <c r="G600" s="135"/>
      <c r="H600" s="135"/>
      <c r="I600" s="135"/>
      <c r="J600" s="135"/>
      <c r="K600" s="135"/>
      <c r="L600" s="135"/>
      <c r="M600" s="135"/>
      <c r="N600" s="135"/>
      <c r="O600" s="135"/>
      <c r="P600" s="135"/>
      <c r="Q600" s="135"/>
      <c r="R600" s="135"/>
      <c r="S600" s="135"/>
      <c r="T600" s="135"/>
      <c r="U600" s="135"/>
      <c r="V600" s="135"/>
      <c r="W600" s="135"/>
      <c r="X600" s="135"/>
      <c r="Y600" s="135"/>
      <c r="Z600" s="135"/>
      <c r="AA600" s="135"/>
      <c r="AB600" s="135"/>
      <c r="AC600" s="135"/>
      <c r="AD600" s="135"/>
    </row>
    <row r="601" ht="28.5" customHeight="1">
      <c r="A601" s="135"/>
      <c r="B601" s="135"/>
      <c r="C601" s="135"/>
      <c r="D601" s="135"/>
      <c r="E601" s="135"/>
      <c r="F601" s="135"/>
      <c r="G601" s="135"/>
      <c r="H601" s="135"/>
      <c r="I601" s="135"/>
      <c r="J601" s="135"/>
      <c r="K601" s="135"/>
      <c r="L601" s="135"/>
      <c r="M601" s="135"/>
      <c r="N601" s="135"/>
      <c r="O601" s="135"/>
      <c r="P601" s="135"/>
      <c r="Q601" s="135"/>
      <c r="R601" s="135"/>
      <c r="S601" s="135"/>
      <c r="T601" s="135"/>
      <c r="U601" s="135"/>
      <c r="V601" s="135"/>
      <c r="W601" s="135"/>
      <c r="X601" s="135"/>
      <c r="Y601" s="135"/>
      <c r="Z601" s="135"/>
      <c r="AA601" s="135"/>
      <c r="AB601" s="135"/>
      <c r="AC601" s="135"/>
      <c r="AD601" s="135"/>
    </row>
    <row r="602" ht="28.5" customHeight="1">
      <c r="A602" s="135"/>
      <c r="B602" s="135"/>
      <c r="C602" s="135"/>
      <c r="D602" s="135"/>
      <c r="E602" s="135"/>
      <c r="F602" s="135"/>
      <c r="G602" s="135"/>
      <c r="H602" s="135"/>
      <c r="I602" s="135"/>
      <c r="J602" s="135"/>
      <c r="K602" s="135"/>
      <c r="L602" s="135"/>
      <c r="M602" s="135"/>
      <c r="N602" s="135"/>
      <c r="O602" s="135"/>
      <c r="P602" s="135"/>
      <c r="Q602" s="135"/>
      <c r="R602" s="135"/>
      <c r="S602" s="135"/>
      <c r="T602" s="135"/>
      <c r="U602" s="135"/>
      <c r="V602" s="135"/>
      <c r="W602" s="135"/>
      <c r="X602" s="135"/>
      <c r="Y602" s="135"/>
      <c r="Z602" s="135"/>
      <c r="AA602" s="135"/>
      <c r="AB602" s="135"/>
      <c r="AC602" s="135"/>
      <c r="AD602" s="135"/>
    </row>
    <row r="603" ht="28.5" customHeight="1">
      <c r="A603" s="135"/>
      <c r="B603" s="135"/>
      <c r="C603" s="135"/>
      <c r="D603" s="135"/>
      <c r="E603" s="135"/>
      <c r="F603" s="135"/>
      <c r="G603" s="135"/>
      <c r="H603" s="135"/>
      <c r="I603" s="135"/>
      <c r="J603" s="135"/>
      <c r="K603" s="135"/>
      <c r="L603" s="135"/>
      <c r="M603" s="135"/>
      <c r="N603" s="135"/>
      <c r="O603" s="135"/>
      <c r="P603" s="135"/>
      <c r="Q603" s="135"/>
      <c r="R603" s="135"/>
      <c r="S603" s="135"/>
      <c r="T603" s="135"/>
      <c r="U603" s="135"/>
      <c r="V603" s="135"/>
      <c r="W603" s="135"/>
      <c r="X603" s="135"/>
      <c r="Y603" s="135"/>
      <c r="Z603" s="135"/>
      <c r="AA603" s="135"/>
      <c r="AB603" s="135"/>
      <c r="AC603" s="135"/>
      <c r="AD603" s="135"/>
    </row>
    <row r="604" ht="28.5" customHeight="1">
      <c r="A604" s="135"/>
      <c r="B604" s="135"/>
      <c r="C604" s="135"/>
      <c r="D604" s="135"/>
      <c r="E604" s="135"/>
      <c r="F604" s="135"/>
      <c r="G604" s="135"/>
      <c r="H604" s="135"/>
      <c r="I604" s="135"/>
      <c r="J604" s="135"/>
      <c r="K604" s="135"/>
      <c r="L604" s="135"/>
      <c r="M604" s="135"/>
      <c r="N604" s="135"/>
      <c r="O604" s="135"/>
      <c r="P604" s="135"/>
      <c r="Q604" s="135"/>
      <c r="R604" s="135"/>
      <c r="S604" s="135"/>
      <c r="T604" s="135"/>
      <c r="U604" s="135"/>
      <c r="V604" s="135"/>
      <c r="W604" s="135"/>
      <c r="X604" s="135"/>
      <c r="Y604" s="135"/>
      <c r="Z604" s="135"/>
      <c r="AA604" s="135"/>
      <c r="AB604" s="135"/>
      <c r="AC604" s="135"/>
      <c r="AD604" s="135"/>
    </row>
    <row r="605" ht="28.5" customHeight="1">
      <c r="A605" s="135"/>
      <c r="B605" s="135"/>
      <c r="C605" s="135"/>
      <c r="D605" s="135"/>
      <c r="E605" s="135"/>
      <c r="F605" s="135"/>
      <c r="G605" s="135"/>
      <c r="H605" s="135"/>
      <c r="I605" s="135"/>
      <c r="J605" s="135"/>
      <c r="K605" s="135"/>
      <c r="L605" s="135"/>
      <c r="M605" s="135"/>
      <c r="N605" s="135"/>
      <c r="O605" s="135"/>
      <c r="P605" s="135"/>
      <c r="Q605" s="135"/>
      <c r="R605" s="135"/>
      <c r="S605" s="135"/>
      <c r="T605" s="135"/>
      <c r="U605" s="135"/>
      <c r="V605" s="135"/>
      <c r="W605" s="135"/>
      <c r="X605" s="135"/>
      <c r="Y605" s="135"/>
      <c r="Z605" s="135"/>
      <c r="AA605" s="135"/>
      <c r="AB605" s="135"/>
      <c r="AC605" s="135"/>
      <c r="AD605" s="135"/>
    </row>
    <row r="606" ht="28.5" customHeight="1">
      <c r="A606" s="135"/>
      <c r="B606" s="135"/>
      <c r="C606" s="135"/>
      <c r="D606" s="135"/>
      <c r="E606" s="135"/>
      <c r="F606" s="135"/>
      <c r="G606" s="135"/>
      <c r="H606" s="135"/>
      <c r="I606" s="135"/>
      <c r="J606" s="135"/>
      <c r="K606" s="135"/>
      <c r="L606" s="135"/>
      <c r="M606" s="135"/>
      <c r="N606" s="135"/>
      <c r="O606" s="135"/>
      <c r="P606" s="135"/>
      <c r="Q606" s="135"/>
      <c r="R606" s="135"/>
      <c r="S606" s="135"/>
      <c r="T606" s="135"/>
      <c r="U606" s="135"/>
      <c r="V606" s="135"/>
      <c r="W606" s="135"/>
      <c r="X606" s="135"/>
      <c r="Y606" s="135"/>
      <c r="Z606" s="135"/>
      <c r="AA606" s="135"/>
      <c r="AB606" s="135"/>
      <c r="AC606" s="135"/>
      <c r="AD606" s="135"/>
    </row>
    <row r="607" ht="28.5" customHeight="1">
      <c r="A607" s="135"/>
      <c r="B607" s="135"/>
      <c r="C607" s="135"/>
      <c r="D607" s="135"/>
      <c r="E607" s="135"/>
      <c r="F607" s="135"/>
      <c r="G607" s="135"/>
      <c r="H607" s="135"/>
      <c r="I607" s="135"/>
      <c r="J607" s="135"/>
      <c r="K607" s="135"/>
      <c r="L607" s="135"/>
      <c r="M607" s="135"/>
      <c r="N607" s="135"/>
      <c r="O607" s="135"/>
      <c r="P607" s="135"/>
      <c r="Q607" s="135"/>
      <c r="R607" s="135"/>
      <c r="S607" s="135"/>
      <c r="T607" s="135"/>
      <c r="U607" s="135"/>
      <c r="V607" s="135"/>
      <c r="W607" s="135"/>
      <c r="X607" s="135"/>
      <c r="Y607" s="135"/>
      <c r="Z607" s="135"/>
      <c r="AA607" s="135"/>
      <c r="AB607" s="135"/>
      <c r="AC607" s="135"/>
      <c r="AD607" s="135"/>
    </row>
    <row r="608" ht="28.5" customHeight="1">
      <c r="A608" s="135"/>
      <c r="B608" s="135"/>
      <c r="C608" s="135"/>
      <c r="D608" s="135"/>
      <c r="E608" s="135"/>
      <c r="F608" s="135"/>
      <c r="G608" s="135"/>
      <c r="H608" s="135"/>
      <c r="I608" s="135"/>
      <c r="J608" s="135"/>
      <c r="K608" s="135"/>
      <c r="L608" s="135"/>
      <c r="M608" s="135"/>
      <c r="N608" s="135"/>
      <c r="O608" s="135"/>
      <c r="P608" s="135"/>
      <c r="Q608" s="135"/>
      <c r="R608" s="135"/>
      <c r="S608" s="135"/>
      <c r="T608" s="135"/>
      <c r="U608" s="135"/>
      <c r="V608" s="135"/>
      <c r="W608" s="135"/>
      <c r="X608" s="135"/>
      <c r="Y608" s="135"/>
      <c r="Z608" s="135"/>
      <c r="AA608" s="135"/>
      <c r="AB608" s="135"/>
      <c r="AC608" s="135"/>
      <c r="AD608" s="135"/>
    </row>
    <row r="609" ht="28.5" customHeight="1">
      <c r="A609" s="135"/>
      <c r="B609" s="135"/>
      <c r="C609" s="135"/>
      <c r="D609" s="135"/>
      <c r="E609" s="135"/>
      <c r="F609" s="135"/>
      <c r="G609" s="135"/>
      <c r="H609" s="135"/>
      <c r="I609" s="135"/>
      <c r="J609" s="135"/>
      <c r="K609" s="135"/>
      <c r="L609" s="135"/>
      <c r="M609" s="135"/>
      <c r="N609" s="135"/>
      <c r="O609" s="135"/>
      <c r="P609" s="135"/>
      <c r="Q609" s="135"/>
      <c r="R609" s="135"/>
      <c r="S609" s="135"/>
      <c r="T609" s="135"/>
      <c r="U609" s="135"/>
      <c r="V609" s="135"/>
      <c r="W609" s="135"/>
      <c r="X609" s="135"/>
      <c r="Y609" s="135"/>
      <c r="Z609" s="135"/>
      <c r="AA609" s="135"/>
      <c r="AB609" s="135"/>
      <c r="AC609" s="135"/>
      <c r="AD609" s="135"/>
    </row>
    <row r="610" ht="28.5" customHeight="1">
      <c r="A610" s="135"/>
      <c r="B610" s="135"/>
      <c r="C610" s="135"/>
      <c r="D610" s="135"/>
      <c r="E610" s="135"/>
      <c r="F610" s="135"/>
      <c r="G610" s="135"/>
      <c r="H610" s="135"/>
      <c r="I610" s="135"/>
      <c r="J610" s="135"/>
      <c r="K610" s="135"/>
      <c r="L610" s="135"/>
      <c r="M610" s="135"/>
      <c r="N610" s="135"/>
      <c r="O610" s="135"/>
      <c r="P610" s="135"/>
      <c r="Q610" s="135"/>
      <c r="R610" s="135"/>
      <c r="S610" s="135"/>
      <c r="T610" s="135"/>
      <c r="U610" s="135"/>
      <c r="V610" s="135"/>
      <c r="W610" s="135"/>
      <c r="X610" s="135"/>
      <c r="Y610" s="135"/>
      <c r="Z610" s="135"/>
      <c r="AA610" s="135"/>
      <c r="AB610" s="135"/>
      <c r="AC610" s="135"/>
      <c r="AD610" s="135"/>
    </row>
    <row r="611" ht="28.5" customHeight="1">
      <c r="A611" s="135"/>
      <c r="B611" s="135"/>
      <c r="C611" s="135"/>
      <c r="D611" s="135"/>
      <c r="E611" s="135"/>
      <c r="F611" s="135"/>
      <c r="G611" s="135"/>
      <c r="H611" s="135"/>
      <c r="I611" s="135"/>
      <c r="J611" s="135"/>
      <c r="K611" s="135"/>
      <c r="L611" s="135"/>
      <c r="M611" s="135"/>
      <c r="N611" s="135"/>
      <c r="O611" s="135"/>
      <c r="P611" s="135"/>
      <c r="Q611" s="135"/>
      <c r="R611" s="135"/>
      <c r="S611" s="135"/>
      <c r="T611" s="135"/>
      <c r="U611" s="135"/>
      <c r="V611" s="135"/>
      <c r="W611" s="135"/>
      <c r="X611" s="135"/>
      <c r="Y611" s="135"/>
      <c r="Z611" s="135"/>
      <c r="AA611" s="135"/>
      <c r="AB611" s="135"/>
      <c r="AC611" s="135"/>
      <c r="AD611" s="135"/>
    </row>
    <row r="612" ht="28.5" customHeight="1">
      <c r="A612" s="135"/>
      <c r="B612" s="135"/>
      <c r="C612" s="135"/>
      <c r="D612" s="135"/>
      <c r="E612" s="135"/>
      <c r="F612" s="135"/>
      <c r="G612" s="135"/>
      <c r="H612" s="135"/>
      <c r="I612" s="135"/>
      <c r="J612" s="135"/>
      <c r="K612" s="135"/>
      <c r="L612" s="135"/>
      <c r="M612" s="135"/>
      <c r="N612" s="135"/>
      <c r="O612" s="135"/>
      <c r="P612" s="135"/>
      <c r="Q612" s="135"/>
      <c r="R612" s="135"/>
      <c r="S612" s="135"/>
      <c r="T612" s="135"/>
      <c r="U612" s="135"/>
      <c r="V612" s="135"/>
      <c r="W612" s="135"/>
      <c r="X612" s="135"/>
      <c r="Y612" s="135"/>
      <c r="Z612" s="135"/>
      <c r="AA612" s="135"/>
      <c r="AB612" s="135"/>
      <c r="AC612" s="135"/>
      <c r="AD612" s="135"/>
    </row>
    <row r="613" ht="28.5" customHeight="1">
      <c r="A613" s="135"/>
      <c r="B613" s="135"/>
      <c r="C613" s="135"/>
      <c r="D613" s="135"/>
      <c r="E613" s="135"/>
      <c r="F613" s="135"/>
      <c r="G613" s="135"/>
      <c r="H613" s="135"/>
      <c r="I613" s="135"/>
      <c r="J613" s="135"/>
      <c r="K613" s="135"/>
      <c r="L613" s="135"/>
      <c r="M613" s="135"/>
      <c r="N613" s="135"/>
      <c r="O613" s="135"/>
      <c r="P613" s="135"/>
      <c r="Q613" s="135"/>
      <c r="R613" s="135"/>
      <c r="S613" s="135"/>
      <c r="T613" s="135"/>
      <c r="U613" s="135"/>
      <c r="V613" s="135"/>
      <c r="W613" s="135"/>
      <c r="X613" s="135"/>
      <c r="Y613" s="135"/>
      <c r="Z613" s="135"/>
      <c r="AA613" s="135"/>
      <c r="AB613" s="135"/>
      <c r="AC613" s="135"/>
      <c r="AD613" s="135"/>
    </row>
    <row r="614" ht="28.5" customHeight="1">
      <c r="A614" s="135"/>
      <c r="B614" s="135"/>
      <c r="C614" s="135"/>
      <c r="D614" s="135"/>
      <c r="E614" s="135"/>
      <c r="F614" s="135"/>
      <c r="G614" s="135"/>
      <c r="H614" s="135"/>
      <c r="I614" s="135"/>
      <c r="J614" s="135"/>
      <c r="K614" s="135"/>
      <c r="L614" s="135"/>
      <c r="M614" s="135"/>
      <c r="N614" s="135"/>
      <c r="O614" s="135"/>
      <c r="P614" s="135"/>
      <c r="Q614" s="135"/>
      <c r="R614" s="135"/>
      <c r="S614" s="135"/>
      <c r="T614" s="135"/>
      <c r="U614" s="135"/>
      <c r="V614" s="135"/>
      <c r="W614" s="135"/>
      <c r="X614" s="135"/>
      <c r="Y614" s="135"/>
      <c r="Z614" s="135"/>
      <c r="AA614" s="135"/>
      <c r="AB614" s="135"/>
      <c r="AC614" s="135"/>
      <c r="AD614" s="135"/>
    </row>
    <row r="615" ht="28.5" customHeight="1">
      <c r="A615" s="135"/>
      <c r="B615" s="135"/>
      <c r="C615" s="135"/>
      <c r="D615" s="135"/>
      <c r="E615" s="135"/>
      <c r="F615" s="135"/>
      <c r="G615" s="135"/>
      <c r="H615" s="135"/>
      <c r="I615" s="135"/>
      <c r="J615" s="135"/>
      <c r="K615" s="135"/>
      <c r="L615" s="135"/>
      <c r="M615" s="135"/>
      <c r="N615" s="135"/>
      <c r="O615" s="135"/>
      <c r="P615" s="135"/>
      <c r="Q615" s="135"/>
      <c r="R615" s="135"/>
      <c r="S615" s="135"/>
      <c r="T615" s="135"/>
      <c r="U615" s="135"/>
      <c r="V615" s="135"/>
      <c r="W615" s="135"/>
      <c r="X615" s="135"/>
      <c r="Y615" s="135"/>
      <c r="Z615" s="135"/>
      <c r="AA615" s="135"/>
      <c r="AB615" s="135"/>
      <c r="AC615" s="135"/>
      <c r="AD615" s="135"/>
    </row>
    <row r="616" ht="28.5" customHeight="1">
      <c r="A616" s="135"/>
      <c r="B616" s="135"/>
      <c r="C616" s="135"/>
      <c r="D616" s="135"/>
      <c r="E616" s="135"/>
      <c r="F616" s="135"/>
      <c r="G616" s="135"/>
      <c r="H616" s="135"/>
      <c r="I616" s="135"/>
      <c r="J616" s="135"/>
      <c r="K616" s="135"/>
      <c r="L616" s="135"/>
      <c r="M616" s="135"/>
      <c r="N616" s="135"/>
      <c r="O616" s="135"/>
      <c r="P616" s="135"/>
      <c r="Q616" s="135"/>
      <c r="R616" s="135"/>
      <c r="S616" s="135"/>
      <c r="T616" s="135"/>
      <c r="U616" s="135"/>
      <c r="V616" s="135"/>
      <c r="W616" s="135"/>
      <c r="X616" s="135"/>
      <c r="Y616" s="135"/>
      <c r="Z616" s="135"/>
      <c r="AA616" s="135"/>
      <c r="AB616" s="135"/>
      <c r="AC616" s="135"/>
      <c r="AD616" s="135"/>
    </row>
    <row r="617" ht="28.5" customHeight="1">
      <c r="A617" s="135"/>
      <c r="B617" s="135"/>
      <c r="C617" s="135"/>
      <c r="D617" s="135"/>
      <c r="E617" s="135"/>
      <c r="F617" s="135"/>
      <c r="G617" s="135"/>
      <c r="H617" s="135"/>
      <c r="I617" s="135"/>
      <c r="J617" s="135"/>
      <c r="K617" s="135"/>
      <c r="L617" s="135"/>
      <c r="M617" s="135"/>
      <c r="N617" s="135"/>
      <c r="O617" s="135"/>
      <c r="P617" s="135"/>
      <c r="Q617" s="135"/>
      <c r="R617" s="135"/>
      <c r="S617" s="135"/>
      <c r="T617" s="135"/>
      <c r="U617" s="135"/>
      <c r="V617" s="135"/>
      <c r="W617" s="135"/>
      <c r="X617" s="135"/>
      <c r="Y617" s="135"/>
      <c r="Z617" s="135"/>
      <c r="AA617" s="135"/>
      <c r="AB617" s="135"/>
      <c r="AC617" s="135"/>
      <c r="AD617" s="135"/>
    </row>
    <row r="618" ht="28.5" customHeight="1">
      <c r="A618" s="135"/>
      <c r="B618" s="135"/>
      <c r="C618" s="135"/>
      <c r="D618" s="135"/>
      <c r="E618" s="135"/>
      <c r="F618" s="135"/>
      <c r="G618" s="135"/>
      <c r="H618" s="135"/>
      <c r="I618" s="135"/>
      <c r="J618" s="135"/>
      <c r="K618" s="135"/>
      <c r="L618" s="135"/>
      <c r="M618" s="135"/>
      <c r="N618" s="135"/>
      <c r="O618" s="135"/>
      <c r="P618" s="135"/>
      <c r="Q618" s="135"/>
      <c r="R618" s="135"/>
      <c r="S618" s="135"/>
      <c r="T618" s="135"/>
      <c r="U618" s="135"/>
      <c r="V618" s="135"/>
      <c r="W618" s="135"/>
      <c r="X618" s="135"/>
      <c r="Y618" s="135"/>
      <c r="Z618" s="135"/>
      <c r="AA618" s="135"/>
      <c r="AB618" s="135"/>
      <c r="AC618" s="135"/>
      <c r="AD618" s="135"/>
    </row>
    <row r="619" ht="28.5" customHeight="1">
      <c r="A619" s="135"/>
      <c r="B619" s="135"/>
      <c r="C619" s="135"/>
      <c r="D619" s="135"/>
      <c r="E619" s="135"/>
      <c r="F619" s="135"/>
      <c r="G619" s="135"/>
      <c r="H619" s="135"/>
      <c r="I619" s="135"/>
      <c r="J619" s="135"/>
      <c r="K619" s="135"/>
      <c r="L619" s="135"/>
      <c r="M619" s="135"/>
      <c r="N619" s="135"/>
      <c r="O619" s="135"/>
      <c r="P619" s="135"/>
      <c r="Q619" s="135"/>
      <c r="R619" s="135"/>
      <c r="S619" s="135"/>
      <c r="T619" s="135"/>
      <c r="U619" s="135"/>
      <c r="V619" s="135"/>
      <c r="W619" s="135"/>
      <c r="X619" s="135"/>
      <c r="Y619" s="135"/>
      <c r="Z619" s="135"/>
      <c r="AA619" s="135"/>
      <c r="AB619" s="135"/>
      <c r="AC619" s="135"/>
      <c r="AD619" s="135"/>
    </row>
    <row r="620" ht="28.5" customHeight="1">
      <c r="A620" s="135"/>
      <c r="B620" s="135"/>
      <c r="C620" s="135"/>
      <c r="D620" s="135"/>
      <c r="E620" s="135"/>
      <c r="F620" s="135"/>
      <c r="G620" s="135"/>
      <c r="H620" s="135"/>
      <c r="I620" s="135"/>
      <c r="J620" s="135"/>
      <c r="K620" s="135"/>
      <c r="L620" s="135"/>
      <c r="M620" s="135"/>
      <c r="N620" s="135"/>
      <c r="O620" s="135"/>
      <c r="P620" s="135"/>
      <c r="Q620" s="135"/>
      <c r="R620" s="135"/>
      <c r="S620" s="135"/>
      <c r="T620" s="135"/>
      <c r="U620" s="135"/>
      <c r="V620" s="135"/>
      <c r="W620" s="135"/>
      <c r="X620" s="135"/>
      <c r="Y620" s="135"/>
      <c r="Z620" s="135"/>
      <c r="AA620" s="135"/>
      <c r="AB620" s="135"/>
      <c r="AC620" s="135"/>
      <c r="AD620" s="135"/>
    </row>
    <row r="621" ht="28.5" customHeight="1">
      <c r="A621" s="135"/>
      <c r="B621" s="135"/>
      <c r="C621" s="135"/>
      <c r="D621" s="135"/>
      <c r="E621" s="135"/>
      <c r="F621" s="135"/>
      <c r="G621" s="135"/>
      <c r="H621" s="135"/>
      <c r="I621" s="135"/>
      <c r="J621" s="135"/>
      <c r="K621" s="135"/>
      <c r="L621" s="135"/>
      <c r="M621" s="135"/>
      <c r="N621" s="135"/>
      <c r="O621" s="135"/>
      <c r="P621" s="135"/>
      <c r="Q621" s="135"/>
      <c r="R621" s="135"/>
      <c r="S621" s="135"/>
      <c r="T621" s="135"/>
      <c r="U621" s="135"/>
      <c r="V621" s="135"/>
      <c r="W621" s="135"/>
      <c r="X621" s="135"/>
      <c r="Y621" s="135"/>
      <c r="Z621" s="135"/>
      <c r="AA621" s="135"/>
      <c r="AB621" s="135"/>
      <c r="AC621" s="135"/>
      <c r="AD621" s="135"/>
    </row>
    <row r="622" ht="28.5" customHeight="1">
      <c r="A622" s="135"/>
      <c r="B622" s="135"/>
      <c r="C622" s="135"/>
      <c r="D622" s="135"/>
      <c r="E622" s="135"/>
      <c r="F622" s="135"/>
      <c r="G622" s="135"/>
      <c r="H622" s="135"/>
      <c r="I622" s="135"/>
      <c r="J622" s="135"/>
      <c r="K622" s="135"/>
      <c r="L622" s="135"/>
      <c r="M622" s="135"/>
      <c r="N622" s="135"/>
      <c r="O622" s="135"/>
      <c r="P622" s="135"/>
      <c r="Q622" s="135"/>
      <c r="R622" s="135"/>
      <c r="S622" s="135"/>
      <c r="T622" s="135"/>
      <c r="U622" s="135"/>
      <c r="V622" s="135"/>
      <c r="W622" s="135"/>
      <c r="X622" s="135"/>
      <c r="Y622" s="135"/>
      <c r="Z622" s="135"/>
      <c r="AA622" s="135"/>
      <c r="AB622" s="135"/>
      <c r="AC622" s="135"/>
      <c r="AD622" s="135"/>
    </row>
    <row r="623" ht="28.5" customHeight="1">
      <c r="A623" s="135"/>
      <c r="B623" s="135"/>
      <c r="C623" s="135"/>
      <c r="D623" s="135"/>
      <c r="E623" s="135"/>
      <c r="F623" s="135"/>
      <c r="G623" s="135"/>
      <c r="H623" s="135"/>
      <c r="I623" s="135"/>
      <c r="J623" s="135"/>
      <c r="K623" s="135"/>
      <c r="L623" s="135"/>
      <c r="M623" s="135"/>
      <c r="N623" s="135"/>
      <c r="O623" s="135"/>
      <c r="P623" s="135"/>
      <c r="Q623" s="135"/>
      <c r="R623" s="135"/>
      <c r="S623" s="135"/>
      <c r="T623" s="135"/>
      <c r="U623" s="135"/>
      <c r="V623" s="135"/>
      <c r="W623" s="135"/>
      <c r="X623" s="135"/>
      <c r="Y623" s="135"/>
      <c r="Z623" s="135"/>
      <c r="AA623" s="135"/>
      <c r="AB623" s="135"/>
      <c r="AC623" s="135"/>
      <c r="AD623" s="135"/>
    </row>
    <row r="624" ht="28.5" customHeight="1">
      <c r="A624" s="135"/>
      <c r="B624" s="135"/>
      <c r="C624" s="135"/>
      <c r="D624" s="135"/>
      <c r="E624" s="135"/>
      <c r="F624" s="135"/>
      <c r="G624" s="135"/>
      <c r="H624" s="135"/>
      <c r="I624" s="135"/>
      <c r="J624" s="135"/>
      <c r="K624" s="135"/>
      <c r="L624" s="135"/>
      <c r="M624" s="135"/>
      <c r="N624" s="135"/>
      <c r="O624" s="135"/>
      <c r="P624" s="135"/>
      <c r="Q624" s="135"/>
      <c r="R624" s="135"/>
      <c r="S624" s="135"/>
      <c r="T624" s="135"/>
      <c r="U624" s="135"/>
      <c r="V624" s="135"/>
      <c r="W624" s="135"/>
      <c r="X624" s="135"/>
      <c r="Y624" s="135"/>
      <c r="Z624" s="135"/>
      <c r="AA624" s="135"/>
      <c r="AB624" s="135"/>
      <c r="AC624" s="135"/>
      <c r="AD624" s="135"/>
    </row>
    <row r="625" ht="28.5" customHeight="1">
      <c r="A625" s="135"/>
      <c r="B625" s="135"/>
      <c r="C625" s="135"/>
      <c r="D625" s="135"/>
      <c r="E625" s="135"/>
      <c r="F625" s="135"/>
      <c r="G625" s="135"/>
      <c r="H625" s="135"/>
      <c r="I625" s="135"/>
      <c r="J625" s="135"/>
      <c r="K625" s="135"/>
      <c r="L625" s="135"/>
      <c r="M625" s="135"/>
      <c r="N625" s="135"/>
      <c r="O625" s="135"/>
      <c r="P625" s="135"/>
      <c r="Q625" s="135"/>
      <c r="R625" s="135"/>
      <c r="S625" s="135"/>
      <c r="T625" s="135"/>
      <c r="U625" s="135"/>
      <c r="V625" s="135"/>
      <c r="W625" s="135"/>
      <c r="X625" s="135"/>
      <c r="Y625" s="135"/>
      <c r="Z625" s="135"/>
      <c r="AA625" s="135"/>
      <c r="AB625" s="135"/>
      <c r="AC625" s="135"/>
      <c r="AD625" s="135"/>
    </row>
    <row r="626" ht="28.5" customHeight="1">
      <c r="A626" s="135"/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35"/>
      <c r="Q626" s="135"/>
      <c r="R626" s="135"/>
      <c r="S626" s="135"/>
      <c r="T626" s="135"/>
      <c r="U626" s="135"/>
      <c r="V626" s="135"/>
      <c r="W626" s="135"/>
      <c r="X626" s="135"/>
      <c r="Y626" s="135"/>
      <c r="Z626" s="135"/>
      <c r="AA626" s="135"/>
      <c r="AB626" s="135"/>
      <c r="AC626" s="135"/>
      <c r="AD626" s="135"/>
    </row>
    <row r="627" ht="28.5" customHeight="1">
      <c r="A627" s="135"/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35"/>
      <c r="Q627" s="135"/>
      <c r="R627" s="135"/>
      <c r="S627" s="135"/>
      <c r="T627" s="135"/>
      <c r="U627" s="135"/>
      <c r="V627" s="135"/>
      <c r="W627" s="135"/>
      <c r="X627" s="135"/>
      <c r="Y627" s="135"/>
      <c r="Z627" s="135"/>
      <c r="AA627" s="135"/>
      <c r="AB627" s="135"/>
      <c r="AC627" s="135"/>
      <c r="AD627" s="135"/>
    </row>
    <row r="628" ht="28.5" customHeight="1">
      <c r="A628" s="135"/>
      <c r="B628" s="135"/>
      <c r="C628" s="135"/>
      <c r="D628" s="135"/>
      <c r="E628" s="135"/>
      <c r="F628" s="135"/>
      <c r="G628" s="135"/>
      <c r="H628" s="135"/>
      <c r="I628" s="135"/>
      <c r="J628" s="135"/>
      <c r="K628" s="135"/>
      <c r="L628" s="135"/>
      <c r="M628" s="135"/>
      <c r="N628" s="135"/>
      <c r="O628" s="135"/>
      <c r="P628" s="135"/>
      <c r="Q628" s="135"/>
      <c r="R628" s="135"/>
      <c r="S628" s="135"/>
      <c r="T628" s="135"/>
      <c r="U628" s="135"/>
      <c r="V628" s="135"/>
      <c r="W628" s="135"/>
      <c r="X628" s="135"/>
      <c r="Y628" s="135"/>
      <c r="Z628" s="135"/>
      <c r="AA628" s="135"/>
      <c r="AB628" s="135"/>
      <c r="AC628" s="135"/>
      <c r="AD628" s="135"/>
    </row>
    <row r="629" ht="28.5" customHeight="1">
      <c r="A629" s="135"/>
      <c r="B629" s="135"/>
      <c r="C629" s="135"/>
      <c r="D629" s="135"/>
      <c r="E629" s="135"/>
      <c r="F629" s="135"/>
      <c r="G629" s="135"/>
      <c r="H629" s="135"/>
      <c r="I629" s="135"/>
      <c r="J629" s="135"/>
      <c r="K629" s="135"/>
      <c r="L629" s="135"/>
      <c r="M629" s="135"/>
      <c r="N629" s="135"/>
      <c r="O629" s="135"/>
      <c r="P629" s="135"/>
      <c r="Q629" s="135"/>
      <c r="R629" s="135"/>
      <c r="S629" s="135"/>
      <c r="T629" s="135"/>
      <c r="U629" s="135"/>
      <c r="V629" s="135"/>
      <c r="W629" s="135"/>
      <c r="X629" s="135"/>
      <c r="Y629" s="135"/>
      <c r="Z629" s="135"/>
      <c r="AA629" s="135"/>
      <c r="AB629" s="135"/>
      <c r="AC629" s="135"/>
      <c r="AD629" s="135"/>
    </row>
    <row r="630" ht="28.5" customHeight="1">
      <c r="A630" s="135"/>
      <c r="B630" s="135"/>
      <c r="C630" s="135"/>
      <c r="D630" s="135"/>
      <c r="E630" s="135"/>
      <c r="F630" s="135"/>
      <c r="G630" s="135"/>
      <c r="H630" s="135"/>
      <c r="I630" s="135"/>
      <c r="J630" s="135"/>
      <c r="K630" s="135"/>
      <c r="L630" s="135"/>
      <c r="M630" s="135"/>
      <c r="N630" s="135"/>
      <c r="O630" s="135"/>
      <c r="P630" s="135"/>
      <c r="Q630" s="135"/>
      <c r="R630" s="135"/>
      <c r="S630" s="135"/>
      <c r="T630" s="135"/>
      <c r="U630" s="135"/>
      <c r="V630" s="135"/>
      <c r="W630" s="135"/>
      <c r="X630" s="135"/>
      <c r="Y630" s="135"/>
      <c r="Z630" s="135"/>
      <c r="AA630" s="135"/>
      <c r="AB630" s="135"/>
      <c r="AC630" s="135"/>
      <c r="AD630" s="135"/>
    </row>
    <row r="631" ht="28.5" customHeight="1">
      <c r="A631" s="135"/>
      <c r="B631" s="135"/>
      <c r="C631" s="135"/>
      <c r="D631" s="135"/>
      <c r="E631" s="135"/>
      <c r="F631" s="135"/>
      <c r="G631" s="135"/>
      <c r="H631" s="135"/>
      <c r="I631" s="135"/>
      <c r="J631" s="135"/>
      <c r="K631" s="135"/>
      <c r="L631" s="135"/>
      <c r="M631" s="135"/>
      <c r="N631" s="135"/>
      <c r="O631" s="135"/>
      <c r="P631" s="135"/>
      <c r="Q631" s="135"/>
      <c r="R631" s="135"/>
      <c r="S631" s="135"/>
      <c r="T631" s="135"/>
      <c r="U631" s="135"/>
      <c r="V631" s="135"/>
      <c r="W631" s="135"/>
      <c r="X631" s="135"/>
      <c r="Y631" s="135"/>
      <c r="Z631" s="135"/>
      <c r="AA631" s="135"/>
      <c r="AB631" s="135"/>
      <c r="AC631" s="135"/>
      <c r="AD631" s="135"/>
    </row>
    <row r="632" ht="28.5" customHeight="1">
      <c r="A632" s="135"/>
      <c r="B632" s="135"/>
      <c r="C632" s="135"/>
      <c r="D632" s="135"/>
      <c r="E632" s="135"/>
      <c r="F632" s="135"/>
      <c r="G632" s="135"/>
      <c r="H632" s="135"/>
      <c r="I632" s="135"/>
      <c r="J632" s="135"/>
      <c r="K632" s="135"/>
      <c r="L632" s="135"/>
      <c r="M632" s="135"/>
      <c r="N632" s="135"/>
      <c r="O632" s="135"/>
      <c r="P632" s="135"/>
      <c r="Q632" s="135"/>
      <c r="R632" s="135"/>
      <c r="S632" s="135"/>
      <c r="T632" s="135"/>
      <c r="U632" s="135"/>
      <c r="V632" s="135"/>
      <c r="W632" s="135"/>
      <c r="X632" s="135"/>
      <c r="Y632" s="135"/>
      <c r="Z632" s="135"/>
      <c r="AA632" s="135"/>
      <c r="AB632" s="135"/>
      <c r="AC632" s="135"/>
      <c r="AD632" s="135"/>
    </row>
    <row r="633" ht="28.5" customHeight="1">
      <c r="A633" s="135"/>
      <c r="B633" s="135"/>
      <c r="C633" s="135"/>
      <c r="D633" s="135"/>
      <c r="E633" s="135"/>
      <c r="F633" s="135"/>
      <c r="G633" s="135"/>
      <c r="H633" s="135"/>
      <c r="I633" s="135"/>
      <c r="J633" s="135"/>
      <c r="K633" s="135"/>
      <c r="L633" s="135"/>
      <c r="M633" s="135"/>
      <c r="N633" s="135"/>
      <c r="O633" s="135"/>
      <c r="P633" s="135"/>
      <c r="Q633" s="135"/>
      <c r="R633" s="135"/>
      <c r="S633" s="135"/>
      <c r="T633" s="135"/>
      <c r="U633" s="135"/>
      <c r="V633" s="135"/>
      <c r="W633" s="135"/>
      <c r="X633" s="135"/>
      <c r="Y633" s="135"/>
      <c r="Z633" s="135"/>
      <c r="AA633" s="135"/>
      <c r="AB633" s="135"/>
      <c r="AC633" s="135"/>
      <c r="AD633" s="135"/>
    </row>
    <row r="634" ht="28.5" customHeight="1">
      <c r="A634" s="135"/>
      <c r="B634" s="135"/>
      <c r="C634" s="135"/>
      <c r="D634" s="135"/>
      <c r="E634" s="135"/>
      <c r="F634" s="135"/>
      <c r="G634" s="135"/>
      <c r="H634" s="135"/>
      <c r="I634" s="135"/>
      <c r="J634" s="135"/>
      <c r="K634" s="135"/>
      <c r="L634" s="135"/>
      <c r="M634" s="135"/>
      <c r="N634" s="135"/>
      <c r="O634" s="135"/>
      <c r="P634" s="135"/>
      <c r="Q634" s="135"/>
      <c r="R634" s="135"/>
      <c r="S634" s="135"/>
      <c r="T634" s="135"/>
      <c r="U634" s="135"/>
      <c r="V634" s="135"/>
      <c r="W634" s="135"/>
      <c r="X634" s="135"/>
      <c r="Y634" s="135"/>
      <c r="Z634" s="135"/>
      <c r="AA634" s="135"/>
      <c r="AB634" s="135"/>
      <c r="AC634" s="135"/>
      <c r="AD634" s="135"/>
    </row>
    <row r="635" ht="28.5" customHeight="1">
      <c r="A635" s="135"/>
      <c r="B635" s="135"/>
      <c r="C635" s="135"/>
      <c r="D635" s="135"/>
      <c r="E635" s="135"/>
      <c r="F635" s="135"/>
      <c r="G635" s="135"/>
      <c r="H635" s="135"/>
      <c r="I635" s="135"/>
      <c r="J635" s="135"/>
      <c r="K635" s="135"/>
      <c r="L635" s="135"/>
      <c r="M635" s="135"/>
      <c r="N635" s="135"/>
      <c r="O635" s="135"/>
      <c r="P635" s="135"/>
      <c r="Q635" s="135"/>
      <c r="R635" s="135"/>
      <c r="S635" s="135"/>
      <c r="T635" s="135"/>
      <c r="U635" s="135"/>
      <c r="V635" s="135"/>
      <c r="W635" s="135"/>
      <c r="X635" s="135"/>
      <c r="Y635" s="135"/>
      <c r="Z635" s="135"/>
      <c r="AA635" s="135"/>
      <c r="AB635" s="135"/>
      <c r="AC635" s="135"/>
      <c r="AD635" s="135"/>
    </row>
    <row r="636" ht="28.5" customHeight="1">
      <c r="A636" s="135"/>
      <c r="B636" s="135"/>
      <c r="C636" s="135"/>
      <c r="D636" s="135"/>
      <c r="E636" s="135"/>
      <c r="F636" s="135"/>
      <c r="G636" s="135"/>
      <c r="H636" s="135"/>
      <c r="I636" s="135"/>
      <c r="J636" s="135"/>
      <c r="K636" s="135"/>
      <c r="L636" s="135"/>
      <c r="M636" s="135"/>
      <c r="N636" s="135"/>
      <c r="O636" s="135"/>
      <c r="P636" s="135"/>
      <c r="Q636" s="135"/>
      <c r="R636" s="135"/>
      <c r="S636" s="135"/>
      <c r="T636" s="135"/>
      <c r="U636" s="135"/>
      <c r="V636" s="135"/>
      <c r="W636" s="135"/>
      <c r="X636" s="135"/>
      <c r="Y636" s="135"/>
      <c r="Z636" s="135"/>
      <c r="AA636" s="135"/>
      <c r="AB636" s="135"/>
      <c r="AC636" s="135"/>
      <c r="AD636" s="135"/>
    </row>
    <row r="637" ht="28.5" customHeight="1">
      <c r="A637" s="135"/>
      <c r="B637" s="135"/>
      <c r="C637" s="135"/>
      <c r="D637" s="135"/>
      <c r="E637" s="135"/>
      <c r="F637" s="135"/>
      <c r="G637" s="135"/>
      <c r="H637" s="135"/>
      <c r="I637" s="135"/>
      <c r="J637" s="135"/>
      <c r="K637" s="135"/>
      <c r="L637" s="135"/>
      <c r="M637" s="135"/>
      <c r="N637" s="135"/>
      <c r="O637" s="135"/>
      <c r="P637" s="135"/>
      <c r="Q637" s="135"/>
      <c r="R637" s="135"/>
      <c r="S637" s="135"/>
      <c r="T637" s="135"/>
      <c r="U637" s="135"/>
      <c r="V637" s="135"/>
      <c r="W637" s="135"/>
      <c r="X637" s="135"/>
      <c r="Y637" s="135"/>
      <c r="Z637" s="135"/>
      <c r="AA637" s="135"/>
      <c r="AB637" s="135"/>
      <c r="AC637" s="135"/>
      <c r="AD637" s="135"/>
    </row>
    <row r="638" ht="28.5" customHeight="1">
      <c r="A638" s="135"/>
      <c r="B638" s="135"/>
      <c r="C638" s="135"/>
      <c r="D638" s="135"/>
      <c r="E638" s="135"/>
      <c r="F638" s="135"/>
      <c r="G638" s="135"/>
      <c r="H638" s="135"/>
      <c r="I638" s="135"/>
      <c r="J638" s="135"/>
      <c r="K638" s="135"/>
      <c r="L638" s="135"/>
      <c r="M638" s="135"/>
      <c r="N638" s="135"/>
      <c r="O638" s="135"/>
      <c r="P638" s="135"/>
      <c r="Q638" s="135"/>
      <c r="R638" s="135"/>
      <c r="S638" s="135"/>
      <c r="T638" s="135"/>
      <c r="U638" s="135"/>
      <c r="V638" s="135"/>
      <c r="W638" s="135"/>
      <c r="X638" s="135"/>
      <c r="Y638" s="135"/>
      <c r="Z638" s="135"/>
      <c r="AA638" s="135"/>
      <c r="AB638" s="135"/>
      <c r="AC638" s="135"/>
      <c r="AD638" s="135"/>
    </row>
    <row r="639" ht="28.5" customHeight="1">
      <c r="A639" s="135"/>
      <c r="B639" s="135"/>
      <c r="C639" s="135"/>
      <c r="D639" s="135"/>
      <c r="E639" s="135"/>
      <c r="F639" s="135"/>
      <c r="G639" s="135"/>
      <c r="H639" s="135"/>
      <c r="I639" s="135"/>
      <c r="J639" s="135"/>
      <c r="K639" s="135"/>
      <c r="L639" s="135"/>
      <c r="M639" s="135"/>
      <c r="N639" s="135"/>
      <c r="O639" s="135"/>
      <c r="P639" s="135"/>
      <c r="Q639" s="135"/>
      <c r="R639" s="135"/>
      <c r="S639" s="135"/>
      <c r="T639" s="135"/>
      <c r="U639" s="135"/>
      <c r="V639" s="135"/>
      <c r="W639" s="135"/>
      <c r="X639" s="135"/>
      <c r="Y639" s="135"/>
      <c r="Z639" s="135"/>
      <c r="AA639" s="135"/>
      <c r="AB639" s="135"/>
      <c r="AC639" s="135"/>
      <c r="AD639" s="135"/>
    </row>
    <row r="640" ht="28.5" customHeight="1">
      <c r="A640" s="135"/>
      <c r="B640" s="135"/>
      <c r="C640" s="135"/>
      <c r="D640" s="135"/>
      <c r="E640" s="135"/>
      <c r="F640" s="135"/>
      <c r="G640" s="135"/>
      <c r="H640" s="135"/>
      <c r="I640" s="135"/>
      <c r="J640" s="135"/>
      <c r="K640" s="135"/>
      <c r="L640" s="135"/>
      <c r="M640" s="135"/>
      <c r="N640" s="135"/>
      <c r="O640" s="135"/>
      <c r="P640" s="135"/>
      <c r="Q640" s="135"/>
      <c r="R640" s="135"/>
      <c r="S640" s="135"/>
      <c r="T640" s="135"/>
      <c r="U640" s="135"/>
      <c r="V640" s="135"/>
      <c r="W640" s="135"/>
      <c r="X640" s="135"/>
      <c r="Y640" s="135"/>
      <c r="Z640" s="135"/>
      <c r="AA640" s="135"/>
      <c r="AB640" s="135"/>
      <c r="AC640" s="135"/>
      <c r="AD640" s="135"/>
    </row>
    <row r="641" ht="28.5" customHeight="1">
      <c r="A641" s="135"/>
      <c r="B641" s="135"/>
      <c r="C641" s="135"/>
      <c r="D641" s="135"/>
      <c r="E641" s="135"/>
      <c r="F641" s="135"/>
      <c r="G641" s="135"/>
      <c r="H641" s="135"/>
      <c r="I641" s="135"/>
      <c r="J641" s="135"/>
      <c r="K641" s="135"/>
      <c r="L641" s="135"/>
      <c r="M641" s="135"/>
      <c r="N641" s="135"/>
      <c r="O641" s="135"/>
      <c r="P641" s="135"/>
      <c r="Q641" s="135"/>
      <c r="R641" s="135"/>
      <c r="S641" s="135"/>
      <c r="T641" s="135"/>
      <c r="U641" s="135"/>
      <c r="V641" s="135"/>
      <c r="W641" s="135"/>
      <c r="X641" s="135"/>
      <c r="Y641" s="135"/>
      <c r="Z641" s="135"/>
      <c r="AA641" s="135"/>
      <c r="AB641" s="135"/>
      <c r="AC641" s="135"/>
      <c r="AD641" s="135"/>
    </row>
    <row r="642" ht="28.5" customHeight="1">
      <c r="A642" s="135"/>
      <c r="B642" s="135"/>
      <c r="C642" s="135"/>
      <c r="D642" s="135"/>
      <c r="E642" s="135"/>
      <c r="F642" s="135"/>
      <c r="G642" s="135"/>
      <c r="H642" s="135"/>
      <c r="I642" s="135"/>
      <c r="J642" s="135"/>
      <c r="K642" s="135"/>
      <c r="L642" s="135"/>
      <c r="M642" s="135"/>
      <c r="N642" s="135"/>
      <c r="O642" s="135"/>
      <c r="P642" s="135"/>
      <c r="Q642" s="135"/>
      <c r="R642" s="135"/>
      <c r="S642" s="135"/>
      <c r="T642" s="135"/>
      <c r="U642" s="135"/>
      <c r="V642" s="135"/>
      <c r="W642" s="135"/>
      <c r="X642" s="135"/>
      <c r="Y642" s="135"/>
      <c r="Z642" s="135"/>
      <c r="AA642" s="135"/>
      <c r="AB642" s="135"/>
      <c r="AC642" s="135"/>
      <c r="AD642" s="135"/>
    </row>
    <row r="643" ht="28.5" customHeight="1">
      <c r="A643" s="135"/>
      <c r="B643" s="135"/>
      <c r="C643" s="135"/>
      <c r="D643" s="135"/>
      <c r="E643" s="135"/>
      <c r="F643" s="135"/>
      <c r="G643" s="135"/>
      <c r="H643" s="135"/>
      <c r="I643" s="135"/>
      <c r="J643" s="135"/>
      <c r="K643" s="135"/>
      <c r="L643" s="135"/>
      <c r="M643" s="135"/>
      <c r="N643" s="135"/>
      <c r="O643" s="135"/>
      <c r="P643" s="135"/>
      <c r="Q643" s="135"/>
      <c r="R643" s="135"/>
      <c r="S643" s="135"/>
      <c r="T643" s="135"/>
      <c r="U643" s="135"/>
      <c r="V643" s="135"/>
      <c r="W643" s="135"/>
      <c r="X643" s="135"/>
      <c r="Y643" s="135"/>
      <c r="Z643" s="135"/>
      <c r="AA643" s="135"/>
      <c r="AB643" s="135"/>
      <c r="AC643" s="135"/>
      <c r="AD643" s="135"/>
    </row>
    <row r="644" ht="28.5" customHeight="1">
      <c r="A644" s="135"/>
      <c r="B644" s="135"/>
      <c r="C644" s="135"/>
      <c r="D644" s="135"/>
      <c r="E644" s="135"/>
      <c r="F644" s="135"/>
      <c r="G644" s="135"/>
      <c r="H644" s="135"/>
      <c r="I644" s="135"/>
      <c r="J644" s="135"/>
      <c r="K644" s="135"/>
      <c r="L644" s="135"/>
      <c r="M644" s="135"/>
      <c r="N644" s="135"/>
      <c r="O644" s="135"/>
      <c r="P644" s="135"/>
      <c r="Q644" s="135"/>
      <c r="R644" s="135"/>
      <c r="S644" s="135"/>
      <c r="T644" s="135"/>
      <c r="U644" s="135"/>
      <c r="V644" s="135"/>
      <c r="W644" s="135"/>
      <c r="X644" s="135"/>
      <c r="Y644" s="135"/>
      <c r="Z644" s="135"/>
      <c r="AA644" s="135"/>
      <c r="AB644" s="135"/>
      <c r="AC644" s="135"/>
      <c r="AD644" s="135"/>
    </row>
    <row r="645" ht="28.5" customHeight="1">
      <c r="A645" s="135"/>
      <c r="B645" s="135"/>
      <c r="C645" s="135"/>
      <c r="D645" s="135"/>
      <c r="E645" s="135"/>
      <c r="F645" s="135"/>
      <c r="G645" s="135"/>
      <c r="H645" s="135"/>
      <c r="I645" s="135"/>
      <c r="J645" s="135"/>
      <c r="K645" s="135"/>
      <c r="L645" s="135"/>
      <c r="M645" s="135"/>
      <c r="N645" s="135"/>
      <c r="O645" s="135"/>
      <c r="P645" s="135"/>
      <c r="Q645" s="135"/>
      <c r="R645" s="135"/>
      <c r="S645" s="135"/>
      <c r="T645" s="135"/>
      <c r="U645" s="135"/>
      <c r="V645" s="135"/>
      <c r="W645" s="135"/>
      <c r="X645" s="135"/>
      <c r="Y645" s="135"/>
      <c r="Z645" s="135"/>
      <c r="AA645" s="135"/>
      <c r="AB645" s="135"/>
      <c r="AC645" s="135"/>
      <c r="AD645" s="135"/>
    </row>
    <row r="646" ht="28.5" customHeight="1">
      <c r="A646" s="135"/>
      <c r="B646" s="135"/>
      <c r="C646" s="135"/>
      <c r="D646" s="135"/>
      <c r="E646" s="135"/>
      <c r="F646" s="135"/>
      <c r="G646" s="135"/>
      <c r="H646" s="135"/>
      <c r="I646" s="135"/>
      <c r="J646" s="135"/>
      <c r="K646" s="135"/>
      <c r="L646" s="135"/>
      <c r="M646" s="135"/>
      <c r="N646" s="135"/>
      <c r="O646" s="135"/>
      <c r="P646" s="135"/>
      <c r="Q646" s="135"/>
      <c r="R646" s="135"/>
      <c r="S646" s="135"/>
      <c r="T646" s="135"/>
      <c r="U646" s="135"/>
      <c r="V646" s="135"/>
      <c r="W646" s="135"/>
      <c r="X646" s="135"/>
      <c r="Y646" s="135"/>
      <c r="Z646" s="135"/>
      <c r="AA646" s="135"/>
      <c r="AB646" s="135"/>
      <c r="AC646" s="135"/>
      <c r="AD646" s="135"/>
    </row>
    <row r="647" ht="28.5" customHeight="1">
      <c r="A647" s="135"/>
      <c r="B647" s="135"/>
      <c r="C647" s="135"/>
      <c r="D647" s="135"/>
      <c r="E647" s="135"/>
      <c r="F647" s="135"/>
      <c r="G647" s="135"/>
      <c r="H647" s="135"/>
      <c r="I647" s="135"/>
      <c r="J647" s="135"/>
      <c r="K647" s="135"/>
      <c r="L647" s="135"/>
      <c r="M647" s="135"/>
      <c r="N647" s="135"/>
      <c r="O647" s="135"/>
      <c r="P647" s="135"/>
      <c r="Q647" s="135"/>
      <c r="R647" s="135"/>
      <c r="S647" s="135"/>
      <c r="T647" s="135"/>
      <c r="U647" s="135"/>
      <c r="V647" s="135"/>
      <c r="W647" s="135"/>
      <c r="X647" s="135"/>
      <c r="Y647" s="135"/>
      <c r="Z647" s="135"/>
      <c r="AA647" s="135"/>
      <c r="AB647" s="135"/>
      <c r="AC647" s="135"/>
      <c r="AD647" s="135"/>
    </row>
    <row r="648" ht="28.5" customHeight="1">
      <c r="A648" s="135"/>
      <c r="B648" s="135"/>
      <c r="C648" s="135"/>
      <c r="D648" s="135"/>
      <c r="E648" s="135"/>
      <c r="F648" s="135"/>
      <c r="G648" s="135"/>
      <c r="H648" s="135"/>
      <c r="I648" s="135"/>
      <c r="J648" s="135"/>
      <c r="K648" s="135"/>
      <c r="L648" s="135"/>
      <c r="M648" s="135"/>
      <c r="N648" s="135"/>
      <c r="O648" s="135"/>
      <c r="P648" s="135"/>
      <c r="Q648" s="135"/>
      <c r="R648" s="135"/>
      <c r="S648" s="135"/>
      <c r="T648" s="135"/>
      <c r="U648" s="135"/>
      <c r="V648" s="135"/>
      <c r="W648" s="135"/>
      <c r="X648" s="135"/>
      <c r="Y648" s="135"/>
      <c r="Z648" s="135"/>
      <c r="AA648" s="135"/>
      <c r="AB648" s="135"/>
      <c r="AC648" s="135"/>
      <c r="AD648" s="135"/>
    </row>
    <row r="649" ht="28.5" customHeight="1">
      <c r="A649" s="135"/>
      <c r="B649" s="135"/>
      <c r="C649" s="135"/>
      <c r="D649" s="135"/>
      <c r="E649" s="135"/>
      <c r="F649" s="135"/>
      <c r="G649" s="135"/>
      <c r="H649" s="135"/>
      <c r="I649" s="135"/>
      <c r="J649" s="135"/>
      <c r="K649" s="135"/>
      <c r="L649" s="135"/>
      <c r="M649" s="135"/>
      <c r="N649" s="135"/>
      <c r="O649" s="135"/>
      <c r="P649" s="135"/>
      <c r="Q649" s="135"/>
      <c r="R649" s="135"/>
      <c r="S649" s="135"/>
      <c r="T649" s="135"/>
      <c r="U649" s="135"/>
      <c r="V649" s="135"/>
      <c r="W649" s="135"/>
      <c r="X649" s="135"/>
      <c r="Y649" s="135"/>
      <c r="Z649" s="135"/>
      <c r="AA649" s="135"/>
      <c r="AB649" s="135"/>
      <c r="AC649" s="135"/>
      <c r="AD649" s="135"/>
    </row>
    <row r="650" ht="28.5" customHeight="1">
      <c r="A650" s="135"/>
      <c r="B650" s="135"/>
      <c r="C650" s="135"/>
      <c r="D650" s="135"/>
      <c r="E650" s="135"/>
      <c r="F650" s="135"/>
      <c r="G650" s="135"/>
      <c r="H650" s="135"/>
      <c r="I650" s="135"/>
      <c r="J650" s="135"/>
      <c r="K650" s="135"/>
      <c r="L650" s="135"/>
      <c r="M650" s="135"/>
      <c r="N650" s="135"/>
      <c r="O650" s="135"/>
      <c r="P650" s="135"/>
      <c r="Q650" s="135"/>
      <c r="R650" s="135"/>
      <c r="S650" s="135"/>
      <c r="T650" s="135"/>
      <c r="U650" s="135"/>
      <c r="V650" s="135"/>
      <c r="W650" s="135"/>
      <c r="X650" s="135"/>
      <c r="Y650" s="135"/>
      <c r="Z650" s="135"/>
      <c r="AA650" s="135"/>
      <c r="AB650" s="135"/>
      <c r="AC650" s="135"/>
      <c r="AD650" s="135"/>
    </row>
    <row r="651" ht="28.5" customHeight="1">
      <c r="A651" s="135"/>
      <c r="B651" s="135"/>
      <c r="C651" s="135"/>
      <c r="D651" s="135"/>
      <c r="E651" s="135"/>
      <c r="F651" s="135"/>
      <c r="G651" s="135"/>
      <c r="H651" s="135"/>
      <c r="I651" s="135"/>
      <c r="J651" s="135"/>
      <c r="K651" s="135"/>
      <c r="L651" s="135"/>
      <c r="M651" s="135"/>
      <c r="N651" s="135"/>
      <c r="O651" s="135"/>
      <c r="P651" s="135"/>
      <c r="Q651" s="135"/>
      <c r="R651" s="135"/>
      <c r="S651" s="135"/>
      <c r="T651" s="135"/>
      <c r="U651" s="135"/>
      <c r="V651" s="135"/>
      <c r="W651" s="135"/>
      <c r="X651" s="135"/>
      <c r="Y651" s="135"/>
      <c r="Z651" s="135"/>
      <c r="AA651" s="135"/>
      <c r="AB651" s="135"/>
      <c r="AC651" s="135"/>
      <c r="AD651" s="135"/>
    </row>
    <row r="652" ht="28.5" customHeight="1">
      <c r="A652" s="135"/>
      <c r="B652" s="135"/>
      <c r="C652" s="135"/>
      <c r="D652" s="135"/>
      <c r="E652" s="135"/>
      <c r="F652" s="135"/>
      <c r="G652" s="135"/>
      <c r="H652" s="135"/>
      <c r="I652" s="135"/>
      <c r="J652" s="135"/>
      <c r="K652" s="135"/>
      <c r="L652" s="135"/>
      <c r="M652" s="135"/>
      <c r="N652" s="135"/>
      <c r="O652" s="135"/>
      <c r="P652" s="135"/>
      <c r="Q652" s="135"/>
      <c r="R652" s="135"/>
      <c r="S652" s="135"/>
      <c r="T652" s="135"/>
      <c r="U652" s="135"/>
      <c r="V652" s="135"/>
      <c r="W652" s="135"/>
      <c r="X652" s="135"/>
      <c r="Y652" s="135"/>
      <c r="Z652" s="135"/>
      <c r="AA652" s="135"/>
      <c r="AB652" s="135"/>
      <c r="AC652" s="135"/>
      <c r="AD652" s="135"/>
    </row>
    <row r="653" ht="28.5" customHeight="1">
      <c r="A653" s="135"/>
      <c r="B653" s="135"/>
      <c r="C653" s="135"/>
      <c r="D653" s="135"/>
      <c r="E653" s="135"/>
      <c r="F653" s="135"/>
      <c r="G653" s="135"/>
      <c r="H653" s="135"/>
      <c r="I653" s="135"/>
      <c r="J653" s="135"/>
      <c r="K653" s="135"/>
      <c r="L653" s="135"/>
      <c r="M653" s="135"/>
      <c r="N653" s="135"/>
      <c r="O653" s="135"/>
      <c r="P653" s="135"/>
      <c r="Q653" s="135"/>
      <c r="R653" s="135"/>
      <c r="S653" s="135"/>
      <c r="T653" s="135"/>
      <c r="U653" s="135"/>
      <c r="V653" s="135"/>
      <c r="W653" s="135"/>
      <c r="X653" s="135"/>
      <c r="Y653" s="135"/>
      <c r="Z653" s="135"/>
      <c r="AA653" s="135"/>
      <c r="AB653" s="135"/>
      <c r="AC653" s="135"/>
      <c r="AD653" s="135"/>
    </row>
    <row r="654" ht="28.5" customHeight="1">
      <c r="A654" s="135"/>
      <c r="B654" s="135"/>
      <c r="C654" s="135"/>
      <c r="D654" s="135"/>
      <c r="E654" s="135"/>
      <c r="F654" s="135"/>
      <c r="G654" s="135"/>
      <c r="H654" s="135"/>
      <c r="I654" s="135"/>
      <c r="J654" s="135"/>
      <c r="K654" s="135"/>
      <c r="L654" s="135"/>
      <c r="M654" s="135"/>
      <c r="N654" s="135"/>
      <c r="O654" s="135"/>
      <c r="P654" s="135"/>
      <c r="Q654" s="135"/>
      <c r="R654" s="135"/>
      <c r="S654" s="135"/>
      <c r="T654" s="135"/>
      <c r="U654" s="135"/>
      <c r="V654" s="135"/>
      <c r="W654" s="135"/>
      <c r="X654" s="135"/>
      <c r="Y654" s="135"/>
      <c r="Z654" s="135"/>
      <c r="AA654" s="135"/>
      <c r="AB654" s="135"/>
      <c r="AC654" s="135"/>
      <c r="AD654" s="135"/>
    </row>
    <row r="655" ht="28.5" customHeight="1">
      <c r="A655" s="135"/>
      <c r="B655" s="135"/>
      <c r="C655" s="135"/>
      <c r="D655" s="135"/>
      <c r="E655" s="135"/>
      <c r="F655" s="135"/>
      <c r="G655" s="135"/>
      <c r="H655" s="135"/>
      <c r="I655" s="135"/>
      <c r="J655" s="135"/>
      <c r="K655" s="135"/>
      <c r="L655" s="135"/>
      <c r="M655" s="135"/>
      <c r="N655" s="135"/>
      <c r="O655" s="135"/>
      <c r="P655" s="135"/>
      <c r="Q655" s="135"/>
      <c r="R655" s="135"/>
      <c r="S655" s="135"/>
      <c r="T655" s="135"/>
      <c r="U655" s="135"/>
      <c r="V655" s="135"/>
      <c r="W655" s="135"/>
      <c r="X655" s="135"/>
      <c r="Y655" s="135"/>
      <c r="Z655" s="135"/>
      <c r="AA655" s="135"/>
      <c r="AB655" s="135"/>
      <c r="AC655" s="135"/>
      <c r="AD655" s="135"/>
    </row>
    <row r="656" ht="28.5" customHeight="1">
      <c r="A656" s="135"/>
      <c r="B656" s="135"/>
      <c r="C656" s="135"/>
      <c r="D656" s="135"/>
      <c r="E656" s="135"/>
      <c r="F656" s="135"/>
      <c r="G656" s="135"/>
      <c r="H656" s="135"/>
      <c r="I656" s="135"/>
      <c r="J656" s="135"/>
      <c r="K656" s="135"/>
      <c r="L656" s="135"/>
      <c r="M656" s="135"/>
      <c r="N656" s="135"/>
      <c r="O656" s="135"/>
      <c r="P656" s="135"/>
      <c r="Q656" s="135"/>
      <c r="R656" s="135"/>
      <c r="S656" s="135"/>
      <c r="T656" s="135"/>
      <c r="U656" s="135"/>
      <c r="V656" s="135"/>
      <c r="W656" s="135"/>
      <c r="X656" s="135"/>
      <c r="Y656" s="135"/>
      <c r="Z656" s="135"/>
      <c r="AA656" s="135"/>
      <c r="AB656" s="135"/>
      <c r="AC656" s="135"/>
      <c r="AD656" s="135"/>
    </row>
    <row r="657" ht="28.5" customHeight="1">
      <c r="A657" s="135"/>
      <c r="B657" s="135"/>
      <c r="C657" s="135"/>
      <c r="D657" s="135"/>
      <c r="E657" s="135"/>
      <c r="F657" s="135"/>
      <c r="G657" s="135"/>
      <c r="H657" s="135"/>
      <c r="I657" s="135"/>
      <c r="J657" s="135"/>
      <c r="K657" s="135"/>
      <c r="L657" s="135"/>
      <c r="M657" s="135"/>
      <c r="N657" s="135"/>
      <c r="O657" s="135"/>
      <c r="P657" s="135"/>
      <c r="Q657" s="135"/>
      <c r="R657" s="135"/>
      <c r="S657" s="135"/>
      <c r="T657" s="135"/>
      <c r="U657" s="135"/>
      <c r="V657" s="135"/>
      <c r="W657" s="135"/>
      <c r="X657" s="135"/>
      <c r="Y657" s="135"/>
      <c r="Z657" s="135"/>
      <c r="AA657" s="135"/>
      <c r="AB657" s="135"/>
      <c r="AC657" s="135"/>
      <c r="AD657" s="135"/>
    </row>
    <row r="658" ht="28.5" customHeight="1">
      <c r="A658" s="135"/>
      <c r="B658" s="135"/>
      <c r="C658" s="135"/>
      <c r="D658" s="135"/>
      <c r="E658" s="135"/>
      <c r="F658" s="135"/>
      <c r="G658" s="135"/>
      <c r="H658" s="135"/>
      <c r="I658" s="135"/>
      <c r="J658" s="135"/>
      <c r="K658" s="135"/>
      <c r="L658" s="135"/>
      <c r="M658" s="135"/>
      <c r="N658" s="135"/>
      <c r="O658" s="135"/>
      <c r="P658" s="135"/>
      <c r="Q658" s="135"/>
      <c r="R658" s="135"/>
      <c r="S658" s="135"/>
      <c r="T658" s="135"/>
      <c r="U658" s="135"/>
      <c r="V658" s="135"/>
      <c r="W658" s="135"/>
      <c r="X658" s="135"/>
      <c r="Y658" s="135"/>
      <c r="Z658" s="135"/>
      <c r="AA658" s="135"/>
      <c r="AB658" s="135"/>
      <c r="AC658" s="135"/>
      <c r="AD658" s="135"/>
    </row>
    <row r="659" ht="28.5" customHeight="1">
      <c r="A659" s="135"/>
      <c r="B659" s="135"/>
      <c r="C659" s="135"/>
      <c r="D659" s="135"/>
      <c r="E659" s="135"/>
      <c r="F659" s="135"/>
      <c r="G659" s="135"/>
      <c r="H659" s="135"/>
      <c r="I659" s="135"/>
      <c r="J659" s="135"/>
      <c r="K659" s="135"/>
      <c r="L659" s="135"/>
      <c r="M659" s="135"/>
      <c r="N659" s="135"/>
      <c r="O659" s="135"/>
      <c r="P659" s="135"/>
      <c r="Q659" s="135"/>
      <c r="R659" s="135"/>
      <c r="S659" s="135"/>
      <c r="T659" s="135"/>
      <c r="U659" s="135"/>
      <c r="V659" s="135"/>
      <c r="W659" s="135"/>
      <c r="X659" s="135"/>
      <c r="Y659" s="135"/>
      <c r="Z659" s="135"/>
      <c r="AA659" s="135"/>
      <c r="AB659" s="135"/>
      <c r="AC659" s="135"/>
      <c r="AD659" s="135"/>
    </row>
    <row r="660" ht="28.5" customHeight="1">
      <c r="A660" s="135"/>
      <c r="B660" s="135"/>
      <c r="C660" s="135"/>
      <c r="D660" s="135"/>
      <c r="E660" s="135"/>
      <c r="F660" s="135"/>
      <c r="G660" s="135"/>
      <c r="H660" s="135"/>
      <c r="I660" s="135"/>
      <c r="J660" s="135"/>
      <c r="K660" s="135"/>
      <c r="L660" s="135"/>
      <c r="M660" s="135"/>
      <c r="N660" s="135"/>
      <c r="O660" s="135"/>
      <c r="P660" s="135"/>
      <c r="Q660" s="135"/>
      <c r="R660" s="135"/>
      <c r="S660" s="135"/>
      <c r="T660" s="135"/>
      <c r="U660" s="135"/>
      <c r="V660" s="135"/>
      <c r="W660" s="135"/>
      <c r="X660" s="135"/>
      <c r="Y660" s="135"/>
      <c r="Z660" s="135"/>
      <c r="AA660" s="135"/>
      <c r="AB660" s="135"/>
      <c r="AC660" s="135"/>
      <c r="AD660" s="135"/>
    </row>
    <row r="661" ht="28.5" customHeight="1">
      <c r="A661" s="135"/>
      <c r="B661" s="135"/>
      <c r="C661" s="135"/>
      <c r="D661" s="135"/>
      <c r="E661" s="135"/>
      <c r="F661" s="135"/>
      <c r="G661" s="135"/>
      <c r="H661" s="135"/>
      <c r="I661" s="135"/>
      <c r="J661" s="135"/>
      <c r="K661" s="135"/>
      <c r="L661" s="135"/>
      <c r="M661" s="135"/>
      <c r="N661" s="135"/>
      <c r="O661" s="135"/>
      <c r="P661" s="135"/>
      <c r="Q661" s="135"/>
      <c r="R661" s="135"/>
      <c r="S661" s="135"/>
      <c r="T661" s="135"/>
      <c r="U661" s="135"/>
      <c r="V661" s="135"/>
      <c r="W661" s="135"/>
      <c r="X661" s="135"/>
      <c r="Y661" s="135"/>
      <c r="Z661" s="135"/>
      <c r="AA661" s="135"/>
      <c r="AB661" s="135"/>
      <c r="AC661" s="135"/>
      <c r="AD661" s="135"/>
    </row>
    <row r="662" ht="28.5" customHeight="1">
      <c r="A662" s="135"/>
      <c r="B662" s="135"/>
      <c r="C662" s="135"/>
      <c r="D662" s="135"/>
      <c r="E662" s="135"/>
      <c r="F662" s="135"/>
      <c r="G662" s="135"/>
      <c r="H662" s="135"/>
      <c r="I662" s="135"/>
      <c r="J662" s="135"/>
      <c r="K662" s="135"/>
      <c r="L662" s="135"/>
      <c r="M662" s="135"/>
      <c r="N662" s="135"/>
      <c r="O662" s="135"/>
      <c r="P662" s="135"/>
      <c r="Q662" s="135"/>
      <c r="R662" s="135"/>
      <c r="S662" s="135"/>
      <c r="T662" s="135"/>
      <c r="U662" s="135"/>
      <c r="V662" s="135"/>
      <c r="W662" s="135"/>
      <c r="X662" s="135"/>
      <c r="Y662" s="135"/>
      <c r="Z662" s="135"/>
      <c r="AA662" s="135"/>
      <c r="AB662" s="135"/>
      <c r="AC662" s="135"/>
      <c r="AD662" s="135"/>
    </row>
    <row r="663" ht="28.5" customHeight="1">
      <c r="A663" s="135"/>
      <c r="B663" s="135"/>
      <c r="C663" s="135"/>
      <c r="D663" s="135"/>
      <c r="E663" s="135"/>
      <c r="F663" s="135"/>
      <c r="G663" s="135"/>
      <c r="H663" s="135"/>
      <c r="I663" s="135"/>
      <c r="J663" s="135"/>
      <c r="K663" s="135"/>
      <c r="L663" s="135"/>
      <c r="M663" s="135"/>
      <c r="N663" s="135"/>
      <c r="O663" s="135"/>
      <c r="P663" s="135"/>
      <c r="Q663" s="135"/>
      <c r="R663" s="135"/>
      <c r="S663" s="135"/>
      <c r="T663" s="135"/>
      <c r="U663" s="135"/>
      <c r="V663" s="135"/>
      <c r="W663" s="135"/>
      <c r="X663" s="135"/>
      <c r="Y663" s="135"/>
      <c r="Z663" s="135"/>
      <c r="AA663" s="135"/>
      <c r="AB663" s="135"/>
      <c r="AC663" s="135"/>
      <c r="AD663" s="135"/>
    </row>
    <row r="664" ht="28.5" customHeight="1">
      <c r="A664" s="135"/>
      <c r="B664" s="135"/>
      <c r="C664" s="135"/>
      <c r="D664" s="135"/>
      <c r="E664" s="135"/>
      <c r="F664" s="135"/>
      <c r="G664" s="135"/>
      <c r="H664" s="135"/>
      <c r="I664" s="135"/>
      <c r="J664" s="135"/>
      <c r="K664" s="135"/>
      <c r="L664" s="135"/>
      <c r="M664" s="135"/>
      <c r="N664" s="135"/>
      <c r="O664" s="135"/>
      <c r="P664" s="135"/>
      <c r="Q664" s="135"/>
      <c r="R664" s="135"/>
      <c r="S664" s="135"/>
      <c r="T664" s="135"/>
      <c r="U664" s="135"/>
      <c r="V664" s="135"/>
      <c r="W664" s="135"/>
      <c r="X664" s="135"/>
      <c r="Y664" s="135"/>
      <c r="Z664" s="135"/>
      <c r="AA664" s="135"/>
      <c r="AB664" s="135"/>
      <c r="AC664" s="135"/>
      <c r="AD664" s="135"/>
    </row>
    <row r="665" ht="28.5" customHeight="1">
      <c r="A665" s="135"/>
      <c r="B665" s="135"/>
      <c r="C665" s="135"/>
      <c r="D665" s="135"/>
      <c r="E665" s="135"/>
      <c r="F665" s="135"/>
      <c r="G665" s="135"/>
      <c r="H665" s="135"/>
      <c r="I665" s="135"/>
      <c r="J665" s="135"/>
      <c r="K665" s="135"/>
      <c r="L665" s="135"/>
      <c r="M665" s="135"/>
      <c r="N665" s="135"/>
      <c r="O665" s="135"/>
      <c r="P665" s="135"/>
      <c r="Q665" s="135"/>
      <c r="R665" s="135"/>
      <c r="S665" s="135"/>
      <c r="T665" s="135"/>
      <c r="U665" s="135"/>
      <c r="V665" s="135"/>
      <c r="W665" s="135"/>
      <c r="X665" s="135"/>
      <c r="Y665" s="135"/>
      <c r="Z665" s="135"/>
      <c r="AA665" s="135"/>
      <c r="AB665" s="135"/>
      <c r="AC665" s="135"/>
      <c r="AD665" s="135"/>
    </row>
    <row r="666" ht="28.5" customHeight="1">
      <c r="A666" s="135"/>
      <c r="B666" s="135"/>
      <c r="C666" s="135"/>
      <c r="D666" s="135"/>
      <c r="E666" s="135"/>
      <c r="F666" s="135"/>
      <c r="G666" s="135"/>
      <c r="H666" s="135"/>
      <c r="I666" s="135"/>
      <c r="J666" s="135"/>
      <c r="K666" s="135"/>
      <c r="L666" s="135"/>
      <c r="M666" s="135"/>
      <c r="N666" s="135"/>
      <c r="O666" s="135"/>
      <c r="P666" s="135"/>
      <c r="Q666" s="135"/>
      <c r="R666" s="135"/>
      <c r="S666" s="135"/>
      <c r="T666" s="135"/>
      <c r="U666" s="135"/>
      <c r="V666" s="135"/>
      <c r="W666" s="135"/>
      <c r="X666" s="135"/>
      <c r="Y666" s="135"/>
      <c r="Z666" s="135"/>
      <c r="AA666" s="135"/>
      <c r="AB666" s="135"/>
      <c r="AC666" s="135"/>
      <c r="AD666" s="135"/>
    </row>
    <row r="667" ht="28.5" customHeight="1">
      <c r="A667" s="135"/>
      <c r="B667" s="135"/>
      <c r="C667" s="135"/>
      <c r="D667" s="135"/>
      <c r="E667" s="135"/>
      <c r="F667" s="135"/>
      <c r="G667" s="135"/>
      <c r="H667" s="135"/>
      <c r="I667" s="135"/>
      <c r="J667" s="135"/>
      <c r="K667" s="135"/>
      <c r="L667" s="135"/>
      <c r="M667" s="135"/>
      <c r="N667" s="135"/>
      <c r="O667" s="135"/>
      <c r="P667" s="135"/>
      <c r="Q667" s="135"/>
      <c r="R667" s="135"/>
      <c r="S667" s="135"/>
      <c r="T667" s="135"/>
      <c r="U667" s="135"/>
      <c r="V667" s="135"/>
      <c r="W667" s="135"/>
      <c r="X667" s="135"/>
      <c r="Y667" s="135"/>
      <c r="Z667" s="135"/>
      <c r="AA667" s="135"/>
      <c r="AB667" s="135"/>
      <c r="AC667" s="135"/>
      <c r="AD667" s="135"/>
    </row>
    <row r="668" ht="28.5" customHeight="1">
      <c r="A668" s="135"/>
      <c r="B668" s="135"/>
      <c r="C668" s="135"/>
      <c r="D668" s="135"/>
      <c r="E668" s="135"/>
      <c r="F668" s="135"/>
      <c r="G668" s="135"/>
      <c r="H668" s="135"/>
      <c r="I668" s="135"/>
      <c r="J668" s="135"/>
      <c r="K668" s="135"/>
      <c r="L668" s="135"/>
      <c r="M668" s="135"/>
      <c r="N668" s="135"/>
      <c r="O668" s="135"/>
      <c r="P668" s="135"/>
      <c r="Q668" s="135"/>
      <c r="R668" s="135"/>
      <c r="S668" s="135"/>
      <c r="T668" s="135"/>
      <c r="U668" s="135"/>
      <c r="V668" s="135"/>
      <c r="W668" s="135"/>
      <c r="X668" s="135"/>
      <c r="Y668" s="135"/>
      <c r="Z668" s="135"/>
      <c r="AA668" s="135"/>
      <c r="AB668" s="135"/>
      <c r="AC668" s="135"/>
      <c r="AD668" s="135"/>
    </row>
    <row r="669" ht="28.5" customHeight="1">
      <c r="A669" s="135"/>
      <c r="B669" s="135"/>
      <c r="C669" s="135"/>
      <c r="D669" s="135"/>
      <c r="E669" s="135"/>
      <c r="F669" s="135"/>
      <c r="G669" s="135"/>
      <c r="H669" s="135"/>
      <c r="I669" s="135"/>
      <c r="J669" s="135"/>
      <c r="K669" s="135"/>
      <c r="L669" s="135"/>
      <c r="M669" s="135"/>
      <c r="N669" s="135"/>
      <c r="O669" s="135"/>
      <c r="P669" s="135"/>
      <c r="Q669" s="135"/>
      <c r="R669" s="135"/>
      <c r="S669" s="135"/>
      <c r="T669" s="135"/>
      <c r="U669" s="135"/>
      <c r="V669" s="135"/>
      <c r="W669" s="135"/>
      <c r="X669" s="135"/>
      <c r="Y669" s="135"/>
      <c r="Z669" s="135"/>
      <c r="AA669" s="135"/>
      <c r="AB669" s="135"/>
      <c r="AC669" s="135"/>
      <c r="AD669" s="135"/>
    </row>
    <row r="670" ht="28.5" customHeight="1">
      <c r="A670" s="135"/>
      <c r="B670" s="135"/>
      <c r="C670" s="135"/>
      <c r="D670" s="135"/>
      <c r="E670" s="135"/>
      <c r="F670" s="135"/>
      <c r="G670" s="135"/>
      <c r="H670" s="135"/>
      <c r="I670" s="135"/>
      <c r="J670" s="135"/>
      <c r="K670" s="135"/>
      <c r="L670" s="135"/>
      <c r="M670" s="135"/>
      <c r="N670" s="135"/>
      <c r="O670" s="135"/>
      <c r="P670" s="135"/>
      <c r="Q670" s="135"/>
      <c r="R670" s="135"/>
      <c r="S670" s="135"/>
      <c r="T670" s="135"/>
      <c r="U670" s="135"/>
      <c r="V670" s="135"/>
      <c r="W670" s="135"/>
      <c r="X670" s="135"/>
      <c r="Y670" s="135"/>
      <c r="Z670" s="135"/>
      <c r="AA670" s="135"/>
      <c r="AB670" s="135"/>
      <c r="AC670" s="135"/>
      <c r="AD670" s="135"/>
    </row>
    <row r="671" ht="28.5" customHeight="1">
      <c r="A671" s="135"/>
      <c r="B671" s="135"/>
      <c r="C671" s="135"/>
      <c r="D671" s="135"/>
      <c r="E671" s="135"/>
      <c r="F671" s="135"/>
      <c r="G671" s="135"/>
      <c r="H671" s="135"/>
      <c r="I671" s="135"/>
      <c r="J671" s="135"/>
      <c r="K671" s="135"/>
      <c r="L671" s="135"/>
      <c r="M671" s="135"/>
      <c r="N671" s="135"/>
      <c r="O671" s="135"/>
      <c r="P671" s="135"/>
      <c r="Q671" s="135"/>
      <c r="R671" s="135"/>
      <c r="S671" s="135"/>
      <c r="T671" s="135"/>
      <c r="U671" s="135"/>
      <c r="V671" s="135"/>
      <c r="W671" s="135"/>
      <c r="X671" s="135"/>
      <c r="Y671" s="135"/>
      <c r="Z671" s="135"/>
      <c r="AA671" s="135"/>
      <c r="AB671" s="135"/>
      <c r="AC671" s="135"/>
      <c r="AD671" s="135"/>
    </row>
    <row r="672" ht="28.5" customHeight="1">
      <c r="A672" s="135"/>
      <c r="B672" s="135"/>
      <c r="C672" s="135"/>
      <c r="D672" s="135"/>
      <c r="E672" s="135"/>
      <c r="F672" s="135"/>
      <c r="G672" s="135"/>
      <c r="H672" s="135"/>
      <c r="I672" s="135"/>
      <c r="J672" s="135"/>
      <c r="K672" s="135"/>
      <c r="L672" s="135"/>
      <c r="M672" s="135"/>
      <c r="N672" s="135"/>
      <c r="O672" s="135"/>
      <c r="P672" s="135"/>
      <c r="Q672" s="135"/>
      <c r="R672" s="135"/>
      <c r="S672" s="135"/>
      <c r="T672" s="135"/>
      <c r="U672" s="135"/>
      <c r="V672" s="135"/>
      <c r="W672" s="135"/>
      <c r="X672" s="135"/>
      <c r="Y672" s="135"/>
      <c r="Z672" s="135"/>
      <c r="AA672" s="135"/>
      <c r="AB672" s="135"/>
      <c r="AC672" s="135"/>
      <c r="AD672" s="135"/>
    </row>
    <row r="673" ht="28.5" customHeight="1">
      <c r="A673" s="135"/>
      <c r="B673" s="135"/>
      <c r="C673" s="135"/>
      <c r="D673" s="135"/>
      <c r="E673" s="135"/>
      <c r="F673" s="135"/>
      <c r="G673" s="135"/>
      <c r="H673" s="135"/>
      <c r="I673" s="135"/>
      <c r="J673" s="135"/>
      <c r="K673" s="135"/>
      <c r="L673" s="135"/>
      <c r="M673" s="135"/>
      <c r="N673" s="135"/>
      <c r="O673" s="135"/>
      <c r="P673" s="135"/>
      <c r="Q673" s="135"/>
      <c r="R673" s="135"/>
      <c r="S673" s="135"/>
      <c r="T673" s="135"/>
      <c r="U673" s="135"/>
      <c r="V673" s="135"/>
      <c r="W673" s="135"/>
      <c r="X673" s="135"/>
      <c r="Y673" s="135"/>
      <c r="Z673" s="135"/>
      <c r="AA673" s="135"/>
      <c r="AB673" s="135"/>
      <c r="AC673" s="135"/>
      <c r="AD673" s="135"/>
    </row>
    <row r="674" ht="28.5" customHeight="1">
      <c r="A674" s="135"/>
      <c r="B674" s="135"/>
      <c r="C674" s="135"/>
      <c r="D674" s="135"/>
      <c r="E674" s="135"/>
      <c r="F674" s="135"/>
      <c r="G674" s="135"/>
      <c r="H674" s="135"/>
      <c r="I674" s="135"/>
      <c r="J674" s="135"/>
      <c r="K674" s="135"/>
      <c r="L674" s="135"/>
      <c r="M674" s="135"/>
      <c r="N674" s="135"/>
      <c r="O674" s="135"/>
      <c r="P674" s="135"/>
      <c r="Q674" s="135"/>
      <c r="R674" s="135"/>
      <c r="S674" s="135"/>
      <c r="T674" s="135"/>
      <c r="U674" s="135"/>
      <c r="V674" s="135"/>
      <c r="W674" s="135"/>
      <c r="X674" s="135"/>
      <c r="Y674" s="135"/>
      <c r="Z674" s="135"/>
      <c r="AA674" s="135"/>
      <c r="AB674" s="135"/>
      <c r="AC674" s="135"/>
      <c r="AD674" s="135"/>
    </row>
    <row r="675" ht="28.5" customHeight="1">
      <c r="A675" s="135"/>
      <c r="B675" s="135"/>
      <c r="C675" s="135"/>
      <c r="D675" s="135"/>
      <c r="E675" s="135"/>
      <c r="F675" s="135"/>
      <c r="G675" s="135"/>
      <c r="H675" s="135"/>
      <c r="I675" s="135"/>
      <c r="J675" s="135"/>
      <c r="K675" s="135"/>
      <c r="L675" s="135"/>
      <c r="M675" s="135"/>
      <c r="N675" s="135"/>
      <c r="O675" s="135"/>
      <c r="P675" s="135"/>
      <c r="Q675" s="135"/>
      <c r="R675" s="135"/>
      <c r="S675" s="135"/>
      <c r="T675" s="135"/>
      <c r="U675" s="135"/>
      <c r="V675" s="135"/>
      <c r="W675" s="135"/>
      <c r="X675" s="135"/>
      <c r="Y675" s="135"/>
      <c r="Z675" s="135"/>
      <c r="AA675" s="135"/>
      <c r="AB675" s="135"/>
      <c r="AC675" s="135"/>
      <c r="AD675" s="135"/>
    </row>
    <row r="676" ht="28.5" customHeight="1">
      <c r="A676" s="135"/>
      <c r="B676" s="135"/>
      <c r="C676" s="135"/>
      <c r="D676" s="135"/>
      <c r="E676" s="135"/>
      <c r="F676" s="135"/>
      <c r="G676" s="135"/>
      <c r="H676" s="135"/>
      <c r="I676" s="135"/>
      <c r="J676" s="135"/>
      <c r="K676" s="135"/>
      <c r="L676" s="135"/>
      <c r="M676" s="135"/>
      <c r="N676" s="135"/>
      <c r="O676" s="135"/>
      <c r="P676" s="135"/>
      <c r="Q676" s="135"/>
      <c r="R676" s="135"/>
      <c r="S676" s="135"/>
      <c r="T676" s="135"/>
      <c r="U676" s="135"/>
      <c r="V676" s="135"/>
      <c r="W676" s="135"/>
      <c r="X676" s="135"/>
      <c r="Y676" s="135"/>
      <c r="Z676" s="135"/>
      <c r="AA676" s="135"/>
      <c r="AB676" s="135"/>
      <c r="AC676" s="135"/>
      <c r="AD676" s="135"/>
    </row>
    <row r="677" ht="28.5" customHeight="1">
      <c r="A677" s="135"/>
      <c r="B677" s="135"/>
      <c r="C677" s="135"/>
      <c r="D677" s="135"/>
      <c r="E677" s="135"/>
      <c r="F677" s="135"/>
      <c r="G677" s="135"/>
      <c r="H677" s="135"/>
      <c r="I677" s="135"/>
      <c r="J677" s="135"/>
      <c r="K677" s="135"/>
      <c r="L677" s="135"/>
      <c r="M677" s="135"/>
      <c r="N677" s="135"/>
      <c r="O677" s="135"/>
      <c r="P677" s="135"/>
      <c r="Q677" s="135"/>
      <c r="R677" s="135"/>
      <c r="S677" s="135"/>
      <c r="T677" s="135"/>
      <c r="U677" s="135"/>
      <c r="V677" s="135"/>
      <c r="W677" s="135"/>
      <c r="X677" s="135"/>
      <c r="Y677" s="135"/>
      <c r="Z677" s="135"/>
      <c r="AA677" s="135"/>
      <c r="AB677" s="135"/>
      <c r="AC677" s="135"/>
      <c r="AD677" s="135"/>
    </row>
    <row r="678" ht="28.5" customHeight="1">
      <c r="A678" s="135"/>
      <c r="B678" s="135"/>
      <c r="C678" s="135"/>
      <c r="D678" s="135"/>
      <c r="E678" s="135"/>
      <c r="F678" s="135"/>
      <c r="G678" s="135"/>
      <c r="H678" s="135"/>
      <c r="I678" s="135"/>
      <c r="J678" s="135"/>
      <c r="K678" s="135"/>
      <c r="L678" s="135"/>
      <c r="M678" s="135"/>
      <c r="N678" s="135"/>
      <c r="O678" s="135"/>
      <c r="P678" s="135"/>
      <c r="Q678" s="135"/>
      <c r="R678" s="135"/>
      <c r="S678" s="135"/>
      <c r="T678" s="135"/>
      <c r="U678" s="135"/>
      <c r="V678" s="135"/>
      <c r="W678" s="135"/>
      <c r="X678" s="135"/>
      <c r="Y678" s="135"/>
      <c r="Z678" s="135"/>
      <c r="AA678" s="135"/>
      <c r="AB678" s="135"/>
      <c r="AC678" s="135"/>
      <c r="AD678" s="135"/>
    </row>
    <row r="679" ht="28.5" customHeight="1">
      <c r="A679" s="135"/>
      <c r="B679" s="135"/>
      <c r="C679" s="135"/>
      <c r="D679" s="135"/>
      <c r="E679" s="135"/>
      <c r="F679" s="135"/>
      <c r="G679" s="135"/>
      <c r="H679" s="135"/>
      <c r="I679" s="135"/>
      <c r="J679" s="135"/>
      <c r="K679" s="135"/>
      <c r="L679" s="135"/>
      <c r="M679" s="135"/>
      <c r="N679" s="135"/>
      <c r="O679" s="135"/>
      <c r="P679" s="135"/>
      <c r="Q679" s="135"/>
      <c r="R679" s="135"/>
      <c r="S679" s="135"/>
      <c r="T679" s="135"/>
      <c r="U679" s="135"/>
      <c r="V679" s="135"/>
      <c r="W679" s="135"/>
      <c r="X679" s="135"/>
      <c r="Y679" s="135"/>
      <c r="Z679" s="135"/>
      <c r="AA679" s="135"/>
      <c r="AB679" s="135"/>
      <c r="AC679" s="135"/>
      <c r="AD679" s="135"/>
    </row>
    <row r="680" ht="28.5" customHeight="1">
      <c r="A680" s="135"/>
      <c r="B680" s="135"/>
      <c r="C680" s="135"/>
      <c r="D680" s="135"/>
      <c r="E680" s="135"/>
      <c r="F680" s="135"/>
      <c r="G680" s="135"/>
      <c r="H680" s="135"/>
      <c r="I680" s="135"/>
      <c r="J680" s="135"/>
      <c r="K680" s="135"/>
      <c r="L680" s="135"/>
      <c r="M680" s="135"/>
      <c r="N680" s="135"/>
      <c r="O680" s="135"/>
      <c r="P680" s="135"/>
      <c r="Q680" s="135"/>
      <c r="R680" s="135"/>
      <c r="S680" s="135"/>
      <c r="T680" s="135"/>
      <c r="U680" s="135"/>
      <c r="V680" s="135"/>
      <c r="W680" s="135"/>
      <c r="X680" s="135"/>
      <c r="Y680" s="135"/>
      <c r="Z680" s="135"/>
      <c r="AA680" s="135"/>
      <c r="AB680" s="135"/>
      <c r="AC680" s="135"/>
      <c r="AD680" s="135"/>
    </row>
    <row r="681" ht="28.5" customHeight="1">
      <c r="A681" s="135"/>
      <c r="B681" s="135"/>
      <c r="C681" s="135"/>
      <c r="D681" s="135"/>
      <c r="E681" s="135"/>
      <c r="F681" s="135"/>
      <c r="G681" s="135"/>
      <c r="H681" s="135"/>
      <c r="I681" s="135"/>
      <c r="J681" s="135"/>
      <c r="K681" s="135"/>
      <c r="L681" s="135"/>
      <c r="M681" s="135"/>
      <c r="N681" s="135"/>
      <c r="O681" s="135"/>
      <c r="P681" s="135"/>
      <c r="Q681" s="135"/>
      <c r="R681" s="135"/>
      <c r="S681" s="135"/>
      <c r="T681" s="135"/>
      <c r="U681" s="135"/>
      <c r="V681" s="135"/>
      <c r="W681" s="135"/>
      <c r="X681" s="135"/>
      <c r="Y681" s="135"/>
      <c r="Z681" s="135"/>
      <c r="AA681" s="135"/>
      <c r="AB681" s="135"/>
      <c r="AC681" s="135"/>
      <c r="AD681" s="135"/>
    </row>
    <row r="682" ht="28.5" customHeight="1">
      <c r="A682" s="135"/>
      <c r="B682" s="135"/>
      <c r="C682" s="135"/>
      <c r="D682" s="135"/>
      <c r="E682" s="135"/>
      <c r="F682" s="135"/>
      <c r="G682" s="135"/>
      <c r="H682" s="135"/>
      <c r="I682" s="135"/>
      <c r="J682" s="135"/>
      <c r="K682" s="135"/>
      <c r="L682" s="135"/>
      <c r="M682" s="135"/>
      <c r="N682" s="135"/>
      <c r="O682" s="135"/>
      <c r="P682" s="135"/>
      <c r="Q682" s="135"/>
      <c r="R682" s="135"/>
      <c r="S682" s="135"/>
      <c r="T682" s="135"/>
      <c r="U682" s="135"/>
      <c r="V682" s="135"/>
      <c r="W682" s="135"/>
      <c r="X682" s="135"/>
      <c r="Y682" s="135"/>
      <c r="Z682" s="135"/>
      <c r="AA682" s="135"/>
      <c r="AB682" s="135"/>
      <c r="AC682" s="135"/>
      <c r="AD682" s="135"/>
    </row>
    <row r="683" ht="28.5" customHeight="1">
      <c r="A683" s="135"/>
      <c r="B683" s="135"/>
      <c r="C683" s="135"/>
      <c r="D683" s="135"/>
      <c r="E683" s="135"/>
      <c r="F683" s="135"/>
      <c r="G683" s="135"/>
      <c r="H683" s="135"/>
      <c r="I683" s="135"/>
      <c r="J683" s="135"/>
      <c r="K683" s="135"/>
      <c r="L683" s="135"/>
      <c r="M683" s="135"/>
      <c r="N683" s="135"/>
      <c r="O683" s="135"/>
      <c r="P683" s="135"/>
      <c r="Q683" s="135"/>
      <c r="R683" s="135"/>
      <c r="S683" s="135"/>
      <c r="T683" s="135"/>
      <c r="U683" s="135"/>
      <c r="V683" s="135"/>
      <c r="W683" s="135"/>
      <c r="X683" s="135"/>
      <c r="Y683" s="135"/>
      <c r="Z683" s="135"/>
      <c r="AA683" s="135"/>
      <c r="AB683" s="135"/>
      <c r="AC683" s="135"/>
      <c r="AD683" s="135"/>
    </row>
    <row r="684" ht="28.5" customHeight="1">
      <c r="A684" s="135"/>
      <c r="B684" s="135"/>
      <c r="C684" s="135"/>
      <c r="D684" s="135"/>
      <c r="E684" s="135"/>
      <c r="F684" s="135"/>
      <c r="G684" s="135"/>
      <c r="H684" s="135"/>
      <c r="I684" s="135"/>
      <c r="J684" s="135"/>
      <c r="K684" s="135"/>
      <c r="L684" s="135"/>
      <c r="M684" s="135"/>
      <c r="N684" s="135"/>
      <c r="O684" s="135"/>
      <c r="P684" s="135"/>
      <c r="Q684" s="135"/>
      <c r="R684" s="135"/>
      <c r="S684" s="135"/>
      <c r="T684" s="135"/>
      <c r="U684" s="135"/>
      <c r="V684" s="135"/>
      <c r="W684" s="135"/>
      <c r="X684" s="135"/>
      <c r="Y684" s="135"/>
      <c r="Z684" s="135"/>
      <c r="AA684" s="135"/>
      <c r="AB684" s="135"/>
      <c r="AC684" s="135"/>
      <c r="AD684" s="135"/>
    </row>
    <row r="685" ht="28.5" customHeight="1">
      <c r="A685" s="135"/>
      <c r="B685" s="135"/>
      <c r="C685" s="135"/>
      <c r="D685" s="135"/>
      <c r="E685" s="135"/>
      <c r="F685" s="135"/>
      <c r="G685" s="135"/>
      <c r="H685" s="135"/>
      <c r="I685" s="135"/>
      <c r="J685" s="135"/>
      <c r="K685" s="135"/>
      <c r="L685" s="135"/>
      <c r="M685" s="135"/>
      <c r="N685" s="135"/>
      <c r="O685" s="135"/>
      <c r="P685" s="135"/>
      <c r="Q685" s="135"/>
      <c r="R685" s="135"/>
      <c r="S685" s="135"/>
      <c r="T685" s="135"/>
      <c r="U685" s="135"/>
      <c r="V685" s="135"/>
      <c r="W685" s="135"/>
      <c r="X685" s="135"/>
      <c r="Y685" s="135"/>
      <c r="Z685" s="135"/>
      <c r="AA685" s="135"/>
      <c r="AB685" s="135"/>
      <c r="AC685" s="135"/>
      <c r="AD685" s="135"/>
    </row>
    <row r="686" ht="28.5" customHeight="1">
      <c r="A686" s="135"/>
      <c r="B686" s="135"/>
      <c r="C686" s="135"/>
      <c r="D686" s="135"/>
      <c r="E686" s="135"/>
      <c r="F686" s="135"/>
      <c r="G686" s="135"/>
      <c r="H686" s="135"/>
      <c r="I686" s="135"/>
      <c r="J686" s="135"/>
      <c r="K686" s="135"/>
      <c r="L686" s="135"/>
      <c r="M686" s="135"/>
      <c r="N686" s="135"/>
      <c r="O686" s="135"/>
      <c r="P686" s="135"/>
      <c r="Q686" s="135"/>
      <c r="R686" s="135"/>
      <c r="S686" s="135"/>
      <c r="T686" s="135"/>
      <c r="U686" s="135"/>
      <c r="V686" s="135"/>
      <c r="W686" s="135"/>
      <c r="X686" s="135"/>
      <c r="Y686" s="135"/>
      <c r="Z686" s="135"/>
      <c r="AA686" s="135"/>
      <c r="AB686" s="135"/>
      <c r="AC686" s="135"/>
      <c r="AD686" s="135"/>
    </row>
    <row r="687" ht="28.5" customHeight="1">
      <c r="A687" s="135"/>
      <c r="B687" s="135"/>
      <c r="C687" s="135"/>
      <c r="D687" s="135"/>
      <c r="E687" s="135"/>
      <c r="F687" s="135"/>
      <c r="G687" s="135"/>
      <c r="H687" s="135"/>
      <c r="I687" s="135"/>
      <c r="J687" s="135"/>
      <c r="K687" s="135"/>
      <c r="L687" s="135"/>
      <c r="M687" s="135"/>
      <c r="N687" s="135"/>
      <c r="O687" s="135"/>
      <c r="P687" s="135"/>
      <c r="Q687" s="135"/>
      <c r="R687" s="135"/>
      <c r="S687" s="135"/>
      <c r="T687" s="135"/>
      <c r="U687" s="135"/>
      <c r="V687" s="135"/>
      <c r="W687" s="135"/>
      <c r="X687" s="135"/>
      <c r="Y687" s="135"/>
      <c r="Z687" s="135"/>
      <c r="AA687" s="135"/>
      <c r="AB687" s="135"/>
      <c r="AC687" s="135"/>
      <c r="AD687" s="135"/>
    </row>
    <row r="688" ht="28.5" customHeight="1">
      <c r="A688" s="135"/>
      <c r="B688" s="135"/>
      <c r="C688" s="135"/>
      <c r="D688" s="135"/>
      <c r="E688" s="135"/>
      <c r="F688" s="135"/>
      <c r="G688" s="135"/>
      <c r="H688" s="135"/>
      <c r="I688" s="135"/>
      <c r="J688" s="135"/>
      <c r="K688" s="135"/>
      <c r="L688" s="135"/>
      <c r="M688" s="135"/>
      <c r="N688" s="135"/>
      <c r="O688" s="135"/>
      <c r="P688" s="135"/>
      <c r="Q688" s="135"/>
      <c r="R688" s="135"/>
      <c r="S688" s="135"/>
      <c r="T688" s="135"/>
      <c r="U688" s="135"/>
      <c r="V688" s="135"/>
      <c r="W688" s="135"/>
      <c r="X688" s="135"/>
      <c r="Y688" s="135"/>
      <c r="Z688" s="135"/>
      <c r="AA688" s="135"/>
      <c r="AB688" s="135"/>
      <c r="AC688" s="135"/>
      <c r="AD688" s="135"/>
    </row>
    <row r="689" ht="28.5" customHeight="1">
      <c r="A689" s="135"/>
      <c r="B689" s="135"/>
      <c r="C689" s="135"/>
      <c r="D689" s="135"/>
      <c r="E689" s="135"/>
      <c r="F689" s="135"/>
      <c r="G689" s="135"/>
      <c r="H689" s="135"/>
      <c r="I689" s="135"/>
      <c r="J689" s="135"/>
      <c r="K689" s="135"/>
      <c r="L689" s="135"/>
      <c r="M689" s="135"/>
      <c r="N689" s="135"/>
      <c r="O689" s="135"/>
      <c r="P689" s="135"/>
      <c r="Q689" s="135"/>
      <c r="R689" s="135"/>
      <c r="S689" s="135"/>
      <c r="T689" s="135"/>
      <c r="U689" s="135"/>
      <c r="V689" s="135"/>
      <c r="W689" s="135"/>
      <c r="X689" s="135"/>
      <c r="Y689" s="135"/>
      <c r="Z689" s="135"/>
      <c r="AA689" s="135"/>
      <c r="AB689" s="135"/>
      <c r="AC689" s="135"/>
      <c r="AD689" s="135"/>
    </row>
    <row r="690" ht="28.5" customHeight="1">
      <c r="A690" s="135"/>
      <c r="B690" s="135"/>
      <c r="C690" s="135"/>
      <c r="D690" s="135"/>
      <c r="E690" s="135"/>
      <c r="F690" s="135"/>
      <c r="G690" s="135"/>
      <c r="H690" s="135"/>
      <c r="I690" s="135"/>
      <c r="J690" s="135"/>
      <c r="K690" s="135"/>
      <c r="L690" s="135"/>
      <c r="M690" s="135"/>
      <c r="N690" s="135"/>
      <c r="O690" s="135"/>
      <c r="P690" s="135"/>
      <c r="Q690" s="135"/>
      <c r="R690" s="135"/>
      <c r="S690" s="135"/>
      <c r="T690" s="135"/>
      <c r="U690" s="135"/>
      <c r="V690" s="135"/>
      <c r="W690" s="135"/>
      <c r="X690" s="135"/>
      <c r="Y690" s="135"/>
      <c r="Z690" s="135"/>
      <c r="AA690" s="135"/>
      <c r="AB690" s="135"/>
      <c r="AC690" s="135"/>
      <c r="AD690" s="135"/>
    </row>
    <row r="691" ht="28.5" customHeight="1">
      <c r="A691" s="135"/>
      <c r="B691" s="135"/>
      <c r="C691" s="135"/>
      <c r="D691" s="135"/>
      <c r="E691" s="135"/>
      <c r="F691" s="135"/>
      <c r="G691" s="135"/>
      <c r="H691" s="135"/>
      <c r="I691" s="135"/>
      <c r="J691" s="135"/>
      <c r="K691" s="135"/>
      <c r="L691" s="135"/>
      <c r="M691" s="135"/>
      <c r="N691" s="135"/>
      <c r="O691" s="135"/>
      <c r="P691" s="135"/>
      <c r="Q691" s="135"/>
      <c r="R691" s="135"/>
      <c r="S691" s="135"/>
      <c r="T691" s="135"/>
      <c r="U691" s="135"/>
      <c r="V691" s="135"/>
      <c r="W691" s="135"/>
      <c r="X691" s="135"/>
      <c r="Y691" s="135"/>
      <c r="Z691" s="135"/>
      <c r="AA691" s="135"/>
      <c r="AB691" s="135"/>
      <c r="AC691" s="135"/>
      <c r="AD691" s="135"/>
    </row>
    <row r="692" ht="28.5" customHeight="1">
      <c r="A692" s="135"/>
      <c r="B692" s="135"/>
      <c r="C692" s="135"/>
      <c r="D692" s="135"/>
      <c r="E692" s="135"/>
      <c r="F692" s="135"/>
      <c r="G692" s="135"/>
      <c r="H692" s="135"/>
      <c r="I692" s="135"/>
      <c r="J692" s="135"/>
      <c r="K692" s="135"/>
      <c r="L692" s="135"/>
      <c r="M692" s="135"/>
      <c r="N692" s="135"/>
      <c r="O692" s="135"/>
      <c r="P692" s="135"/>
      <c r="Q692" s="135"/>
      <c r="R692" s="135"/>
      <c r="S692" s="135"/>
      <c r="T692" s="135"/>
      <c r="U692" s="135"/>
      <c r="V692" s="135"/>
      <c r="W692" s="135"/>
      <c r="X692" s="135"/>
      <c r="Y692" s="135"/>
      <c r="Z692" s="135"/>
      <c r="AA692" s="135"/>
      <c r="AB692" s="135"/>
      <c r="AC692" s="135"/>
      <c r="AD692" s="135"/>
    </row>
    <row r="693" ht="28.5" customHeight="1">
      <c r="A693" s="135"/>
      <c r="B693" s="135"/>
      <c r="C693" s="135"/>
      <c r="D693" s="135"/>
      <c r="E693" s="135"/>
      <c r="F693" s="135"/>
      <c r="G693" s="135"/>
      <c r="H693" s="135"/>
      <c r="I693" s="135"/>
      <c r="J693" s="135"/>
      <c r="K693" s="135"/>
      <c r="L693" s="135"/>
      <c r="M693" s="135"/>
      <c r="N693" s="135"/>
      <c r="O693" s="135"/>
      <c r="P693" s="135"/>
      <c r="Q693" s="135"/>
      <c r="R693" s="135"/>
      <c r="S693" s="135"/>
      <c r="T693" s="135"/>
      <c r="U693" s="135"/>
      <c r="V693" s="135"/>
      <c r="W693" s="135"/>
      <c r="X693" s="135"/>
      <c r="Y693" s="135"/>
      <c r="Z693" s="135"/>
      <c r="AA693" s="135"/>
      <c r="AB693" s="135"/>
      <c r="AC693" s="135"/>
      <c r="AD693" s="135"/>
    </row>
    <row r="694" ht="28.5" customHeight="1">
      <c r="A694" s="135"/>
      <c r="B694" s="135"/>
      <c r="C694" s="135"/>
      <c r="D694" s="135"/>
      <c r="E694" s="135"/>
      <c r="F694" s="135"/>
      <c r="G694" s="135"/>
      <c r="H694" s="135"/>
      <c r="I694" s="135"/>
      <c r="J694" s="135"/>
      <c r="K694" s="135"/>
      <c r="L694" s="135"/>
      <c r="M694" s="135"/>
      <c r="N694" s="135"/>
      <c r="O694" s="135"/>
      <c r="P694" s="135"/>
      <c r="Q694" s="135"/>
      <c r="R694" s="135"/>
      <c r="S694" s="135"/>
      <c r="T694" s="135"/>
      <c r="U694" s="135"/>
      <c r="V694" s="135"/>
      <c r="W694" s="135"/>
      <c r="X694" s="135"/>
      <c r="Y694" s="135"/>
      <c r="Z694" s="135"/>
      <c r="AA694" s="135"/>
      <c r="AB694" s="135"/>
      <c r="AC694" s="135"/>
      <c r="AD694" s="135"/>
    </row>
    <row r="695" ht="28.5" customHeight="1">
      <c r="A695" s="135"/>
      <c r="B695" s="135"/>
      <c r="C695" s="135"/>
      <c r="D695" s="135"/>
      <c r="E695" s="135"/>
      <c r="F695" s="135"/>
      <c r="G695" s="135"/>
      <c r="H695" s="135"/>
      <c r="I695" s="135"/>
      <c r="J695" s="135"/>
      <c r="K695" s="135"/>
      <c r="L695" s="135"/>
      <c r="M695" s="135"/>
      <c r="N695" s="135"/>
      <c r="O695" s="135"/>
      <c r="P695" s="135"/>
      <c r="Q695" s="135"/>
      <c r="R695" s="135"/>
      <c r="S695" s="135"/>
      <c r="T695" s="135"/>
      <c r="U695" s="135"/>
      <c r="V695" s="135"/>
      <c r="W695" s="135"/>
      <c r="X695" s="135"/>
      <c r="Y695" s="135"/>
      <c r="Z695" s="135"/>
      <c r="AA695" s="135"/>
      <c r="AB695" s="135"/>
      <c r="AC695" s="135"/>
      <c r="AD695" s="135"/>
    </row>
    <row r="696" ht="28.5" customHeight="1">
      <c r="A696" s="135"/>
      <c r="B696" s="135"/>
      <c r="C696" s="135"/>
      <c r="D696" s="135"/>
      <c r="E696" s="135"/>
      <c r="F696" s="135"/>
      <c r="G696" s="135"/>
      <c r="H696" s="135"/>
      <c r="I696" s="135"/>
      <c r="J696" s="135"/>
      <c r="K696" s="135"/>
      <c r="L696" s="135"/>
      <c r="M696" s="135"/>
      <c r="N696" s="135"/>
      <c r="O696" s="135"/>
      <c r="P696" s="135"/>
      <c r="Q696" s="135"/>
      <c r="R696" s="135"/>
      <c r="S696" s="135"/>
      <c r="T696" s="135"/>
      <c r="U696" s="135"/>
      <c r="V696" s="135"/>
      <c r="W696" s="135"/>
      <c r="X696" s="135"/>
      <c r="Y696" s="135"/>
      <c r="Z696" s="135"/>
      <c r="AA696" s="135"/>
      <c r="AB696" s="135"/>
      <c r="AC696" s="135"/>
      <c r="AD696" s="135"/>
    </row>
    <row r="697" ht="28.5" customHeight="1">
      <c r="A697" s="135"/>
      <c r="B697" s="135"/>
      <c r="C697" s="135"/>
      <c r="D697" s="135"/>
      <c r="E697" s="135"/>
      <c r="F697" s="135"/>
      <c r="G697" s="135"/>
      <c r="H697" s="135"/>
      <c r="I697" s="135"/>
      <c r="J697" s="135"/>
      <c r="K697" s="135"/>
      <c r="L697" s="135"/>
      <c r="M697" s="135"/>
      <c r="N697" s="135"/>
      <c r="O697" s="135"/>
      <c r="P697" s="135"/>
      <c r="Q697" s="135"/>
      <c r="R697" s="135"/>
      <c r="S697" s="135"/>
      <c r="T697" s="135"/>
      <c r="U697" s="135"/>
      <c r="V697" s="135"/>
      <c r="W697" s="135"/>
      <c r="X697" s="135"/>
      <c r="Y697" s="135"/>
      <c r="Z697" s="135"/>
      <c r="AA697" s="135"/>
      <c r="AB697" s="135"/>
      <c r="AC697" s="135"/>
      <c r="AD697" s="135"/>
    </row>
    <row r="698" ht="28.5" customHeight="1">
      <c r="A698" s="135"/>
      <c r="B698" s="135"/>
      <c r="C698" s="135"/>
      <c r="D698" s="135"/>
      <c r="E698" s="135"/>
      <c r="F698" s="135"/>
      <c r="G698" s="135"/>
      <c r="H698" s="135"/>
      <c r="I698" s="135"/>
      <c r="J698" s="135"/>
      <c r="K698" s="135"/>
      <c r="L698" s="135"/>
      <c r="M698" s="135"/>
      <c r="N698" s="135"/>
      <c r="O698" s="135"/>
      <c r="P698" s="135"/>
      <c r="Q698" s="135"/>
      <c r="R698" s="135"/>
      <c r="S698" s="135"/>
      <c r="T698" s="135"/>
      <c r="U698" s="135"/>
      <c r="V698" s="135"/>
      <c r="W698" s="135"/>
      <c r="X698" s="135"/>
      <c r="Y698" s="135"/>
      <c r="Z698" s="135"/>
      <c r="AA698" s="135"/>
      <c r="AB698" s="135"/>
      <c r="AC698" s="135"/>
      <c r="AD698" s="135"/>
    </row>
    <row r="699" ht="28.5" customHeight="1">
      <c r="A699" s="135"/>
      <c r="B699" s="135"/>
      <c r="C699" s="135"/>
      <c r="D699" s="135"/>
      <c r="E699" s="135"/>
      <c r="F699" s="135"/>
      <c r="G699" s="135"/>
      <c r="H699" s="135"/>
      <c r="I699" s="135"/>
      <c r="J699" s="135"/>
      <c r="K699" s="135"/>
      <c r="L699" s="135"/>
      <c r="M699" s="135"/>
      <c r="N699" s="135"/>
      <c r="O699" s="135"/>
      <c r="P699" s="135"/>
      <c r="Q699" s="135"/>
      <c r="R699" s="135"/>
      <c r="S699" s="135"/>
      <c r="T699" s="135"/>
      <c r="U699" s="135"/>
      <c r="V699" s="135"/>
      <c r="W699" s="135"/>
      <c r="X699" s="135"/>
      <c r="Y699" s="135"/>
      <c r="Z699" s="135"/>
      <c r="AA699" s="135"/>
      <c r="AB699" s="135"/>
      <c r="AC699" s="135"/>
      <c r="AD699" s="135"/>
    </row>
    <row r="700" ht="28.5" customHeight="1">
      <c r="A700" s="135"/>
      <c r="B700" s="135"/>
      <c r="C700" s="135"/>
      <c r="D700" s="135"/>
      <c r="E700" s="135"/>
      <c r="F700" s="135"/>
      <c r="G700" s="135"/>
      <c r="H700" s="135"/>
      <c r="I700" s="135"/>
      <c r="J700" s="135"/>
      <c r="K700" s="135"/>
      <c r="L700" s="135"/>
      <c r="M700" s="135"/>
      <c r="N700" s="135"/>
      <c r="O700" s="135"/>
      <c r="P700" s="135"/>
      <c r="Q700" s="135"/>
      <c r="R700" s="135"/>
      <c r="S700" s="135"/>
      <c r="T700" s="135"/>
      <c r="U700" s="135"/>
      <c r="V700" s="135"/>
      <c r="W700" s="135"/>
      <c r="X700" s="135"/>
      <c r="Y700" s="135"/>
      <c r="Z700" s="135"/>
      <c r="AA700" s="135"/>
      <c r="AB700" s="135"/>
      <c r="AC700" s="135"/>
      <c r="AD700" s="135"/>
    </row>
    <row r="701" ht="28.5" customHeight="1">
      <c r="A701" s="135"/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35"/>
      <c r="Q701" s="135"/>
      <c r="R701" s="135"/>
      <c r="S701" s="135"/>
      <c r="T701" s="135"/>
      <c r="U701" s="135"/>
      <c r="V701" s="135"/>
      <c r="W701" s="135"/>
      <c r="X701" s="135"/>
      <c r="Y701" s="135"/>
      <c r="Z701" s="135"/>
      <c r="AA701" s="135"/>
      <c r="AB701" s="135"/>
      <c r="AC701" s="135"/>
      <c r="AD701" s="135"/>
    </row>
    <row r="702" ht="28.5" customHeight="1">
      <c r="A702" s="135"/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35"/>
      <c r="Q702" s="135"/>
      <c r="R702" s="135"/>
      <c r="S702" s="135"/>
      <c r="T702" s="135"/>
      <c r="U702" s="135"/>
      <c r="V702" s="135"/>
      <c r="W702" s="135"/>
      <c r="X702" s="135"/>
      <c r="Y702" s="135"/>
      <c r="Z702" s="135"/>
      <c r="AA702" s="135"/>
      <c r="AB702" s="135"/>
      <c r="AC702" s="135"/>
      <c r="AD702" s="135"/>
    </row>
    <row r="703" ht="28.5" customHeight="1">
      <c r="A703" s="135"/>
      <c r="B703" s="135"/>
      <c r="C703" s="135"/>
      <c r="D703" s="135"/>
      <c r="E703" s="135"/>
      <c r="F703" s="135"/>
      <c r="G703" s="135"/>
      <c r="H703" s="135"/>
      <c r="I703" s="135"/>
      <c r="J703" s="135"/>
      <c r="K703" s="135"/>
      <c r="L703" s="135"/>
      <c r="M703" s="135"/>
      <c r="N703" s="135"/>
      <c r="O703" s="135"/>
      <c r="P703" s="135"/>
      <c r="Q703" s="135"/>
      <c r="R703" s="135"/>
      <c r="S703" s="135"/>
      <c r="T703" s="135"/>
      <c r="U703" s="135"/>
      <c r="V703" s="135"/>
      <c r="W703" s="135"/>
      <c r="X703" s="135"/>
      <c r="Y703" s="135"/>
      <c r="Z703" s="135"/>
      <c r="AA703" s="135"/>
      <c r="AB703" s="135"/>
      <c r="AC703" s="135"/>
      <c r="AD703" s="135"/>
    </row>
    <row r="704" ht="28.5" customHeight="1">
      <c r="A704" s="135"/>
      <c r="B704" s="135"/>
      <c r="C704" s="135"/>
      <c r="D704" s="135"/>
      <c r="E704" s="135"/>
      <c r="F704" s="135"/>
      <c r="G704" s="135"/>
      <c r="H704" s="135"/>
      <c r="I704" s="135"/>
      <c r="J704" s="135"/>
      <c r="K704" s="135"/>
      <c r="L704" s="135"/>
      <c r="M704" s="135"/>
      <c r="N704" s="135"/>
      <c r="O704" s="135"/>
      <c r="P704" s="135"/>
      <c r="Q704" s="135"/>
      <c r="R704" s="135"/>
      <c r="S704" s="135"/>
      <c r="T704" s="135"/>
      <c r="U704" s="135"/>
      <c r="V704" s="135"/>
      <c r="W704" s="135"/>
      <c r="X704" s="135"/>
      <c r="Y704" s="135"/>
      <c r="Z704" s="135"/>
      <c r="AA704" s="135"/>
      <c r="AB704" s="135"/>
      <c r="AC704" s="135"/>
      <c r="AD704" s="135"/>
    </row>
    <row r="705" ht="28.5" customHeight="1">
      <c r="A705" s="135"/>
      <c r="B705" s="135"/>
      <c r="C705" s="135"/>
      <c r="D705" s="135"/>
      <c r="E705" s="135"/>
      <c r="F705" s="135"/>
      <c r="G705" s="135"/>
      <c r="H705" s="135"/>
      <c r="I705" s="135"/>
      <c r="J705" s="135"/>
      <c r="K705" s="135"/>
      <c r="L705" s="135"/>
      <c r="M705" s="135"/>
      <c r="N705" s="135"/>
      <c r="O705" s="135"/>
      <c r="P705" s="135"/>
      <c r="Q705" s="135"/>
      <c r="R705" s="135"/>
      <c r="S705" s="135"/>
      <c r="T705" s="135"/>
      <c r="U705" s="135"/>
      <c r="V705" s="135"/>
      <c r="W705" s="135"/>
      <c r="X705" s="135"/>
      <c r="Y705" s="135"/>
      <c r="Z705" s="135"/>
      <c r="AA705" s="135"/>
      <c r="AB705" s="135"/>
      <c r="AC705" s="135"/>
      <c r="AD705" s="135"/>
    </row>
    <row r="706" ht="28.5" customHeight="1">
      <c r="A706" s="135"/>
      <c r="B706" s="135"/>
      <c r="C706" s="135"/>
      <c r="D706" s="135"/>
      <c r="E706" s="135"/>
      <c r="F706" s="135"/>
      <c r="G706" s="135"/>
      <c r="H706" s="135"/>
      <c r="I706" s="135"/>
      <c r="J706" s="135"/>
      <c r="K706" s="135"/>
      <c r="L706" s="135"/>
      <c r="M706" s="135"/>
      <c r="N706" s="135"/>
      <c r="O706" s="135"/>
      <c r="P706" s="135"/>
      <c r="Q706" s="135"/>
      <c r="R706" s="135"/>
      <c r="S706" s="135"/>
      <c r="T706" s="135"/>
      <c r="U706" s="135"/>
      <c r="V706" s="135"/>
      <c r="W706" s="135"/>
      <c r="X706" s="135"/>
      <c r="Y706" s="135"/>
      <c r="Z706" s="135"/>
      <c r="AA706" s="135"/>
      <c r="AB706" s="135"/>
      <c r="AC706" s="135"/>
      <c r="AD706" s="135"/>
    </row>
    <row r="707" ht="28.5" customHeight="1">
      <c r="A707" s="135"/>
      <c r="B707" s="135"/>
      <c r="C707" s="135"/>
      <c r="D707" s="135"/>
      <c r="E707" s="135"/>
      <c r="F707" s="135"/>
      <c r="G707" s="135"/>
      <c r="H707" s="135"/>
      <c r="I707" s="135"/>
      <c r="J707" s="135"/>
      <c r="K707" s="135"/>
      <c r="L707" s="135"/>
      <c r="M707" s="135"/>
      <c r="N707" s="135"/>
      <c r="O707" s="135"/>
      <c r="P707" s="135"/>
      <c r="Q707" s="135"/>
      <c r="R707" s="135"/>
      <c r="S707" s="135"/>
      <c r="T707" s="135"/>
      <c r="U707" s="135"/>
      <c r="V707" s="135"/>
      <c r="W707" s="135"/>
      <c r="X707" s="135"/>
      <c r="Y707" s="135"/>
      <c r="Z707" s="135"/>
      <c r="AA707" s="135"/>
      <c r="AB707" s="135"/>
      <c r="AC707" s="135"/>
      <c r="AD707" s="135"/>
    </row>
    <row r="708" ht="28.5" customHeight="1">
      <c r="A708" s="135"/>
      <c r="B708" s="135"/>
      <c r="C708" s="135"/>
      <c r="D708" s="135"/>
      <c r="E708" s="135"/>
      <c r="F708" s="135"/>
      <c r="G708" s="135"/>
      <c r="H708" s="135"/>
      <c r="I708" s="135"/>
      <c r="J708" s="135"/>
      <c r="K708" s="135"/>
      <c r="L708" s="135"/>
      <c r="M708" s="135"/>
      <c r="N708" s="135"/>
      <c r="O708" s="135"/>
      <c r="P708" s="135"/>
      <c r="Q708" s="135"/>
      <c r="R708" s="135"/>
      <c r="S708" s="135"/>
      <c r="T708" s="135"/>
      <c r="U708" s="135"/>
      <c r="V708" s="135"/>
      <c r="W708" s="135"/>
      <c r="X708" s="135"/>
      <c r="Y708" s="135"/>
      <c r="Z708" s="135"/>
      <c r="AA708" s="135"/>
      <c r="AB708" s="135"/>
      <c r="AC708" s="135"/>
      <c r="AD708" s="135"/>
    </row>
    <row r="709" ht="28.5" customHeight="1">
      <c r="A709" s="135"/>
      <c r="B709" s="135"/>
      <c r="C709" s="135"/>
      <c r="D709" s="135"/>
      <c r="E709" s="135"/>
      <c r="F709" s="135"/>
      <c r="G709" s="135"/>
      <c r="H709" s="135"/>
      <c r="I709" s="135"/>
      <c r="J709" s="135"/>
      <c r="K709" s="135"/>
      <c r="L709" s="135"/>
      <c r="M709" s="135"/>
      <c r="N709" s="135"/>
      <c r="O709" s="135"/>
      <c r="P709" s="135"/>
      <c r="Q709" s="135"/>
      <c r="R709" s="135"/>
      <c r="S709" s="135"/>
      <c r="T709" s="135"/>
      <c r="U709" s="135"/>
      <c r="V709" s="135"/>
      <c r="W709" s="135"/>
      <c r="X709" s="135"/>
      <c r="Y709" s="135"/>
      <c r="Z709" s="135"/>
      <c r="AA709" s="135"/>
      <c r="AB709" s="135"/>
      <c r="AC709" s="135"/>
      <c r="AD709" s="135"/>
    </row>
    <row r="710" ht="28.5" customHeight="1">
      <c r="A710" s="135"/>
      <c r="B710" s="135"/>
      <c r="C710" s="135"/>
      <c r="D710" s="135"/>
      <c r="E710" s="135"/>
      <c r="F710" s="135"/>
      <c r="G710" s="135"/>
      <c r="H710" s="135"/>
      <c r="I710" s="135"/>
      <c r="J710" s="135"/>
      <c r="K710" s="135"/>
      <c r="L710" s="135"/>
      <c r="M710" s="135"/>
      <c r="N710" s="135"/>
      <c r="O710" s="135"/>
      <c r="P710" s="135"/>
      <c r="Q710" s="135"/>
      <c r="R710" s="135"/>
      <c r="S710" s="135"/>
      <c r="T710" s="135"/>
      <c r="U710" s="135"/>
      <c r="V710" s="135"/>
      <c r="W710" s="135"/>
      <c r="X710" s="135"/>
      <c r="Y710" s="135"/>
      <c r="Z710" s="135"/>
      <c r="AA710" s="135"/>
      <c r="AB710" s="135"/>
      <c r="AC710" s="135"/>
      <c r="AD710" s="135"/>
    </row>
    <row r="711" ht="28.5" customHeight="1">
      <c r="A711" s="135"/>
      <c r="B711" s="135"/>
      <c r="C711" s="135"/>
      <c r="D711" s="135"/>
      <c r="E711" s="135"/>
      <c r="F711" s="135"/>
      <c r="G711" s="135"/>
      <c r="H711" s="135"/>
      <c r="I711" s="135"/>
      <c r="J711" s="135"/>
      <c r="K711" s="135"/>
      <c r="L711" s="135"/>
      <c r="M711" s="135"/>
      <c r="N711" s="135"/>
      <c r="O711" s="135"/>
      <c r="P711" s="135"/>
      <c r="Q711" s="135"/>
      <c r="R711" s="135"/>
      <c r="S711" s="135"/>
      <c r="T711" s="135"/>
      <c r="U711" s="135"/>
      <c r="V711" s="135"/>
      <c r="W711" s="135"/>
      <c r="X711" s="135"/>
      <c r="Y711" s="135"/>
      <c r="Z711" s="135"/>
      <c r="AA711" s="135"/>
      <c r="AB711" s="135"/>
      <c r="AC711" s="135"/>
      <c r="AD711" s="135"/>
    </row>
    <row r="712" ht="28.5" customHeight="1">
      <c r="A712" s="135"/>
      <c r="B712" s="135"/>
      <c r="C712" s="135"/>
      <c r="D712" s="135"/>
      <c r="E712" s="135"/>
      <c r="F712" s="135"/>
      <c r="G712" s="135"/>
      <c r="H712" s="135"/>
      <c r="I712" s="135"/>
      <c r="J712" s="135"/>
      <c r="K712" s="135"/>
      <c r="L712" s="135"/>
      <c r="M712" s="135"/>
      <c r="N712" s="135"/>
      <c r="O712" s="135"/>
      <c r="P712" s="135"/>
      <c r="Q712" s="135"/>
      <c r="R712" s="135"/>
      <c r="S712" s="135"/>
      <c r="T712" s="135"/>
      <c r="U712" s="135"/>
      <c r="V712" s="135"/>
      <c r="W712" s="135"/>
      <c r="X712" s="135"/>
      <c r="Y712" s="135"/>
      <c r="Z712" s="135"/>
      <c r="AA712" s="135"/>
      <c r="AB712" s="135"/>
      <c r="AC712" s="135"/>
      <c r="AD712" s="135"/>
    </row>
    <row r="713" ht="28.5" customHeight="1">
      <c r="A713" s="135"/>
      <c r="B713" s="135"/>
      <c r="C713" s="135"/>
      <c r="D713" s="135"/>
      <c r="E713" s="135"/>
      <c r="F713" s="135"/>
      <c r="G713" s="135"/>
      <c r="H713" s="135"/>
      <c r="I713" s="135"/>
      <c r="J713" s="135"/>
      <c r="K713" s="135"/>
      <c r="L713" s="135"/>
      <c r="M713" s="135"/>
      <c r="N713" s="135"/>
      <c r="O713" s="135"/>
      <c r="P713" s="135"/>
      <c r="Q713" s="135"/>
      <c r="R713" s="135"/>
      <c r="S713" s="135"/>
      <c r="T713" s="135"/>
      <c r="U713" s="135"/>
      <c r="V713" s="135"/>
      <c r="W713" s="135"/>
      <c r="X713" s="135"/>
      <c r="Y713" s="135"/>
      <c r="Z713" s="135"/>
      <c r="AA713" s="135"/>
      <c r="AB713" s="135"/>
      <c r="AC713" s="135"/>
      <c r="AD713" s="135"/>
    </row>
    <row r="714" ht="28.5" customHeight="1">
      <c r="A714" s="135"/>
      <c r="B714" s="135"/>
      <c r="C714" s="135"/>
      <c r="D714" s="135"/>
      <c r="E714" s="135"/>
      <c r="F714" s="135"/>
      <c r="G714" s="135"/>
      <c r="H714" s="135"/>
      <c r="I714" s="135"/>
      <c r="J714" s="135"/>
      <c r="K714" s="135"/>
      <c r="L714" s="135"/>
      <c r="M714" s="135"/>
      <c r="N714" s="135"/>
      <c r="O714" s="135"/>
      <c r="P714" s="135"/>
      <c r="Q714" s="135"/>
      <c r="R714" s="135"/>
      <c r="S714" s="135"/>
      <c r="T714" s="135"/>
      <c r="U714" s="135"/>
      <c r="V714" s="135"/>
      <c r="W714" s="135"/>
      <c r="X714" s="135"/>
      <c r="Y714" s="135"/>
      <c r="Z714" s="135"/>
      <c r="AA714" s="135"/>
      <c r="AB714" s="135"/>
      <c r="AC714" s="135"/>
      <c r="AD714" s="135"/>
    </row>
    <row r="715" ht="28.5" customHeight="1">
      <c r="A715" s="135"/>
      <c r="B715" s="135"/>
      <c r="C715" s="135"/>
      <c r="D715" s="135"/>
      <c r="E715" s="135"/>
      <c r="F715" s="135"/>
      <c r="G715" s="135"/>
      <c r="H715" s="135"/>
      <c r="I715" s="135"/>
      <c r="J715" s="135"/>
      <c r="K715" s="135"/>
      <c r="L715" s="135"/>
      <c r="M715" s="135"/>
      <c r="N715" s="135"/>
      <c r="O715" s="135"/>
      <c r="P715" s="135"/>
      <c r="Q715" s="135"/>
      <c r="R715" s="135"/>
      <c r="S715" s="135"/>
      <c r="T715" s="135"/>
      <c r="U715" s="135"/>
      <c r="V715" s="135"/>
      <c r="W715" s="135"/>
      <c r="X715" s="135"/>
      <c r="Y715" s="135"/>
      <c r="Z715" s="135"/>
      <c r="AA715" s="135"/>
      <c r="AB715" s="135"/>
      <c r="AC715" s="135"/>
      <c r="AD715" s="135"/>
    </row>
    <row r="716" ht="28.5" customHeight="1">
      <c r="A716" s="135"/>
      <c r="B716" s="135"/>
      <c r="C716" s="135"/>
      <c r="D716" s="135"/>
      <c r="E716" s="135"/>
      <c r="F716" s="135"/>
      <c r="G716" s="135"/>
      <c r="H716" s="135"/>
      <c r="I716" s="135"/>
      <c r="J716" s="135"/>
      <c r="K716" s="135"/>
      <c r="L716" s="135"/>
      <c r="M716" s="135"/>
      <c r="N716" s="135"/>
      <c r="O716" s="135"/>
      <c r="P716" s="135"/>
      <c r="Q716" s="135"/>
      <c r="R716" s="135"/>
      <c r="S716" s="135"/>
      <c r="T716" s="135"/>
      <c r="U716" s="135"/>
      <c r="V716" s="135"/>
      <c r="W716" s="135"/>
      <c r="X716" s="135"/>
      <c r="Y716" s="135"/>
      <c r="Z716" s="135"/>
      <c r="AA716" s="135"/>
      <c r="AB716" s="135"/>
      <c r="AC716" s="135"/>
      <c r="AD716" s="135"/>
    </row>
    <row r="717" ht="28.5" customHeight="1">
      <c r="A717" s="135"/>
      <c r="B717" s="135"/>
      <c r="C717" s="135"/>
      <c r="D717" s="135"/>
      <c r="E717" s="135"/>
      <c r="F717" s="135"/>
      <c r="G717" s="135"/>
      <c r="H717" s="135"/>
      <c r="I717" s="135"/>
      <c r="J717" s="135"/>
      <c r="K717" s="135"/>
      <c r="L717" s="135"/>
      <c r="M717" s="135"/>
      <c r="N717" s="135"/>
      <c r="O717" s="135"/>
      <c r="P717" s="135"/>
      <c r="Q717" s="135"/>
      <c r="R717" s="135"/>
      <c r="S717" s="135"/>
      <c r="T717" s="135"/>
      <c r="U717" s="135"/>
      <c r="V717" s="135"/>
      <c r="W717" s="135"/>
      <c r="X717" s="135"/>
      <c r="Y717" s="135"/>
      <c r="Z717" s="135"/>
      <c r="AA717" s="135"/>
      <c r="AB717" s="135"/>
      <c r="AC717" s="135"/>
      <c r="AD717" s="135"/>
    </row>
    <row r="718" ht="28.5" customHeight="1">
      <c r="A718" s="135"/>
      <c r="B718" s="135"/>
      <c r="C718" s="135"/>
      <c r="D718" s="135"/>
      <c r="E718" s="135"/>
      <c r="F718" s="135"/>
      <c r="G718" s="135"/>
      <c r="H718" s="135"/>
      <c r="I718" s="135"/>
      <c r="J718" s="135"/>
      <c r="K718" s="135"/>
      <c r="L718" s="135"/>
      <c r="M718" s="135"/>
      <c r="N718" s="135"/>
      <c r="O718" s="135"/>
      <c r="P718" s="135"/>
      <c r="Q718" s="135"/>
      <c r="R718" s="135"/>
      <c r="S718" s="135"/>
      <c r="T718" s="135"/>
      <c r="U718" s="135"/>
      <c r="V718" s="135"/>
      <c r="W718" s="135"/>
      <c r="X718" s="135"/>
      <c r="Y718" s="135"/>
      <c r="Z718" s="135"/>
      <c r="AA718" s="135"/>
      <c r="AB718" s="135"/>
      <c r="AC718" s="135"/>
      <c r="AD718" s="135"/>
    </row>
    <row r="719" ht="28.5" customHeight="1">
      <c r="A719" s="135"/>
      <c r="B719" s="135"/>
      <c r="C719" s="135"/>
      <c r="D719" s="135"/>
      <c r="E719" s="135"/>
      <c r="F719" s="135"/>
      <c r="G719" s="135"/>
      <c r="H719" s="135"/>
      <c r="I719" s="135"/>
      <c r="J719" s="135"/>
      <c r="K719" s="135"/>
      <c r="L719" s="135"/>
      <c r="M719" s="135"/>
      <c r="N719" s="135"/>
      <c r="O719" s="135"/>
      <c r="P719" s="135"/>
      <c r="Q719" s="135"/>
      <c r="R719" s="135"/>
      <c r="S719" s="135"/>
      <c r="T719" s="135"/>
      <c r="U719" s="135"/>
      <c r="V719" s="135"/>
      <c r="W719" s="135"/>
      <c r="X719" s="135"/>
      <c r="Y719" s="135"/>
      <c r="Z719" s="135"/>
      <c r="AA719" s="135"/>
      <c r="AB719" s="135"/>
      <c r="AC719" s="135"/>
      <c r="AD719" s="135"/>
    </row>
    <row r="720" ht="28.5" customHeight="1">
      <c r="A720" s="135"/>
      <c r="B720" s="135"/>
      <c r="C720" s="135"/>
      <c r="D720" s="135"/>
      <c r="E720" s="135"/>
      <c r="F720" s="135"/>
      <c r="G720" s="135"/>
      <c r="H720" s="135"/>
      <c r="I720" s="135"/>
      <c r="J720" s="135"/>
      <c r="K720" s="135"/>
      <c r="L720" s="135"/>
      <c r="M720" s="135"/>
      <c r="N720" s="135"/>
      <c r="O720" s="135"/>
      <c r="P720" s="135"/>
      <c r="Q720" s="135"/>
      <c r="R720" s="135"/>
      <c r="S720" s="135"/>
      <c r="T720" s="135"/>
      <c r="U720" s="135"/>
      <c r="V720" s="135"/>
      <c r="W720" s="135"/>
      <c r="X720" s="135"/>
      <c r="Y720" s="135"/>
      <c r="Z720" s="135"/>
      <c r="AA720" s="135"/>
      <c r="AB720" s="135"/>
      <c r="AC720" s="135"/>
      <c r="AD720" s="135"/>
    </row>
    <row r="721" ht="28.5" customHeight="1">
      <c r="A721" s="135"/>
      <c r="B721" s="135"/>
      <c r="C721" s="135"/>
      <c r="D721" s="135"/>
      <c r="E721" s="135"/>
      <c r="F721" s="135"/>
      <c r="G721" s="135"/>
      <c r="H721" s="135"/>
      <c r="I721" s="135"/>
      <c r="J721" s="135"/>
      <c r="K721" s="135"/>
      <c r="L721" s="135"/>
      <c r="M721" s="135"/>
      <c r="N721" s="135"/>
      <c r="O721" s="135"/>
      <c r="P721" s="135"/>
      <c r="Q721" s="135"/>
      <c r="R721" s="135"/>
      <c r="S721" s="135"/>
      <c r="T721" s="135"/>
      <c r="U721" s="135"/>
      <c r="V721" s="135"/>
      <c r="W721" s="135"/>
      <c r="X721" s="135"/>
      <c r="Y721" s="135"/>
      <c r="Z721" s="135"/>
      <c r="AA721" s="135"/>
      <c r="AB721" s="135"/>
      <c r="AC721" s="135"/>
      <c r="AD721" s="135"/>
    </row>
    <row r="722" ht="28.5" customHeight="1">
      <c r="A722" s="135"/>
      <c r="B722" s="135"/>
      <c r="C722" s="135"/>
      <c r="D722" s="135"/>
      <c r="E722" s="135"/>
      <c r="F722" s="135"/>
      <c r="G722" s="135"/>
      <c r="H722" s="135"/>
      <c r="I722" s="135"/>
      <c r="J722" s="135"/>
      <c r="K722" s="135"/>
      <c r="L722" s="135"/>
      <c r="M722" s="135"/>
      <c r="N722" s="135"/>
      <c r="O722" s="135"/>
      <c r="P722" s="135"/>
      <c r="Q722" s="135"/>
      <c r="R722" s="135"/>
      <c r="S722" s="135"/>
      <c r="T722" s="135"/>
      <c r="U722" s="135"/>
      <c r="V722" s="135"/>
      <c r="W722" s="135"/>
      <c r="X722" s="135"/>
      <c r="Y722" s="135"/>
      <c r="Z722" s="135"/>
      <c r="AA722" s="135"/>
      <c r="AB722" s="135"/>
      <c r="AC722" s="135"/>
      <c r="AD722" s="135"/>
    </row>
    <row r="723" ht="28.5" customHeight="1">
      <c r="A723" s="135"/>
      <c r="B723" s="135"/>
      <c r="C723" s="135"/>
      <c r="D723" s="135"/>
      <c r="E723" s="135"/>
      <c r="F723" s="135"/>
      <c r="G723" s="135"/>
      <c r="H723" s="135"/>
      <c r="I723" s="135"/>
      <c r="J723" s="135"/>
      <c r="K723" s="135"/>
      <c r="L723" s="135"/>
      <c r="M723" s="135"/>
      <c r="N723" s="135"/>
      <c r="O723" s="135"/>
      <c r="P723" s="135"/>
      <c r="Q723" s="135"/>
      <c r="R723" s="135"/>
      <c r="S723" s="135"/>
      <c r="T723" s="135"/>
      <c r="U723" s="135"/>
      <c r="V723" s="135"/>
      <c r="W723" s="135"/>
      <c r="X723" s="135"/>
      <c r="Y723" s="135"/>
      <c r="Z723" s="135"/>
      <c r="AA723" s="135"/>
      <c r="AB723" s="135"/>
      <c r="AC723" s="135"/>
      <c r="AD723" s="135"/>
    </row>
    <row r="724" ht="28.5" customHeight="1">
      <c r="A724" s="135"/>
      <c r="B724" s="135"/>
      <c r="C724" s="135"/>
      <c r="D724" s="135"/>
      <c r="E724" s="135"/>
      <c r="F724" s="135"/>
      <c r="G724" s="135"/>
      <c r="H724" s="135"/>
      <c r="I724" s="135"/>
      <c r="J724" s="135"/>
      <c r="K724" s="135"/>
      <c r="L724" s="135"/>
      <c r="M724" s="135"/>
      <c r="N724" s="135"/>
      <c r="O724" s="135"/>
      <c r="P724" s="135"/>
      <c r="Q724" s="135"/>
      <c r="R724" s="135"/>
      <c r="S724" s="135"/>
      <c r="T724" s="135"/>
      <c r="U724" s="135"/>
      <c r="V724" s="135"/>
      <c r="W724" s="135"/>
      <c r="X724" s="135"/>
      <c r="Y724" s="135"/>
      <c r="Z724" s="135"/>
      <c r="AA724" s="135"/>
      <c r="AB724" s="135"/>
      <c r="AC724" s="135"/>
      <c r="AD724" s="135"/>
    </row>
    <row r="725" ht="28.5" customHeight="1">
      <c r="A725" s="135"/>
      <c r="B725" s="135"/>
      <c r="C725" s="135"/>
      <c r="D725" s="135"/>
      <c r="E725" s="135"/>
      <c r="F725" s="135"/>
      <c r="G725" s="135"/>
      <c r="H725" s="135"/>
      <c r="I725" s="135"/>
      <c r="J725" s="135"/>
      <c r="K725" s="135"/>
      <c r="L725" s="135"/>
      <c r="M725" s="135"/>
      <c r="N725" s="135"/>
      <c r="O725" s="135"/>
      <c r="P725" s="135"/>
      <c r="Q725" s="135"/>
      <c r="R725" s="135"/>
      <c r="S725" s="135"/>
      <c r="T725" s="135"/>
      <c r="U725" s="135"/>
      <c r="V725" s="135"/>
      <c r="W725" s="135"/>
      <c r="X725" s="135"/>
      <c r="Y725" s="135"/>
      <c r="Z725" s="135"/>
      <c r="AA725" s="135"/>
      <c r="AB725" s="135"/>
      <c r="AC725" s="135"/>
      <c r="AD725" s="135"/>
    </row>
    <row r="726" ht="28.5" customHeight="1">
      <c r="A726" s="135"/>
      <c r="B726" s="135"/>
      <c r="C726" s="135"/>
      <c r="D726" s="135"/>
      <c r="E726" s="135"/>
      <c r="F726" s="135"/>
      <c r="G726" s="135"/>
      <c r="H726" s="135"/>
      <c r="I726" s="135"/>
      <c r="J726" s="135"/>
      <c r="K726" s="135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  <c r="AA726" s="135"/>
      <c r="AB726" s="135"/>
      <c r="AC726" s="135"/>
      <c r="AD726" s="135"/>
    </row>
    <row r="727" ht="28.5" customHeight="1">
      <c r="A727" s="135"/>
      <c r="B727" s="135"/>
      <c r="C727" s="135"/>
      <c r="D727" s="135"/>
      <c r="E727" s="135"/>
      <c r="F727" s="135"/>
      <c r="G727" s="135"/>
      <c r="H727" s="135"/>
      <c r="I727" s="135"/>
      <c r="J727" s="135"/>
      <c r="K727" s="135"/>
      <c r="L727" s="135"/>
      <c r="M727" s="135"/>
      <c r="N727" s="135"/>
      <c r="O727" s="135"/>
      <c r="P727" s="135"/>
      <c r="Q727" s="135"/>
      <c r="R727" s="135"/>
      <c r="S727" s="135"/>
      <c r="T727" s="135"/>
      <c r="U727" s="135"/>
      <c r="V727" s="135"/>
      <c r="W727" s="135"/>
      <c r="X727" s="135"/>
      <c r="Y727" s="135"/>
      <c r="Z727" s="135"/>
      <c r="AA727" s="135"/>
      <c r="AB727" s="135"/>
      <c r="AC727" s="135"/>
      <c r="AD727" s="135"/>
    </row>
    <row r="728" ht="28.5" customHeight="1">
      <c r="A728" s="135"/>
      <c r="B728" s="135"/>
      <c r="C728" s="135"/>
      <c r="D728" s="135"/>
      <c r="E728" s="135"/>
      <c r="F728" s="135"/>
      <c r="G728" s="135"/>
      <c r="H728" s="135"/>
      <c r="I728" s="135"/>
      <c r="J728" s="135"/>
      <c r="K728" s="135"/>
      <c r="L728" s="135"/>
      <c r="M728" s="135"/>
      <c r="N728" s="135"/>
      <c r="O728" s="135"/>
      <c r="P728" s="135"/>
      <c r="Q728" s="135"/>
      <c r="R728" s="135"/>
      <c r="S728" s="135"/>
      <c r="T728" s="135"/>
      <c r="U728" s="135"/>
      <c r="V728" s="135"/>
      <c r="W728" s="135"/>
      <c r="X728" s="135"/>
      <c r="Y728" s="135"/>
      <c r="Z728" s="135"/>
      <c r="AA728" s="135"/>
      <c r="AB728" s="135"/>
      <c r="AC728" s="135"/>
      <c r="AD728" s="135"/>
    </row>
    <row r="729" ht="28.5" customHeight="1">
      <c r="A729" s="135"/>
      <c r="B729" s="135"/>
      <c r="C729" s="135"/>
      <c r="D729" s="135"/>
      <c r="E729" s="135"/>
      <c r="F729" s="135"/>
      <c r="G729" s="135"/>
      <c r="H729" s="135"/>
      <c r="I729" s="135"/>
      <c r="J729" s="135"/>
      <c r="K729" s="135"/>
      <c r="L729" s="135"/>
      <c r="M729" s="135"/>
      <c r="N729" s="135"/>
      <c r="O729" s="135"/>
      <c r="P729" s="135"/>
      <c r="Q729" s="135"/>
      <c r="R729" s="135"/>
      <c r="S729" s="135"/>
      <c r="T729" s="135"/>
      <c r="U729" s="135"/>
      <c r="V729" s="135"/>
      <c r="W729" s="135"/>
      <c r="X729" s="135"/>
      <c r="Y729" s="135"/>
      <c r="Z729" s="135"/>
      <c r="AA729" s="135"/>
      <c r="AB729" s="135"/>
      <c r="AC729" s="135"/>
      <c r="AD729" s="135"/>
    </row>
    <row r="730" ht="28.5" customHeight="1">
      <c r="A730" s="135"/>
      <c r="B730" s="135"/>
      <c r="C730" s="135"/>
      <c r="D730" s="135"/>
      <c r="E730" s="135"/>
      <c r="F730" s="135"/>
      <c r="G730" s="135"/>
      <c r="H730" s="135"/>
      <c r="I730" s="135"/>
      <c r="J730" s="135"/>
      <c r="K730" s="135"/>
      <c r="L730" s="135"/>
      <c r="M730" s="135"/>
      <c r="N730" s="135"/>
      <c r="O730" s="135"/>
      <c r="P730" s="135"/>
      <c r="Q730" s="135"/>
      <c r="R730" s="135"/>
      <c r="S730" s="135"/>
      <c r="T730" s="135"/>
      <c r="U730" s="135"/>
      <c r="V730" s="135"/>
      <c r="W730" s="135"/>
      <c r="X730" s="135"/>
      <c r="Y730" s="135"/>
      <c r="Z730" s="135"/>
      <c r="AA730" s="135"/>
      <c r="AB730" s="135"/>
      <c r="AC730" s="135"/>
      <c r="AD730" s="135"/>
    </row>
    <row r="731" ht="28.5" customHeight="1">
      <c r="A731" s="135"/>
      <c r="B731" s="135"/>
      <c r="C731" s="135"/>
      <c r="D731" s="135"/>
      <c r="E731" s="135"/>
      <c r="F731" s="135"/>
      <c r="G731" s="135"/>
      <c r="H731" s="135"/>
      <c r="I731" s="135"/>
      <c r="J731" s="135"/>
      <c r="K731" s="135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  <c r="AA731" s="135"/>
      <c r="AB731" s="135"/>
      <c r="AC731" s="135"/>
      <c r="AD731" s="135"/>
    </row>
    <row r="732" ht="28.5" customHeight="1">
      <c r="A732" s="135"/>
      <c r="B732" s="135"/>
      <c r="C732" s="135"/>
      <c r="D732" s="135"/>
      <c r="E732" s="135"/>
      <c r="F732" s="135"/>
      <c r="G732" s="135"/>
      <c r="H732" s="135"/>
      <c r="I732" s="135"/>
      <c r="J732" s="135"/>
      <c r="K732" s="135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  <c r="AA732" s="135"/>
      <c r="AB732" s="135"/>
      <c r="AC732" s="135"/>
      <c r="AD732" s="135"/>
    </row>
    <row r="733" ht="28.5" customHeight="1">
      <c r="A733" s="135"/>
      <c r="B733" s="135"/>
      <c r="C733" s="135"/>
      <c r="D733" s="135"/>
      <c r="E733" s="135"/>
      <c r="F733" s="135"/>
      <c r="G733" s="135"/>
      <c r="H733" s="135"/>
      <c r="I733" s="135"/>
      <c r="J733" s="135"/>
      <c r="K733" s="135"/>
      <c r="L733" s="135"/>
      <c r="M733" s="135"/>
      <c r="N733" s="135"/>
      <c r="O733" s="135"/>
      <c r="P733" s="135"/>
      <c r="Q733" s="135"/>
      <c r="R733" s="135"/>
      <c r="S733" s="135"/>
      <c r="T733" s="135"/>
      <c r="U733" s="135"/>
      <c r="V733" s="135"/>
      <c r="W733" s="135"/>
      <c r="X733" s="135"/>
      <c r="Y733" s="135"/>
      <c r="Z733" s="135"/>
      <c r="AA733" s="135"/>
      <c r="AB733" s="135"/>
      <c r="AC733" s="135"/>
      <c r="AD733" s="135"/>
    </row>
    <row r="734" ht="28.5" customHeight="1">
      <c r="A734" s="135"/>
      <c r="B734" s="135"/>
      <c r="C734" s="135"/>
      <c r="D734" s="135"/>
      <c r="E734" s="135"/>
      <c r="F734" s="135"/>
      <c r="G734" s="135"/>
      <c r="H734" s="135"/>
      <c r="I734" s="135"/>
      <c r="J734" s="135"/>
      <c r="K734" s="135"/>
      <c r="L734" s="135"/>
      <c r="M734" s="135"/>
      <c r="N734" s="135"/>
      <c r="O734" s="135"/>
      <c r="P734" s="135"/>
      <c r="Q734" s="135"/>
      <c r="R734" s="135"/>
      <c r="S734" s="135"/>
      <c r="T734" s="135"/>
      <c r="U734" s="135"/>
      <c r="V734" s="135"/>
      <c r="W734" s="135"/>
      <c r="X734" s="135"/>
      <c r="Y734" s="135"/>
      <c r="Z734" s="135"/>
      <c r="AA734" s="135"/>
      <c r="AB734" s="135"/>
      <c r="AC734" s="135"/>
      <c r="AD734" s="135"/>
    </row>
    <row r="735" ht="28.5" customHeight="1">
      <c r="A735" s="135"/>
      <c r="B735" s="135"/>
      <c r="C735" s="135"/>
      <c r="D735" s="135"/>
      <c r="E735" s="135"/>
      <c r="F735" s="135"/>
      <c r="G735" s="135"/>
      <c r="H735" s="135"/>
      <c r="I735" s="135"/>
      <c r="J735" s="135"/>
      <c r="K735" s="135"/>
      <c r="L735" s="135"/>
      <c r="M735" s="135"/>
      <c r="N735" s="135"/>
      <c r="O735" s="135"/>
      <c r="P735" s="135"/>
      <c r="Q735" s="135"/>
      <c r="R735" s="135"/>
      <c r="S735" s="135"/>
      <c r="T735" s="135"/>
      <c r="U735" s="135"/>
      <c r="V735" s="135"/>
      <c r="W735" s="135"/>
      <c r="X735" s="135"/>
      <c r="Y735" s="135"/>
      <c r="Z735" s="135"/>
      <c r="AA735" s="135"/>
      <c r="AB735" s="135"/>
      <c r="AC735" s="135"/>
      <c r="AD735" s="135"/>
    </row>
    <row r="736" ht="28.5" customHeight="1">
      <c r="A736" s="135"/>
      <c r="B736" s="135"/>
      <c r="C736" s="135"/>
      <c r="D736" s="135"/>
      <c r="E736" s="135"/>
      <c r="F736" s="135"/>
      <c r="G736" s="135"/>
      <c r="H736" s="135"/>
      <c r="I736" s="135"/>
      <c r="J736" s="135"/>
      <c r="K736" s="135"/>
      <c r="L736" s="135"/>
      <c r="M736" s="135"/>
      <c r="N736" s="135"/>
      <c r="O736" s="135"/>
      <c r="P736" s="135"/>
      <c r="Q736" s="135"/>
      <c r="R736" s="135"/>
      <c r="S736" s="135"/>
      <c r="T736" s="135"/>
      <c r="U736" s="135"/>
      <c r="V736" s="135"/>
      <c r="W736" s="135"/>
      <c r="X736" s="135"/>
      <c r="Y736" s="135"/>
      <c r="Z736" s="135"/>
      <c r="AA736" s="135"/>
      <c r="AB736" s="135"/>
      <c r="AC736" s="135"/>
      <c r="AD736" s="135"/>
    </row>
    <row r="737" ht="28.5" customHeight="1">
      <c r="A737" s="135"/>
      <c r="B737" s="135"/>
      <c r="C737" s="135"/>
      <c r="D737" s="135"/>
      <c r="E737" s="135"/>
      <c r="F737" s="135"/>
      <c r="G737" s="135"/>
      <c r="H737" s="135"/>
      <c r="I737" s="135"/>
      <c r="J737" s="135"/>
      <c r="K737" s="135"/>
      <c r="L737" s="135"/>
      <c r="M737" s="135"/>
      <c r="N737" s="135"/>
      <c r="O737" s="135"/>
      <c r="P737" s="135"/>
      <c r="Q737" s="135"/>
      <c r="R737" s="135"/>
      <c r="S737" s="135"/>
      <c r="T737" s="135"/>
      <c r="U737" s="135"/>
      <c r="V737" s="135"/>
      <c r="W737" s="135"/>
      <c r="X737" s="135"/>
      <c r="Y737" s="135"/>
      <c r="Z737" s="135"/>
      <c r="AA737" s="135"/>
      <c r="AB737" s="135"/>
      <c r="AC737" s="135"/>
      <c r="AD737" s="135"/>
    </row>
    <row r="738" ht="28.5" customHeight="1">
      <c r="A738" s="135"/>
      <c r="B738" s="135"/>
      <c r="C738" s="135"/>
      <c r="D738" s="135"/>
      <c r="E738" s="135"/>
      <c r="F738" s="135"/>
      <c r="G738" s="135"/>
      <c r="H738" s="135"/>
      <c r="I738" s="135"/>
      <c r="J738" s="135"/>
      <c r="K738" s="135"/>
      <c r="L738" s="135"/>
      <c r="M738" s="135"/>
      <c r="N738" s="135"/>
      <c r="O738" s="135"/>
      <c r="P738" s="135"/>
      <c r="Q738" s="135"/>
      <c r="R738" s="135"/>
      <c r="S738" s="135"/>
      <c r="T738" s="135"/>
      <c r="U738" s="135"/>
      <c r="V738" s="135"/>
      <c r="W738" s="135"/>
      <c r="X738" s="135"/>
      <c r="Y738" s="135"/>
      <c r="Z738" s="135"/>
      <c r="AA738" s="135"/>
      <c r="AB738" s="135"/>
      <c r="AC738" s="135"/>
      <c r="AD738" s="135"/>
    </row>
    <row r="739" ht="28.5" customHeight="1">
      <c r="A739" s="135"/>
      <c r="B739" s="135"/>
      <c r="C739" s="135"/>
      <c r="D739" s="135"/>
      <c r="E739" s="135"/>
      <c r="F739" s="135"/>
      <c r="G739" s="135"/>
      <c r="H739" s="135"/>
      <c r="I739" s="135"/>
      <c r="J739" s="135"/>
      <c r="K739" s="135"/>
      <c r="L739" s="135"/>
      <c r="M739" s="135"/>
      <c r="N739" s="135"/>
      <c r="O739" s="135"/>
      <c r="P739" s="135"/>
      <c r="Q739" s="135"/>
      <c r="R739" s="135"/>
      <c r="S739" s="135"/>
      <c r="T739" s="135"/>
      <c r="U739" s="135"/>
      <c r="V739" s="135"/>
      <c r="W739" s="135"/>
      <c r="X739" s="135"/>
      <c r="Y739" s="135"/>
      <c r="Z739" s="135"/>
      <c r="AA739" s="135"/>
      <c r="AB739" s="135"/>
      <c r="AC739" s="135"/>
      <c r="AD739" s="135"/>
    </row>
    <row r="740" ht="28.5" customHeight="1">
      <c r="A740" s="135"/>
      <c r="B740" s="135"/>
      <c r="C740" s="135"/>
      <c r="D740" s="135"/>
      <c r="E740" s="135"/>
      <c r="F740" s="135"/>
      <c r="G740" s="135"/>
      <c r="H740" s="135"/>
      <c r="I740" s="135"/>
      <c r="J740" s="135"/>
      <c r="K740" s="135"/>
      <c r="L740" s="135"/>
      <c r="M740" s="135"/>
      <c r="N740" s="135"/>
      <c r="O740" s="135"/>
      <c r="P740" s="135"/>
      <c r="Q740" s="135"/>
      <c r="R740" s="135"/>
      <c r="S740" s="135"/>
      <c r="T740" s="135"/>
      <c r="U740" s="135"/>
      <c r="V740" s="135"/>
      <c r="W740" s="135"/>
      <c r="X740" s="135"/>
      <c r="Y740" s="135"/>
      <c r="Z740" s="135"/>
      <c r="AA740" s="135"/>
      <c r="AB740" s="135"/>
      <c r="AC740" s="135"/>
      <c r="AD740" s="135"/>
    </row>
    <row r="741" ht="28.5" customHeight="1">
      <c r="A741" s="135"/>
      <c r="B741" s="135"/>
      <c r="C741" s="135"/>
      <c r="D741" s="135"/>
      <c r="E741" s="135"/>
      <c r="F741" s="135"/>
      <c r="G741" s="135"/>
      <c r="H741" s="135"/>
      <c r="I741" s="135"/>
      <c r="J741" s="135"/>
      <c r="K741" s="135"/>
      <c r="L741" s="135"/>
      <c r="M741" s="135"/>
      <c r="N741" s="135"/>
      <c r="O741" s="135"/>
      <c r="P741" s="135"/>
      <c r="Q741" s="135"/>
      <c r="R741" s="135"/>
      <c r="S741" s="135"/>
      <c r="T741" s="135"/>
      <c r="U741" s="135"/>
      <c r="V741" s="135"/>
      <c r="W741" s="135"/>
      <c r="X741" s="135"/>
      <c r="Y741" s="135"/>
      <c r="Z741" s="135"/>
      <c r="AA741" s="135"/>
      <c r="AB741" s="135"/>
      <c r="AC741" s="135"/>
      <c r="AD741" s="135"/>
    </row>
    <row r="742" ht="28.5" customHeight="1">
      <c r="A742" s="135"/>
      <c r="B742" s="135"/>
      <c r="C742" s="135"/>
      <c r="D742" s="135"/>
      <c r="E742" s="135"/>
      <c r="F742" s="135"/>
      <c r="G742" s="135"/>
      <c r="H742" s="135"/>
      <c r="I742" s="135"/>
      <c r="J742" s="135"/>
      <c r="K742" s="135"/>
      <c r="L742" s="135"/>
      <c r="M742" s="135"/>
      <c r="N742" s="135"/>
      <c r="O742" s="135"/>
      <c r="P742" s="135"/>
      <c r="Q742" s="135"/>
      <c r="R742" s="135"/>
      <c r="S742" s="135"/>
      <c r="T742" s="135"/>
      <c r="U742" s="135"/>
      <c r="V742" s="135"/>
      <c r="W742" s="135"/>
      <c r="X742" s="135"/>
      <c r="Y742" s="135"/>
      <c r="Z742" s="135"/>
      <c r="AA742" s="135"/>
      <c r="AB742" s="135"/>
      <c r="AC742" s="135"/>
      <c r="AD742" s="135"/>
    </row>
    <row r="743" ht="28.5" customHeight="1">
      <c r="A743" s="135"/>
      <c r="B743" s="135"/>
      <c r="C743" s="135"/>
      <c r="D743" s="135"/>
      <c r="E743" s="135"/>
      <c r="F743" s="135"/>
      <c r="G743" s="135"/>
      <c r="H743" s="135"/>
      <c r="I743" s="135"/>
      <c r="J743" s="135"/>
      <c r="K743" s="135"/>
      <c r="L743" s="135"/>
      <c r="M743" s="135"/>
      <c r="N743" s="135"/>
      <c r="O743" s="135"/>
      <c r="P743" s="135"/>
      <c r="Q743" s="135"/>
      <c r="R743" s="135"/>
      <c r="S743" s="135"/>
      <c r="T743" s="135"/>
      <c r="U743" s="135"/>
      <c r="V743" s="135"/>
      <c r="W743" s="135"/>
      <c r="X743" s="135"/>
      <c r="Y743" s="135"/>
      <c r="Z743" s="135"/>
      <c r="AA743" s="135"/>
      <c r="AB743" s="135"/>
      <c r="AC743" s="135"/>
      <c r="AD743" s="135"/>
    </row>
    <row r="744" ht="28.5" customHeight="1">
      <c r="A744" s="135"/>
      <c r="B744" s="135"/>
      <c r="C744" s="135"/>
      <c r="D744" s="135"/>
      <c r="E744" s="135"/>
      <c r="F744" s="135"/>
      <c r="G744" s="135"/>
      <c r="H744" s="135"/>
      <c r="I744" s="135"/>
      <c r="J744" s="135"/>
      <c r="K744" s="135"/>
      <c r="L744" s="135"/>
      <c r="M744" s="135"/>
      <c r="N744" s="135"/>
      <c r="O744" s="135"/>
      <c r="P744" s="135"/>
      <c r="Q744" s="135"/>
      <c r="R744" s="135"/>
      <c r="S744" s="135"/>
      <c r="T744" s="135"/>
      <c r="U744" s="135"/>
      <c r="V744" s="135"/>
      <c r="W744" s="135"/>
      <c r="X744" s="135"/>
      <c r="Y744" s="135"/>
      <c r="Z744" s="135"/>
      <c r="AA744" s="135"/>
      <c r="AB744" s="135"/>
      <c r="AC744" s="135"/>
      <c r="AD744" s="135"/>
    </row>
    <row r="745" ht="28.5" customHeight="1">
      <c r="A745" s="135"/>
      <c r="B745" s="135"/>
      <c r="C745" s="135"/>
      <c r="D745" s="135"/>
      <c r="E745" s="135"/>
      <c r="F745" s="135"/>
      <c r="G745" s="135"/>
      <c r="H745" s="135"/>
      <c r="I745" s="135"/>
      <c r="J745" s="135"/>
      <c r="K745" s="135"/>
      <c r="L745" s="135"/>
      <c r="M745" s="135"/>
      <c r="N745" s="135"/>
      <c r="O745" s="135"/>
      <c r="P745" s="135"/>
      <c r="Q745" s="135"/>
      <c r="R745" s="135"/>
      <c r="S745" s="135"/>
      <c r="T745" s="135"/>
      <c r="U745" s="135"/>
      <c r="V745" s="135"/>
      <c r="W745" s="135"/>
      <c r="X745" s="135"/>
      <c r="Y745" s="135"/>
      <c r="Z745" s="135"/>
      <c r="AA745" s="135"/>
      <c r="AB745" s="135"/>
      <c r="AC745" s="135"/>
      <c r="AD745" s="135"/>
    </row>
    <row r="746" ht="28.5" customHeight="1">
      <c r="A746" s="135"/>
      <c r="B746" s="135"/>
      <c r="C746" s="135"/>
      <c r="D746" s="135"/>
      <c r="E746" s="135"/>
      <c r="F746" s="135"/>
      <c r="G746" s="135"/>
      <c r="H746" s="135"/>
      <c r="I746" s="135"/>
      <c r="J746" s="135"/>
      <c r="K746" s="135"/>
      <c r="L746" s="135"/>
      <c r="M746" s="135"/>
      <c r="N746" s="135"/>
      <c r="O746" s="135"/>
      <c r="P746" s="135"/>
      <c r="Q746" s="135"/>
      <c r="R746" s="135"/>
      <c r="S746" s="135"/>
      <c r="T746" s="135"/>
      <c r="U746" s="135"/>
      <c r="V746" s="135"/>
      <c r="W746" s="135"/>
      <c r="X746" s="135"/>
      <c r="Y746" s="135"/>
      <c r="Z746" s="135"/>
      <c r="AA746" s="135"/>
      <c r="AB746" s="135"/>
      <c r="AC746" s="135"/>
      <c r="AD746" s="135"/>
    </row>
    <row r="747" ht="28.5" customHeight="1">
      <c r="A747" s="135"/>
      <c r="B747" s="135"/>
      <c r="C747" s="135"/>
      <c r="D747" s="135"/>
      <c r="E747" s="135"/>
      <c r="F747" s="135"/>
      <c r="G747" s="135"/>
      <c r="H747" s="135"/>
      <c r="I747" s="135"/>
      <c r="J747" s="135"/>
      <c r="K747" s="135"/>
      <c r="L747" s="135"/>
      <c r="M747" s="135"/>
      <c r="N747" s="135"/>
      <c r="O747" s="135"/>
      <c r="P747" s="135"/>
      <c r="Q747" s="135"/>
      <c r="R747" s="135"/>
      <c r="S747" s="135"/>
      <c r="T747" s="135"/>
      <c r="U747" s="135"/>
      <c r="V747" s="135"/>
      <c r="W747" s="135"/>
      <c r="X747" s="135"/>
      <c r="Y747" s="135"/>
      <c r="Z747" s="135"/>
      <c r="AA747" s="135"/>
      <c r="AB747" s="135"/>
      <c r="AC747" s="135"/>
      <c r="AD747" s="135"/>
    </row>
    <row r="748" ht="28.5" customHeight="1">
      <c r="A748" s="135"/>
      <c r="B748" s="135"/>
      <c r="C748" s="135"/>
      <c r="D748" s="135"/>
      <c r="E748" s="135"/>
      <c r="F748" s="135"/>
      <c r="G748" s="135"/>
      <c r="H748" s="135"/>
      <c r="I748" s="135"/>
      <c r="J748" s="135"/>
      <c r="K748" s="135"/>
      <c r="L748" s="135"/>
      <c r="M748" s="135"/>
      <c r="N748" s="135"/>
      <c r="O748" s="135"/>
      <c r="P748" s="135"/>
      <c r="Q748" s="135"/>
      <c r="R748" s="135"/>
      <c r="S748" s="135"/>
      <c r="T748" s="135"/>
      <c r="U748" s="135"/>
      <c r="V748" s="135"/>
      <c r="W748" s="135"/>
      <c r="X748" s="135"/>
      <c r="Y748" s="135"/>
      <c r="Z748" s="135"/>
      <c r="AA748" s="135"/>
      <c r="AB748" s="135"/>
      <c r="AC748" s="135"/>
      <c r="AD748" s="135"/>
    </row>
    <row r="749" ht="28.5" customHeight="1">
      <c r="A749" s="135"/>
      <c r="B749" s="135"/>
      <c r="C749" s="135"/>
      <c r="D749" s="135"/>
      <c r="E749" s="135"/>
      <c r="F749" s="135"/>
      <c r="G749" s="135"/>
      <c r="H749" s="135"/>
      <c r="I749" s="135"/>
      <c r="J749" s="135"/>
      <c r="K749" s="135"/>
      <c r="L749" s="135"/>
      <c r="M749" s="135"/>
      <c r="N749" s="135"/>
      <c r="O749" s="135"/>
      <c r="P749" s="135"/>
      <c r="Q749" s="135"/>
      <c r="R749" s="135"/>
      <c r="S749" s="135"/>
      <c r="T749" s="135"/>
      <c r="U749" s="135"/>
      <c r="V749" s="135"/>
      <c r="W749" s="135"/>
      <c r="X749" s="135"/>
      <c r="Y749" s="135"/>
      <c r="Z749" s="135"/>
      <c r="AA749" s="135"/>
      <c r="AB749" s="135"/>
      <c r="AC749" s="135"/>
      <c r="AD749" s="135"/>
    </row>
    <row r="750" ht="28.5" customHeight="1">
      <c r="A750" s="135"/>
      <c r="B750" s="135"/>
      <c r="C750" s="135"/>
      <c r="D750" s="135"/>
      <c r="E750" s="135"/>
      <c r="F750" s="135"/>
      <c r="G750" s="135"/>
      <c r="H750" s="135"/>
      <c r="I750" s="135"/>
      <c r="J750" s="135"/>
      <c r="K750" s="135"/>
      <c r="L750" s="135"/>
      <c r="M750" s="135"/>
      <c r="N750" s="135"/>
      <c r="O750" s="135"/>
      <c r="P750" s="135"/>
      <c r="Q750" s="135"/>
      <c r="R750" s="135"/>
      <c r="S750" s="135"/>
      <c r="T750" s="135"/>
      <c r="U750" s="135"/>
      <c r="V750" s="135"/>
      <c r="W750" s="135"/>
      <c r="X750" s="135"/>
      <c r="Y750" s="135"/>
      <c r="Z750" s="135"/>
      <c r="AA750" s="135"/>
      <c r="AB750" s="135"/>
      <c r="AC750" s="135"/>
      <c r="AD750" s="135"/>
    </row>
    <row r="751" ht="28.5" customHeight="1">
      <c r="A751" s="135"/>
      <c r="B751" s="135"/>
      <c r="C751" s="135"/>
      <c r="D751" s="135"/>
      <c r="E751" s="135"/>
      <c r="F751" s="135"/>
      <c r="G751" s="135"/>
      <c r="H751" s="135"/>
      <c r="I751" s="135"/>
      <c r="J751" s="135"/>
      <c r="K751" s="135"/>
      <c r="L751" s="135"/>
      <c r="M751" s="135"/>
      <c r="N751" s="135"/>
      <c r="O751" s="135"/>
      <c r="P751" s="135"/>
      <c r="Q751" s="135"/>
      <c r="R751" s="135"/>
      <c r="S751" s="135"/>
      <c r="T751" s="135"/>
      <c r="U751" s="135"/>
      <c r="V751" s="135"/>
      <c r="W751" s="135"/>
      <c r="X751" s="135"/>
      <c r="Y751" s="135"/>
      <c r="Z751" s="135"/>
      <c r="AA751" s="135"/>
      <c r="AB751" s="135"/>
      <c r="AC751" s="135"/>
      <c r="AD751" s="135"/>
    </row>
    <row r="752" ht="28.5" customHeight="1">
      <c r="A752" s="135"/>
      <c r="B752" s="135"/>
      <c r="C752" s="135"/>
      <c r="D752" s="135"/>
      <c r="E752" s="135"/>
      <c r="F752" s="135"/>
      <c r="G752" s="135"/>
      <c r="H752" s="135"/>
      <c r="I752" s="135"/>
      <c r="J752" s="135"/>
      <c r="K752" s="135"/>
      <c r="L752" s="135"/>
      <c r="M752" s="135"/>
      <c r="N752" s="135"/>
      <c r="O752" s="135"/>
      <c r="P752" s="135"/>
      <c r="Q752" s="135"/>
      <c r="R752" s="135"/>
      <c r="S752" s="135"/>
      <c r="T752" s="135"/>
      <c r="U752" s="135"/>
      <c r="V752" s="135"/>
      <c r="W752" s="135"/>
      <c r="X752" s="135"/>
      <c r="Y752" s="135"/>
      <c r="Z752" s="135"/>
      <c r="AA752" s="135"/>
      <c r="AB752" s="135"/>
      <c r="AC752" s="135"/>
      <c r="AD752" s="135"/>
    </row>
    <row r="753" ht="28.5" customHeight="1">
      <c r="A753" s="135"/>
      <c r="B753" s="135"/>
      <c r="C753" s="135"/>
      <c r="D753" s="135"/>
      <c r="E753" s="135"/>
      <c r="F753" s="135"/>
      <c r="G753" s="135"/>
      <c r="H753" s="135"/>
      <c r="I753" s="135"/>
      <c r="J753" s="135"/>
      <c r="K753" s="135"/>
      <c r="L753" s="135"/>
      <c r="M753" s="135"/>
      <c r="N753" s="135"/>
      <c r="O753" s="135"/>
      <c r="P753" s="135"/>
      <c r="Q753" s="135"/>
      <c r="R753" s="135"/>
      <c r="S753" s="135"/>
      <c r="T753" s="135"/>
      <c r="U753" s="135"/>
      <c r="V753" s="135"/>
      <c r="W753" s="135"/>
      <c r="X753" s="135"/>
      <c r="Y753" s="135"/>
      <c r="Z753" s="135"/>
      <c r="AA753" s="135"/>
      <c r="AB753" s="135"/>
      <c r="AC753" s="135"/>
      <c r="AD753" s="135"/>
    </row>
    <row r="754" ht="28.5" customHeight="1">
      <c r="A754" s="135"/>
      <c r="B754" s="135"/>
      <c r="C754" s="135"/>
      <c r="D754" s="135"/>
      <c r="E754" s="135"/>
      <c r="F754" s="135"/>
      <c r="G754" s="135"/>
      <c r="H754" s="135"/>
      <c r="I754" s="135"/>
      <c r="J754" s="135"/>
      <c r="K754" s="135"/>
      <c r="L754" s="135"/>
      <c r="M754" s="135"/>
      <c r="N754" s="135"/>
      <c r="O754" s="135"/>
      <c r="P754" s="135"/>
      <c r="Q754" s="135"/>
      <c r="R754" s="135"/>
      <c r="S754" s="135"/>
      <c r="T754" s="135"/>
      <c r="U754" s="135"/>
      <c r="V754" s="135"/>
      <c r="W754" s="135"/>
      <c r="X754" s="135"/>
      <c r="Y754" s="135"/>
      <c r="Z754" s="135"/>
      <c r="AA754" s="135"/>
      <c r="AB754" s="135"/>
      <c r="AC754" s="135"/>
      <c r="AD754" s="135"/>
    </row>
    <row r="755" ht="28.5" customHeight="1">
      <c r="A755" s="135"/>
      <c r="B755" s="135"/>
      <c r="C755" s="135"/>
      <c r="D755" s="135"/>
      <c r="E755" s="135"/>
      <c r="F755" s="135"/>
      <c r="G755" s="135"/>
      <c r="H755" s="135"/>
      <c r="I755" s="135"/>
      <c r="J755" s="135"/>
      <c r="K755" s="135"/>
      <c r="L755" s="135"/>
      <c r="M755" s="135"/>
      <c r="N755" s="135"/>
      <c r="O755" s="135"/>
      <c r="P755" s="135"/>
      <c r="Q755" s="135"/>
      <c r="R755" s="135"/>
      <c r="S755" s="135"/>
      <c r="T755" s="135"/>
      <c r="U755" s="135"/>
      <c r="V755" s="135"/>
      <c r="W755" s="135"/>
      <c r="X755" s="135"/>
      <c r="Y755" s="135"/>
      <c r="Z755" s="135"/>
      <c r="AA755" s="135"/>
      <c r="AB755" s="135"/>
      <c r="AC755" s="135"/>
      <c r="AD755" s="135"/>
    </row>
    <row r="756" ht="28.5" customHeight="1">
      <c r="A756" s="135"/>
      <c r="B756" s="135"/>
      <c r="C756" s="135"/>
      <c r="D756" s="135"/>
      <c r="E756" s="135"/>
      <c r="F756" s="135"/>
      <c r="G756" s="135"/>
      <c r="H756" s="135"/>
      <c r="I756" s="135"/>
      <c r="J756" s="135"/>
      <c r="K756" s="135"/>
      <c r="L756" s="135"/>
      <c r="M756" s="135"/>
      <c r="N756" s="135"/>
      <c r="O756" s="135"/>
      <c r="P756" s="135"/>
      <c r="Q756" s="135"/>
      <c r="R756" s="135"/>
      <c r="S756" s="135"/>
      <c r="T756" s="135"/>
      <c r="U756" s="135"/>
      <c r="V756" s="135"/>
      <c r="W756" s="135"/>
      <c r="X756" s="135"/>
      <c r="Y756" s="135"/>
      <c r="Z756" s="135"/>
      <c r="AA756" s="135"/>
      <c r="AB756" s="135"/>
      <c r="AC756" s="135"/>
      <c r="AD756" s="135"/>
    </row>
    <row r="757" ht="28.5" customHeight="1">
      <c r="A757" s="135"/>
      <c r="B757" s="135"/>
      <c r="C757" s="135"/>
      <c r="D757" s="135"/>
      <c r="E757" s="135"/>
      <c r="F757" s="135"/>
      <c r="G757" s="135"/>
      <c r="H757" s="135"/>
      <c r="I757" s="135"/>
      <c r="J757" s="135"/>
      <c r="K757" s="135"/>
      <c r="L757" s="135"/>
      <c r="M757" s="135"/>
      <c r="N757" s="135"/>
      <c r="O757" s="135"/>
      <c r="P757" s="135"/>
      <c r="Q757" s="135"/>
      <c r="R757" s="135"/>
      <c r="S757" s="135"/>
      <c r="T757" s="135"/>
      <c r="U757" s="135"/>
      <c r="V757" s="135"/>
      <c r="W757" s="135"/>
      <c r="X757" s="135"/>
      <c r="Y757" s="135"/>
      <c r="Z757" s="135"/>
      <c r="AA757" s="135"/>
      <c r="AB757" s="135"/>
      <c r="AC757" s="135"/>
      <c r="AD757" s="135"/>
    </row>
    <row r="758" ht="28.5" customHeight="1">
      <c r="A758" s="135"/>
      <c r="B758" s="135"/>
      <c r="C758" s="135"/>
      <c r="D758" s="135"/>
      <c r="E758" s="135"/>
      <c r="F758" s="135"/>
      <c r="G758" s="135"/>
      <c r="H758" s="135"/>
      <c r="I758" s="135"/>
      <c r="J758" s="135"/>
      <c r="K758" s="135"/>
      <c r="L758" s="135"/>
      <c r="M758" s="135"/>
      <c r="N758" s="135"/>
      <c r="O758" s="135"/>
      <c r="P758" s="135"/>
      <c r="Q758" s="135"/>
      <c r="R758" s="135"/>
      <c r="S758" s="135"/>
      <c r="T758" s="135"/>
      <c r="U758" s="135"/>
      <c r="V758" s="135"/>
      <c r="W758" s="135"/>
      <c r="X758" s="135"/>
      <c r="Y758" s="135"/>
      <c r="Z758" s="135"/>
      <c r="AA758" s="135"/>
      <c r="AB758" s="135"/>
      <c r="AC758" s="135"/>
      <c r="AD758" s="135"/>
    </row>
    <row r="759" ht="28.5" customHeight="1">
      <c r="A759" s="135"/>
      <c r="B759" s="135"/>
      <c r="C759" s="135"/>
      <c r="D759" s="135"/>
      <c r="E759" s="135"/>
      <c r="F759" s="135"/>
      <c r="G759" s="135"/>
      <c r="H759" s="135"/>
      <c r="I759" s="135"/>
      <c r="J759" s="135"/>
      <c r="K759" s="135"/>
      <c r="L759" s="135"/>
      <c r="M759" s="135"/>
      <c r="N759" s="135"/>
      <c r="O759" s="135"/>
      <c r="P759" s="135"/>
      <c r="Q759" s="135"/>
      <c r="R759" s="135"/>
      <c r="S759" s="135"/>
      <c r="T759" s="135"/>
      <c r="U759" s="135"/>
      <c r="V759" s="135"/>
      <c r="W759" s="135"/>
      <c r="X759" s="135"/>
      <c r="Y759" s="135"/>
      <c r="Z759" s="135"/>
      <c r="AA759" s="135"/>
      <c r="AB759" s="135"/>
      <c r="AC759" s="135"/>
      <c r="AD759" s="135"/>
    </row>
    <row r="760" ht="28.5" customHeight="1">
      <c r="A760" s="135"/>
      <c r="B760" s="135"/>
      <c r="C760" s="135"/>
      <c r="D760" s="135"/>
      <c r="E760" s="135"/>
      <c r="F760" s="135"/>
      <c r="G760" s="135"/>
      <c r="H760" s="135"/>
      <c r="I760" s="135"/>
      <c r="J760" s="135"/>
      <c r="K760" s="135"/>
      <c r="L760" s="135"/>
      <c r="M760" s="135"/>
      <c r="N760" s="135"/>
      <c r="O760" s="135"/>
      <c r="P760" s="135"/>
      <c r="Q760" s="135"/>
      <c r="R760" s="135"/>
      <c r="S760" s="135"/>
      <c r="T760" s="135"/>
      <c r="U760" s="135"/>
      <c r="V760" s="135"/>
      <c r="W760" s="135"/>
      <c r="X760" s="135"/>
      <c r="Y760" s="135"/>
      <c r="Z760" s="135"/>
      <c r="AA760" s="135"/>
      <c r="AB760" s="135"/>
      <c r="AC760" s="135"/>
      <c r="AD760" s="135"/>
    </row>
    <row r="761" ht="28.5" customHeight="1">
      <c r="A761" s="135"/>
      <c r="B761" s="135"/>
      <c r="C761" s="135"/>
      <c r="D761" s="135"/>
      <c r="E761" s="135"/>
      <c r="F761" s="135"/>
      <c r="G761" s="135"/>
      <c r="H761" s="135"/>
      <c r="I761" s="135"/>
      <c r="J761" s="135"/>
      <c r="K761" s="135"/>
      <c r="L761" s="135"/>
      <c r="M761" s="135"/>
      <c r="N761" s="135"/>
      <c r="O761" s="135"/>
      <c r="P761" s="135"/>
      <c r="Q761" s="135"/>
      <c r="R761" s="135"/>
      <c r="S761" s="135"/>
      <c r="T761" s="135"/>
      <c r="U761" s="135"/>
      <c r="V761" s="135"/>
      <c r="W761" s="135"/>
      <c r="X761" s="135"/>
      <c r="Y761" s="135"/>
      <c r="Z761" s="135"/>
      <c r="AA761" s="135"/>
      <c r="AB761" s="135"/>
      <c r="AC761" s="135"/>
      <c r="AD761" s="135"/>
    </row>
    <row r="762" ht="28.5" customHeight="1">
      <c r="A762" s="135"/>
      <c r="B762" s="135"/>
      <c r="C762" s="135"/>
      <c r="D762" s="135"/>
      <c r="E762" s="135"/>
      <c r="F762" s="135"/>
      <c r="G762" s="135"/>
      <c r="H762" s="135"/>
      <c r="I762" s="135"/>
      <c r="J762" s="135"/>
      <c r="K762" s="135"/>
      <c r="L762" s="135"/>
      <c r="M762" s="135"/>
      <c r="N762" s="135"/>
      <c r="O762" s="135"/>
      <c r="P762" s="135"/>
      <c r="Q762" s="135"/>
      <c r="R762" s="135"/>
      <c r="S762" s="135"/>
      <c r="T762" s="135"/>
      <c r="U762" s="135"/>
      <c r="V762" s="135"/>
      <c r="W762" s="135"/>
      <c r="X762" s="135"/>
      <c r="Y762" s="135"/>
      <c r="Z762" s="135"/>
      <c r="AA762" s="135"/>
      <c r="AB762" s="135"/>
      <c r="AC762" s="135"/>
      <c r="AD762" s="135"/>
    </row>
    <row r="763" ht="28.5" customHeight="1">
      <c r="A763" s="135"/>
      <c r="B763" s="135"/>
      <c r="C763" s="135"/>
      <c r="D763" s="135"/>
      <c r="E763" s="135"/>
      <c r="F763" s="135"/>
      <c r="G763" s="135"/>
      <c r="H763" s="135"/>
      <c r="I763" s="135"/>
      <c r="J763" s="135"/>
      <c r="K763" s="135"/>
      <c r="L763" s="135"/>
      <c r="M763" s="135"/>
      <c r="N763" s="135"/>
      <c r="O763" s="135"/>
      <c r="P763" s="135"/>
      <c r="Q763" s="135"/>
      <c r="R763" s="135"/>
      <c r="S763" s="135"/>
      <c r="T763" s="135"/>
      <c r="U763" s="135"/>
      <c r="V763" s="135"/>
      <c r="W763" s="135"/>
      <c r="X763" s="135"/>
      <c r="Y763" s="135"/>
      <c r="Z763" s="135"/>
      <c r="AA763" s="135"/>
      <c r="AB763" s="135"/>
      <c r="AC763" s="135"/>
      <c r="AD763" s="135"/>
    </row>
    <row r="764" ht="28.5" customHeight="1">
      <c r="A764" s="135"/>
      <c r="B764" s="135"/>
      <c r="C764" s="135"/>
      <c r="D764" s="135"/>
      <c r="E764" s="135"/>
      <c r="F764" s="135"/>
      <c r="G764" s="135"/>
      <c r="H764" s="135"/>
      <c r="I764" s="135"/>
      <c r="J764" s="135"/>
      <c r="K764" s="135"/>
      <c r="L764" s="135"/>
      <c r="M764" s="135"/>
      <c r="N764" s="135"/>
      <c r="O764" s="135"/>
      <c r="P764" s="135"/>
      <c r="Q764" s="135"/>
      <c r="R764" s="135"/>
      <c r="S764" s="135"/>
      <c r="T764" s="135"/>
      <c r="U764" s="135"/>
      <c r="V764" s="135"/>
      <c r="W764" s="135"/>
      <c r="X764" s="135"/>
      <c r="Y764" s="135"/>
      <c r="Z764" s="135"/>
      <c r="AA764" s="135"/>
      <c r="AB764" s="135"/>
      <c r="AC764" s="135"/>
      <c r="AD764" s="135"/>
    </row>
    <row r="765" ht="28.5" customHeight="1">
      <c r="A765" s="135"/>
      <c r="B765" s="135"/>
      <c r="C765" s="135"/>
      <c r="D765" s="135"/>
      <c r="E765" s="135"/>
      <c r="F765" s="135"/>
      <c r="G765" s="135"/>
      <c r="H765" s="135"/>
      <c r="I765" s="135"/>
      <c r="J765" s="135"/>
      <c r="K765" s="135"/>
      <c r="L765" s="135"/>
      <c r="M765" s="135"/>
      <c r="N765" s="135"/>
      <c r="O765" s="135"/>
      <c r="P765" s="135"/>
      <c r="Q765" s="135"/>
      <c r="R765" s="135"/>
      <c r="S765" s="135"/>
      <c r="T765" s="135"/>
      <c r="U765" s="135"/>
      <c r="V765" s="135"/>
      <c r="W765" s="135"/>
      <c r="X765" s="135"/>
      <c r="Y765" s="135"/>
      <c r="Z765" s="135"/>
      <c r="AA765" s="135"/>
      <c r="AB765" s="135"/>
      <c r="AC765" s="135"/>
      <c r="AD765" s="135"/>
    </row>
    <row r="766" ht="28.5" customHeight="1">
      <c r="A766" s="135"/>
      <c r="B766" s="135"/>
      <c r="C766" s="135"/>
      <c r="D766" s="135"/>
      <c r="E766" s="135"/>
      <c r="F766" s="135"/>
      <c r="G766" s="135"/>
      <c r="H766" s="135"/>
      <c r="I766" s="135"/>
      <c r="J766" s="135"/>
      <c r="K766" s="135"/>
      <c r="L766" s="135"/>
      <c r="M766" s="135"/>
      <c r="N766" s="135"/>
      <c r="O766" s="135"/>
      <c r="P766" s="135"/>
      <c r="Q766" s="135"/>
      <c r="R766" s="135"/>
      <c r="S766" s="135"/>
      <c r="T766" s="135"/>
      <c r="U766" s="135"/>
      <c r="V766" s="135"/>
      <c r="W766" s="135"/>
      <c r="X766" s="135"/>
      <c r="Y766" s="135"/>
      <c r="Z766" s="135"/>
      <c r="AA766" s="135"/>
      <c r="AB766" s="135"/>
      <c r="AC766" s="135"/>
      <c r="AD766" s="135"/>
    </row>
    <row r="767" ht="28.5" customHeight="1">
      <c r="A767" s="135"/>
      <c r="B767" s="135"/>
      <c r="C767" s="135"/>
      <c r="D767" s="135"/>
      <c r="E767" s="135"/>
      <c r="F767" s="135"/>
      <c r="G767" s="135"/>
      <c r="H767" s="135"/>
      <c r="I767" s="135"/>
      <c r="J767" s="135"/>
      <c r="K767" s="135"/>
      <c r="L767" s="135"/>
      <c r="M767" s="135"/>
      <c r="N767" s="135"/>
      <c r="O767" s="135"/>
      <c r="P767" s="135"/>
      <c r="Q767" s="135"/>
      <c r="R767" s="135"/>
      <c r="S767" s="135"/>
      <c r="T767" s="135"/>
      <c r="U767" s="135"/>
      <c r="V767" s="135"/>
      <c r="W767" s="135"/>
      <c r="X767" s="135"/>
      <c r="Y767" s="135"/>
      <c r="Z767" s="135"/>
      <c r="AA767" s="135"/>
      <c r="AB767" s="135"/>
      <c r="AC767" s="135"/>
      <c r="AD767" s="135"/>
    </row>
    <row r="768" ht="28.5" customHeight="1">
      <c r="A768" s="135"/>
      <c r="B768" s="135"/>
      <c r="C768" s="135"/>
      <c r="D768" s="135"/>
      <c r="E768" s="135"/>
      <c r="F768" s="135"/>
      <c r="G768" s="135"/>
      <c r="H768" s="135"/>
      <c r="I768" s="135"/>
      <c r="J768" s="135"/>
      <c r="K768" s="135"/>
      <c r="L768" s="135"/>
      <c r="M768" s="135"/>
      <c r="N768" s="135"/>
      <c r="O768" s="135"/>
      <c r="P768" s="135"/>
      <c r="Q768" s="135"/>
      <c r="R768" s="135"/>
      <c r="S768" s="135"/>
      <c r="T768" s="135"/>
      <c r="U768" s="135"/>
      <c r="V768" s="135"/>
      <c r="W768" s="135"/>
      <c r="X768" s="135"/>
      <c r="Y768" s="135"/>
      <c r="Z768" s="135"/>
      <c r="AA768" s="135"/>
      <c r="AB768" s="135"/>
      <c r="AC768" s="135"/>
      <c r="AD768" s="135"/>
    </row>
    <row r="769" ht="28.5" customHeight="1">
      <c r="A769" s="135"/>
      <c r="B769" s="135"/>
      <c r="C769" s="135"/>
      <c r="D769" s="135"/>
      <c r="E769" s="135"/>
      <c r="F769" s="135"/>
      <c r="G769" s="135"/>
      <c r="H769" s="135"/>
      <c r="I769" s="135"/>
      <c r="J769" s="135"/>
      <c r="K769" s="135"/>
      <c r="L769" s="135"/>
      <c r="M769" s="135"/>
      <c r="N769" s="135"/>
      <c r="O769" s="135"/>
      <c r="P769" s="135"/>
      <c r="Q769" s="135"/>
      <c r="R769" s="135"/>
      <c r="S769" s="135"/>
      <c r="T769" s="135"/>
      <c r="U769" s="135"/>
      <c r="V769" s="135"/>
      <c r="W769" s="135"/>
      <c r="X769" s="135"/>
      <c r="Y769" s="135"/>
      <c r="Z769" s="135"/>
      <c r="AA769" s="135"/>
      <c r="AB769" s="135"/>
      <c r="AC769" s="135"/>
      <c r="AD769" s="135"/>
    </row>
    <row r="770" ht="28.5" customHeight="1">
      <c r="A770" s="135"/>
      <c r="B770" s="135"/>
      <c r="C770" s="135"/>
      <c r="D770" s="135"/>
      <c r="E770" s="135"/>
      <c r="F770" s="135"/>
      <c r="G770" s="135"/>
      <c r="H770" s="135"/>
      <c r="I770" s="135"/>
      <c r="J770" s="135"/>
      <c r="K770" s="135"/>
      <c r="L770" s="135"/>
      <c r="M770" s="135"/>
      <c r="N770" s="135"/>
      <c r="O770" s="135"/>
      <c r="P770" s="135"/>
      <c r="Q770" s="135"/>
      <c r="R770" s="135"/>
      <c r="S770" s="135"/>
      <c r="T770" s="135"/>
      <c r="U770" s="135"/>
      <c r="V770" s="135"/>
      <c r="W770" s="135"/>
      <c r="X770" s="135"/>
      <c r="Y770" s="135"/>
      <c r="Z770" s="135"/>
      <c r="AA770" s="135"/>
      <c r="AB770" s="135"/>
      <c r="AC770" s="135"/>
      <c r="AD770" s="135"/>
    </row>
    <row r="771" ht="28.5" customHeight="1">
      <c r="A771" s="135"/>
      <c r="B771" s="135"/>
      <c r="C771" s="135"/>
      <c r="D771" s="135"/>
      <c r="E771" s="135"/>
      <c r="F771" s="135"/>
      <c r="G771" s="135"/>
      <c r="H771" s="135"/>
      <c r="I771" s="135"/>
      <c r="J771" s="135"/>
      <c r="K771" s="135"/>
      <c r="L771" s="135"/>
      <c r="M771" s="135"/>
      <c r="N771" s="135"/>
      <c r="O771" s="135"/>
      <c r="P771" s="135"/>
      <c r="Q771" s="135"/>
      <c r="R771" s="135"/>
      <c r="S771" s="135"/>
      <c r="T771" s="135"/>
      <c r="U771" s="135"/>
      <c r="V771" s="135"/>
      <c r="W771" s="135"/>
      <c r="X771" s="135"/>
      <c r="Y771" s="135"/>
      <c r="Z771" s="135"/>
      <c r="AA771" s="135"/>
      <c r="AB771" s="135"/>
      <c r="AC771" s="135"/>
      <c r="AD771" s="135"/>
    </row>
    <row r="772" ht="28.5" customHeight="1">
      <c r="A772" s="135"/>
      <c r="B772" s="135"/>
      <c r="C772" s="135"/>
      <c r="D772" s="135"/>
      <c r="E772" s="135"/>
      <c r="F772" s="135"/>
      <c r="G772" s="135"/>
      <c r="H772" s="135"/>
      <c r="I772" s="135"/>
      <c r="J772" s="135"/>
      <c r="K772" s="135"/>
      <c r="L772" s="135"/>
      <c r="M772" s="135"/>
      <c r="N772" s="135"/>
      <c r="O772" s="135"/>
      <c r="P772" s="135"/>
      <c r="Q772" s="135"/>
      <c r="R772" s="135"/>
      <c r="S772" s="135"/>
      <c r="T772" s="135"/>
      <c r="U772" s="135"/>
      <c r="V772" s="135"/>
      <c r="W772" s="135"/>
      <c r="X772" s="135"/>
      <c r="Y772" s="135"/>
      <c r="Z772" s="135"/>
      <c r="AA772" s="135"/>
      <c r="AB772" s="135"/>
      <c r="AC772" s="135"/>
      <c r="AD772" s="135"/>
    </row>
    <row r="773" ht="28.5" customHeight="1">
      <c r="A773" s="135"/>
      <c r="B773" s="135"/>
      <c r="C773" s="135"/>
      <c r="D773" s="135"/>
      <c r="E773" s="135"/>
      <c r="F773" s="135"/>
      <c r="G773" s="135"/>
      <c r="H773" s="135"/>
      <c r="I773" s="135"/>
      <c r="J773" s="135"/>
      <c r="K773" s="135"/>
      <c r="L773" s="135"/>
      <c r="M773" s="135"/>
      <c r="N773" s="135"/>
      <c r="O773" s="135"/>
      <c r="P773" s="135"/>
      <c r="Q773" s="135"/>
      <c r="R773" s="135"/>
      <c r="S773" s="135"/>
      <c r="T773" s="135"/>
      <c r="U773" s="135"/>
      <c r="V773" s="135"/>
      <c r="W773" s="135"/>
      <c r="X773" s="135"/>
      <c r="Y773" s="135"/>
      <c r="Z773" s="135"/>
      <c r="AA773" s="135"/>
      <c r="AB773" s="135"/>
      <c r="AC773" s="135"/>
      <c r="AD773" s="135"/>
    </row>
    <row r="774" ht="28.5" customHeight="1">
      <c r="A774" s="135"/>
      <c r="B774" s="135"/>
      <c r="C774" s="135"/>
      <c r="D774" s="135"/>
      <c r="E774" s="135"/>
      <c r="F774" s="135"/>
      <c r="G774" s="135"/>
      <c r="H774" s="135"/>
      <c r="I774" s="135"/>
      <c r="J774" s="135"/>
      <c r="K774" s="135"/>
      <c r="L774" s="135"/>
      <c r="M774" s="135"/>
      <c r="N774" s="135"/>
      <c r="O774" s="135"/>
      <c r="P774" s="135"/>
      <c r="Q774" s="135"/>
      <c r="R774" s="135"/>
      <c r="S774" s="135"/>
      <c r="T774" s="135"/>
      <c r="U774" s="135"/>
      <c r="V774" s="135"/>
      <c r="W774" s="135"/>
      <c r="X774" s="135"/>
      <c r="Y774" s="135"/>
      <c r="Z774" s="135"/>
      <c r="AA774" s="135"/>
      <c r="AB774" s="135"/>
      <c r="AC774" s="135"/>
      <c r="AD774" s="135"/>
    </row>
    <row r="775" ht="28.5" customHeight="1">
      <c r="A775" s="135"/>
      <c r="B775" s="135"/>
      <c r="C775" s="135"/>
      <c r="D775" s="135"/>
      <c r="E775" s="135"/>
      <c r="F775" s="135"/>
      <c r="G775" s="135"/>
      <c r="H775" s="135"/>
      <c r="I775" s="135"/>
      <c r="J775" s="135"/>
      <c r="K775" s="135"/>
      <c r="L775" s="135"/>
      <c r="M775" s="135"/>
      <c r="N775" s="135"/>
      <c r="O775" s="135"/>
      <c r="P775" s="135"/>
      <c r="Q775" s="135"/>
      <c r="R775" s="135"/>
      <c r="S775" s="135"/>
      <c r="T775" s="135"/>
      <c r="U775" s="135"/>
      <c r="V775" s="135"/>
      <c r="W775" s="135"/>
      <c r="X775" s="135"/>
      <c r="Y775" s="135"/>
      <c r="Z775" s="135"/>
      <c r="AA775" s="135"/>
      <c r="AB775" s="135"/>
      <c r="AC775" s="135"/>
      <c r="AD775" s="135"/>
    </row>
    <row r="776" ht="28.5" customHeight="1">
      <c r="A776" s="135"/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35"/>
      <c r="Q776" s="135"/>
      <c r="R776" s="135"/>
      <c r="S776" s="135"/>
      <c r="T776" s="135"/>
      <c r="U776" s="135"/>
      <c r="V776" s="135"/>
      <c r="W776" s="135"/>
      <c r="X776" s="135"/>
      <c r="Y776" s="135"/>
      <c r="Z776" s="135"/>
      <c r="AA776" s="135"/>
      <c r="AB776" s="135"/>
      <c r="AC776" s="135"/>
      <c r="AD776" s="135"/>
    </row>
    <row r="777" ht="28.5" customHeight="1">
      <c r="A777" s="135"/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</row>
    <row r="778" ht="28.5" customHeight="1">
      <c r="A778" s="135"/>
      <c r="B778" s="135"/>
      <c r="C778" s="135"/>
      <c r="D778" s="135"/>
      <c r="E778" s="135"/>
      <c r="F778" s="135"/>
      <c r="G778" s="135"/>
      <c r="H778" s="135"/>
      <c r="I778" s="135"/>
      <c r="J778" s="135"/>
      <c r="K778" s="135"/>
      <c r="L778" s="135"/>
      <c r="M778" s="135"/>
      <c r="N778" s="135"/>
      <c r="O778" s="135"/>
      <c r="P778" s="135"/>
      <c r="Q778" s="135"/>
      <c r="R778" s="135"/>
      <c r="S778" s="135"/>
      <c r="T778" s="135"/>
      <c r="U778" s="135"/>
      <c r="V778" s="135"/>
      <c r="W778" s="135"/>
      <c r="X778" s="135"/>
      <c r="Y778" s="135"/>
      <c r="Z778" s="135"/>
      <c r="AA778" s="135"/>
      <c r="AB778" s="135"/>
      <c r="AC778" s="135"/>
      <c r="AD778" s="135"/>
    </row>
    <row r="779" ht="28.5" customHeight="1">
      <c r="A779" s="135"/>
      <c r="B779" s="135"/>
      <c r="C779" s="135"/>
      <c r="D779" s="135"/>
      <c r="E779" s="135"/>
      <c r="F779" s="135"/>
      <c r="G779" s="135"/>
      <c r="H779" s="135"/>
      <c r="I779" s="135"/>
      <c r="J779" s="135"/>
      <c r="K779" s="135"/>
      <c r="L779" s="135"/>
      <c r="M779" s="135"/>
      <c r="N779" s="135"/>
      <c r="O779" s="135"/>
      <c r="P779" s="135"/>
      <c r="Q779" s="135"/>
      <c r="R779" s="135"/>
      <c r="S779" s="135"/>
      <c r="T779" s="135"/>
      <c r="U779" s="135"/>
      <c r="V779" s="135"/>
      <c r="W779" s="135"/>
      <c r="X779" s="135"/>
      <c r="Y779" s="135"/>
      <c r="Z779" s="135"/>
      <c r="AA779" s="135"/>
      <c r="AB779" s="135"/>
      <c r="AC779" s="135"/>
      <c r="AD779" s="135"/>
    </row>
    <row r="780" ht="28.5" customHeight="1">
      <c r="A780" s="135"/>
      <c r="B780" s="135"/>
      <c r="C780" s="135"/>
      <c r="D780" s="135"/>
      <c r="E780" s="135"/>
      <c r="F780" s="135"/>
      <c r="G780" s="135"/>
      <c r="H780" s="135"/>
      <c r="I780" s="135"/>
      <c r="J780" s="135"/>
      <c r="K780" s="135"/>
      <c r="L780" s="135"/>
      <c r="M780" s="135"/>
      <c r="N780" s="135"/>
      <c r="O780" s="135"/>
      <c r="P780" s="135"/>
      <c r="Q780" s="135"/>
      <c r="R780" s="135"/>
      <c r="S780" s="135"/>
      <c r="T780" s="135"/>
      <c r="U780" s="135"/>
      <c r="V780" s="135"/>
      <c r="W780" s="135"/>
      <c r="X780" s="135"/>
      <c r="Y780" s="135"/>
      <c r="Z780" s="135"/>
      <c r="AA780" s="135"/>
      <c r="AB780" s="135"/>
      <c r="AC780" s="135"/>
      <c r="AD780" s="135"/>
    </row>
    <row r="781" ht="28.5" customHeight="1">
      <c r="A781" s="135"/>
      <c r="B781" s="135"/>
      <c r="C781" s="135"/>
      <c r="D781" s="135"/>
      <c r="E781" s="135"/>
      <c r="F781" s="135"/>
      <c r="G781" s="135"/>
      <c r="H781" s="135"/>
      <c r="I781" s="135"/>
      <c r="J781" s="135"/>
      <c r="K781" s="135"/>
      <c r="L781" s="135"/>
      <c r="M781" s="135"/>
      <c r="N781" s="135"/>
      <c r="O781" s="135"/>
      <c r="P781" s="135"/>
      <c r="Q781" s="135"/>
      <c r="R781" s="135"/>
      <c r="S781" s="135"/>
      <c r="T781" s="135"/>
      <c r="U781" s="135"/>
      <c r="V781" s="135"/>
      <c r="W781" s="135"/>
      <c r="X781" s="135"/>
      <c r="Y781" s="135"/>
      <c r="Z781" s="135"/>
      <c r="AA781" s="135"/>
      <c r="AB781" s="135"/>
      <c r="AC781" s="135"/>
      <c r="AD781" s="135"/>
    </row>
    <row r="782" ht="28.5" customHeight="1">
      <c r="A782" s="135"/>
      <c r="B782" s="135"/>
      <c r="C782" s="135"/>
      <c r="D782" s="135"/>
      <c r="E782" s="135"/>
      <c r="F782" s="135"/>
      <c r="G782" s="135"/>
      <c r="H782" s="135"/>
      <c r="I782" s="135"/>
      <c r="J782" s="135"/>
      <c r="K782" s="135"/>
      <c r="L782" s="135"/>
      <c r="M782" s="135"/>
      <c r="N782" s="135"/>
      <c r="O782" s="135"/>
      <c r="P782" s="135"/>
      <c r="Q782" s="135"/>
      <c r="R782" s="135"/>
      <c r="S782" s="135"/>
      <c r="T782" s="135"/>
      <c r="U782" s="135"/>
      <c r="V782" s="135"/>
      <c r="W782" s="135"/>
      <c r="X782" s="135"/>
      <c r="Y782" s="135"/>
      <c r="Z782" s="135"/>
      <c r="AA782" s="135"/>
      <c r="AB782" s="135"/>
      <c r="AC782" s="135"/>
      <c r="AD782" s="135"/>
    </row>
    <row r="783" ht="28.5" customHeight="1">
      <c r="A783" s="135"/>
      <c r="B783" s="135"/>
      <c r="C783" s="135"/>
      <c r="D783" s="135"/>
      <c r="E783" s="135"/>
      <c r="F783" s="135"/>
      <c r="G783" s="135"/>
      <c r="H783" s="135"/>
      <c r="I783" s="135"/>
      <c r="J783" s="135"/>
      <c r="K783" s="135"/>
      <c r="L783" s="135"/>
      <c r="M783" s="135"/>
      <c r="N783" s="135"/>
      <c r="O783" s="135"/>
      <c r="P783" s="135"/>
      <c r="Q783" s="135"/>
      <c r="R783" s="135"/>
      <c r="S783" s="135"/>
      <c r="T783" s="135"/>
      <c r="U783" s="135"/>
      <c r="V783" s="135"/>
      <c r="W783" s="135"/>
      <c r="X783" s="135"/>
      <c r="Y783" s="135"/>
      <c r="Z783" s="135"/>
      <c r="AA783" s="135"/>
      <c r="AB783" s="135"/>
      <c r="AC783" s="135"/>
      <c r="AD783" s="135"/>
    </row>
    <row r="784" ht="28.5" customHeight="1">
      <c r="A784" s="135"/>
      <c r="B784" s="135"/>
      <c r="C784" s="135"/>
      <c r="D784" s="135"/>
      <c r="E784" s="135"/>
      <c r="F784" s="135"/>
      <c r="G784" s="135"/>
      <c r="H784" s="135"/>
      <c r="I784" s="135"/>
      <c r="J784" s="135"/>
      <c r="K784" s="135"/>
      <c r="L784" s="135"/>
      <c r="M784" s="135"/>
      <c r="N784" s="135"/>
      <c r="O784" s="135"/>
      <c r="P784" s="135"/>
      <c r="Q784" s="135"/>
      <c r="R784" s="135"/>
      <c r="S784" s="135"/>
      <c r="T784" s="135"/>
      <c r="U784" s="135"/>
      <c r="V784" s="135"/>
      <c r="W784" s="135"/>
      <c r="X784" s="135"/>
      <c r="Y784" s="135"/>
      <c r="Z784" s="135"/>
      <c r="AA784" s="135"/>
      <c r="AB784" s="135"/>
      <c r="AC784" s="135"/>
      <c r="AD784" s="135"/>
    </row>
    <row r="785" ht="28.5" customHeight="1">
      <c r="A785" s="135"/>
      <c r="B785" s="135"/>
      <c r="C785" s="135"/>
      <c r="D785" s="135"/>
      <c r="E785" s="135"/>
      <c r="F785" s="135"/>
      <c r="G785" s="135"/>
      <c r="H785" s="135"/>
      <c r="I785" s="135"/>
      <c r="J785" s="135"/>
      <c r="K785" s="135"/>
      <c r="L785" s="135"/>
      <c r="M785" s="135"/>
      <c r="N785" s="135"/>
      <c r="O785" s="135"/>
      <c r="P785" s="135"/>
      <c r="Q785" s="135"/>
      <c r="R785" s="135"/>
      <c r="S785" s="135"/>
      <c r="T785" s="135"/>
      <c r="U785" s="135"/>
      <c r="V785" s="135"/>
      <c r="W785" s="135"/>
      <c r="X785" s="135"/>
      <c r="Y785" s="135"/>
      <c r="Z785" s="135"/>
      <c r="AA785" s="135"/>
      <c r="AB785" s="135"/>
      <c r="AC785" s="135"/>
      <c r="AD785" s="135"/>
    </row>
    <row r="786" ht="28.5" customHeight="1">
      <c r="A786" s="135"/>
      <c r="B786" s="135"/>
      <c r="C786" s="135"/>
      <c r="D786" s="135"/>
      <c r="E786" s="135"/>
      <c r="F786" s="135"/>
      <c r="G786" s="135"/>
      <c r="H786" s="135"/>
      <c r="I786" s="135"/>
      <c r="J786" s="135"/>
      <c r="K786" s="135"/>
      <c r="L786" s="135"/>
      <c r="M786" s="135"/>
      <c r="N786" s="135"/>
      <c r="O786" s="135"/>
      <c r="P786" s="135"/>
      <c r="Q786" s="135"/>
      <c r="R786" s="135"/>
      <c r="S786" s="135"/>
      <c r="T786" s="135"/>
      <c r="U786" s="135"/>
      <c r="V786" s="135"/>
      <c r="W786" s="135"/>
      <c r="X786" s="135"/>
      <c r="Y786" s="135"/>
      <c r="Z786" s="135"/>
      <c r="AA786" s="135"/>
      <c r="AB786" s="135"/>
      <c r="AC786" s="135"/>
      <c r="AD786" s="135"/>
    </row>
    <row r="787" ht="28.5" customHeight="1">
      <c r="A787" s="135"/>
      <c r="B787" s="135"/>
      <c r="C787" s="135"/>
      <c r="D787" s="135"/>
      <c r="E787" s="135"/>
      <c r="F787" s="135"/>
      <c r="G787" s="135"/>
      <c r="H787" s="135"/>
      <c r="I787" s="135"/>
      <c r="J787" s="135"/>
      <c r="K787" s="135"/>
      <c r="L787" s="135"/>
      <c r="M787" s="135"/>
      <c r="N787" s="135"/>
      <c r="O787" s="135"/>
      <c r="P787" s="135"/>
      <c r="Q787" s="135"/>
      <c r="R787" s="135"/>
      <c r="S787" s="135"/>
      <c r="T787" s="135"/>
      <c r="U787" s="135"/>
      <c r="V787" s="135"/>
      <c r="W787" s="135"/>
      <c r="X787" s="135"/>
      <c r="Y787" s="135"/>
      <c r="Z787" s="135"/>
      <c r="AA787" s="135"/>
      <c r="AB787" s="135"/>
      <c r="AC787" s="135"/>
      <c r="AD787" s="135"/>
    </row>
    <row r="788" ht="28.5" customHeight="1">
      <c r="A788" s="135"/>
      <c r="B788" s="135"/>
      <c r="C788" s="135"/>
      <c r="D788" s="135"/>
      <c r="E788" s="135"/>
      <c r="F788" s="135"/>
      <c r="G788" s="135"/>
      <c r="H788" s="135"/>
      <c r="I788" s="135"/>
      <c r="J788" s="135"/>
      <c r="K788" s="135"/>
      <c r="L788" s="135"/>
      <c r="M788" s="135"/>
      <c r="N788" s="135"/>
      <c r="O788" s="135"/>
      <c r="P788" s="135"/>
      <c r="Q788" s="135"/>
      <c r="R788" s="135"/>
      <c r="S788" s="135"/>
      <c r="T788" s="135"/>
      <c r="U788" s="135"/>
      <c r="V788" s="135"/>
      <c r="W788" s="135"/>
      <c r="X788" s="135"/>
      <c r="Y788" s="135"/>
      <c r="Z788" s="135"/>
      <c r="AA788" s="135"/>
      <c r="AB788" s="135"/>
      <c r="AC788" s="135"/>
      <c r="AD788" s="135"/>
    </row>
    <row r="789" ht="28.5" customHeight="1">
      <c r="A789" s="135"/>
      <c r="B789" s="135"/>
      <c r="C789" s="135"/>
      <c r="D789" s="135"/>
      <c r="E789" s="135"/>
      <c r="F789" s="135"/>
      <c r="G789" s="135"/>
      <c r="H789" s="135"/>
      <c r="I789" s="135"/>
      <c r="J789" s="135"/>
      <c r="K789" s="135"/>
      <c r="L789" s="135"/>
      <c r="M789" s="135"/>
      <c r="N789" s="135"/>
      <c r="O789" s="135"/>
      <c r="P789" s="135"/>
      <c r="Q789" s="135"/>
      <c r="R789" s="135"/>
      <c r="S789" s="135"/>
      <c r="T789" s="135"/>
      <c r="U789" s="135"/>
      <c r="V789" s="135"/>
      <c r="W789" s="135"/>
      <c r="X789" s="135"/>
      <c r="Y789" s="135"/>
      <c r="Z789" s="135"/>
      <c r="AA789" s="135"/>
      <c r="AB789" s="135"/>
      <c r="AC789" s="135"/>
      <c r="AD789" s="135"/>
    </row>
    <row r="790" ht="28.5" customHeight="1">
      <c r="A790" s="135"/>
      <c r="B790" s="135"/>
      <c r="C790" s="135"/>
      <c r="D790" s="135"/>
      <c r="E790" s="135"/>
      <c r="F790" s="135"/>
      <c r="G790" s="135"/>
      <c r="H790" s="135"/>
      <c r="I790" s="135"/>
      <c r="J790" s="135"/>
      <c r="K790" s="135"/>
      <c r="L790" s="135"/>
      <c r="M790" s="135"/>
      <c r="N790" s="135"/>
      <c r="O790" s="135"/>
      <c r="P790" s="135"/>
      <c r="Q790" s="135"/>
      <c r="R790" s="135"/>
      <c r="S790" s="135"/>
      <c r="T790" s="135"/>
      <c r="U790" s="135"/>
      <c r="V790" s="135"/>
      <c r="W790" s="135"/>
      <c r="X790" s="135"/>
      <c r="Y790" s="135"/>
      <c r="Z790" s="135"/>
      <c r="AA790" s="135"/>
      <c r="AB790" s="135"/>
      <c r="AC790" s="135"/>
      <c r="AD790" s="135"/>
    </row>
    <row r="791" ht="28.5" customHeight="1">
      <c r="A791" s="135"/>
      <c r="B791" s="135"/>
      <c r="C791" s="135"/>
      <c r="D791" s="135"/>
      <c r="E791" s="135"/>
      <c r="F791" s="135"/>
      <c r="G791" s="135"/>
      <c r="H791" s="135"/>
      <c r="I791" s="135"/>
      <c r="J791" s="135"/>
      <c r="K791" s="135"/>
      <c r="L791" s="135"/>
      <c r="M791" s="135"/>
      <c r="N791" s="135"/>
      <c r="O791" s="135"/>
      <c r="P791" s="135"/>
      <c r="Q791" s="135"/>
      <c r="R791" s="135"/>
      <c r="S791" s="135"/>
      <c r="T791" s="135"/>
      <c r="U791" s="135"/>
      <c r="V791" s="135"/>
      <c r="W791" s="135"/>
      <c r="X791" s="135"/>
      <c r="Y791" s="135"/>
      <c r="Z791" s="135"/>
      <c r="AA791" s="135"/>
      <c r="AB791" s="135"/>
      <c r="AC791" s="135"/>
      <c r="AD791" s="135"/>
    </row>
    <row r="792" ht="28.5" customHeight="1">
      <c r="A792" s="135"/>
      <c r="B792" s="135"/>
      <c r="C792" s="135"/>
      <c r="D792" s="135"/>
      <c r="E792" s="135"/>
      <c r="F792" s="135"/>
      <c r="G792" s="135"/>
      <c r="H792" s="135"/>
      <c r="I792" s="135"/>
      <c r="J792" s="135"/>
      <c r="K792" s="135"/>
      <c r="L792" s="135"/>
      <c r="M792" s="135"/>
      <c r="N792" s="135"/>
      <c r="O792" s="135"/>
      <c r="P792" s="135"/>
      <c r="Q792" s="135"/>
      <c r="R792" s="135"/>
      <c r="S792" s="135"/>
      <c r="T792" s="135"/>
      <c r="U792" s="135"/>
      <c r="V792" s="135"/>
      <c r="W792" s="135"/>
      <c r="X792" s="135"/>
      <c r="Y792" s="135"/>
      <c r="Z792" s="135"/>
      <c r="AA792" s="135"/>
      <c r="AB792" s="135"/>
      <c r="AC792" s="135"/>
      <c r="AD792" s="135"/>
    </row>
    <row r="793" ht="28.5" customHeight="1">
      <c r="A793" s="135"/>
      <c r="B793" s="135"/>
      <c r="C793" s="135"/>
      <c r="D793" s="135"/>
      <c r="E793" s="135"/>
      <c r="F793" s="135"/>
      <c r="G793" s="135"/>
      <c r="H793" s="135"/>
      <c r="I793" s="135"/>
      <c r="J793" s="135"/>
      <c r="K793" s="135"/>
      <c r="L793" s="135"/>
      <c r="M793" s="135"/>
      <c r="N793" s="135"/>
      <c r="O793" s="135"/>
      <c r="P793" s="135"/>
      <c r="Q793" s="135"/>
      <c r="R793" s="135"/>
      <c r="S793" s="135"/>
      <c r="T793" s="135"/>
      <c r="U793" s="135"/>
      <c r="V793" s="135"/>
      <c r="W793" s="135"/>
      <c r="X793" s="135"/>
      <c r="Y793" s="135"/>
      <c r="Z793" s="135"/>
      <c r="AA793" s="135"/>
      <c r="AB793" s="135"/>
      <c r="AC793" s="135"/>
      <c r="AD793" s="135"/>
    </row>
    <row r="794" ht="28.5" customHeight="1">
      <c r="A794" s="135"/>
      <c r="B794" s="135"/>
      <c r="C794" s="135"/>
      <c r="D794" s="135"/>
      <c r="E794" s="135"/>
      <c r="F794" s="135"/>
      <c r="G794" s="135"/>
      <c r="H794" s="135"/>
      <c r="I794" s="135"/>
      <c r="J794" s="135"/>
      <c r="K794" s="135"/>
      <c r="L794" s="135"/>
      <c r="M794" s="135"/>
      <c r="N794" s="135"/>
      <c r="O794" s="135"/>
      <c r="P794" s="135"/>
      <c r="Q794" s="135"/>
      <c r="R794" s="135"/>
      <c r="S794" s="135"/>
      <c r="T794" s="135"/>
      <c r="U794" s="135"/>
      <c r="V794" s="135"/>
      <c r="W794" s="135"/>
      <c r="X794" s="135"/>
      <c r="Y794" s="135"/>
      <c r="Z794" s="135"/>
      <c r="AA794" s="135"/>
      <c r="AB794" s="135"/>
      <c r="AC794" s="135"/>
      <c r="AD794" s="135"/>
    </row>
    <row r="795" ht="28.5" customHeight="1">
      <c r="A795" s="135"/>
      <c r="B795" s="135"/>
      <c r="C795" s="135"/>
      <c r="D795" s="135"/>
      <c r="E795" s="135"/>
      <c r="F795" s="135"/>
      <c r="G795" s="135"/>
      <c r="H795" s="135"/>
      <c r="I795" s="135"/>
      <c r="J795" s="135"/>
      <c r="K795" s="135"/>
      <c r="L795" s="135"/>
      <c r="M795" s="135"/>
      <c r="N795" s="135"/>
      <c r="O795" s="135"/>
      <c r="P795" s="135"/>
      <c r="Q795" s="135"/>
      <c r="R795" s="135"/>
      <c r="S795" s="135"/>
      <c r="T795" s="135"/>
      <c r="U795" s="135"/>
      <c r="V795" s="135"/>
      <c r="W795" s="135"/>
      <c r="X795" s="135"/>
      <c r="Y795" s="135"/>
      <c r="Z795" s="135"/>
      <c r="AA795" s="135"/>
      <c r="AB795" s="135"/>
      <c r="AC795" s="135"/>
      <c r="AD795" s="135"/>
    </row>
    <row r="796" ht="28.5" customHeight="1">
      <c r="A796" s="135"/>
      <c r="B796" s="135"/>
      <c r="C796" s="135"/>
      <c r="D796" s="135"/>
      <c r="E796" s="135"/>
      <c r="F796" s="135"/>
      <c r="G796" s="135"/>
      <c r="H796" s="135"/>
      <c r="I796" s="135"/>
      <c r="J796" s="135"/>
      <c r="K796" s="135"/>
      <c r="L796" s="135"/>
      <c r="M796" s="135"/>
      <c r="N796" s="135"/>
      <c r="O796" s="135"/>
      <c r="P796" s="135"/>
      <c r="Q796" s="135"/>
      <c r="R796" s="135"/>
      <c r="S796" s="135"/>
      <c r="T796" s="135"/>
      <c r="U796" s="135"/>
      <c r="V796" s="135"/>
      <c r="W796" s="135"/>
      <c r="X796" s="135"/>
      <c r="Y796" s="135"/>
      <c r="Z796" s="135"/>
      <c r="AA796" s="135"/>
      <c r="AB796" s="135"/>
      <c r="AC796" s="135"/>
      <c r="AD796" s="135"/>
    </row>
    <row r="797" ht="28.5" customHeight="1">
      <c r="A797" s="135"/>
      <c r="B797" s="135"/>
      <c r="C797" s="135"/>
      <c r="D797" s="135"/>
      <c r="E797" s="135"/>
      <c r="F797" s="135"/>
      <c r="G797" s="135"/>
      <c r="H797" s="135"/>
      <c r="I797" s="135"/>
      <c r="J797" s="135"/>
      <c r="K797" s="135"/>
      <c r="L797" s="135"/>
      <c r="M797" s="135"/>
      <c r="N797" s="135"/>
      <c r="O797" s="135"/>
      <c r="P797" s="135"/>
      <c r="Q797" s="135"/>
      <c r="R797" s="135"/>
      <c r="S797" s="135"/>
      <c r="T797" s="135"/>
      <c r="U797" s="135"/>
      <c r="V797" s="135"/>
      <c r="W797" s="135"/>
      <c r="X797" s="135"/>
      <c r="Y797" s="135"/>
      <c r="Z797" s="135"/>
      <c r="AA797" s="135"/>
      <c r="AB797" s="135"/>
      <c r="AC797" s="135"/>
      <c r="AD797" s="135"/>
    </row>
    <row r="798" ht="28.5" customHeight="1">
      <c r="A798" s="135"/>
      <c r="B798" s="135"/>
      <c r="C798" s="135"/>
      <c r="D798" s="135"/>
      <c r="E798" s="135"/>
      <c r="F798" s="135"/>
      <c r="G798" s="135"/>
      <c r="H798" s="135"/>
      <c r="I798" s="135"/>
      <c r="J798" s="135"/>
      <c r="K798" s="135"/>
      <c r="L798" s="135"/>
      <c r="M798" s="135"/>
      <c r="N798" s="135"/>
      <c r="O798" s="135"/>
      <c r="P798" s="135"/>
      <c r="Q798" s="135"/>
      <c r="R798" s="135"/>
      <c r="S798" s="135"/>
      <c r="T798" s="135"/>
      <c r="U798" s="135"/>
      <c r="V798" s="135"/>
      <c r="W798" s="135"/>
      <c r="X798" s="135"/>
      <c r="Y798" s="135"/>
      <c r="Z798" s="135"/>
      <c r="AA798" s="135"/>
      <c r="AB798" s="135"/>
      <c r="AC798" s="135"/>
      <c r="AD798" s="135"/>
    </row>
    <row r="799" ht="28.5" customHeight="1">
      <c r="A799" s="135"/>
      <c r="B799" s="135"/>
      <c r="C799" s="135"/>
      <c r="D799" s="135"/>
      <c r="E799" s="135"/>
      <c r="F799" s="135"/>
      <c r="G799" s="135"/>
      <c r="H799" s="135"/>
      <c r="I799" s="135"/>
      <c r="J799" s="135"/>
      <c r="K799" s="135"/>
      <c r="L799" s="135"/>
      <c r="M799" s="135"/>
      <c r="N799" s="135"/>
      <c r="O799" s="135"/>
      <c r="P799" s="135"/>
      <c r="Q799" s="135"/>
      <c r="R799" s="135"/>
      <c r="S799" s="135"/>
      <c r="T799" s="135"/>
      <c r="U799" s="135"/>
      <c r="V799" s="135"/>
      <c r="W799" s="135"/>
      <c r="X799" s="135"/>
      <c r="Y799" s="135"/>
      <c r="Z799" s="135"/>
      <c r="AA799" s="135"/>
      <c r="AB799" s="135"/>
      <c r="AC799" s="135"/>
      <c r="AD799" s="135"/>
    </row>
    <row r="800" ht="28.5" customHeight="1">
      <c r="A800" s="135"/>
      <c r="B800" s="135"/>
      <c r="C800" s="135"/>
      <c r="D800" s="135"/>
      <c r="E800" s="135"/>
      <c r="F800" s="135"/>
      <c r="G800" s="135"/>
      <c r="H800" s="135"/>
      <c r="I800" s="135"/>
      <c r="J800" s="135"/>
      <c r="K800" s="135"/>
      <c r="L800" s="135"/>
      <c r="M800" s="135"/>
      <c r="N800" s="135"/>
      <c r="O800" s="135"/>
      <c r="P800" s="135"/>
      <c r="Q800" s="135"/>
      <c r="R800" s="135"/>
      <c r="S800" s="135"/>
      <c r="T800" s="135"/>
      <c r="U800" s="135"/>
      <c r="V800" s="135"/>
      <c r="W800" s="135"/>
      <c r="X800" s="135"/>
      <c r="Y800" s="135"/>
      <c r="Z800" s="135"/>
      <c r="AA800" s="135"/>
      <c r="AB800" s="135"/>
      <c r="AC800" s="135"/>
      <c r="AD800" s="135"/>
    </row>
    <row r="801" ht="28.5" customHeight="1">
      <c r="A801" s="135"/>
      <c r="B801" s="135"/>
      <c r="C801" s="135"/>
      <c r="D801" s="135"/>
      <c r="E801" s="135"/>
      <c r="F801" s="135"/>
      <c r="G801" s="135"/>
      <c r="H801" s="135"/>
      <c r="I801" s="135"/>
      <c r="J801" s="135"/>
      <c r="K801" s="135"/>
      <c r="L801" s="135"/>
      <c r="M801" s="135"/>
      <c r="N801" s="135"/>
      <c r="O801" s="135"/>
      <c r="P801" s="135"/>
      <c r="Q801" s="135"/>
      <c r="R801" s="135"/>
      <c r="S801" s="135"/>
      <c r="T801" s="135"/>
      <c r="U801" s="135"/>
      <c r="V801" s="135"/>
      <c r="W801" s="135"/>
      <c r="X801" s="135"/>
      <c r="Y801" s="135"/>
      <c r="Z801" s="135"/>
      <c r="AA801" s="135"/>
      <c r="AB801" s="135"/>
      <c r="AC801" s="135"/>
      <c r="AD801" s="135"/>
    </row>
    <row r="802" ht="28.5" customHeight="1">
      <c r="A802" s="135"/>
      <c r="B802" s="135"/>
      <c r="C802" s="135"/>
      <c r="D802" s="135"/>
      <c r="E802" s="135"/>
      <c r="F802" s="135"/>
      <c r="G802" s="135"/>
      <c r="H802" s="135"/>
      <c r="I802" s="135"/>
      <c r="J802" s="135"/>
      <c r="K802" s="135"/>
      <c r="L802" s="135"/>
      <c r="M802" s="135"/>
      <c r="N802" s="135"/>
      <c r="O802" s="135"/>
      <c r="P802" s="135"/>
      <c r="Q802" s="135"/>
      <c r="R802" s="135"/>
      <c r="S802" s="135"/>
      <c r="T802" s="135"/>
      <c r="U802" s="135"/>
      <c r="V802" s="135"/>
      <c r="W802" s="135"/>
      <c r="X802" s="135"/>
      <c r="Y802" s="135"/>
      <c r="Z802" s="135"/>
      <c r="AA802" s="135"/>
      <c r="AB802" s="135"/>
      <c r="AC802" s="135"/>
      <c r="AD802" s="135"/>
    </row>
    <row r="803" ht="28.5" customHeight="1">
      <c r="A803" s="135"/>
      <c r="B803" s="135"/>
      <c r="C803" s="135"/>
      <c r="D803" s="135"/>
      <c r="E803" s="135"/>
      <c r="F803" s="135"/>
      <c r="G803" s="135"/>
      <c r="H803" s="135"/>
      <c r="I803" s="135"/>
      <c r="J803" s="135"/>
      <c r="K803" s="135"/>
      <c r="L803" s="135"/>
      <c r="M803" s="135"/>
      <c r="N803" s="135"/>
      <c r="O803" s="135"/>
      <c r="P803" s="135"/>
      <c r="Q803" s="135"/>
      <c r="R803" s="135"/>
      <c r="S803" s="135"/>
      <c r="T803" s="135"/>
      <c r="U803" s="135"/>
      <c r="V803" s="135"/>
      <c r="W803" s="135"/>
      <c r="X803" s="135"/>
      <c r="Y803" s="135"/>
      <c r="Z803" s="135"/>
      <c r="AA803" s="135"/>
      <c r="AB803" s="135"/>
      <c r="AC803" s="135"/>
      <c r="AD803" s="135"/>
    </row>
    <row r="804" ht="28.5" customHeight="1">
      <c r="A804" s="135"/>
      <c r="B804" s="135"/>
      <c r="C804" s="135"/>
      <c r="D804" s="135"/>
      <c r="E804" s="135"/>
      <c r="F804" s="135"/>
      <c r="G804" s="135"/>
      <c r="H804" s="135"/>
      <c r="I804" s="135"/>
      <c r="J804" s="135"/>
      <c r="K804" s="135"/>
      <c r="L804" s="135"/>
      <c r="M804" s="135"/>
      <c r="N804" s="135"/>
      <c r="O804" s="135"/>
      <c r="P804" s="135"/>
      <c r="Q804" s="135"/>
      <c r="R804" s="135"/>
      <c r="S804" s="135"/>
      <c r="T804" s="135"/>
      <c r="U804" s="135"/>
      <c r="V804" s="135"/>
      <c r="W804" s="135"/>
      <c r="X804" s="135"/>
      <c r="Y804" s="135"/>
      <c r="Z804" s="135"/>
      <c r="AA804" s="135"/>
      <c r="AB804" s="135"/>
      <c r="AC804" s="135"/>
      <c r="AD804" s="135"/>
    </row>
    <row r="805" ht="28.5" customHeight="1">
      <c r="A805" s="135"/>
      <c r="B805" s="135"/>
      <c r="C805" s="135"/>
      <c r="D805" s="135"/>
      <c r="E805" s="135"/>
      <c r="F805" s="135"/>
      <c r="G805" s="135"/>
      <c r="H805" s="135"/>
      <c r="I805" s="135"/>
      <c r="J805" s="135"/>
      <c r="K805" s="135"/>
      <c r="L805" s="135"/>
      <c r="M805" s="135"/>
      <c r="N805" s="135"/>
      <c r="O805" s="135"/>
      <c r="P805" s="135"/>
      <c r="Q805" s="135"/>
      <c r="R805" s="135"/>
      <c r="S805" s="135"/>
      <c r="T805" s="135"/>
      <c r="U805" s="135"/>
      <c r="V805" s="135"/>
      <c r="W805" s="135"/>
      <c r="X805" s="135"/>
      <c r="Y805" s="135"/>
      <c r="Z805" s="135"/>
      <c r="AA805" s="135"/>
      <c r="AB805" s="135"/>
      <c r="AC805" s="135"/>
      <c r="AD805" s="135"/>
    </row>
    <row r="806" ht="28.5" customHeight="1">
      <c r="A806" s="135"/>
      <c r="B806" s="135"/>
      <c r="C806" s="135"/>
      <c r="D806" s="135"/>
      <c r="E806" s="135"/>
      <c r="F806" s="135"/>
      <c r="G806" s="135"/>
      <c r="H806" s="135"/>
      <c r="I806" s="135"/>
      <c r="J806" s="135"/>
      <c r="K806" s="135"/>
      <c r="L806" s="135"/>
      <c r="M806" s="135"/>
      <c r="N806" s="135"/>
      <c r="O806" s="135"/>
      <c r="P806" s="135"/>
      <c r="Q806" s="135"/>
      <c r="R806" s="135"/>
      <c r="S806" s="135"/>
      <c r="T806" s="135"/>
      <c r="U806" s="135"/>
      <c r="V806" s="135"/>
      <c r="W806" s="135"/>
      <c r="X806" s="135"/>
      <c r="Y806" s="135"/>
      <c r="Z806" s="135"/>
      <c r="AA806" s="135"/>
      <c r="AB806" s="135"/>
      <c r="AC806" s="135"/>
      <c r="AD806" s="135"/>
    </row>
    <row r="807" ht="28.5" customHeight="1">
      <c r="A807" s="135"/>
      <c r="B807" s="135"/>
      <c r="C807" s="135"/>
      <c r="D807" s="135"/>
      <c r="E807" s="135"/>
      <c r="F807" s="135"/>
      <c r="G807" s="135"/>
      <c r="H807" s="135"/>
      <c r="I807" s="135"/>
      <c r="J807" s="135"/>
      <c r="K807" s="135"/>
      <c r="L807" s="135"/>
      <c r="M807" s="135"/>
      <c r="N807" s="135"/>
      <c r="O807" s="135"/>
      <c r="P807" s="135"/>
      <c r="Q807" s="135"/>
      <c r="R807" s="135"/>
      <c r="S807" s="135"/>
      <c r="T807" s="135"/>
      <c r="U807" s="135"/>
      <c r="V807" s="135"/>
      <c r="W807" s="135"/>
      <c r="X807" s="135"/>
      <c r="Y807" s="135"/>
      <c r="Z807" s="135"/>
      <c r="AA807" s="135"/>
      <c r="AB807" s="135"/>
      <c r="AC807" s="135"/>
      <c r="AD807" s="135"/>
    </row>
    <row r="808" ht="28.5" customHeight="1">
      <c r="A808" s="135"/>
      <c r="B808" s="135"/>
      <c r="C808" s="135"/>
      <c r="D808" s="135"/>
      <c r="E808" s="135"/>
      <c r="F808" s="135"/>
      <c r="G808" s="135"/>
      <c r="H808" s="135"/>
      <c r="I808" s="135"/>
      <c r="J808" s="135"/>
      <c r="K808" s="135"/>
      <c r="L808" s="135"/>
      <c r="M808" s="135"/>
      <c r="N808" s="135"/>
      <c r="O808" s="135"/>
      <c r="P808" s="135"/>
      <c r="Q808" s="135"/>
      <c r="R808" s="135"/>
      <c r="S808" s="135"/>
      <c r="T808" s="135"/>
      <c r="U808" s="135"/>
      <c r="V808" s="135"/>
      <c r="W808" s="135"/>
      <c r="X808" s="135"/>
      <c r="Y808" s="135"/>
      <c r="Z808" s="135"/>
      <c r="AA808" s="135"/>
      <c r="AB808" s="135"/>
      <c r="AC808" s="135"/>
      <c r="AD808" s="135"/>
    </row>
    <row r="809" ht="28.5" customHeight="1">
      <c r="A809" s="135"/>
      <c r="B809" s="135"/>
      <c r="C809" s="135"/>
      <c r="D809" s="135"/>
      <c r="E809" s="135"/>
      <c r="F809" s="135"/>
      <c r="G809" s="135"/>
      <c r="H809" s="135"/>
      <c r="I809" s="135"/>
      <c r="J809" s="135"/>
      <c r="K809" s="135"/>
      <c r="L809" s="135"/>
      <c r="M809" s="135"/>
      <c r="N809" s="135"/>
      <c r="O809" s="135"/>
      <c r="P809" s="135"/>
      <c r="Q809" s="135"/>
      <c r="R809" s="135"/>
      <c r="S809" s="135"/>
      <c r="T809" s="135"/>
      <c r="U809" s="135"/>
      <c r="V809" s="135"/>
      <c r="W809" s="135"/>
      <c r="X809" s="135"/>
      <c r="Y809" s="135"/>
      <c r="Z809" s="135"/>
      <c r="AA809" s="135"/>
      <c r="AB809" s="135"/>
      <c r="AC809" s="135"/>
      <c r="AD809" s="135"/>
    </row>
    <row r="810" ht="28.5" customHeight="1">
      <c r="A810" s="135"/>
      <c r="B810" s="135"/>
      <c r="C810" s="135"/>
      <c r="D810" s="135"/>
      <c r="E810" s="135"/>
      <c r="F810" s="135"/>
      <c r="G810" s="135"/>
      <c r="H810" s="135"/>
      <c r="I810" s="135"/>
      <c r="J810" s="135"/>
      <c r="K810" s="135"/>
      <c r="L810" s="135"/>
      <c r="M810" s="135"/>
      <c r="N810" s="135"/>
      <c r="O810" s="135"/>
      <c r="P810" s="135"/>
      <c r="Q810" s="135"/>
      <c r="R810" s="135"/>
      <c r="S810" s="135"/>
      <c r="T810" s="135"/>
      <c r="U810" s="135"/>
      <c r="V810" s="135"/>
      <c r="W810" s="135"/>
      <c r="X810" s="135"/>
      <c r="Y810" s="135"/>
      <c r="Z810" s="135"/>
      <c r="AA810" s="135"/>
      <c r="AB810" s="135"/>
      <c r="AC810" s="135"/>
      <c r="AD810" s="135"/>
    </row>
    <row r="811" ht="28.5" customHeight="1">
      <c r="A811" s="135"/>
      <c r="B811" s="135"/>
      <c r="C811" s="135"/>
      <c r="D811" s="135"/>
      <c r="E811" s="135"/>
      <c r="F811" s="135"/>
      <c r="G811" s="135"/>
      <c r="H811" s="135"/>
      <c r="I811" s="135"/>
      <c r="J811" s="135"/>
      <c r="K811" s="135"/>
      <c r="L811" s="135"/>
      <c r="M811" s="135"/>
      <c r="N811" s="135"/>
      <c r="O811" s="135"/>
      <c r="P811" s="135"/>
      <c r="Q811" s="135"/>
      <c r="R811" s="135"/>
      <c r="S811" s="135"/>
      <c r="T811" s="135"/>
      <c r="U811" s="135"/>
      <c r="V811" s="135"/>
      <c r="W811" s="135"/>
      <c r="X811" s="135"/>
      <c r="Y811" s="135"/>
      <c r="Z811" s="135"/>
      <c r="AA811" s="135"/>
      <c r="AB811" s="135"/>
      <c r="AC811" s="135"/>
      <c r="AD811" s="135"/>
    </row>
    <row r="812" ht="28.5" customHeight="1">
      <c r="A812" s="135"/>
      <c r="B812" s="135"/>
      <c r="C812" s="135"/>
      <c r="D812" s="135"/>
      <c r="E812" s="135"/>
      <c r="F812" s="135"/>
      <c r="G812" s="135"/>
      <c r="H812" s="135"/>
      <c r="I812" s="135"/>
      <c r="J812" s="135"/>
      <c r="K812" s="135"/>
      <c r="L812" s="135"/>
      <c r="M812" s="135"/>
      <c r="N812" s="135"/>
      <c r="O812" s="135"/>
      <c r="P812" s="135"/>
      <c r="Q812" s="135"/>
      <c r="R812" s="135"/>
      <c r="S812" s="135"/>
      <c r="T812" s="135"/>
      <c r="U812" s="135"/>
      <c r="V812" s="135"/>
      <c r="W812" s="135"/>
      <c r="X812" s="135"/>
      <c r="Y812" s="135"/>
      <c r="Z812" s="135"/>
      <c r="AA812" s="135"/>
      <c r="AB812" s="135"/>
      <c r="AC812" s="135"/>
      <c r="AD812" s="135"/>
    </row>
    <row r="813" ht="28.5" customHeight="1">
      <c r="A813" s="135"/>
      <c r="B813" s="135"/>
      <c r="C813" s="135"/>
      <c r="D813" s="135"/>
      <c r="E813" s="135"/>
      <c r="F813" s="135"/>
      <c r="G813" s="135"/>
      <c r="H813" s="135"/>
      <c r="I813" s="135"/>
      <c r="J813" s="135"/>
      <c r="K813" s="135"/>
      <c r="L813" s="135"/>
      <c r="M813" s="135"/>
      <c r="N813" s="135"/>
      <c r="O813" s="135"/>
      <c r="P813" s="135"/>
      <c r="Q813" s="135"/>
      <c r="R813" s="135"/>
      <c r="S813" s="135"/>
      <c r="T813" s="135"/>
      <c r="U813" s="135"/>
      <c r="V813" s="135"/>
      <c r="W813" s="135"/>
      <c r="X813" s="135"/>
      <c r="Y813" s="135"/>
      <c r="Z813" s="135"/>
      <c r="AA813" s="135"/>
      <c r="AB813" s="135"/>
      <c r="AC813" s="135"/>
      <c r="AD813" s="135"/>
    </row>
    <row r="814" ht="28.5" customHeight="1">
      <c r="A814" s="135"/>
      <c r="B814" s="135"/>
      <c r="C814" s="135"/>
      <c r="D814" s="135"/>
      <c r="E814" s="135"/>
      <c r="F814" s="135"/>
      <c r="G814" s="135"/>
      <c r="H814" s="135"/>
      <c r="I814" s="135"/>
      <c r="J814" s="135"/>
      <c r="K814" s="135"/>
      <c r="L814" s="135"/>
      <c r="M814" s="135"/>
      <c r="N814" s="135"/>
      <c r="O814" s="135"/>
      <c r="P814" s="135"/>
      <c r="Q814" s="135"/>
      <c r="R814" s="135"/>
      <c r="S814" s="135"/>
      <c r="T814" s="135"/>
      <c r="U814" s="135"/>
      <c r="V814" s="135"/>
      <c r="W814" s="135"/>
      <c r="X814" s="135"/>
      <c r="Y814" s="135"/>
      <c r="Z814" s="135"/>
      <c r="AA814" s="135"/>
      <c r="AB814" s="135"/>
      <c r="AC814" s="135"/>
      <c r="AD814" s="135"/>
    </row>
    <row r="815" ht="28.5" customHeight="1">
      <c r="A815" s="135"/>
      <c r="B815" s="135"/>
      <c r="C815" s="135"/>
      <c r="D815" s="135"/>
      <c r="E815" s="135"/>
      <c r="F815" s="135"/>
      <c r="G815" s="135"/>
      <c r="H815" s="135"/>
      <c r="I815" s="135"/>
      <c r="J815" s="135"/>
      <c r="K815" s="135"/>
      <c r="L815" s="135"/>
      <c r="M815" s="135"/>
      <c r="N815" s="135"/>
      <c r="O815" s="135"/>
      <c r="P815" s="135"/>
      <c r="Q815" s="135"/>
      <c r="R815" s="135"/>
      <c r="S815" s="135"/>
      <c r="T815" s="135"/>
      <c r="U815" s="135"/>
      <c r="V815" s="135"/>
      <c r="W815" s="135"/>
      <c r="X815" s="135"/>
      <c r="Y815" s="135"/>
      <c r="Z815" s="135"/>
      <c r="AA815" s="135"/>
      <c r="AB815" s="135"/>
      <c r="AC815" s="135"/>
      <c r="AD815" s="135"/>
    </row>
    <row r="816" ht="28.5" customHeight="1">
      <c r="A816" s="135"/>
      <c r="B816" s="135"/>
      <c r="C816" s="135"/>
      <c r="D816" s="135"/>
      <c r="E816" s="135"/>
      <c r="F816" s="135"/>
      <c r="G816" s="135"/>
      <c r="H816" s="135"/>
      <c r="I816" s="135"/>
      <c r="J816" s="135"/>
      <c r="K816" s="135"/>
      <c r="L816" s="135"/>
      <c r="M816" s="135"/>
      <c r="N816" s="135"/>
      <c r="O816" s="135"/>
      <c r="P816" s="135"/>
      <c r="Q816" s="135"/>
      <c r="R816" s="135"/>
      <c r="S816" s="135"/>
      <c r="T816" s="135"/>
      <c r="U816" s="135"/>
      <c r="V816" s="135"/>
      <c r="W816" s="135"/>
      <c r="X816" s="135"/>
      <c r="Y816" s="135"/>
      <c r="Z816" s="135"/>
      <c r="AA816" s="135"/>
      <c r="AB816" s="135"/>
      <c r="AC816" s="135"/>
      <c r="AD816" s="135"/>
    </row>
    <row r="817" ht="28.5" customHeight="1">
      <c r="A817" s="135"/>
      <c r="B817" s="135"/>
      <c r="C817" s="135"/>
      <c r="D817" s="135"/>
      <c r="E817" s="135"/>
      <c r="F817" s="135"/>
      <c r="G817" s="135"/>
      <c r="H817" s="135"/>
      <c r="I817" s="135"/>
      <c r="J817" s="135"/>
      <c r="K817" s="135"/>
      <c r="L817" s="135"/>
      <c r="M817" s="135"/>
      <c r="N817" s="135"/>
      <c r="O817" s="135"/>
      <c r="P817" s="135"/>
      <c r="Q817" s="135"/>
      <c r="R817" s="135"/>
      <c r="S817" s="135"/>
      <c r="T817" s="135"/>
      <c r="U817" s="135"/>
      <c r="V817" s="135"/>
      <c r="W817" s="135"/>
      <c r="X817" s="135"/>
      <c r="Y817" s="135"/>
      <c r="Z817" s="135"/>
      <c r="AA817" s="135"/>
      <c r="AB817" s="135"/>
      <c r="AC817" s="135"/>
      <c r="AD817" s="135"/>
    </row>
    <row r="818" ht="28.5" customHeight="1">
      <c r="A818" s="135"/>
      <c r="B818" s="135"/>
      <c r="C818" s="135"/>
      <c r="D818" s="135"/>
      <c r="E818" s="135"/>
      <c r="F818" s="135"/>
      <c r="G818" s="135"/>
      <c r="H818" s="135"/>
      <c r="I818" s="135"/>
      <c r="J818" s="135"/>
      <c r="K818" s="135"/>
      <c r="L818" s="135"/>
      <c r="M818" s="135"/>
      <c r="N818" s="135"/>
      <c r="O818" s="135"/>
      <c r="P818" s="135"/>
      <c r="Q818" s="135"/>
      <c r="R818" s="135"/>
      <c r="S818" s="135"/>
      <c r="T818" s="135"/>
      <c r="U818" s="135"/>
      <c r="V818" s="135"/>
      <c r="W818" s="135"/>
      <c r="X818" s="135"/>
      <c r="Y818" s="135"/>
      <c r="Z818" s="135"/>
      <c r="AA818" s="135"/>
      <c r="AB818" s="135"/>
      <c r="AC818" s="135"/>
      <c r="AD818" s="135"/>
    </row>
    <row r="819" ht="28.5" customHeight="1">
      <c r="A819" s="135"/>
      <c r="B819" s="135"/>
      <c r="C819" s="135"/>
      <c r="D819" s="135"/>
      <c r="E819" s="135"/>
      <c r="F819" s="135"/>
      <c r="G819" s="135"/>
      <c r="H819" s="135"/>
      <c r="I819" s="135"/>
      <c r="J819" s="135"/>
      <c r="K819" s="135"/>
      <c r="L819" s="135"/>
      <c r="M819" s="135"/>
      <c r="N819" s="135"/>
      <c r="O819" s="135"/>
      <c r="P819" s="135"/>
      <c r="Q819" s="135"/>
      <c r="R819" s="135"/>
      <c r="S819" s="135"/>
      <c r="T819" s="135"/>
      <c r="U819" s="135"/>
      <c r="V819" s="135"/>
      <c r="W819" s="135"/>
      <c r="X819" s="135"/>
      <c r="Y819" s="135"/>
      <c r="Z819" s="135"/>
      <c r="AA819" s="135"/>
      <c r="AB819" s="135"/>
      <c r="AC819" s="135"/>
      <c r="AD819" s="135"/>
    </row>
    <row r="820" ht="28.5" customHeight="1">
      <c r="A820" s="135"/>
      <c r="B820" s="135"/>
      <c r="C820" s="135"/>
      <c r="D820" s="135"/>
      <c r="E820" s="135"/>
      <c r="F820" s="135"/>
      <c r="G820" s="135"/>
      <c r="H820" s="135"/>
      <c r="I820" s="135"/>
      <c r="J820" s="135"/>
      <c r="K820" s="135"/>
      <c r="L820" s="135"/>
      <c r="M820" s="135"/>
      <c r="N820" s="135"/>
      <c r="O820" s="135"/>
      <c r="P820" s="135"/>
      <c r="Q820" s="135"/>
      <c r="R820" s="135"/>
      <c r="S820" s="135"/>
      <c r="T820" s="135"/>
      <c r="U820" s="135"/>
      <c r="V820" s="135"/>
      <c r="W820" s="135"/>
      <c r="X820" s="135"/>
      <c r="Y820" s="135"/>
      <c r="Z820" s="135"/>
      <c r="AA820" s="135"/>
      <c r="AB820" s="135"/>
      <c r="AC820" s="135"/>
      <c r="AD820" s="135"/>
    </row>
    <row r="821" ht="28.5" customHeight="1">
      <c r="A821" s="135"/>
      <c r="B821" s="135"/>
      <c r="C821" s="135"/>
      <c r="D821" s="135"/>
      <c r="E821" s="135"/>
      <c r="F821" s="135"/>
      <c r="G821" s="135"/>
      <c r="H821" s="135"/>
      <c r="I821" s="135"/>
      <c r="J821" s="135"/>
      <c r="K821" s="135"/>
      <c r="L821" s="135"/>
      <c r="M821" s="135"/>
      <c r="N821" s="135"/>
      <c r="O821" s="135"/>
      <c r="P821" s="135"/>
      <c r="Q821" s="135"/>
      <c r="R821" s="135"/>
      <c r="S821" s="135"/>
      <c r="T821" s="135"/>
      <c r="U821" s="135"/>
      <c r="V821" s="135"/>
      <c r="W821" s="135"/>
      <c r="X821" s="135"/>
      <c r="Y821" s="135"/>
      <c r="Z821" s="135"/>
      <c r="AA821" s="135"/>
      <c r="AB821" s="135"/>
      <c r="AC821" s="135"/>
      <c r="AD821" s="135"/>
    </row>
    <row r="822" ht="28.5" customHeight="1">
      <c r="A822" s="135"/>
      <c r="B822" s="135"/>
      <c r="C822" s="135"/>
      <c r="D822" s="135"/>
      <c r="E822" s="135"/>
      <c r="F822" s="135"/>
      <c r="G822" s="135"/>
      <c r="H822" s="135"/>
      <c r="I822" s="135"/>
      <c r="J822" s="135"/>
      <c r="K822" s="135"/>
      <c r="L822" s="135"/>
      <c r="M822" s="135"/>
      <c r="N822" s="135"/>
      <c r="O822" s="135"/>
      <c r="P822" s="135"/>
      <c r="Q822" s="135"/>
      <c r="R822" s="135"/>
      <c r="S822" s="135"/>
      <c r="T822" s="135"/>
      <c r="U822" s="135"/>
      <c r="V822" s="135"/>
      <c r="W822" s="135"/>
      <c r="X822" s="135"/>
      <c r="Y822" s="135"/>
      <c r="Z822" s="135"/>
      <c r="AA822" s="135"/>
      <c r="AB822" s="135"/>
      <c r="AC822" s="135"/>
      <c r="AD822" s="135"/>
    </row>
    <row r="823" ht="28.5" customHeight="1">
      <c r="A823" s="135"/>
      <c r="B823" s="135"/>
      <c r="C823" s="135"/>
      <c r="D823" s="135"/>
      <c r="E823" s="135"/>
      <c r="F823" s="135"/>
      <c r="G823" s="135"/>
      <c r="H823" s="135"/>
      <c r="I823" s="135"/>
      <c r="J823" s="135"/>
      <c r="K823" s="135"/>
      <c r="L823" s="135"/>
      <c r="M823" s="135"/>
      <c r="N823" s="135"/>
      <c r="O823" s="135"/>
      <c r="P823" s="135"/>
      <c r="Q823" s="135"/>
      <c r="R823" s="135"/>
      <c r="S823" s="135"/>
      <c r="T823" s="135"/>
      <c r="U823" s="135"/>
      <c r="V823" s="135"/>
      <c r="W823" s="135"/>
      <c r="X823" s="135"/>
      <c r="Y823" s="135"/>
      <c r="Z823" s="135"/>
      <c r="AA823" s="135"/>
      <c r="AB823" s="135"/>
      <c r="AC823" s="135"/>
      <c r="AD823" s="135"/>
    </row>
    <row r="824" ht="28.5" customHeight="1">
      <c r="A824" s="135"/>
      <c r="B824" s="135"/>
      <c r="C824" s="135"/>
      <c r="D824" s="135"/>
      <c r="E824" s="135"/>
      <c r="F824" s="135"/>
      <c r="G824" s="135"/>
      <c r="H824" s="135"/>
      <c r="I824" s="135"/>
      <c r="J824" s="135"/>
      <c r="K824" s="135"/>
      <c r="L824" s="135"/>
      <c r="M824" s="135"/>
      <c r="N824" s="135"/>
      <c r="O824" s="135"/>
      <c r="P824" s="135"/>
      <c r="Q824" s="135"/>
      <c r="R824" s="135"/>
      <c r="S824" s="135"/>
      <c r="T824" s="135"/>
      <c r="U824" s="135"/>
      <c r="V824" s="135"/>
      <c r="W824" s="135"/>
      <c r="X824" s="135"/>
      <c r="Y824" s="135"/>
      <c r="Z824" s="135"/>
      <c r="AA824" s="135"/>
      <c r="AB824" s="135"/>
      <c r="AC824" s="135"/>
      <c r="AD824" s="135"/>
    </row>
    <row r="825" ht="28.5" customHeight="1">
      <c r="A825" s="135"/>
      <c r="B825" s="135"/>
      <c r="C825" s="135"/>
      <c r="D825" s="135"/>
      <c r="E825" s="135"/>
      <c r="F825" s="135"/>
      <c r="G825" s="135"/>
      <c r="H825" s="135"/>
      <c r="I825" s="135"/>
      <c r="J825" s="135"/>
      <c r="K825" s="135"/>
      <c r="L825" s="135"/>
      <c r="M825" s="135"/>
      <c r="N825" s="135"/>
      <c r="O825" s="135"/>
      <c r="P825" s="135"/>
      <c r="Q825" s="135"/>
      <c r="R825" s="135"/>
      <c r="S825" s="135"/>
      <c r="T825" s="135"/>
      <c r="U825" s="135"/>
      <c r="V825" s="135"/>
      <c r="W825" s="135"/>
      <c r="X825" s="135"/>
      <c r="Y825" s="135"/>
      <c r="Z825" s="135"/>
      <c r="AA825" s="135"/>
      <c r="AB825" s="135"/>
      <c r="AC825" s="135"/>
      <c r="AD825" s="135"/>
    </row>
    <row r="826" ht="28.5" customHeight="1">
      <c r="A826" s="135"/>
      <c r="B826" s="135"/>
      <c r="C826" s="135"/>
      <c r="D826" s="135"/>
      <c r="E826" s="135"/>
      <c r="F826" s="135"/>
      <c r="G826" s="135"/>
      <c r="H826" s="135"/>
      <c r="I826" s="135"/>
      <c r="J826" s="135"/>
      <c r="K826" s="135"/>
      <c r="L826" s="135"/>
      <c r="M826" s="135"/>
      <c r="N826" s="135"/>
      <c r="O826" s="135"/>
      <c r="P826" s="135"/>
      <c r="Q826" s="135"/>
      <c r="R826" s="135"/>
      <c r="S826" s="135"/>
      <c r="T826" s="135"/>
      <c r="U826" s="135"/>
      <c r="V826" s="135"/>
      <c r="W826" s="135"/>
      <c r="X826" s="135"/>
      <c r="Y826" s="135"/>
      <c r="Z826" s="135"/>
      <c r="AA826" s="135"/>
      <c r="AB826" s="135"/>
      <c r="AC826" s="135"/>
      <c r="AD826" s="135"/>
    </row>
    <row r="827" ht="28.5" customHeight="1">
      <c r="A827" s="135"/>
      <c r="B827" s="135"/>
      <c r="C827" s="135"/>
      <c r="D827" s="135"/>
      <c r="E827" s="135"/>
      <c r="F827" s="135"/>
      <c r="G827" s="135"/>
      <c r="H827" s="135"/>
      <c r="I827" s="135"/>
      <c r="J827" s="135"/>
      <c r="K827" s="135"/>
      <c r="L827" s="135"/>
      <c r="M827" s="135"/>
      <c r="N827" s="135"/>
      <c r="O827" s="135"/>
      <c r="P827" s="135"/>
      <c r="Q827" s="135"/>
      <c r="R827" s="135"/>
      <c r="S827" s="135"/>
      <c r="T827" s="135"/>
      <c r="U827" s="135"/>
      <c r="V827" s="135"/>
      <c r="W827" s="135"/>
      <c r="X827" s="135"/>
      <c r="Y827" s="135"/>
      <c r="Z827" s="135"/>
      <c r="AA827" s="135"/>
      <c r="AB827" s="135"/>
      <c r="AC827" s="135"/>
      <c r="AD827" s="135"/>
    </row>
    <row r="828" ht="28.5" customHeight="1">
      <c r="A828" s="135"/>
      <c r="B828" s="135"/>
      <c r="C828" s="135"/>
      <c r="D828" s="135"/>
      <c r="E828" s="135"/>
      <c r="F828" s="135"/>
      <c r="G828" s="135"/>
      <c r="H828" s="135"/>
      <c r="I828" s="135"/>
      <c r="J828" s="135"/>
      <c r="K828" s="135"/>
      <c r="L828" s="135"/>
      <c r="M828" s="135"/>
      <c r="N828" s="135"/>
      <c r="O828" s="135"/>
      <c r="P828" s="135"/>
      <c r="Q828" s="135"/>
      <c r="R828" s="135"/>
      <c r="S828" s="135"/>
      <c r="T828" s="135"/>
      <c r="U828" s="135"/>
      <c r="V828" s="135"/>
      <c r="W828" s="135"/>
      <c r="X828" s="135"/>
      <c r="Y828" s="135"/>
      <c r="Z828" s="135"/>
      <c r="AA828" s="135"/>
      <c r="AB828" s="135"/>
      <c r="AC828" s="135"/>
      <c r="AD828" s="135"/>
    </row>
    <row r="829" ht="28.5" customHeight="1">
      <c r="A829" s="135"/>
      <c r="B829" s="135"/>
      <c r="C829" s="135"/>
      <c r="D829" s="135"/>
      <c r="E829" s="135"/>
      <c r="F829" s="135"/>
      <c r="G829" s="135"/>
      <c r="H829" s="135"/>
      <c r="I829" s="135"/>
      <c r="J829" s="135"/>
      <c r="K829" s="135"/>
      <c r="L829" s="135"/>
      <c r="M829" s="135"/>
      <c r="N829" s="135"/>
      <c r="O829" s="135"/>
      <c r="P829" s="135"/>
      <c r="Q829" s="135"/>
      <c r="R829" s="135"/>
      <c r="S829" s="135"/>
      <c r="T829" s="135"/>
      <c r="U829" s="135"/>
      <c r="V829" s="135"/>
      <c r="W829" s="135"/>
      <c r="X829" s="135"/>
      <c r="Y829" s="135"/>
      <c r="Z829" s="135"/>
      <c r="AA829" s="135"/>
      <c r="AB829" s="135"/>
      <c r="AC829" s="135"/>
      <c r="AD829" s="135"/>
    </row>
    <row r="830" ht="28.5" customHeight="1">
      <c r="A830" s="135"/>
      <c r="B830" s="135"/>
      <c r="C830" s="135"/>
      <c r="D830" s="135"/>
      <c r="E830" s="135"/>
      <c r="F830" s="135"/>
      <c r="G830" s="135"/>
      <c r="H830" s="135"/>
      <c r="I830" s="135"/>
      <c r="J830" s="135"/>
      <c r="K830" s="135"/>
      <c r="L830" s="135"/>
      <c r="M830" s="135"/>
      <c r="N830" s="135"/>
      <c r="O830" s="135"/>
      <c r="P830" s="135"/>
      <c r="Q830" s="135"/>
      <c r="R830" s="135"/>
      <c r="S830" s="135"/>
      <c r="T830" s="135"/>
      <c r="U830" s="135"/>
      <c r="V830" s="135"/>
      <c r="W830" s="135"/>
      <c r="X830" s="135"/>
      <c r="Y830" s="135"/>
      <c r="Z830" s="135"/>
      <c r="AA830" s="135"/>
      <c r="AB830" s="135"/>
      <c r="AC830" s="135"/>
      <c r="AD830" s="135"/>
    </row>
    <row r="831" ht="28.5" customHeight="1">
      <c r="A831" s="135"/>
      <c r="B831" s="135"/>
      <c r="C831" s="135"/>
      <c r="D831" s="135"/>
      <c r="E831" s="135"/>
      <c r="F831" s="135"/>
      <c r="G831" s="135"/>
      <c r="H831" s="135"/>
      <c r="I831" s="135"/>
      <c r="J831" s="135"/>
      <c r="K831" s="135"/>
      <c r="L831" s="135"/>
      <c r="M831" s="135"/>
      <c r="N831" s="135"/>
      <c r="O831" s="135"/>
      <c r="P831" s="135"/>
      <c r="Q831" s="135"/>
      <c r="R831" s="135"/>
      <c r="S831" s="135"/>
      <c r="T831" s="135"/>
      <c r="U831" s="135"/>
      <c r="V831" s="135"/>
      <c r="W831" s="135"/>
      <c r="X831" s="135"/>
      <c r="Y831" s="135"/>
      <c r="Z831" s="135"/>
      <c r="AA831" s="135"/>
      <c r="AB831" s="135"/>
      <c r="AC831" s="135"/>
      <c r="AD831" s="135"/>
    </row>
    <row r="832" ht="28.5" customHeight="1">
      <c r="A832" s="135"/>
      <c r="B832" s="135"/>
      <c r="C832" s="135"/>
      <c r="D832" s="135"/>
      <c r="E832" s="135"/>
      <c r="F832" s="135"/>
      <c r="G832" s="135"/>
      <c r="H832" s="135"/>
      <c r="I832" s="135"/>
      <c r="J832" s="135"/>
      <c r="K832" s="135"/>
      <c r="L832" s="135"/>
      <c r="M832" s="135"/>
      <c r="N832" s="135"/>
      <c r="O832" s="135"/>
      <c r="P832" s="135"/>
      <c r="Q832" s="135"/>
      <c r="R832" s="135"/>
      <c r="S832" s="135"/>
      <c r="T832" s="135"/>
      <c r="U832" s="135"/>
      <c r="V832" s="135"/>
      <c r="W832" s="135"/>
      <c r="X832" s="135"/>
      <c r="Y832" s="135"/>
      <c r="Z832" s="135"/>
      <c r="AA832" s="135"/>
      <c r="AB832" s="135"/>
      <c r="AC832" s="135"/>
      <c r="AD832" s="135"/>
    </row>
    <row r="833" ht="28.5" customHeight="1">
      <c r="A833" s="135"/>
      <c r="B833" s="135"/>
      <c r="C833" s="135"/>
      <c r="D833" s="135"/>
      <c r="E833" s="135"/>
      <c r="F833" s="135"/>
      <c r="G833" s="135"/>
      <c r="H833" s="135"/>
      <c r="I833" s="135"/>
      <c r="J833" s="135"/>
      <c r="K833" s="135"/>
      <c r="L833" s="135"/>
      <c r="M833" s="135"/>
      <c r="N833" s="135"/>
      <c r="O833" s="135"/>
      <c r="P833" s="135"/>
      <c r="Q833" s="135"/>
      <c r="R833" s="135"/>
      <c r="S833" s="135"/>
      <c r="T833" s="135"/>
      <c r="U833" s="135"/>
      <c r="V833" s="135"/>
      <c r="W833" s="135"/>
      <c r="X833" s="135"/>
      <c r="Y833" s="135"/>
      <c r="Z833" s="135"/>
      <c r="AA833" s="135"/>
      <c r="AB833" s="135"/>
      <c r="AC833" s="135"/>
      <c r="AD833" s="135"/>
    </row>
    <row r="834" ht="28.5" customHeight="1">
      <c r="A834" s="135"/>
      <c r="B834" s="135"/>
      <c r="C834" s="135"/>
      <c r="D834" s="135"/>
      <c r="E834" s="135"/>
      <c r="F834" s="135"/>
      <c r="G834" s="135"/>
      <c r="H834" s="135"/>
      <c r="I834" s="135"/>
      <c r="J834" s="135"/>
      <c r="K834" s="135"/>
      <c r="L834" s="135"/>
      <c r="M834" s="135"/>
      <c r="N834" s="135"/>
      <c r="O834" s="135"/>
      <c r="P834" s="135"/>
      <c r="Q834" s="135"/>
      <c r="R834" s="135"/>
      <c r="S834" s="135"/>
      <c r="T834" s="135"/>
      <c r="U834" s="135"/>
      <c r="V834" s="135"/>
      <c r="W834" s="135"/>
      <c r="X834" s="135"/>
      <c r="Y834" s="135"/>
      <c r="Z834" s="135"/>
      <c r="AA834" s="135"/>
      <c r="AB834" s="135"/>
      <c r="AC834" s="135"/>
      <c r="AD834" s="135"/>
    </row>
    <row r="835" ht="28.5" customHeight="1">
      <c r="A835" s="135"/>
      <c r="B835" s="135"/>
      <c r="C835" s="135"/>
      <c r="D835" s="135"/>
      <c r="E835" s="135"/>
      <c r="F835" s="135"/>
      <c r="G835" s="135"/>
      <c r="H835" s="135"/>
      <c r="I835" s="135"/>
      <c r="J835" s="135"/>
      <c r="K835" s="135"/>
      <c r="L835" s="135"/>
      <c r="M835" s="135"/>
      <c r="N835" s="135"/>
      <c r="O835" s="135"/>
      <c r="P835" s="135"/>
      <c r="Q835" s="135"/>
      <c r="R835" s="135"/>
      <c r="S835" s="135"/>
      <c r="T835" s="135"/>
      <c r="U835" s="135"/>
      <c r="V835" s="135"/>
      <c r="W835" s="135"/>
      <c r="X835" s="135"/>
      <c r="Y835" s="135"/>
      <c r="Z835" s="135"/>
      <c r="AA835" s="135"/>
      <c r="AB835" s="135"/>
      <c r="AC835" s="135"/>
      <c r="AD835" s="135"/>
    </row>
    <row r="836" ht="28.5" customHeight="1">
      <c r="A836" s="135"/>
      <c r="B836" s="135"/>
      <c r="C836" s="135"/>
      <c r="D836" s="135"/>
      <c r="E836" s="135"/>
      <c r="F836" s="135"/>
      <c r="G836" s="135"/>
      <c r="H836" s="135"/>
      <c r="I836" s="135"/>
      <c r="J836" s="135"/>
      <c r="K836" s="135"/>
      <c r="L836" s="135"/>
      <c r="M836" s="135"/>
      <c r="N836" s="135"/>
      <c r="O836" s="135"/>
      <c r="P836" s="135"/>
      <c r="Q836" s="135"/>
      <c r="R836" s="135"/>
      <c r="S836" s="135"/>
      <c r="T836" s="135"/>
      <c r="U836" s="135"/>
      <c r="V836" s="135"/>
      <c r="W836" s="135"/>
      <c r="X836" s="135"/>
      <c r="Y836" s="135"/>
      <c r="Z836" s="135"/>
      <c r="AA836" s="135"/>
      <c r="AB836" s="135"/>
      <c r="AC836" s="135"/>
      <c r="AD836" s="135"/>
    </row>
    <row r="837" ht="28.5" customHeight="1">
      <c r="A837" s="135"/>
      <c r="B837" s="135"/>
      <c r="C837" s="135"/>
      <c r="D837" s="135"/>
      <c r="E837" s="135"/>
      <c r="F837" s="135"/>
      <c r="G837" s="135"/>
      <c r="H837" s="135"/>
      <c r="I837" s="135"/>
      <c r="J837" s="135"/>
      <c r="K837" s="135"/>
      <c r="L837" s="135"/>
      <c r="M837" s="135"/>
      <c r="N837" s="135"/>
      <c r="O837" s="135"/>
      <c r="P837" s="135"/>
      <c r="Q837" s="135"/>
      <c r="R837" s="135"/>
      <c r="S837" s="135"/>
      <c r="T837" s="135"/>
      <c r="U837" s="135"/>
      <c r="V837" s="135"/>
      <c r="W837" s="135"/>
      <c r="X837" s="135"/>
      <c r="Y837" s="135"/>
      <c r="Z837" s="135"/>
      <c r="AA837" s="135"/>
      <c r="AB837" s="135"/>
      <c r="AC837" s="135"/>
      <c r="AD837" s="135"/>
    </row>
    <row r="838" ht="28.5" customHeight="1">
      <c r="A838" s="135"/>
      <c r="B838" s="135"/>
      <c r="C838" s="135"/>
      <c r="D838" s="135"/>
      <c r="E838" s="135"/>
      <c r="F838" s="135"/>
      <c r="G838" s="135"/>
      <c r="H838" s="135"/>
      <c r="I838" s="135"/>
      <c r="J838" s="135"/>
      <c r="K838" s="135"/>
      <c r="L838" s="135"/>
      <c r="M838" s="135"/>
      <c r="N838" s="135"/>
      <c r="O838" s="135"/>
      <c r="P838" s="135"/>
      <c r="Q838" s="135"/>
      <c r="R838" s="135"/>
      <c r="S838" s="135"/>
      <c r="T838" s="135"/>
      <c r="U838" s="135"/>
      <c r="V838" s="135"/>
      <c r="W838" s="135"/>
      <c r="X838" s="135"/>
      <c r="Y838" s="135"/>
      <c r="Z838" s="135"/>
      <c r="AA838" s="135"/>
      <c r="AB838" s="135"/>
      <c r="AC838" s="135"/>
      <c r="AD838" s="135"/>
    </row>
    <row r="839" ht="28.5" customHeight="1">
      <c r="A839" s="135"/>
      <c r="B839" s="135"/>
      <c r="C839" s="135"/>
      <c r="D839" s="135"/>
      <c r="E839" s="135"/>
      <c r="F839" s="135"/>
      <c r="G839" s="135"/>
      <c r="H839" s="135"/>
      <c r="I839" s="135"/>
      <c r="J839" s="135"/>
      <c r="K839" s="135"/>
      <c r="L839" s="135"/>
      <c r="M839" s="135"/>
      <c r="N839" s="135"/>
      <c r="O839" s="135"/>
      <c r="P839" s="135"/>
      <c r="Q839" s="135"/>
      <c r="R839" s="135"/>
      <c r="S839" s="135"/>
      <c r="T839" s="135"/>
      <c r="U839" s="135"/>
      <c r="V839" s="135"/>
      <c r="W839" s="135"/>
      <c r="X839" s="135"/>
      <c r="Y839" s="135"/>
      <c r="Z839" s="135"/>
      <c r="AA839" s="135"/>
      <c r="AB839" s="135"/>
      <c r="AC839" s="135"/>
      <c r="AD839" s="135"/>
    </row>
    <row r="840" ht="28.5" customHeight="1">
      <c r="A840" s="135"/>
      <c r="B840" s="135"/>
      <c r="C840" s="135"/>
      <c r="D840" s="135"/>
      <c r="E840" s="135"/>
      <c r="F840" s="135"/>
      <c r="G840" s="135"/>
      <c r="H840" s="135"/>
      <c r="I840" s="135"/>
      <c r="J840" s="135"/>
      <c r="K840" s="135"/>
      <c r="L840" s="135"/>
      <c r="M840" s="135"/>
      <c r="N840" s="135"/>
      <c r="O840" s="135"/>
      <c r="P840" s="135"/>
      <c r="Q840" s="135"/>
      <c r="R840" s="135"/>
      <c r="S840" s="135"/>
      <c r="T840" s="135"/>
      <c r="U840" s="135"/>
      <c r="V840" s="135"/>
      <c r="W840" s="135"/>
      <c r="X840" s="135"/>
      <c r="Y840" s="135"/>
      <c r="Z840" s="135"/>
      <c r="AA840" s="135"/>
      <c r="AB840" s="135"/>
      <c r="AC840" s="135"/>
      <c r="AD840" s="135"/>
    </row>
    <row r="841" ht="28.5" customHeight="1">
      <c r="A841" s="135"/>
      <c r="B841" s="135"/>
      <c r="C841" s="135"/>
      <c r="D841" s="135"/>
      <c r="E841" s="135"/>
      <c r="F841" s="135"/>
      <c r="G841" s="135"/>
      <c r="H841" s="135"/>
      <c r="I841" s="135"/>
      <c r="J841" s="135"/>
      <c r="K841" s="135"/>
      <c r="L841" s="135"/>
      <c r="M841" s="135"/>
      <c r="N841" s="135"/>
      <c r="O841" s="135"/>
      <c r="P841" s="135"/>
      <c r="Q841" s="135"/>
      <c r="R841" s="135"/>
      <c r="S841" s="135"/>
      <c r="T841" s="135"/>
      <c r="U841" s="135"/>
      <c r="V841" s="135"/>
      <c r="W841" s="135"/>
      <c r="X841" s="135"/>
      <c r="Y841" s="135"/>
      <c r="Z841" s="135"/>
      <c r="AA841" s="135"/>
      <c r="AB841" s="135"/>
      <c r="AC841" s="135"/>
      <c r="AD841" s="135"/>
    </row>
    <row r="842" ht="28.5" customHeight="1">
      <c r="A842" s="135"/>
      <c r="B842" s="135"/>
      <c r="C842" s="135"/>
      <c r="D842" s="135"/>
      <c r="E842" s="135"/>
      <c r="F842" s="135"/>
      <c r="G842" s="135"/>
      <c r="H842" s="135"/>
      <c r="I842" s="135"/>
      <c r="J842" s="135"/>
      <c r="K842" s="135"/>
      <c r="L842" s="135"/>
      <c r="M842" s="135"/>
      <c r="N842" s="135"/>
      <c r="O842" s="135"/>
      <c r="P842" s="135"/>
      <c r="Q842" s="135"/>
      <c r="R842" s="135"/>
      <c r="S842" s="135"/>
      <c r="T842" s="135"/>
      <c r="U842" s="135"/>
      <c r="V842" s="135"/>
      <c r="W842" s="135"/>
      <c r="X842" s="135"/>
      <c r="Y842" s="135"/>
      <c r="Z842" s="135"/>
      <c r="AA842" s="135"/>
      <c r="AB842" s="135"/>
      <c r="AC842" s="135"/>
      <c r="AD842" s="135"/>
    </row>
    <row r="843" ht="28.5" customHeight="1">
      <c r="A843" s="135"/>
      <c r="B843" s="135"/>
      <c r="C843" s="135"/>
      <c r="D843" s="135"/>
      <c r="E843" s="135"/>
      <c r="F843" s="135"/>
      <c r="G843" s="135"/>
      <c r="H843" s="135"/>
      <c r="I843" s="135"/>
      <c r="J843" s="135"/>
      <c r="K843" s="135"/>
      <c r="L843" s="135"/>
      <c r="M843" s="135"/>
      <c r="N843" s="135"/>
      <c r="O843" s="135"/>
      <c r="P843" s="135"/>
      <c r="Q843" s="135"/>
      <c r="R843" s="135"/>
      <c r="S843" s="135"/>
      <c r="T843" s="135"/>
      <c r="U843" s="135"/>
      <c r="V843" s="135"/>
      <c r="W843" s="135"/>
      <c r="X843" s="135"/>
      <c r="Y843" s="135"/>
      <c r="Z843" s="135"/>
      <c r="AA843" s="135"/>
      <c r="AB843" s="135"/>
      <c r="AC843" s="135"/>
      <c r="AD843" s="135"/>
    </row>
    <row r="844" ht="28.5" customHeight="1">
      <c r="A844" s="135"/>
      <c r="B844" s="135"/>
      <c r="C844" s="135"/>
      <c r="D844" s="135"/>
      <c r="E844" s="135"/>
      <c r="F844" s="135"/>
      <c r="G844" s="135"/>
      <c r="H844" s="135"/>
      <c r="I844" s="135"/>
      <c r="J844" s="135"/>
      <c r="K844" s="135"/>
      <c r="L844" s="135"/>
      <c r="M844" s="135"/>
      <c r="N844" s="135"/>
      <c r="O844" s="135"/>
      <c r="P844" s="135"/>
      <c r="Q844" s="135"/>
      <c r="R844" s="135"/>
      <c r="S844" s="135"/>
      <c r="T844" s="135"/>
      <c r="U844" s="135"/>
      <c r="V844" s="135"/>
      <c r="W844" s="135"/>
      <c r="X844" s="135"/>
      <c r="Y844" s="135"/>
      <c r="Z844" s="135"/>
      <c r="AA844" s="135"/>
      <c r="AB844" s="135"/>
      <c r="AC844" s="135"/>
      <c r="AD844" s="135"/>
    </row>
    <row r="845" ht="28.5" customHeight="1">
      <c r="A845" s="135"/>
      <c r="B845" s="135"/>
      <c r="C845" s="135"/>
      <c r="D845" s="135"/>
      <c r="E845" s="135"/>
      <c r="F845" s="135"/>
      <c r="G845" s="135"/>
      <c r="H845" s="135"/>
      <c r="I845" s="135"/>
      <c r="J845" s="135"/>
      <c r="K845" s="135"/>
      <c r="L845" s="135"/>
      <c r="M845" s="135"/>
      <c r="N845" s="135"/>
      <c r="O845" s="135"/>
      <c r="P845" s="135"/>
      <c r="Q845" s="135"/>
      <c r="R845" s="135"/>
      <c r="S845" s="135"/>
      <c r="T845" s="135"/>
      <c r="U845" s="135"/>
      <c r="V845" s="135"/>
      <c r="W845" s="135"/>
      <c r="X845" s="135"/>
      <c r="Y845" s="135"/>
      <c r="Z845" s="135"/>
      <c r="AA845" s="135"/>
      <c r="AB845" s="135"/>
      <c r="AC845" s="135"/>
      <c r="AD845" s="135"/>
    </row>
    <row r="846" ht="28.5" customHeight="1">
      <c r="A846" s="135"/>
      <c r="B846" s="135"/>
      <c r="C846" s="135"/>
      <c r="D846" s="135"/>
      <c r="E846" s="135"/>
      <c r="F846" s="135"/>
      <c r="G846" s="135"/>
      <c r="H846" s="135"/>
      <c r="I846" s="135"/>
      <c r="J846" s="135"/>
      <c r="K846" s="135"/>
      <c r="L846" s="135"/>
      <c r="M846" s="135"/>
      <c r="N846" s="135"/>
      <c r="O846" s="135"/>
      <c r="P846" s="135"/>
      <c r="Q846" s="135"/>
      <c r="R846" s="135"/>
      <c r="S846" s="135"/>
      <c r="T846" s="135"/>
      <c r="U846" s="135"/>
      <c r="V846" s="135"/>
      <c r="W846" s="135"/>
      <c r="X846" s="135"/>
      <c r="Y846" s="135"/>
      <c r="Z846" s="135"/>
      <c r="AA846" s="135"/>
      <c r="AB846" s="135"/>
      <c r="AC846" s="135"/>
      <c r="AD846" s="135"/>
    </row>
    <row r="847" ht="28.5" customHeight="1">
      <c r="A847" s="135"/>
      <c r="B847" s="135"/>
      <c r="C847" s="135"/>
      <c r="D847" s="135"/>
      <c r="E847" s="135"/>
      <c r="F847" s="135"/>
      <c r="G847" s="135"/>
      <c r="H847" s="135"/>
      <c r="I847" s="135"/>
      <c r="J847" s="135"/>
      <c r="K847" s="135"/>
      <c r="L847" s="135"/>
      <c r="M847" s="135"/>
      <c r="N847" s="135"/>
      <c r="O847" s="135"/>
      <c r="P847" s="135"/>
      <c r="Q847" s="135"/>
      <c r="R847" s="135"/>
      <c r="S847" s="135"/>
      <c r="T847" s="135"/>
      <c r="U847" s="135"/>
      <c r="V847" s="135"/>
      <c r="W847" s="135"/>
      <c r="X847" s="135"/>
      <c r="Y847" s="135"/>
      <c r="Z847" s="135"/>
      <c r="AA847" s="135"/>
      <c r="AB847" s="135"/>
      <c r="AC847" s="135"/>
      <c r="AD847" s="135"/>
    </row>
    <row r="848" ht="28.5" customHeight="1">
      <c r="A848" s="135"/>
      <c r="B848" s="135"/>
      <c r="C848" s="135"/>
      <c r="D848" s="135"/>
      <c r="E848" s="135"/>
      <c r="F848" s="135"/>
      <c r="G848" s="135"/>
      <c r="H848" s="135"/>
      <c r="I848" s="135"/>
      <c r="J848" s="135"/>
      <c r="K848" s="135"/>
      <c r="L848" s="135"/>
      <c r="M848" s="135"/>
      <c r="N848" s="135"/>
      <c r="O848" s="135"/>
      <c r="P848" s="135"/>
      <c r="Q848" s="135"/>
      <c r="R848" s="135"/>
      <c r="S848" s="135"/>
      <c r="T848" s="135"/>
      <c r="U848" s="135"/>
      <c r="V848" s="135"/>
      <c r="W848" s="135"/>
      <c r="X848" s="135"/>
      <c r="Y848" s="135"/>
      <c r="Z848" s="135"/>
      <c r="AA848" s="135"/>
      <c r="AB848" s="135"/>
      <c r="AC848" s="135"/>
      <c r="AD848" s="135"/>
    </row>
    <row r="849" ht="28.5" customHeight="1">
      <c r="A849" s="135"/>
      <c r="B849" s="135"/>
      <c r="C849" s="135"/>
      <c r="D849" s="135"/>
      <c r="E849" s="135"/>
      <c r="F849" s="135"/>
      <c r="G849" s="135"/>
      <c r="H849" s="135"/>
      <c r="I849" s="135"/>
      <c r="J849" s="135"/>
      <c r="K849" s="135"/>
      <c r="L849" s="135"/>
      <c r="M849" s="135"/>
      <c r="N849" s="135"/>
      <c r="O849" s="135"/>
      <c r="P849" s="135"/>
      <c r="Q849" s="135"/>
      <c r="R849" s="135"/>
      <c r="S849" s="135"/>
      <c r="T849" s="135"/>
      <c r="U849" s="135"/>
      <c r="V849" s="135"/>
      <c r="W849" s="135"/>
      <c r="X849" s="135"/>
      <c r="Y849" s="135"/>
      <c r="Z849" s="135"/>
      <c r="AA849" s="135"/>
      <c r="AB849" s="135"/>
      <c r="AC849" s="135"/>
      <c r="AD849" s="135"/>
    </row>
    <row r="850" ht="28.5" customHeight="1">
      <c r="A850" s="135"/>
      <c r="B850" s="135"/>
      <c r="C850" s="135"/>
      <c r="D850" s="135"/>
      <c r="E850" s="135"/>
      <c r="F850" s="135"/>
      <c r="G850" s="135"/>
      <c r="H850" s="135"/>
      <c r="I850" s="135"/>
      <c r="J850" s="135"/>
      <c r="K850" s="135"/>
      <c r="L850" s="135"/>
      <c r="M850" s="135"/>
      <c r="N850" s="135"/>
      <c r="O850" s="135"/>
      <c r="P850" s="135"/>
      <c r="Q850" s="135"/>
      <c r="R850" s="135"/>
      <c r="S850" s="135"/>
      <c r="T850" s="135"/>
      <c r="U850" s="135"/>
      <c r="V850" s="135"/>
      <c r="W850" s="135"/>
      <c r="X850" s="135"/>
      <c r="Y850" s="135"/>
      <c r="Z850" s="135"/>
      <c r="AA850" s="135"/>
      <c r="AB850" s="135"/>
      <c r="AC850" s="135"/>
      <c r="AD850" s="135"/>
    </row>
    <row r="851" ht="28.5" customHeight="1">
      <c r="A851" s="135"/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35"/>
      <c r="Q851" s="135"/>
      <c r="R851" s="135"/>
      <c r="S851" s="135"/>
      <c r="T851" s="135"/>
      <c r="U851" s="135"/>
      <c r="V851" s="135"/>
      <c r="W851" s="135"/>
      <c r="X851" s="135"/>
      <c r="Y851" s="135"/>
      <c r="Z851" s="135"/>
      <c r="AA851" s="135"/>
      <c r="AB851" s="135"/>
      <c r="AC851" s="135"/>
      <c r="AD851" s="135"/>
    </row>
    <row r="852" ht="28.5" customHeight="1">
      <c r="A852" s="135"/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  <c r="U852" s="135"/>
      <c r="V852" s="135"/>
      <c r="W852" s="135"/>
      <c r="X852" s="135"/>
      <c r="Y852" s="135"/>
      <c r="Z852" s="135"/>
      <c r="AA852" s="135"/>
      <c r="AB852" s="135"/>
      <c r="AC852" s="135"/>
      <c r="AD852" s="135"/>
    </row>
    <row r="853" ht="28.5" customHeight="1">
      <c r="A853" s="135"/>
      <c r="B853" s="135"/>
      <c r="C853" s="135"/>
      <c r="D853" s="135"/>
      <c r="E853" s="135"/>
      <c r="F853" s="135"/>
      <c r="G853" s="135"/>
      <c r="H853" s="135"/>
      <c r="I853" s="135"/>
      <c r="J853" s="135"/>
      <c r="K853" s="135"/>
      <c r="L853" s="135"/>
      <c r="M853" s="135"/>
      <c r="N853" s="135"/>
      <c r="O853" s="135"/>
      <c r="P853" s="135"/>
      <c r="Q853" s="135"/>
      <c r="R853" s="135"/>
      <c r="S853" s="135"/>
      <c r="T853" s="135"/>
      <c r="U853" s="135"/>
      <c r="V853" s="135"/>
      <c r="W853" s="135"/>
      <c r="X853" s="135"/>
      <c r="Y853" s="135"/>
      <c r="Z853" s="135"/>
      <c r="AA853" s="135"/>
      <c r="AB853" s="135"/>
      <c r="AC853" s="135"/>
      <c r="AD853" s="135"/>
    </row>
    <row r="854" ht="28.5" customHeight="1">
      <c r="A854" s="135"/>
      <c r="B854" s="135"/>
      <c r="C854" s="135"/>
      <c r="D854" s="135"/>
      <c r="E854" s="135"/>
      <c r="F854" s="135"/>
      <c r="G854" s="135"/>
      <c r="H854" s="135"/>
      <c r="I854" s="135"/>
      <c r="J854" s="135"/>
      <c r="K854" s="135"/>
      <c r="L854" s="135"/>
      <c r="M854" s="135"/>
      <c r="N854" s="135"/>
      <c r="O854" s="135"/>
      <c r="P854" s="135"/>
      <c r="Q854" s="135"/>
      <c r="R854" s="135"/>
      <c r="S854" s="135"/>
      <c r="T854" s="135"/>
      <c r="U854" s="135"/>
      <c r="V854" s="135"/>
      <c r="W854" s="135"/>
      <c r="X854" s="135"/>
      <c r="Y854" s="135"/>
      <c r="Z854" s="135"/>
      <c r="AA854" s="135"/>
      <c r="AB854" s="135"/>
      <c r="AC854" s="135"/>
      <c r="AD854" s="135"/>
    </row>
    <row r="855" ht="28.5" customHeight="1">
      <c r="A855" s="135"/>
      <c r="B855" s="135"/>
      <c r="C855" s="135"/>
      <c r="D855" s="135"/>
      <c r="E855" s="135"/>
      <c r="F855" s="135"/>
      <c r="G855" s="135"/>
      <c r="H855" s="135"/>
      <c r="I855" s="135"/>
      <c r="J855" s="135"/>
      <c r="K855" s="135"/>
      <c r="L855" s="135"/>
      <c r="M855" s="135"/>
      <c r="N855" s="135"/>
      <c r="O855" s="135"/>
      <c r="P855" s="135"/>
      <c r="Q855" s="135"/>
      <c r="R855" s="135"/>
      <c r="S855" s="135"/>
      <c r="T855" s="135"/>
      <c r="U855" s="135"/>
      <c r="V855" s="135"/>
      <c r="W855" s="135"/>
      <c r="X855" s="135"/>
      <c r="Y855" s="135"/>
      <c r="Z855" s="135"/>
      <c r="AA855" s="135"/>
      <c r="AB855" s="135"/>
      <c r="AC855" s="135"/>
      <c r="AD855" s="135"/>
    </row>
    <row r="856" ht="28.5" customHeight="1">
      <c r="A856" s="135"/>
      <c r="B856" s="135"/>
      <c r="C856" s="135"/>
      <c r="D856" s="135"/>
      <c r="E856" s="135"/>
      <c r="F856" s="135"/>
      <c r="G856" s="135"/>
      <c r="H856" s="135"/>
      <c r="I856" s="135"/>
      <c r="J856" s="135"/>
      <c r="K856" s="135"/>
      <c r="L856" s="135"/>
      <c r="M856" s="135"/>
      <c r="N856" s="135"/>
      <c r="O856" s="135"/>
      <c r="P856" s="135"/>
      <c r="Q856" s="135"/>
      <c r="R856" s="135"/>
      <c r="S856" s="135"/>
      <c r="T856" s="135"/>
      <c r="U856" s="135"/>
      <c r="V856" s="135"/>
      <c r="W856" s="135"/>
      <c r="X856" s="135"/>
      <c r="Y856" s="135"/>
      <c r="Z856" s="135"/>
      <c r="AA856" s="135"/>
      <c r="AB856" s="135"/>
      <c r="AC856" s="135"/>
      <c r="AD856" s="135"/>
    </row>
    <row r="857" ht="28.5" customHeight="1">
      <c r="A857" s="135"/>
      <c r="B857" s="135"/>
      <c r="C857" s="135"/>
      <c r="D857" s="135"/>
      <c r="E857" s="135"/>
      <c r="F857" s="135"/>
      <c r="G857" s="135"/>
      <c r="H857" s="135"/>
      <c r="I857" s="135"/>
      <c r="J857" s="135"/>
      <c r="K857" s="135"/>
      <c r="L857" s="135"/>
      <c r="M857" s="135"/>
      <c r="N857" s="135"/>
      <c r="O857" s="135"/>
      <c r="P857" s="135"/>
      <c r="Q857" s="135"/>
      <c r="R857" s="135"/>
      <c r="S857" s="135"/>
      <c r="T857" s="135"/>
      <c r="U857" s="135"/>
      <c r="V857" s="135"/>
      <c r="W857" s="135"/>
      <c r="X857" s="135"/>
      <c r="Y857" s="135"/>
      <c r="Z857" s="135"/>
      <c r="AA857" s="135"/>
      <c r="AB857" s="135"/>
      <c r="AC857" s="135"/>
      <c r="AD857" s="135"/>
    </row>
    <row r="858" ht="28.5" customHeight="1">
      <c r="A858" s="135"/>
      <c r="B858" s="135"/>
      <c r="C858" s="135"/>
      <c r="D858" s="135"/>
      <c r="E858" s="135"/>
      <c r="F858" s="135"/>
      <c r="G858" s="135"/>
      <c r="H858" s="135"/>
      <c r="I858" s="135"/>
      <c r="J858" s="135"/>
      <c r="K858" s="135"/>
      <c r="L858" s="135"/>
      <c r="M858" s="135"/>
      <c r="N858" s="135"/>
      <c r="O858" s="135"/>
      <c r="P858" s="135"/>
      <c r="Q858" s="135"/>
      <c r="R858" s="135"/>
      <c r="S858" s="135"/>
      <c r="T858" s="135"/>
      <c r="U858" s="135"/>
      <c r="V858" s="135"/>
      <c r="W858" s="135"/>
      <c r="X858" s="135"/>
      <c r="Y858" s="135"/>
      <c r="Z858" s="135"/>
      <c r="AA858" s="135"/>
      <c r="AB858" s="135"/>
      <c r="AC858" s="135"/>
      <c r="AD858" s="135"/>
    </row>
    <row r="859" ht="28.5" customHeight="1">
      <c r="A859" s="135"/>
      <c r="B859" s="135"/>
      <c r="C859" s="135"/>
      <c r="D859" s="135"/>
      <c r="E859" s="135"/>
      <c r="F859" s="135"/>
      <c r="G859" s="135"/>
      <c r="H859" s="135"/>
      <c r="I859" s="135"/>
      <c r="J859" s="135"/>
      <c r="K859" s="135"/>
      <c r="L859" s="135"/>
      <c r="M859" s="135"/>
      <c r="N859" s="135"/>
      <c r="O859" s="135"/>
      <c r="P859" s="135"/>
      <c r="Q859" s="135"/>
      <c r="R859" s="135"/>
      <c r="S859" s="135"/>
      <c r="T859" s="135"/>
      <c r="U859" s="135"/>
      <c r="V859" s="135"/>
      <c r="W859" s="135"/>
      <c r="X859" s="135"/>
      <c r="Y859" s="135"/>
      <c r="Z859" s="135"/>
      <c r="AA859" s="135"/>
      <c r="AB859" s="135"/>
      <c r="AC859" s="135"/>
      <c r="AD859" s="135"/>
    </row>
    <row r="860" ht="28.5" customHeight="1">
      <c r="A860" s="135"/>
      <c r="B860" s="135"/>
      <c r="C860" s="135"/>
      <c r="D860" s="135"/>
      <c r="E860" s="135"/>
      <c r="F860" s="135"/>
      <c r="G860" s="135"/>
      <c r="H860" s="135"/>
      <c r="I860" s="135"/>
      <c r="J860" s="135"/>
      <c r="K860" s="135"/>
      <c r="L860" s="135"/>
      <c r="M860" s="135"/>
      <c r="N860" s="135"/>
      <c r="O860" s="135"/>
      <c r="P860" s="135"/>
      <c r="Q860" s="135"/>
      <c r="R860" s="135"/>
      <c r="S860" s="135"/>
      <c r="T860" s="135"/>
      <c r="U860" s="135"/>
      <c r="V860" s="135"/>
      <c r="W860" s="135"/>
      <c r="X860" s="135"/>
      <c r="Y860" s="135"/>
      <c r="Z860" s="135"/>
      <c r="AA860" s="135"/>
      <c r="AB860" s="135"/>
      <c r="AC860" s="135"/>
      <c r="AD860" s="135"/>
    </row>
    <row r="861" ht="28.5" customHeight="1">
      <c r="A861" s="135"/>
      <c r="B861" s="135"/>
      <c r="C861" s="135"/>
      <c r="D861" s="135"/>
      <c r="E861" s="135"/>
      <c r="F861" s="135"/>
      <c r="G861" s="135"/>
      <c r="H861" s="135"/>
      <c r="I861" s="135"/>
      <c r="J861" s="135"/>
      <c r="K861" s="135"/>
      <c r="L861" s="135"/>
      <c r="M861" s="135"/>
      <c r="N861" s="135"/>
      <c r="O861" s="135"/>
      <c r="P861" s="135"/>
      <c r="Q861" s="135"/>
      <c r="R861" s="135"/>
      <c r="S861" s="135"/>
      <c r="T861" s="135"/>
      <c r="U861" s="135"/>
      <c r="V861" s="135"/>
      <c r="W861" s="135"/>
      <c r="X861" s="135"/>
      <c r="Y861" s="135"/>
      <c r="Z861" s="135"/>
      <c r="AA861" s="135"/>
      <c r="AB861" s="135"/>
      <c r="AC861" s="135"/>
      <c r="AD861" s="135"/>
    </row>
    <row r="862" ht="28.5" customHeight="1">
      <c r="A862" s="135"/>
      <c r="B862" s="135"/>
      <c r="C862" s="135"/>
      <c r="D862" s="135"/>
      <c r="E862" s="135"/>
      <c r="F862" s="135"/>
      <c r="G862" s="135"/>
      <c r="H862" s="135"/>
      <c r="I862" s="135"/>
      <c r="J862" s="135"/>
      <c r="K862" s="135"/>
      <c r="L862" s="135"/>
      <c r="M862" s="135"/>
      <c r="N862" s="135"/>
      <c r="O862" s="135"/>
      <c r="P862" s="135"/>
      <c r="Q862" s="135"/>
      <c r="R862" s="135"/>
      <c r="S862" s="135"/>
      <c r="T862" s="135"/>
      <c r="U862" s="135"/>
      <c r="V862" s="135"/>
      <c r="W862" s="135"/>
      <c r="X862" s="135"/>
      <c r="Y862" s="135"/>
      <c r="Z862" s="135"/>
      <c r="AA862" s="135"/>
      <c r="AB862" s="135"/>
      <c r="AC862" s="135"/>
      <c r="AD862" s="135"/>
    </row>
    <row r="863" ht="28.5" customHeight="1">
      <c r="A863" s="135"/>
      <c r="B863" s="135"/>
      <c r="C863" s="135"/>
      <c r="D863" s="135"/>
      <c r="E863" s="135"/>
      <c r="F863" s="135"/>
      <c r="G863" s="135"/>
      <c r="H863" s="135"/>
      <c r="I863" s="135"/>
      <c r="J863" s="135"/>
      <c r="K863" s="135"/>
      <c r="L863" s="135"/>
      <c r="M863" s="135"/>
      <c r="N863" s="135"/>
      <c r="O863" s="135"/>
      <c r="P863" s="135"/>
      <c r="Q863" s="135"/>
      <c r="R863" s="135"/>
      <c r="S863" s="135"/>
      <c r="T863" s="135"/>
      <c r="U863" s="135"/>
      <c r="V863" s="135"/>
      <c r="W863" s="135"/>
      <c r="X863" s="135"/>
      <c r="Y863" s="135"/>
      <c r="Z863" s="135"/>
      <c r="AA863" s="135"/>
      <c r="AB863" s="135"/>
      <c r="AC863" s="135"/>
      <c r="AD863" s="135"/>
    </row>
    <row r="864" ht="28.5" customHeight="1">
      <c r="A864" s="135"/>
      <c r="B864" s="135"/>
      <c r="C864" s="135"/>
      <c r="D864" s="135"/>
      <c r="E864" s="135"/>
      <c r="F864" s="135"/>
      <c r="G864" s="135"/>
      <c r="H864" s="135"/>
      <c r="I864" s="135"/>
      <c r="J864" s="135"/>
      <c r="K864" s="135"/>
      <c r="L864" s="135"/>
      <c r="M864" s="135"/>
      <c r="N864" s="135"/>
      <c r="O864" s="135"/>
      <c r="P864" s="135"/>
      <c r="Q864" s="135"/>
      <c r="R864" s="135"/>
      <c r="S864" s="135"/>
      <c r="T864" s="135"/>
      <c r="U864" s="135"/>
      <c r="V864" s="135"/>
      <c r="W864" s="135"/>
      <c r="X864" s="135"/>
      <c r="Y864" s="135"/>
      <c r="Z864" s="135"/>
      <c r="AA864" s="135"/>
      <c r="AB864" s="135"/>
      <c r="AC864" s="135"/>
      <c r="AD864" s="135"/>
    </row>
    <row r="865" ht="28.5" customHeight="1">
      <c r="A865" s="135"/>
      <c r="B865" s="135"/>
      <c r="C865" s="135"/>
      <c r="D865" s="135"/>
      <c r="E865" s="135"/>
      <c r="F865" s="135"/>
      <c r="G865" s="135"/>
      <c r="H865" s="135"/>
      <c r="I865" s="135"/>
      <c r="J865" s="135"/>
      <c r="K865" s="135"/>
      <c r="L865" s="135"/>
      <c r="M865" s="135"/>
      <c r="N865" s="135"/>
      <c r="O865" s="135"/>
      <c r="P865" s="135"/>
      <c r="Q865" s="135"/>
      <c r="R865" s="135"/>
      <c r="S865" s="135"/>
      <c r="T865" s="135"/>
      <c r="U865" s="135"/>
      <c r="V865" s="135"/>
      <c r="W865" s="135"/>
      <c r="X865" s="135"/>
      <c r="Y865" s="135"/>
      <c r="Z865" s="135"/>
      <c r="AA865" s="135"/>
      <c r="AB865" s="135"/>
      <c r="AC865" s="135"/>
      <c r="AD865" s="135"/>
    </row>
    <row r="866" ht="28.5" customHeight="1">
      <c r="A866" s="135"/>
      <c r="B866" s="135"/>
      <c r="C866" s="135"/>
      <c r="D866" s="135"/>
      <c r="E866" s="135"/>
      <c r="F866" s="135"/>
      <c r="G866" s="135"/>
      <c r="H866" s="135"/>
      <c r="I866" s="135"/>
      <c r="J866" s="135"/>
      <c r="K866" s="135"/>
      <c r="L866" s="135"/>
      <c r="M866" s="135"/>
      <c r="N866" s="135"/>
      <c r="O866" s="135"/>
      <c r="P866" s="135"/>
      <c r="Q866" s="135"/>
      <c r="R866" s="135"/>
      <c r="S866" s="135"/>
      <c r="T866" s="135"/>
      <c r="U866" s="135"/>
      <c r="V866" s="135"/>
      <c r="W866" s="135"/>
      <c r="X866" s="135"/>
      <c r="Y866" s="135"/>
      <c r="Z866" s="135"/>
      <c r="AA866" s="135"/>
      <c r="AB866" s="135"/>
      <c r="AC866" s="135"/>
      <c r="AD866" s="135"/>
    </row>
    <row r="867" ht="28.5" customHeight="1">
      <c r="A867" s="135"/>
      <c r="B867" s="135"/>
      <c r="C867" s="135"/>
      <c r="D867" s="135"/>
      <c r="E867" s="135"/>
      <c r="F867" s="135"/>
      <c r="G867" s="135"/>
      <c r="H867" s="135"/>
      <c r="I867" s="135"/>
      <c r="J867" s="135"/>
      <c r="K867" s="135"/>
      <c r="L867" s="135"/>
      <c r="M867" s="135"/>
      <c r="N867" s="135"/>
      <c r="O867" s="135"/>
      <c r="P867" s="135"/>
      <c r="Q867" s="135"/>
      <c r="R867" s="135"/>
      <c r="S867" s="135"/>
      <c r="T867" s="135"/>
      <c r="U867" s="135"/>
      <c r="V867" s="135"/>
      <c r="W867" s="135"/>
      <c r="X867" s="135"/>
      <c r="Y867" s="135"/>
      <c r="Z867" s="135"/>
      <c r="AA867" s="135"/>
      <c r="AB867" s="135"/>
      <c r="AC867" s="135"/>
      <c r="AD867" s="135"/>
    </row>
    <row r="868" ht="28.5" customHeight="1">
      <c r="A868" s="135"/>
      <c r="B868" s="135"/>
      <c r="C868" s="135"/>
      <c r="D868" s="135"/>
      <c r="E868" s="135"/>
      <c r="F868" s="135"/>
      <c r="G868" s="135"/>
      <c r="H868" s="135"/>
      <c r="I868" s="135"/>
      <c r="J868" s="135"/>
      <c r="K868" s="135"/>
      <c r="L868" s="135"/>
      <c r="M868" s="135"/>
      <c r="N868" s="135"/>
      <c r="O868" s="135"/>
      <c r="P868" s="135"/>
      <c r="Q868" s="135"/>
      <c r="R868" s="135"/>
      <c r="S868" s="135"/>
      <c r="T868" s="135"/>
      <c r="U868" s="135"/>
      <c r="V868" s="135"/>
      <c r="W868" s="135"/>
      <c r="X868" s="135"/>
      <c r="Y868" s="135"/>
      <c r="Z868" s="135"/>
      <c r="AA868" s="135"/>
      <c r="AB868" s="135"/>
      <c r="AC868" s="135"/>
      <c r="AD868" s="135"/>
    </row>
    <row r="869" ht="28.5" customHeight="1">
      <c r="A869" s="135"/>
      <c r="B869" s="135"/>
      <c r="C869" s="135"/>
      <c r="D869" s="135"/>
      <c r="E869" s="135"/>
      <c r="F869" s="135"/>
      <c r="G869" s="135"/>
      <c r="H869" s="135"/>
      <c r="I869" s="135"/>
      <c r="J869" s="135"/>
      <c r="K869" s="135"/>
      <c r="L869" s="135"/>
      <c r="M869" s="135"/>
      <c r="N869" s="135"/>
      <c r="O869" s="135"/>
      <c r="P869" s="135"/>
      <c r="Q869" s="135"/>
      <c r="R869" s="135"/>
      <c r="S869" s="135"/>
      <c r="T869" s="135"/>
      <c r="U869" s="135"/>
      <c r="V869" s="135"/>
      <c r="W869" s="135"/>
      <c r="X869" s="135"/>
      <c r="Y869" s="135"/>
      <c r="Z869" s="135"/>
      <c r="AA869" s="135"/>
      <c r="AB869" s="135"/>
      <c r="AC869" s="135"/>
      <c r="AD869" s="135"/>
    </row>
    <row r="870" ht="28.5" customHeight="1">
      <c r="A870" s="135"/>
      <c r="B870" s="135"/>
      <c r="C870" s="135"/>
      <c r="D870" s="135"/>
      <c r="E870" s="135"/>
      <c r="F870" s="135"/>
      <c r="G870" s="135"/>
      <c r="H870" s="135"/>
      <c r="I870" s="135"/>
      <c r="J870" s="135"/>
      <c r="K870" s="135"/>
      <c r="L870" s="135"/>
      <c r="M870" s="135"/>
      <c r="N870" s="135"/>
      <c r="O870" s="135"/>
      <c r="P870" s="135"/>
      <c r="Q870" s="135"/>
      <c r="R870" s="135"/>
      <c r="S870" s="135"/>
      <c r="T870" s="135"/>
      <c r="U870" s="135"/>
      <c r="V870" s="135"/>
      <c r="W870" s="135"/>
      <c r="X870" s="135"/>
      <c r="Y870" s="135"/>
      <c r="Z870" s="135"/>
      <c r="AA870" s="135"/>
      <c r="AB870" s="135"/>
      <c r="AC870" s="135"/>
      <c r="AD870" s="135"/>
    </row>
    <row r="871" ht="28.5" customHeight="1">
      <c r="A871" s="135"/>
      <c r="B871" s="135"/>
      <c r="C871" s="135"/>
      <c r="D871" s="135"/>
      <c r="E871" s="135"/>
      <c r="F871" s="135"/>
      <c r="G871" s="135"/>
      <c r="H871" s="135"/>
      <c r="I871" s="135"/>
      <c r="J871" s="135"/>
      <c r="K871" s="135"/>
      <c r="L871" s="135"/>
      <c r="M871" s="135"/>
      <c r="N871" s="135"/>
      <c r="O871" s="135"/>
      <c r="P871" s="135"/>
      <c r="Q871" s="135"/>
      <c r="R871" s="135"/>
      <c r="S871" s="135"/>
      <c r="T871" s="135"/>
      <c r="U871" s="135"/>
      <c r="V871" s="135"/>
      <c r="W871" s="135"/>
      <c r="X871" s="135"/>
      <c r="Y871" s="135"/>
      <c r="Z871" s="135"/>
      <c r="AA871" s="135"/>
      <c r="AB871" s="135"/>
      <c r="AC871" s="135"/>
      <c r="AD871" s="135"/>
    </row>
    <row r="872" ht="28.5" customHeight="1">
      <c r="A872" s="135"/>
      <c r="B872" s="135"/>
      <c r="C872" s="135"/>
      <c r="D872" s="135"/>
      <c r="E872" s="135"/>
      <c r="F872" s="135"/>
      <c r="G872" s="135"/>
      <c r="H872" s="135"/>
      <c r="I872" s="135"/>
      <c r="J872" s="135"/>
      <c r="K872" s="135"/>
      <c r="L872" s="135"/>
      <c r="M872" s="135"/>
      <c r="N872" s="135"/>
      <c r="O872" s="135"/>
      <c r="P872" s="135"/>
      <c r="Q872" s="135"/>
      <c r="R872" s="135"/>
      <c r="S872" s="135"/>
      <c r="T872" s="135"/>
      <c r="U872" s="135"/>
      <c r="V872" s="135"/>
      <c r="W872" s="135"/>
      <c r="X872" s="135"/>
      <c r="Y872" s="135"/>
      <c r="Z872" s="135"/>
      <c r="AA872" s="135"/>
      <c r="AB872" s="135"/>
      <c r="AC872" s="135"/>
      <c r="AD872" s="135"/>
    </row>
    <row r="873" ht="28.5" customHeight="1">
      <c r="A873" s="135"/>
      <c r="B873" s="135"/>
      <c r="C873" s="135"/>
      <c r="D873" s="135"/>
      <c r="E873" s="135"/>
      <c r="F873" s="135"/>
      <c r="G873" s="135"/>
      <c r="H873" s="135"/>
      <c r="I873" s="135"/>
      <c r="J873" s="135"/>
      <c r="K873" s="135"/>
      <c r="L873" s="135"/>
      <c r="M873" s="135"/>
      <c r="N873" s="135"/>
      <c r="O873" s="135"/>
      <c r="P873" s="135"/>
      <c r="Q873" s="135"/>
      <c r="R873" s="135"/>
      <c r="S873" s="135"/>
      <c r="T873" s="135"/>
      <c r="U873" s="135"/>
      <c r="V873" s="135"/>
      <c r="W873" s="135"/>
      <c r="X873" s="135"/>
      <c r="Y873" s="135"/>
      <c r="Z873" s="135"/>
      <c r="AA873" s="135"/>
      <c r="AB873" s="135"/>
      <c r="AC873" s="135"/>
      <c r="AD873" s="135"/>
    </row>
    <row r="874" ht="28.5" customHeight="1">
      <c r="A874" s="135"/>
      <c r="B874" s="135"/>
      <c r="C874" s="135"/>
      <c r="D874" s="135"/>
      <c r="E874" s="135"/>
      <c r="F874" s="135"/>
      <c r="G874" s="135"/>
      <c r="H874" s="135"/>
      <c r="I874" s="135"/>
      <c r="J874" s="135"/>
      <c r="K874" s="135"/>
      <c r="L874" s="135"/>
      <c r="M874" s="135"/>
      <c r="N874" s="135"/>
      <c r="O874" s="135"/>
      <c r="P874" s="135"/>
      <c r="Q874" s="135"/>
      <c r="R874" s="135"/>
      <c r="S874" s="135"/>
      <c r="T874" s="135"/>
      <c r="U874" s="135"/>
      <c r="V874" s="135"/>
      <c r="W874" s="135"/>
      <c r="X874" s="135"/>
      <c r="Y874" s="135"/>
      <c r="Z874" s="135"/>
      <c r="AA874" s="135"/>
      <c r="AB874" s="135"/>
      <c r="AC874" s="135"/>
      <c r="AD874" s="135"/>
    </row>
    <row r="875" ht="28.5" customHeight="1">
      <c r="A875" s="135"/>
      <c r="B875" s="135"/>
      <c r="C875" s="135"/>
      <c r="D875" s="135"/>
      <c r="E875" s="135"/>
      <c r="F875" s="135"/>
      <c r="G875" s="135"/>
      <c r="H875" s="135"/>
      <c r="I875" s="135"/>
      <c r="J875" s="135"/>
      <c r="K875" s="135"/>
      <c r="L875" s="135"/>
      <c r="M875" s="135"/>
      <c r="N875" s="135"/>
      <c r="O875" s="135"/>
      <c r="P875" s="135"/>
      <c r="Q875" s="135"/>
      <c r="R875" s="135"/>
      <c r="S875" s="135"/>
      <c r="T875" s="135"/>
      <c r="U875" s="135"/>
      <c r="V875" s="135"/>
      <c r="W875" s="135"/>
      <c r="X875" s="135"/>
      <c r="Y875" s="135"/>
      <c r="Z875" s="135"/>
      <c r="AA875" s="135"/>
      <c r="AB875" s="135"/>
      <c r="AC875" s="135"/>
      <c r="AD875" s="135"/>
    </row>
    <row r="876" ht="28.5" customHeight="1">
      <c r="A876" s="135"/>
      <c r="B876" s="135"/>
      <c r="C876" s="135"/>
      <c r="D876" s="135"/>
      <c r="E876" s="135"/>
      <c r="F876" s="135"/>
      <c r="G876" s="135"/>
      <c r="H876" s="135"/>
      <c r="I876" s="135"/>
      <c r="J876" s="135"/>
      <c r="K876" s="135"/>
      <c r="L876" s="135"/>
      <c r="M876" s="135"/>
      <c r="N876" s="135"/>
      <c r="O876" s="135"/>
      <c r="P876" s="135"/>
      <c r="Q876" s="135"/>
      <c r="R876" s="135"/>
      <c r="S876" s="135"/>
      <c r="T876" s="135"/>
      <c r="U876" s="135"/>
      <c r="V876" s="135"/>
      <c r="W876" s="135"/>
      <c r="X876" s="135"/>
      <c r="Y876" s="135"/>
      <c r="Z876" s="135"/>
      <c r="AA876" s="135"/>
      <c r="AB876" s="135"/>
      <c r="AC876" s="135"/>
      <c r="AD876" s="135"/>
    </row>
    <row r="877" ht="28.5" customHeight="1">
      <c r="A877" s="135"/>
      <c r="B877" s="135"/>
      <c r="C877" s="135"/>
      <c r="D877" s="135"/>
      <c r="E877" s="135"/>
      <c r="F877" s="135"/>
      <c r="G877" s="135"/>
      <c r="H877" s="135"/>
      <c r="I877" s="135"/>
      <c r="J877" s="135"/>
      <c r="K877" s="135"/>
      <c r="L877" s="135"/>
      <c r="M877" s="135"/>
      <c r="N877" s="135"/>
      <c r="O877" s="135"/>
      <c r="P877" s="135"/>
      <c r="Q877" s="135"/>
      <c r="R877" s="135"/>
      <c r="S877" s="135"/>
      <c r="T877" s="135"/>
      <c r="U877" s="135"/>
      <c r="V877" s="135"/>
      <c r="W877" s="135"/>
      <c r="X877" s="135"/>
      <c r="Y877" s="135"/>
      <c r="Z877" s="135"/>
      <c r="AA877" s="135"/>
      <c r="AB877" s="135"/>
      <c r="AC877" s="135"/>
      <c r="AD877" s="135"/>
    </row>
    <row r="878" ht="28.5" customHeight="1">
      <c r="A878" s="135"/>
      <c r="B878" s="135"/>
      <c r="C878" s="135"/>
      <c r="D878" s="135"/>
      <c r="E878" s="135"/>
      <c r="F878" s="135"/>
      <c r="G878" s="135"/>
      <c r="H878" s="135"/>
      <c r="I878" s="135"/>
      <c r="J878" s="135"/>
      <c r="K878" s="135"/>
      <c r="L878" s="135"/>
      <c r="M878" s="135"/>
      <c r="N878" s="135"/>
      <c r="O878" s="135"/>
      <c r="P878" s="135"/>
      <c r="Q878" s="135"/>
      <c r="R878" s="135"/>
      <c r="S878" s="135"/>
      <c r="T878" s="135"/>
      <c r="U878" s="135"/>
      <c r="V878" s="135"/>
      <c r="W878" s="135"/>
      <c r="X878" s="135"/>
      <c r="Y878" s="135"/>
      <c r="Z878" s="135"/>
      <c r="AA878" s="135"/>
      <c r="AB878" s="135"/>
      <c r="AC878" s="135"/>
      <c r="AD878" s="135"/>
    </row>
    <row r="879" ht="28.5" customHeight="1">
      <c r="A879" s="135"/>
      <c r="B879" s="135"/>
      <c r="C879" s="135"/>
      <c r="D879" s="135"/>
      <c r="E879" s="135"/>
      <c r="F879" s="135"/>
      <c r="G879" s="135"/>
      <c r="H879" s="135"/>
      <c r="I879" s="135"/>
      <c r="J879" s="135"/>
      <c r="K879" s="135"/>
      <c r="L879" s="135"/>
      <c r="M879" s="135"/>
      <c r="N879" s="135"/>
      <c r="O879" s="135"/>
      <c r="P879" s="135"/>
      <c r="Q879" s="135"/>
      <c r="R879" s="135"/>
      <c r="S879" s="135"/>
      <c r="T879" s="135"/>
      <c r="U879" s="135"/>
      <c r="V879" s="135"/>
      <c r="W879" s="135"/>
      <c r="X879" s="135"/>
      <c r="Y879" s="135"/>
      <c r="Z879" s="135"/>
      <c r="AA879" s="135"/>
      <c r="AB879" s="135"/>
      <c r="AC879" s="135"/>
      <c r="AD879" s="135"/>
    </row>
    <row r="880" ht="28.5" customHeight="1">
      <c r="A880" s="135"/>
      <c r="B880" s="135"/>
      <c r="C880" s="135"/>
      <c r="D880" s="135"/>
      <c r="E880" s="135"/>
      <c r="F880" s="135"/>
      <c r="G880" s="135"/>
      <c r="H880" s="135"/>
      <c r="I880" s="135"/>
      <c r="J880" s="135"/>
      <c r="K880" s="135"/>
      <c r="L880" s="135"/>
      <c r="M880" s="135"/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  <c r="Z880" s="135"/>
      <c r="AA880" s="135"/>
      <c r="AB880" s="135"/>
      <c r="AC880" s="135"/>
      <c r="AD880" s="135"/>
    </row>
    <row r="881" ht="28.5" customHeight="1">
      <c r="A881" s="135"/>
      <c r="B881" s="135"/>
      <c r="C881" s="135"/>
      <c r="D881" s="135"/>
      <c r="E881" s="135"/>
      <c r="F881" s="135"/>
      <c r="G881" s="135"/>
      <c r="H881" s="135"/>
      <c r="I881" s="135"/>
      <c r="J881" s="135"/>
      <c r="K881" s="135"/>
      <c r="L881" s="135"/>
      <c r="M881" s="135"/>
      <c r="N881" s="135"/>
      <c r="O881" s="135"/>
      <c r="P881" s="135"/>
      <c r="Q881" s="135"/>
      <c r="R881" s="135"/>
      <c r="S881" s="135"/>
      <c r="T881" s="135"/>
      <c r="U881" s="135"/>
      <c r="V881" s="135"/>
      <c r="W881" s="135"/>
      <c r="X881" s="135"/>
      <c r="Y881" s="135"/>
      <c r="Z881" s="135"/>
      <c r="AA881" s="135"/>
      <c r="AB881" s="135"/>
      <c r="AC881" s="135"/>
      <c r="AD881" s="135"/>
    </row>
    <row r="882" ht="28.5" customHeight="1">
      <c r="A882" s="135"/>
      <c r="B882" s="135"/>
      <c r="C882" s="135"/>
      <c r="D882" s="135"/>
      <c r="E882" s="135"/>
      <c r="F882" s="135"/>
      <c r="G882" s="135"/>
      <c r="H882" s="135"/>
      <c r="I882" s="135"/>
      <c r="J882" s="135"/>
      <c r="K882" s="135"/>
      <c r="L882" s="135"/>
      <c r="M882" s="135"/>
      <c r="N882" s="135"/>
      <c r="O882" s="135"/>
      <c r="P882" s="135"/>
      <c r="Q882" s="135"/>
      <c r="R882" s="135"/>
      <c r="S882" s="135"/>
      <c r="T882" s="135"/>
      <c r="U882" s="135"/>
      <c r="V882" s="135"/>
      <c r="W882" s="135"/>
      <c r="X882" s="135"/>
      <c r="Y882" s="135"/>
      <c r="Z882" s="135"/>
      <c r="AA882" s="135"/>
      <c r="AB882" s="135"/>
      <c r="AC882" s="135"/>
      <c r="AD882" s="135"/>
    </row>
    <row r="883" ht="28.5" customHeight="1">
      <c r="A883" s="135"/>
      <c r="B883" s="135"/>
      <c r="C883" s="135"/>
      <c r="D883" s="135"/>
      <c r="E883" s="135"/>
      <c r="F883" s="135"/>
      <c r="G883" s="135"/>
      <c r="H883" s="135"/>
      <c r="I883" s="135"/>
      <c r="J883" s="135"/>
      <c r="K883" s="135"/>
      <c r="L883" s="135"/>
      <c r="M883" s="135"/>
      <c r="N883" s="135"/>
      <c r="O883" s="135"/>
      <c r="P883" s="135"/>
      <c r="Q883" s="135"/>
      <c r="R883" s="135"/>
      <c r="S883" s="135"/>
      <c r="T883" s="135"/>
      <c r="U883" s="135"/>
      <c r="V883" s="135"/>
      <c r="W883" s="135"/>
      <c r="X883" s="135"/>
      <c r="Y883" s="135"/>
      <c r="Z883" s="135"/>
      <c r="AA883" s="135"/>
      <c r="AB883" s="135"/>
      <c r="AC883" s="135"/>
      <c r="AD883" s="135"/>
    </row>
    <row r="884" ht="28.5" customHeight="1">
      <c r="A884" s="135"/>
      <c r="B884" s="135"/>
      <c r="C884" s="135"/>
      <c r="D884" s="135"/>
      <c r="E884" s="135"/>
      <c r="F884" s="135"/>
      <c r="G884" s="135"/>
      <c r="H884" s="135"/>
      <c r="I884" s="135"/>
      <c r="J884" s="135"/>
      <c r="K884" s="135"/>
      <c r="L884" s="135"/>
      <c r="M884" s="135"/>
      <c r="N884" s="135"/>
      <c r="O884" s="135"/>
      <c r="P884" s="135"/>
      <c r="Q884" s="135"/>
      <c r="R884" s="135"/>
      <c r="S884" s="135"/>
      <c r="T884" s="135"/>
      <c r="U884" s="135"/>
      <c r="V884" s="135"/>
      <c r="W884" s="135"/>
      <c r="X884" s="135"/>
      <c r="Y884" s="135"/>
      <c r="Z884" s="135"/>
      <c r="AA884" s="135"/>
      <c r="AB884" s="135"/>
      <c r="AC884" s="135"/>
      <c r="AD884" s="135"/>
    </row>
    <row r="885" ht="28.5" customHeight="1">
      <c r="A885" s="135"/>
      <c r="B885" s="135"/>
      <c r="C885" s="135"/>
      <c r="D885" s="135"/>
      <c r="E885" s="135"/>
      <c r="F885" s="135"/>
      <c r="G885" s="135"/>
      <c r="H885" s="135"/>
      <c r="I885" s="135"/>
      <c r="J885" s="135"/>
      <c r="K885" s="135"/>
      <c r="L885" s="135"/>
      <c r="M885" s="135"/>
      <c r="N885" s="135"/>
      <c r="O885" s="135"/>
      <c r="P885" s="135"/>
      <c r="Q885" s="135"/>
      <c r="R885" s="135"/>
      <c r="S885" s="135"/>
      <c r="T885" s="135"/>
      <c r="U885" s="135"/>
      <c r="V885" s="135"/>
      <c r="W885" s="135"/>
      <c r="X885" s="135"/>
      <c r="Y885" s="135"/>
      <c r="Z885" s="135"/>
      <c r="AA885" s="135"/>
      <c r="AB885" s="135"/>
      <c r="AC885" s="135"/>
      <c r="AD885" s="135"/>
    </row>
    <row r="886" ht="28.5" customHeight="1">
      <c r="A886" s="135"/>
      <c r="B886" s="135"/>
      <c r="C886" s="135"/>
      <c r="D886" s="135"/>
      <c r="E886" s="135"/>
      <c r="F886" s="135"/>
      <c r="G886" s="135"/>
      <c r="H886" s="135"/>
      <c r="I886" s="135"/>
      <c r="J886" s="135"/>
      <c r="K886" s="135"/>
      <c r="L886" s="135"/>
      <c r="M886" s="135"/>
      <c r="N886" s="135"/>
      <c r="O886" s="135"/>
      <c r="P886" s="135"/>
      <c r="Q886" s="135"/>
      <c r="R886" s="135"/>
      <c r="S886" s="135"/>
      <c r="T886" s="135"/>
      <c r="U886" s="135"/>
      <c r="V886" s="135"/>
      <c r="W886" s="135"/>
      <c r="X886" s="135"/>
      <c r="Y886" s="135"/>
      <c r="Z886" s="135"/>
      <c r="AA886" s="135"/>
      <c r="AB886" s="135"/>
      <c r="AC886" s="135"/>
      <c r="AD886" s="135"/>
    </row>
    <row r="887" ht="28.5" customHeight="1">
      <c r="A887" s="135"/>
      <c r="B887" s="135"/>
      <c r="C887" s="135"/>
      <c r="D887" s="135"/>
      <c r="E887" s="135"/>
      <c r="F887" s="135"/>
      <c r="G887" s="135"/>
      <c r="H887" s="135"/>
      <c r="I887" s="135"/>
      <c r="J887" s="135"/>
      <c r="K887" s="135"/>
      <c r="L887" s="135"/>
      <c r="M887" s="135"/>
      <c r="N887" s="135"/>
      <c r="O887" s="135"/>
      <c r="P887" s="135"/>
      <c r="Q887" s="135"/>
      <c r="R887" s="135"/>
      <c r="S887" s="135"/>
      <c r="T887" s="135"/>
      <c r="U887" s="135"/>
      <c r="V887" s="135"/>
      <c r="W887" s="135"/>
      <c r="X887" s="135"/>
      <c r="Y887" s="135"/>
      <c r="Z887" s="135"/>
      <c r="AA887" s="135"/>
      <c r="AB887" s="135"/>
      <c r="AC887" s="135"/>
      <c r="AD887" s="135"/>
    </row>
    <row r="888" ht="28.5" customHeight="1">
      <c r="A888" s="135"/>
      <c r="B888" s="135"/>
      <c r="C888" s="135"/>
      <c r="D888" s="135"/>
      <c r="E888" s="135"/>
      <c r="F888" s="135"/>
      <c r="G888" s="135"/>
      <c r="H888" s="135"/>
      <c r="I888" s="135"/>
      <c r="J888" s="135"/>
      <c r="K888" s="135"/>
      <c r="L888" s="135"/>
      <c r="M888" s="135"/>
      <c r="N888" s="135"/>
      <c r="O888" s="135"/>
      <c r="P888" s="135"/>
      <c r="Q888" s="135"/>
      <c r="R888" s="135"/>
      <c r="S888" s="135"/>
      <c r="T888" s="135"/>
      <c r="U888" s="135"/>
      <c r="V888" s="135"/>
      <c r="W888" s="135"/>
      <c r="X888" s="135"/>
      <c r="Y888" s="135"/>
      <c r="Z888" s="135"/>
      <c r="AA888" s="135"/>
      <c r="AB888" s="135"/>
      <c r="AC888" s="135"/>
      <c r="AD888" s="135"/>
    </row>
    <row r="889" ht="28.5" customHeight="1">
      <c r="A889" s="135"/>
      <c r="B889" s="135"/>
      <c r="C889" s="135"/>
      <c r="D889" s="135"/>
      <c r="E889" s="135"/>
      <c r="F889" s="135"/>
      <c r="G889" s="135"/>
      <c r="H889" s="135"/>
      <c r="I889" s="135"/>
      <c r="J889" s="135"/>
      <c r="K889" s="135"/>
      <c r="L889" s="135"/>
      <c r="M889" s="135"/>
      <c r="N889" s="135"/>
      <c r="O889" s="135"/>
      <c r="P889" s="135"/>
      <c r="Q889" s="135"/>
      <c r="R889" s="135"/>
      <c r="S889" s="135"/>
      <c r="T889" s="135"/>
      <c r="U889" s="135"/>
      <c r="V889" s="135"/>
      <c r="W889" s="135"/>
      <c r="X889" s="135"/>
      <c r="Y889" s="135"/>
      <c r="Z889" s="135"/>
      <c r="AA889" s="135"/>
      <c r="AB889" s="135"/>
      <c r="AC889" s="135"/>
      <c r="AD889" s="135"/>
    </row>
    <row r="890" ht="28.5" customHeight="1">
      <c r="A890" s="135"/>
      <c r="B890" s="135"/>
      <c r="C890" s="135"/>
      <c r="D890" s="135"/>
      <c r="E890" s="135"/>
      <c r="F890" s="135"/>
      <c r="G890" s="135"/>
      <c r="H890" s="135"/>
      <c r="I890" s="135"/>
      <c r="J890" s="135"/>
      <c r="K890" s="135"/>
      <c r="L890" s="135"/>
      <c r="M890" s="135"/>
      <c r="N890" s="135"/>
      <c r="O890" s="135"/>
      <c r="P890" s="135"/>
      <c r="Q890" s="135"/>
      <c r="R890" s="135"/>
      <c r="S890" s="135"/>
      <c r="T890" s="135"/>
      <c r="U890" s="135"/>
      <c r="V890" s="135"/>
      <c r="W890" s="135"/>
      <c r="X890" s="135"/>
      <c r="Y890" s="135"/>
      <c r="Z890" s="135"/>
      <c r="AA890" s="135"/>
      <c r="AB890" s="135"/>
      <c r="AC890" s="135"/>
      <c r="AD890" s="135"/>
    </row>
    <row r="891" ht="28.5" customHeight="1">
      <c r="A891" s="135"/>
      <c r="B891" s="135"/>
      <c r="C891" s="135"/>
      <c r="D891" s="135"/>
      <c r="E891" s="135"/>
      <c r="F891" s="135"/>
      <c r="G891" s="135"/>
      <c r="H891" s="135"/>
      <c r="I891" s="135"/>
      <c r="J891" s="135"/>
      <c r="K891" s="135"/>
      <c r="L891" s="135"/>
      <c r="M891" s="135"/>
      <c r="N891" s="135"/>
      <c r="O891" s="135"/>
      <c r="P891" s="135"/>
      <c r="Q891" s="135"/>
      <c r="R891" s="135"/>
      <c r="S891" s="135"/>
      <c r="T891" s="135"/>
      <c r="U891" s="135"/>
      <c r="V891" s="135"/>
      <c r="W891" s="135"/>
      <c r="X891" s="135"/>
      <c r="Y891" s="135"/>
      <c r="Z891" s="135"/>
      <c r="AA891" s="135"/>
      <c r="AB891" s="135"/>
      <c r="AC891" s="135"/>
      <c r="AD891" s="135"/>
    </row>
    <row r="892" ht="28.5" customHeight="1">
      <c r="A892" s="135"/>
      <c r="B892" s="135"/>
      <c r="C892" s="135"/>
      <c r="D892" s="135"/>
      <c r="E892" s="135"/>
      <c r="F892" s="135"/>
      <c r="G892" s="135"/>
      <c r="H892" s="135"/>
      <c r="I892" s="135"/>
      <c r="J892" s="135"/>
      <c r="K892" s="135"/>
      <c r="L892" s="135"/>
      <c r="M892" s="135"/>
      <c r="N892" s="135"/>
      <c r="O892" s="135"/>
      <c r="P892" s="135"/>
      <c r="Q892" s="135"/>
      <c r="R892" s="135"/>
      <c r="S892" s="135"/>
      <c r="T892" s="135"/>
      <c r="U892" s="135"/>
      <c r="V892" s="135"/>
      <c r="W892" s="135"/>
      <c r="X892" s="135"/>
      <c r="Y892" s="135"/>
      <c r="Z892" s="135"/>
      <c r="AA892" s="135"/>
      <c r="AB892" s="135"/>
      <c r="AC892" s="135"/>
      <c r="AD892" s="135"/>
    </row>
    <row r="893" ht="28.5" customHeight="1">
      <c r="A893" s="135"/>
      <c r="B893" s="135"/>
      <c r="C893" s="135"/>
      <c r="D893" s="135"/>
      <c r="E893" s="135"/>
      <c r="F893" s="135"/>
      <c r="G893" s="135"/>
      <c r="H893" s="135"/>
      <c r="I893" s="135"/>
      <c r="J893" s="135"/>
      <c r="K893" s="135"/>
      <c r="L893" s="135"/>
      <c r="M893" s="135"/>
      <c r="N893" s="135"/>
      <c r="O893" s="135"/>
      <c r="P893" s="135"/>
      <c r="Q893" s="135"/>
      <c r="R893" s="135"/>
      <c r="S893" s="135"/>
      <c r="T893" s="135"/>
      <c r="U893" s="135"/>
      <c r="V893" s="135"/>
      <c r="W893" s="135"/>
      <c r="X893" s="135"/>
      <c r="Y893" s="135"/>
      <c r="Z893" s="135"/>
      <c r="AA893" s="135"/>
      <c r="AB893" s="135"/>
      <c r="AC893" s="135"/>
      <c r="AD893" s="135"/>
    </row>
    <row r="894" ht="28.5" customHeight="1">
      <c r="A894" s="135"/>
      <c r="B894" s="135"/>
      <c r="C894" s="135"/>
      <c r="D894" s="135"/>
      <c r="E894" s="135"/>
      <c r="F894" s="135"/>
      <c r="G894" s="135"/>
      <c r="H894" s="135"/>
      <c r="I894" s="135"/>
      <c r="J894" s="135"/>
      <c r="K894" s="135"/>
      <c r="L894" s="135"/>
      <c r="M894" s="135"/>
      <c r="N894" s="135"/>
      <c r="O894" s="135"/>
      <c r="P894" s="135"/>
      <c r="Q894" s="135"/>
      <c r="R894" s="135"/>
      <c r="S894" s="135"/>
      <c r="T894" s="135"/>
      <c r="U894" s="135"/>
      <c r="V894" s="135"/>
      <c r="W894" s="135"/>
      <c r="X894" s="135"/>
      <c r="Y894" s="135"/>
      <c r="Z894" s="135"/>
      <c r="AA894" s="135"/>
      <c r="AB894" s="135"/>
      <c r="AC894" s="135"/>
      <c r="AD894" s="135"/>
    </row>
    <row r="895" ht="28.5" customHeight="1">
      <c r="A895" s="135"/>
      <c r="B895" s="135"/>
      <c r="C895" s="135"/>
      <c r="D895" s="135"/>
      <c r="E895" s="135"/>
      <c r="F895" s="135"/>
      <c r="G895" s="135"/>
      <c r="H895" s="135"/>
      <c r="I895" s="135"/>
      <c r="J895" s="135"/>
      <c r="K895" s="135"/>
      <c r="L895" s="135"/>
      <c r="M895" s="135"/>
      <c r="N895" s="135"/>
      <c r="O895" s="135"/>
      <c r="P895" s="135"/>
      <c r="Q895" s="135"/>
      <c r="R895" s="135"/>
      <c r="S895" s="135"/>
      <c r="T895" s="135"/>
      <c r="U895" s="135"/>
      <c r="V895" s="135"/>
      <c r="W895" s="135"/>
      <c r="X895" s="135"/>
      <c r="Y895" s="135"/>
      <c r="Z895" s="135"/>
      <c r="AA895" s="135"/>
      <c r="AB895" s="135"/>
      <c r="AC895" s="135"/>
      <c r="AD895" s="135"/>
    </row>
    <row r="896" ht="28.5" customHeight="1">
      <c r="A896" s="135"/>
      <c r="B896" s="135"/>
      <c r="C896" s="135"/>
      <c r="D896" s="135"/>
      <c r="E896" s="135"/>
      <c r="F896" s="135"/>
      <c r="G896" s="135"/>
      <c r="H896" s="135"/>
      <c r="I896" s="135"/>
      <c r="J896" s="135"/>
      <c r="K896" s="135"/>
      <c r="L896" s="135"/>
      <c r="M896" s="135"/>
      <c r="N896" s="135"/>
      <c r="O896" s="135"/>
      <c r="P896" s="135"/>
      <c r="Q896" s="135"/>
      <c r="R896" s="135"/>
      <c r="S896" s="135"/>
      <c r="T896" s="135"/>
      <c r="U896" s="135"/>
      <c r="V896" s="135"/>
      <c r="W896" s="135"/>
      <c r="X896" s="135"/>
      <c r="Y896" s="135"/>
      <c r="Z896" s="135"/>
      <c r="AA896" s="135"/>
      <c r="AB896" s="135"/>
      <c r="AC896" s="135"/>
      <c r="AD896" s="135"/>
    </row>
    <row r="897" ht="28.5" customHeight="1">
      <c r="A897" s="135"/>
      <c r="B897" s="135"/>
      <c r="C897" s="135"/>
      <c r="D897" s="135"/>
      <c r="E897" s="135"/>
      <c r="F897" s="135"/>
      <c r="G897" s="135"/>
      <c r="H897" s="135"/>
      <c r="I897" s="135"/>
      <c r="J897" s="135"/>
      <c r="K897" s="135"/>
      <c r="L897" s="135"/>
      <c r="M897" s="135"/>
      <c r="N897" s="135"/>
      <c r="O897" s="135"/>
      <c r="P897" s="135"/>
      <c r="Q897" s="135"/>
      <c r="R897" s="135"/>
      <c r="S897" s="135"/>
      <c r="T897" s="135"/>
      <c r="U897" s="135"/>
      <c r="V897" s="135"/>
      <c r="W897" s="135"/>
      <c r="X897" s="135"/>
      <c r="Y897" s="135"/>
      <c r="Z897" s="135"/>
      <c r="AA897" s="135"/>
      <c r="AB897" s="135"/>
      <c r="AC897" s="135"/>
      <c r="AD897" s="135"/>
    </row>
    <row r="898" ht="28.5" customHeight="1">
      <c r="A898" s="135"/>
      <c r="B898" s="135"/>
      <c r="C898" s="135"/>
      <c r="D898" s="135"/>
      <c r="E898" s="135"/>
      <c r="F898" s="135"/>
      <c r="G898" s="135"/>
      <c r="H898" s="135"/>
      <c r="I898" s="135"/>
      <c r="J898" s="135"/>
      <c r="K898" s="135"/>
      <c r="L898" s="135"/>
      <c r="M898" s="135"/>
      <c r="N898" s="135"/>
      <c r="O898" s="135"/>
      <c r="P898" s="135"/>
      <c r="Q898" s="135"/>
      <c r="R898" s="135"/>
      <c r="S898" s="135"/>
      <c r="T898" s="135"/>
      <c r="U898" s="135"/>
      <c r="V898" s="135"/>
      <c r="W898" s="135"/>
      <c r="X898" s="135"/>
      <c r="Y898" s="135"/>
      <c r="Z898" s="135"/>
      <c r="AA898" s="135"/>
      <c r="AB898" s="135"/>
      <c r="AC898" s="135"/>
      <c r="AD898" s="135"/>
    </row>
    <row r="899" ht="28.5" customHeight="1">
      <c r="A899" s="135"/>
      <c r="B899" s="135"/>
      <c r="C899" s="135"/>
      <c r="D899" s="135"/>
      <c r="E899" s="135"/>
      <c r="F899" s="135"/>
      <c r="G899" s="135"/>
      <c r="H899" s="135"/>
      <c r="I899" s="135"/>
      <c r="J899" s="135"/>
      <c r="K899" s="135"/>
      <c r="L899" s="135"/>
      <c r="M899" s="135"/>
      <c r="N899" s="135"/>
      <c r="O899" s="135"/>
      <c r="P899" s="135"/>
      <c r="Q899" s="135"/>
      <c r="R899" s="135"/>
      <c r="S899" s="135"/>
      <c r="T899" s="135"/>
      <c r="U899" s="135"/>
      <c r="V899" s="135"/>
      <c r="W899" s="135"/>
      <c r="X899" s="135"/>
      <c r="Y899" s="135"/>
      <c r="Z899" s="135"/>
      <c r="AA899" s="135"/>
      <c r="AB899" s="135"/>
      <c r="AC899" s="135"/>
      <c r="AD899" s="135"/>
    </row>
    <row r="900" ht="28.5" customHeight="1">
      <c r="A900" s="135"/>
      <c r="B900" s="135"/>
      <c r="C900" s="135"/>
      <c r="D900" s="135"/>
      <c r="E900" s="135"/>
      <c r="F900" s="135"/>
      <c r="G900" s="135"/>
      <c r="H900" s="135"/>
      <c r="I900" s="135"/>
      <c r="J900" s="135"/>
      <c r="K900" s="135"/>
      <c r="L900" s="135"/>
      <c r="M900" s="135"/>
      <c r="N900" s="135"/>
      <c r="O900" s="135"/>
      <c r="P900" s="135"/>
      <c r="Q900" s="135"/>
      <c r="R900" s="135"/>
      <c r="S900" s="135"/>
      <c r="T900" s="135"/>
      <c r="U900" s="135"/>
      <c r="V900" s="135"/>
      <c r="W900" s="135"/>
      <c r="X900" s="135"/>
      <c r="Y900" s="135"/>
      <c r="Z900" s="135"/>
      <c r="AA900" s="135"/>
      <c r="AB900" s="135"/>
      <c r="AC900" s="135"/>
      <c r="AD900" s="135"/>
    </row>
    <row r="901" ht="28.5" customHeight="1">
      <c r="A901" s="135"/>
      <c r="B901" s="135"/>
      <c r="C901" s="135"/>
      <c r="D901" s="135"/>
      <c r="E901" s="135"/>
      <c r="F901" s="135"/>
      <c r="G901" s="135"/>
      <c r="H901" s="135"/>
      <c r="I901" s="135"/>
      <c r="J901" s="135"/>
      <c r="K901" s="135"/>
      <c r="L901" s="135"/>
      <c r="M901" s="135"/>
      <c r="N901" s="135"/>
      <c r="O901" s="135"/>
      <c r="P901" s="135"/>
      <c r="Q901" s="135"/>
      <c r="R901" s="135"/>
      <c r="S901" s="135"/>
      <c r="T901" s="135"/>
      <c r="U901" s="135"/>
      <c r="V901" s="135"/>
      <c r="W901" s="135"/>
      <c r="X901" s="135"/>
      <c r="Y901" s="135"/>
      <c r="Z901" s="135"/>
      <c r="AA901" s="135"/>
      <c r="AB901" s="135"/>
      <c r="AC901" s="135"/>
      <c r="AD901" s="135"/>
    </row>
    <row r="902" ht="28.5" customHeight="1">
      <c r="A902" s="135"/>
      <c r="B902" s="135"/>
      <c r="C902" s="135"/>
      <c r="D902" s="135"/>
      <c r="E902" s="135"/>
      <c r="F902" s="135"/>
      <c r="G902" s="135"/>
      <c r="H902" s="135"/>
      <c r="I902" s="135"/>
      <c r="J902" s="135"/>
      <c r="K902" s="135"/>
      <c r="L902" s="135"/>
      <c r="M902" s="135"/>
      <c r="N902" s="135"/>
      <c r="O902" s="135"/>
      <c r="P902" s="135"/>
      <c r="Q902" s="135"/>
      <c r="R902" s="135"/>
      <c r="S902" s="135"/>
      <c r="T902" s="135"/>
      <c r="U902" s="135"/>
      <c r="V902" s="135"/>
      <c r="W902" s="135"/>
      <c r="X902" s="135"/>
      <c r="Y902" s="135"/>
      <c r="Z902" s="135"/>
      <c r="AA902" s="135"/>
      <c r="AB902" s="135"/>
      <c r="AC902" s="135"/>
      <c r="AD902" s="135"/>
    </row>
    <row r="903" ht="28.5" customHeight="1">
      <c r="A903" s="135"/>
      <c r="B903" s="135"/>
      <c r="C903" s="135"/>
      <c r="D903" s="135"/>
      <c r="E903" s="135"/>
      <c r="F903" s="135"/>
      <c r="G903" s="135"/>
      <c r="H903" s="135"/>
      <c r="I903" s="135"/>
      <c r="J903" s="135"/>
      <c r="K903" s="135"/>
      <c r="L903" s="135"/>
      <c r="M903" s="135"/>
      <c r="N903" s="135"/>
      <c r="O903" s="135"/>
      <c r="P903" s="135"/>
      <c r="Q903" s="135"/>
      <c r="R903" s="135"/>
      <c r="S903" s="135"/>
      <c r="T903" s="135"/>
      <c r="U903" s="135"/>
      <c r="V903" s="135"/>
      <c r="W903" s="135"/>
      <c r="X903" s="135"/>
      <c r="Y903" s="135"/>
      <c r="Z903" s="135"/>
      <c r="AA903" s="135"/>
      <c r="AB903" s="135"/>
      <c r="AC903" s="135"/>
      <c r="AD903" s="135"/>
    </row>
    <row r="904" ht="28.5" customHeight="1">
      <c r="A904" s="135"/>
      <c r="B904" s="135"/>
      <c r="C904" s="135"/>
      <c r="D904" s="135"/>
      <c r="E904" s="135"/>
      <c r="F904" s="135"/>
      <c r="G904" s="135"/>
      <c r="H904" s="135"/>
      <c r="I904" s="135"/>
      <c r="J904" s="135"/>
      <c r="K904" s="135"/>
      <c r="L904" s="135"/>
      <c r="M904" s="135"/>
      <c r="N904" s="135"/>
      <c r="O904" s="135"/>
      <c r="P904" s="135"/>
      <c r="Q904" s="135"/>
      <c r="R904" s="135"/>
      <c r="S904" s="135"/>
      <c r="T904" s="135"/>
      <c r="U904" s="135"/>
      <c r="V904" s="135"/>
      <c r="W904" s="135"/>
      <c r="X904" s="135"/>
      <c r="Y904" s="135"/>
      <c r="Z904" s="135"/>
      <c r="AA904" s="135"/>
      <c r="AB904" s="135"/>
      <c r="AC904" s="135"/>
      <c r="AD904" s="135"/>
    </row>
    <row r="905" ht="28.5" customHeight="1">
      <c r="A905" s="135"/>
      <c r="B905" s="135"/>
      <c r="C905" s="135"/>
      <c r="D905" s="135"/>
      <c r="E905" s="135"/>
      <c r="F905" s="135"/>
      <c r="G905" s="135"/>
      <c r="H905" s="135"/>
      <c r="I905" s="135"/>
      <c r="J905" s="135"/>
      <c r="K905" s="135"/>
      <c r="L905" s="135"/>
      <c r="M905" s="135"/>
      <c r="N905" s="135"/>
      <c r="O905" s="135"/>
      <c r="P905" s="135"/>
      <c r="Q905" s="135"/>
      <c r="R905" s="135"/>
      <c r="S905" s="135"/>
      <c r="T905" s="135"/>
      <c r="U905" s="135"/>
      <c r="V905" s="135"/>
      <c r="W905" s="135"/>
      <c r="X905" s="135"/>
      <c r="Y905" s="135"/>
      <c r="Z905" s="135"/>
      <c r="AA905" s="135"/>
      <c r="AB905" s="135"/>
      <c r="AC905" s="135"/>
      <c r="AD905" s="135"/>
    </row>
    <row r="906" ht="28.5" customHeight="1">
      <c r="A906" s="135"/>
      <c r="B906" s="135"/>
      <c r="C906" s="135"/>
      <c r="D906" s="135"/>
      <c r="E906" s="135"/>
      <c r="F906" s="135"/>
      <c r="G906" s="135"/>
      <c r="H906" s="135"/>
      <c r="I906" s="135"/>
      <c r="J906" s="135"/>
      <c r="K906" s="135"/>
      <c r="L906" s="135"/>
      <c r="M906" s="135"/>
      <c r="N906" s="135"/>
      <c r="O906" s="135"/>
      <c r="P906" s="135"/>
      <c r="Q906" s="135"/>
      <c r="R906" s="135"/>
      <c r="S906" s="135"/>
      <c r="T906" s="135"/>
      <c r="U906" s="135"/>
      <c r="V906" s="135"/>
      <c r="W906" s="135"/>
      <c r="X906" s="135"/>
      <c r="Y906" s="135"/>
      <c r="Z906" s="135"/>
      <c r="AA906" s="135"/>
      <c r="AB906" s="135"/>
      <c r="AC906" s="135"/>
      <c r="AD906" s="135"/>
    </row>
    <row r="907" ht="28.5" customHeight="1">
      <c r="A907" s="135"/>
      <c r="B907" s="135"/>
      <c r="C907" s="135"/>
      <c r="D907" s="135"/>
      <c r="E907" s="135"/>
      <c r="F907" s="135"/>
      <c r="G907" s="135"/>
      <c r="H907" s="135"/>
      <c r="I907" s="135"/>
      <c r="J907" s="135"/>
      <c r="K907" s="135"/>
      <c r="L907" s="135"/>
      <c r="M907" s="135"/>
      <c r="N907" s="135"/>
      <c r="O907" s="135"/>
      <c r="P907" s="135"/>
      <c r="Q907" s="135"/>
      <c r="R907" s="135"/>
      <c r="S907" s="135"/>
      <c r="T907" s="135"/>
      <c r="U907" s="135"/>
      <c r="V907" s="135"/>
      <c r="W907" s="135"/>
      <c r="X907" s="135"/>
      <c r="Y907" s="135"/>
      <c r="Z907" s="135"/>
      <c r="AA907" s="135"/>
      <c r="AB907" s="135"/>
      <c r="AC907" s="135"/>
      <c r="AD907" s="135"/>
    </row>
    <row r="908" ht="28.5" customHeight="1">
      <c r="A908" s="135"/>
      <c r="B908" s="135"/>
      <c r="C908" s="135"/>
      <c r="D908" s="135"/>
      <c r="E908" s="135"/>
      <c r="F908" s="135"/>
      <c r="G908" s="135"/>
      <c r="H908" s="135"/>
      <c r="I908" s="135"/>
      <c r="J908" s="135"/>
      <c r="K908" s="135"/>
      <c r="L908" s="135"/>
      <c r="M908" s="135"/>
      <c r="N908" s="135"/>
      <c r="O908" s="135"/>
      <c r="P908" s="135"/>
      <c r="Q908" s="135"/>
      <c r="R908" s="135"/>
      <c r="S908" s="135"/>
      <c r="T908" s="135"/>
      <c r="U908" s="135"/>
      <c r="V908" s="135"/>
      <c r="W908" s="135"/>
      <c r="X908" s="135"/>
      <c r="Y908" s="135"/>
      <c r="Z908" s="135"/>
      <c r="AA908" s="135"/>
      <c r="AB908" s="135"/>
      <c r="AC908" s="135"/>
      <c r="AD908" s="135"/>
    </row>
    <row r="909" ht="28.5" customHeight="1">
      <c r="A909" s="135"/>
      <c r="B909" s="135"/>
      <c r="C909" s="135"/>
      <c r="D909" s="135"/>
      <c r="E909" s="135"/>
      <c r="F909" s="135"/>
      <c r="G909" s="135"/>
      <c r="H909" s="135"/>
      <c r="I909" s="135"/>
      <c r="J909" s="135"/>
      <c r="K909" s="135"/>
      <c r="L909" s="135"/>
      <c r="M909" s="135"/>
      <c r="N909" s="135"/>
      <c r="O909" s="135"/>
      <c r="P909" s="135"/>
      <c r="Q909" s="135"/>
      <c r="R909" s="135"/>
      <c r="S909" s="135"/>
      <c r="T909" s="135"/>
      <c r="U909" s="135"/>
      <c r="V909" s="135"/>
      <c r="W909" s="135"/>
      <c r="X909" s="135"/>
      <c r="Y909" s="135"/>
      <c r="Z909" s="135"/>
      <c r="AA909" s="135"/>
      <c r="AB909" s="135"/>
      <c r="AC909" s="135"/>
      <c r="AD909" s="135"/>
    </row>
    <row r="910" ht="28.5" customHeight="1">
      <c r="A910" s="135"/>
      <c r="B910" s="135"/>
      <c r="C910" s="135"/>
      <c r="D910" s="135"/>
      <c r="E910" s="135"/>
      <c r="F910" s="135"/>
      <c r="G910" s="135"/>
      <c r="H910" s="135"/>
      <c r="I910" s="135"/>
      <c r="J910" s="135"/>
      <c r="K910" s="135"/>
      <c r="L910" s="135"/>
      <c r="M910" s="135"/>
      <c r="N910" s="135"/>
      <c r="O910" s="135"/>
      <c r="P910" s="135"/>
      <c r="Q910" s="135"/>
      <c r="R910" s="135"/>
      <c r="S910" s="135"/>
      <c r="T910" s="135"/>
      <c r="U910" s="135"/>
      <c r="V910" s="135"/>
      <c r="W910" s="135"/>
      <c r="X910" s="135"/>
      <c r="Y910" s="135"/>
      <c r="Z910" s="135"/>
      <c r="AA910" s="135"/>
      <c r="AB910" s="135"/>
      <c r="AC910" s="135"/>
      <c r="AD910" s="135"/>
    </row>
    <row r="911" ht="28.5" customHeight="1">
      <c r="A911" s="135"/>
      <c r="B911" s="135"/>
      <c r="C911" s="135"/>
      <c r="D911" s="135"/>
      <c r="E911" s="135"/>
      <c r="F911" s="135"/>
      <c r="G911" s="135"/>
      <c r="H911" s="135"/>
      <c r="I911" s="135"/>
      <c r="J911" s="135"/>
      <c r="K911" s="135"/>
      <c r="L911" s="135"/>
      <c r="M911" s="135"/>
      <c r="N911" s="135"/>
      <c r="O911" s="135"/>
      <c r="P911" s="135"/>
      <c r="Q911" s="135"/>
      <c r="R911" s="135"/>
      <c r="S911" s="135"/>
      <c r="T911" s="135"/>
      <c r="U911" s="135"/>
      <c r="V911" s="135"/>
      <c r="W911" s="135"/>
      <c r="X911" s="135"/>
      <c r="Y911" s="135"/>
      <c r="Z911" s="135"/>
      <c r="AA911" s="135"/>
      <c r="AB911" s="135"/>
      <c r="AC911" s="135"/>
      <c r="AD911" s="135"/>
    </row>
    <row r="912" ht="28.5" customHeight="1">
      <c r="A912" s="135"/>
      <c r="B912" s="135"/>
      <c r="C912" s="135"/>
      <c r="D912" s="135"/>
      <c r="E912" s="135"/>
      <c r="F912" s="135"/>
      <c r="G912" s="135"/>
      <c r="H912" s="135"/>
      <c r="I912" s="135"/>
      <c r="J912" s="135"/>
      <c r="K912" s="135"/>
      <c r="L912" s="135"/>
      <c r="M912" s="135"/>
      <c r="N912" s="135"/>
      <c r="O912" s="135"/>
      <c r="P912" s="135"/>
      <c r="Q912" s="135"/>
      <c r="R912" s="135"/>
      <c r="S912" s="135"/>
      <c r="T912" s="135"/>
      <c r="U912" s="135"/>
      <c r="V912" s="135"/>
      <c r="W912" s="135"/>
      <c r="X912" s="135"/>
      <c r="Y912" s="135"/>
      <c r="Z912" s="135"/>
      <c r="AA912" s="135"/>
      <c r="AB912" s="135"/>
      <c r="AC912" s="135"/>
      <c r="AD912" s="135"/>
    </row>
    <row r="913" ht="28.5" customHeight="1">
      <c r="A913" s="135"/>
      <c r="B913" s="135"/>
      <c r="C913" s="135"/>
      <c r="D913" s="135"/>
      <c r="E913" s="135"/>
      <c r="F913" s="135"/>
      <c r="G913" s="135"/>
      <c r="H913" s="135"/>
      <c r="I913" s="135"/>
      <c r="J913" s="135"/>
      <c r="K913" s="135"/>
      <c r="L913" s="135"/>
      <c r="M913" s="135"/>
      <c r="N913" s="135"/>
      <c r="O913" s="135"/>
      <c r="P913" s="135"/>
      <c r="Q913" s="135"/>
      <c r="R913" s="135"/>
      <c r="S913" s="135"/>
      <c r="T913" s="135"/>
      <c r="U913" s="135"/>
      <c r="V913" s="135"/>
      <c r="W913" s="135"/>
      <c r="X913" s="135"/>
      <c r="Y913" s="135"/>
      <c r="Z913" s="135"/>
      <c r="AA913" s="135"/>
      <c r="AB913" s="135"/>
      <c r="AC913" s="135"/>
      <c r="AD913" s="135"/>
    </row>
    <row r="914" ht="28.5" customHeight="1">
      <c r="A914" s="135"/>
      <c r="B914" s="135"/>
      <c r="C914" s="135"/>
      <c r="D914" s="135"/>
      <c r="E914" s="135"/>
      <c r="F914" s="135"/>
      <c r="G914" s="135"/>
      <c r="H914" s="135"/>
      <c r="I914" s="135"/>
      <c r="J914" s="135"/>
      <c r="K914" s="135"/>
      <c r="L914" s="135"/>
      <c r="M914" s="135"/>
      <c r="N914" s="135"/>
      <c r="O914" s="135"/>
      <c r="P914" s="135"/>
      <c r="Q914" s="135"/>
      <c r="R914" s="135"/>
      <c r="S914" s="135"/>
      <c r="T914" s="135"/>
      <c r="U914" s="135"/>
      <c r="V914" s="135"/>
      <c r="W914" s="135"/>
      <c r="X914" s="135"/>
      <c r="Y914" s="135"/>
      <c r="Z914" s="135"/>
      <c r="AA914" s="135"/>
      <c r="AB914" s="135"/>
      <c r="AC914" s="135"/>
      <c r="AD914" s="135"/>
    </row>
    <row r="915" ht="28.5" customHeight="1">
      <c r="A915" s="135"/>
      <c r="B915" s="135"/>
      <c r="C915" s="135"/>
      <c r="D915" s="135"/>
      <c r="E915" s="135"/>
      <c r="F915" s="135"/>
      <c r="G915" s="135"/>
      <c r="H915" s="135"/>
      <c r="I915" s="135"/>
      <c r="J915" s="135"/>
      <c r="K915" s="135"/>
      <c r="L915" s="135"/>
      <c r="M915" s="135"/>
      <c r="N915" s="135"/>
      <c r="O915" s="135"/>
      <c r="P915" s="135"/>
      <c r="Q915" s="135"/>
      <c r="R915" s="135"/>
      <c r="S915" s="135"/>
      <c r="T915" s="135"/>
      <c r="U915" s="135"/>
      <c r="V915" s="135"/>
      <c r="W915" s="135"/>
      <c r="X915" s="135"/>
      <c r="Y915" s="135"/>
      <c r="Z915" s="135"/>
      <c r="AA915" s="135"/>
      <c r="AB915" s="135"/>
      <c r="AC915" s="135"/>
      <c r="AD915" s="135"/>
    </row>
    <row r="916" ht="28.5" customHeight="1">
      <c r="A916" s="135"/>
      <c r="B916" s="135"/>
      <c r="C916" s="135"/>
      <c r="D916" s="135"/>
      <c r="E916" s="135"/>
      <c r="F916" s="135"/>
      <c r="G916" s="135"/>
      <c r="H916" s="135"/>
      <c r="I916" s="135"/>
      <c r="J916" s="135"/>
      <c r="K916" s="135"/>
      <c r="L916" s="135"/>
      <c r="M916" s="135"/>
      <c r="N916" s="135"/>
      <c r="O916" s="135"/>
      <c r="P916" s="135"/>
      <c r="Q916" s="135"/>
      <c r="R916" s="135"/>
      <c r="S916" s="135"/>
      <c r="T916" s="135"/>
      <c r="U916" s="135"/>
      <c r="V916" s="135"/>
      <c r="W916" s="135"/>
      <c r="X916" s="135"/>
      <c r="Y916" s="135"/>
      <c r="Z916" s="135"/>
      <c r="AA916" s="135"/>
      <c r="AB916" s="135"/>
      <c r="AC916" s="135"/>
      <c r="AD916" s="135"/>
    </row>
    <row r="917" ht="28.5" customHeight="1">
      <c r="A917" s="135"/>
      <c r="B917" s="135"/>
      <c r="C917" s="135"/>
      <c r="D917" s="135"/>
      <c r="E917" s="135"/>
      <c r="F917" s="135"/>
      <c r="G917" s="135"/>
      <c r="H917" s="135"/>
      <c r="I917" s="135"/>
      <c r="J917" s="135"/>
      <c r="K917" s="135"/>
      <c r="L917" s="135"/>
      <c r="M917" s="135"/>
      <c r="N917" s="135"/>
      <c r="O917" s="135"/>
      <c r="P917" s="135"/>
      <c r="Q917" s="135"/>
      <c r="R917" s="135"/>
      <c r="S917" s="135"/>
      <c r="T917" s="135"/>
      <c r="U917" s="135"/>
      <c r="V917" s="135"/>
      <c r="W917" s="135"/>
      <c r="X917" s="135"/>
      <c r="Y917" s="135"/>
      <c r="Z917" s="135"/>
      <c r="AA917" s="135"/>
      <c r="AB917" s="135"/>
      <c r="AC917" s="135"/>
      <c r="AD917" s="135"/>
    </row>
    <row r="918" ht="28.5" customHeight="1">
      <c r="A918" s="135"/>
      <c r="B918" s="135"/>
      <c r="C918" s="135"/>
      <c r="D918" s="135"/>
      <c r="E918" s="135"/>
      <c r="F918" s="135"/>
      <c r="G918" s="135"/>
      <c r="H918" s="135"/>
      <c r="I918" s="135"/>
      <c r="J918" s="135"/>
      <c r="K918" s="135"/>
      <c r="L918" s="135"/>
      <c r="M918" s="135"/>
      <c r="N918" s="135"/>
      <c r="O918" s="135"/>
      <c r="P918" s="135"/>
      <c r="Q918" s="135"/>
      <c r="R918" s="135"/>
      <c r="S918" s="135"/>
      <c r="T918" s="135"/>
      <c r="U918" s="135"/>
      <c r="V918" s="135"/>
      <c r="W918" s="135"/>
      <c r="X918" s="135"/>
      <c r="Y918" s="135"/>
      <c r="Z918" s="135"/>
      <c r="AA918" s="135"/>
      <c r="AB918" s="135"/>
      <c r="AC918" s="135"/>
      <c r="AD918" s="135"/>
    </row>
    <row r="919" ht="28.5" customHeight="1">
      <c r="A919" s="135"/>
      <c r="B919" s="135"/>
      <c r="C919" s="135"/>
      <c r="D919" s="135"/>
      <c r="E919" s="135"/>
      <c r="F919" s="135"/>
      <c r="G919" s="135"/>
      <c r="H919" s="135"/>
      <c r="I919" s="135"/>
      <c r="J919" s="135"/>
      <c r="K919" s="135"/>
      <c r="L919" s="135"/>
      <c r="M919" s="135"/>
      <c r="N919" s="135"/>
      <c r="O919" s="135"/>
      <c r="P919" s="135"/>
      <c r="Q919" s="135"/>
      <c r="R919" s="135"/>
      <c r="S919" s="135"/>
      <c r="T919" s="135"/>
      <c r="U919" s="135"/>
      <c r="V919" s="135"/>
      <c r="W919" s="135"/>
      <c r="X919" s="135"/>
      <c r="Y919" s="135"/>
      <c r="Z919" s="135"/>
      <c r="AA919" s="135"/>
      <c r="AB919" s="135"/>
      <c r="AC919" s="135"/>
      <c r="AD919" s="135"/>
    </row>
    <row r="920" ht="28.5" customHeight="1">
      <c r="A920" s="135"/>
      <c r="B920" s="135"/>
      <c r="C920" s="135"/>
      <c r="D920" s="135"/>
      <c r="E920" s="135"/>
      <c r="F920" s="135"/>
      <c r="G920" s="135"/>
      <c r="H920" s="135"/>
      <c r="I920" s="135"/>
      <c r="J920" s="135"/>
      <c r="K920" s="135"/>
      <c r="L920" s="135"/>
      <c r="M920" s="135"/>
      <c r="N920" s="135"/>
      <c r="O920" s="135"/>
      <c r="P920" s="135"/>
      <c r="Q920" s="135"/>
      <c r="R920" s="135"/>
      <c r="S920" s="135"/>
      <c r="T920" s="135"/>
      <c r="U920" s="135"/>
      <c r="V920" s="135"/>
      <c r="W920" s="135"/>
      <c r="X920" s="135"/>
      <c r="Y920" s="135"/>
      <c r="Z920" s="135"/>
      <c r="AA920" s="135"/>
      <c r="AB920" s="135"/>
      <c r="AC920" s="135"/>
      <c r="AD920" s="135"/>
    </row>
    <row r="921" ht="28.5" customHeight="1">
      <c r="A921" s="135"/>
      <c r="B921" s="135"/>
      <c r="C921" s="135"/>
      <c r="D921" s="135"/>
      <c r="E921" s="135"/>
      <c r="F921" s="135"/>
      <c r="G921" s="135"/>
      <c r="H921" s="135"/>
      <c r="I921" s="135"/>
      <c r="J921" s="135"/>
      <c r="K921" s="135"/>
      <c r="L921" s="135"/>
      <c r="M921" s="135"/>
      <c r="N921" s="135"/>
      <c r="O921" s="135"/>
      <c r="P921" s="135"/>
      <c r="Q921" s="135"/>
      <c r="R921" s="135"/>
      <c r="S921" s="135"/>
      <c r="T921" s="135"/>
      <c r="U921" s="135"/>
      <c r="V921" s="135"/>
      <c r="W921" s="135"/>
      <c r="X921" s="135"/>
      <c r="Y921" s="135"/>
      <c r="Z921" s="135"/>
      <c r="AA921" s="135"/>
      <c r="AB921" s="135"/>
      <c r="AC921" s="135"/>
      <c r="AD921" s="135"/>
    </row>
    <row r="922" ht="28.5" customHeight="1">
      <c r="A922" s="135"/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35"/>
      <c r="Q922" s="135"/>
      <c r="R922" s="135"/>
      <c r="S922" s="135"/>
      <c r="T922" s="135"/>
      <c r="U922" s="135"/>
      <c r="V922" s="135"/>
      <c r="W922" s="135"/>
      <c r="X922" s="135"/>
      <c r="Y922" s="135"/>
      <c r="Z922" s="135"/>
      <c r="AA922" s="135"/>
      <c r="AB922" s="135"/>
      <c r="AC922" s="135"/>
      <c r="AD922" s="135"/>
    </row>
    <row r="923" ht="28.5" customHeight="1">
      <c r="A923" s="135"/>
      <c r="B923" s="135"/>
      <c r="C923" s="135"/>
      <c r="D923" s="135"/>
      <c r="E923" s="135"/>
      <c r="F923" s="135"/>
      <c r="G923" s="135"/>
      <c r="H923" s="135"/>
      <c r="I923" s="135"/>
      <c r="J923" s="135"/>
      <c r="K923" s="135"/>
      <c r="L923" s="135"/>
      <c r="M923" s="135"/>
      <c r="N923" s="135"/>
      <c r="O923" s="135"/>
      <c r="P923" s="135"/>
      <c r="Q923" s="135"/>
      <c r="R923" s="135"/>
      <c r="S923" s="135"/>
      <c r="T923" s="135"/>
      <c r="U923" s="135"/>
      <c r="V923" s="135"/>
      <c r="W923" s="135"/>
      <c r="X923" s="135"/>
      <c r="Y923" s="135"/>
      <c r="Z923" s="135"/>
      <c r="AA923" s="135"/>
      <c r="AB923" s="135"/>
      <c r="AC923" s="135"/>
      <c r="AD923" s="135"/>
    </row>
    <row r="924" ht="28.5" customHeight="1">
      <c r="A924" s="135"/>
      <c r="B924" s="135"/>
      <c r="C924" s="135"/>
      <c r="D924" s="135"/>
      <c r="E924" s="135"/>
      <c r="F924" s="135"/>
      <c r="G924" s="135"/>
      <c r="H924" s="135"/>
      <c r="I924" s="135"/>
      <c r="J924" s="135"/>
      <c r="K924" s="135"/>
      <c r="L924" s="135"/>
      <c r="M924" s="135"/>
      <c r="N924" s="135"/>
      <c r="O924" s="135"/>
      <c r="P924" s="135"/>
      <c r="Q924" s="135"/>
      <c r="R924" s="135"/>
      <c r="S924" s="135"/>
      <c r="T924" s="135"/>
      <c r="U924" s="135"/>
      <c r="V924" s="135"/>
      <c r="W924" s="135"/>
      <c r="X924" s="135"/>
      <c r="Y924" s="135"/>
      <c r="Z924" s="135"/>
      <c r="AA924" s="135"/>
      <c r="AB924" s="135"/>
      <c r="AC924" s="135"/>
      <c r="AD924" s="135"/>
    </row>
    <row r="925" ht="28.5" customHeight="1">
      <c r="A925" s="135"/>
      <c r="B925" s="135"/>
      <c r="C925" s="135"/>
      <c r="D925" s="135"/>
      <c r="E925" s="135"/>
      <c r="F925" s="135"/>
      <c r="G925" s="135"/>
      <c r="H925" s="135"/>
      <c r="I925" s="135"/>
      <c r="J925" s="135"/>
      <c r="K925" s="135"/>
      <c r="L925" s="135"/>
      <c r="M925" s="135"/>
      <c r="N925" s="135"/>
      <c r="O925" s="135"/>
      <c r="P925" s="135"/>
      <c r="Q925" s="135"/>
      <c r="R925" s="135"/>
      <c r="S925" s="135"/>
      <c r="T925" s="135"/>
      <c r="U925" s="135"/>
      <c r="V925" s="135"/>
      <c r="W925" s="135"/>
      <c r="X925" s="135"/>
      <c r="Y925" s="135"/>
      <c r="Z925" s="135"/>
      <c r="AA925" s="135"/>
      <c r="AB925" s="135"/>
      <c r="AC925" s="135"/>
      <c r="AD925" s="135"/>
    </row>
    <row r="926" ht="28.5" customHeight="1">
      <c r="A926" s="135"/>
      <c r="B926" s="135"/>
      <c r="C926" s="135"/>
      <c r="D926" s="135"/>
      <c r="E926" s="135"/>
      <c r="F926" s="135"/>
      <c r="G926" s="135"/>
      <c r="H926" s="135"/>
      <c r="I926" s="135"/>
      <c r="J926" s="135"/>
      <c r="K926" s="135"/>
      <c r="L926" s="135"/>
      <c r="M926" s="135"/>
      <c r="N926" s="135"/>
      <c r="O926" s="135"/>
      <c r="P926" s="135"/>
      <c r="Q926" s="135"/>
      <c r="R926" s="135"/>
      <c r="S926" s="135"/>
      <c r="T926" s="135"/>
      <c r="U926" s="135"/>
      <c r="V926" s="135"/>
      <c r="W926" s="135"/>
      <c r="X926" s="135"/>
      <c r="Y926" s="135"/>
      <c r="Z926" s="135"/>
      <c r="AA926" s="135"/>
      <c r="AB926" s="135"/>
      <c r="AC926" s="135"/>
      <c r="AD926" s="135"/>
    </row>
    <row r="927" ht="28.5" customHeight="1">
      <c r="A927" s="135"/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35"/>
      <c r="Q927" s="135"/>
      <c r="R927" s="135"/>
      <c r="S927" s="135"/>
      <c r="T927" s="135"/>
      <c r="U927" s="135"/>
      <c r="V927" s="135"/>
      <c r="W927" s="135"/>
      <c r="X927" s="135"/>
      <c r="Y927" s="135"/>
      <c r="Z927" s="135"/>
      <c r="AA927" s="135"/>
      <c r="AB927" s="135"/>
      <c r="AC927" s="135"/>
      <c r="AD927" s="135"/>
    </row>
    <row r="928" ht="28.5" customHeight="1">
      <c r="A928" s="135"/>
      <c r="B928" s="135"/>
      <c r="C928" s="135"/>
      <c r="D928" s="135"/>
      <c r="E928" s="135"/>
      <c r="F928" s="135"/>
      <c r="G928" s="135"/>
      <c r="H928" s="135"/>
      <c r="I928" s="135"/>
      <c r="J928" s="135"/>
      <c r="K928" s="135"/>
      <c r="L928" s="135"/>
      <c r="M928" s="135"/>
      <c r="N928" s="135"/>
      <c r="O928" s="135"/>
      <c r="P928" s="135"/>
      <c r="Q928" s="135"/>
      <c r="R928" s="135"/>
      <c r="S928" s="135"/>
      <c r="T928" s="135"/>
      <c r="U928" s="135"/>
      <c r="V928" s="135"/>
      <c r="W928" s="135"/>
      <c r="X928" s="135"/>
      <c r="Y928" s="135"/>
      <c r="Z928" s="135"/>
      <c r="AA928" s="135"/>
      <c r="AB928" s="135"/>
      <c r="AC928" s="135"/>
      <c r="AD928" s="135"/>
    </row>
    <row r="929" ht="28.5" customHeight="1">
      <c r="A929" s="135"/>
      <c r="B929" s="135"/>
      <c r="C929" s="135"/>
      <c r="D929" s="135"/>
      <c r="E929" s="135"/>
      <c r="F929" s="135"/>
      <c r="G929" s="135"/>
      <c r="H929" s="135"/>
      <c r="I929" s="135"/>
      <c r="J929" s="135"/>
      <c r="K929" s="135"/>
      <c r="L929" s="135"/>
      <c r="M929" s="135"/>
      <c r="N929" s="135"/>
      <c r="O929" s="135"/>
      <c r="P929" s="135"/>
      <c r="Q929" s="135"/>
      <c r="R929" s="135"/>
      <c r="S929" s="135"/>
      <c r="T929" s="135"/>
      <c r="U929" s="135"/>
      <c r="V929" s="135"/>
      <c r="W929" s="135"/>
      <c r="X929" s="135"/>
      <c r="Y929" s="135"/>
      <c r="Z929" s="135"/>
      <c r="AA929" s="135"/>
      <c r="AB929" s="135"/>
      <c r="AC929" s="135"/>
      <c r="AD929" s="135"/>
    </row>
    <row r="930" ht="28.5" customHeight="1">
      <c r="A930" s="135"/>
      <c r="B930" s="135"/>
      <c r="C930" s="135"/>
      <c r="D930" s="135"/>
      <c r="E930" s="135"/>
      <c r="F930" s="135"/>
      <c r="G930" s="135"/>
      <c r="H930" s="135"/>
      <c r="I930" s="135"/>
      <c r="J930" s="135"/>
      <c r="K930" s="135"/>
      <c r="L930" s="135"/>
      <c r="M930" s="135"/>
      <c r="N930" s="135"/>
      <c r="O930" s="135"/>
      <c r="P930" s="135"/>
      <c r="Q930" s="135"/>
      <c r="R930" s="135"/>
      <c r="S930" s="135"/>
      <c r="T930" s="135"/>
      <c r="U930" s="135"/>
      <c r="V930" s="135"/>
      <c r="W930" s="135"/>
      <c r="X930" s="135"/>
      <c r="Y930" s="135"/>
      <c r="Z930" s="135"/>
      <c r="AA930" s="135"/>
      <c r="AB930" s="135"/>
      <c r="AC930" s="135"/>
      <c r="AD930" s="135"/>
    </row>
    <row r="931" ht="28.5" customHeight="1">
      <c r="A931" s="135"/>
      <c r="B931" s="135"/>
      <c r="C931" s="135"/>
      <c r="D931" s="135"/>
      <c r="E931" s="135"/>
      <c r="F931" s="135"/>
      <c r="G931" s="135"/>
      <c r="H931" s="135"/>
      <c r="I931" s="135"/>
      <c r="J931" s="135"/>
      <c r="K931" s="135"/>
      <c r="L931" s="135"/>
      <c r="M931" s="135"/>
      <c r="N931" s="135"/>
      <c r="O931" s="135"/>
      <c r="P931" s="135"/>
      <c r="Q931" s="135"/>
      <c r="R931" s="135"/>
      <c r="S931" s="135"/>
      <c r="T931" s="135"/>
      <c r="U931" s="135"/>
      <c r="V931" s="135"/>
      <c r="W931" s="135"/>
      <c r="X931" s="135"/>
      <c r="Y931" s="135"/>
      <c r="Z931" s="135"/>
      <c r="AA931" s="135"/>
      <c r="AB931" s="135"/>
      <c r="AC931" s="135"/>
      <c r="AD931" s="135"/>
    </row>
    <row r="932" ht="28.5" customHeight="1">
      <c r="A932" s="135"/>
      <c r="B932" s="135"/>
      <c r="C932" s="135"/>
      <c r="D932" s="135"/>
      <c r="E932" s="135"/>
      <c r="F932" s="135"/>
      <c r="G932" s="135"/>
      <c r="H932" s="135"/>
      <c r="I932" s="135"/>
      <c r="J932" s="135"/>
      <c r="K932" s="135"/>
      <c r="L932" s="135"/>
      <c r="M932" s="135"/>
      <c r="N932" s="135"/>
      <c r="O932" s="135"/>
      <c r="P932" s="135"/>
      <c r="Q932" s="135"/>
      <c r="R932" s="135"/>
      <c r="S932" s="135"/>
      <c r="T932" s="135"/>
      <c r="U932" s="135"/>
      <c r="V932" s="135"/>
      <c r="W932" s="135"/>
      <c r="X932" s="135"/>
      <c r="Y932" s="135"/>
      <c r="Z932" s="135"/>
      <c r="AA932" s="135"/>
      <c r="AB932" s="135"/>
      <c r="AC932" s="135"/>
      <c r="AD932" s="135"/>
    </row>
    <row r="933" ht="28.5" customHeight="1">
      <c r="A933" s="135"/>
      <c r="B933" s="135"/>
      <c r="C933" s="135"/>
      <c r="D933" s="135"/>
      <c r="E933" s="135"/>
      <c r="F933" s="135"/>
      <c r="G933" s="135"/>
      <c r="H933" s="135"/>
      <c r="I933" s="135"/>
      <c r="J933" s="135"/>
      <c r="K933" s="135"/>
      <c r="L933" s="135"/>
      <c r="M933" s="135"/>
      <c r="N933" s="135"/>
      <c r="O933" s="135"/>
      <c r="P933" s="135"/>
      <c r="Q933" s="135"/>
      <c r="R933" s="135"/>
      <c r="S933" s="135"/>
      <c r="T933" s="135"/>
      <c r="U933" s="135"/>
      <c r="V933" s="135"/>
      <c r="W933" s="135"/>
      <c r="X933" s="135"/>
      <c r="Y933" s="135"/>
      <c r="Z933" s="135"/>
      <c r="AA933" s="135"/>
      <c r="AB933" s="135"/>
      <c r="AC933" s="135"/>
      <c r="AD933" s="135"/>
    </row>
    <row r="934" ht="28.5" customHeight="1">
      <c r="A934" s="135"/>
      <c r="B934" s="135"/>
      <c r="C934" s="135"/>
      <c r="D934" s="135"/>
      <c r="E934" s="135"/>
      <c r="F934" s="135"/>
      <c r="G934" s="135"/>
      <c r="H934" s="135"/>
      <c r="I934" s="135"/>
      <c r="J934" s="135"/>
      <c r="K934" s="135"/>
      <c r="L934" s="135"/>
      <c r="M934" s="135"/>
      <c r="N934" s="135"/>
      <c r="O934" s="135"/>
      <c r="P934" s="135"/>
      <c r="Q934" s="135"/>
      <c r="R934" s="135"/>
      <c r="S934" s="135"/>
      <c r="T934" s="135"/>
      <c r="U934" s="135"/>
      <c r="V934" s="135"/>
      <c r="W934" s="135"/>
      <c r="X934" s="135"/>
      <c r="Y934" s="135"/>
      <c r="Z934" s="135"/>
      <c r="AA934" s="135"/>
      <c r="AB934" s="135"/>
      <c r="AC934" s="135"/>
      <c r="AD934" s="135"/>
    </row>
    <row r="935" ht="28.5" customHeight="1">
      <c r="A935" s="135"/>
      <c r="B935" s="135"/>
      <c r="C935" s="135"/>
      <c r="D935" s="135"/>
      <c r="E935" s="135"/>
      <c r="F935" s="135"/>
      <c r="G935" s="135"/>
      <c r="H935" s="135"/>
      <c r="I935" s="135"/>
      <c r="J935" s="135"/>
      <c r="K935" s="135"/>
      <c r="L935" s="135"/>
      <c r="M935" s="135"/>
      <c r="N935" s="135"/>
      <c r="O935" s="135"/>
      <c r="P935" s="135"/>
      <c r="Q935" s="135"/>
      <c r="R935" s="135"/>
      <c r="S935" s="135"/>
      <c r="T935" s="135"/>
      <c r="U935" s="135"/>
      <c r="V935" s="135"/>
      <c r="W935" s="135"/>
      <c r="X935" s="135"/>
      <c r="Y935" s="135"/>
      <c r="Z935" s="135"/>
      <c r="AA935" s="135"/>
      <c r="AB935" s="135"/>
      <c r="AC935" s="135"/>
      <c r="AD935" s="135"/>
    </row>
    <row r="936" ht="28.5" customHeight="1">
      <c r="A936" s="135"/>
      <c r="B936" s="135"/>
      <c r="C936" s="135"/>
      <c r="D936" s="135"/>
      <c r="E936" s="135"/>
      <c r="F936" s="135"/>
      <c r="G936" s="135"/>
      <c r="H936" s="135"/>
      <c r="I936" s="135"/>
      <c r="J936" s="135"/>
      <c r="K936" s="135"/>
      <c r="L936" s="135"/>
      <c r="M936" s="135"/>
      <c r="N936" s="135"/>
      <c r="O936" s="135"/>
      <c r="P936" s="135"/>
      <c r="Q936" s="135"/>
      <c r="R936" s="135"/>
      <c r="S936" s="135"/>
      <c r="T936" s="135"/>
      <c r="U936" s="135"/>
      <c r="V936" s="135"/>
      <c r="W936" s="135"/>
      <c r="X936" s="135"/>
      <c r="Y936" s="135"/>
      <c r="Z936" s="135"/>
      <c r="AA936" s="135"/>
      <c r="AB936" s="135"/>
      <c r="AC936" s="135"/>
      <c r="AD936" s="135"/>
    </row>
    <row r="937" ht="28.5" customHeight="1">
      <c r="A937" s="135"/>
      <c r="B937" s="135"/>
      <c r="C937" s="135"/>
      <c r="D937" s="135"/>
      <c r="E937" s="135"/>
      <c r="F937" s="135"/>
      <c r="G937" s="135"/>
      <c r="H937" s="135"/>
      <c r="I937" s="135"/>
      <c r="J937" s="135"/>
      <c r="K937" s="135"/>
      <c r="L937" s="135"/>
      <c r="M937" s="135"/>
      <c r="N937" s="135"/>
      <c r="O937" s="135"/>
      <c r="P937" s="135"/>
      <c r="Q937" s="135"/>
      <c r="R937" s="135"/>
      <c r="S937" s="135"/>
      <c r="T937" s="135"/>
      <c r="U937" s="135"/>
      <c r="V937" s="135"/>
      <c r="W937" s="135"/>
      <c r="X937" s="135"/>
      <c r="Y937" s="135"/>
      <c r="Z937" s="135"/>
      <c r="AA937" s="135"/>
      <c r="AB937" s="135"/>
      <c r="AC937" s="135"/>
      <c r="AD937" s="135"/>
    </row>
    <row r="938" ht="28.5" customHeight="1">
      <c r="A938" s="135"/>
      <c r="B938" s="135"/>
      <c r="C938" s="135"/>
      <c r="D938" s="135"/>
      <c r="E938" s="135"/>
      <c r="F938" s="135"/>
      <c r="G938" s="135"/>
      <c r="H938" s="135"/>
      <c r="I938" s="135"/>
      <c r="J938" s="135"/>
      <c r="K938" s="135"/>
      <c r="L938" s="135"/>
      <c r="M938" s="135"/>
      <c r="N938" s="135"/>
      <c r="O938" s="135"/>
      <c r="P938" s="135"/>
      <c r="Q938" s="135"/>
      <c r="R938" s="135"/>
      <c r="S938" s="135"/>
      <c r="T938" s="135"/>
      <c r="U938" s="135"/>
      <c r="V938" s="135"/>
      <c r="W938" s="135"/>
      <c r="X938" s="135"/>
      <c r="Y938" s="135"/>
      <c r="Z938" s="135"/>
      <c r="AA938" s="135"/>
      <c r="AB938" s="135"/>
      <c r="AC938" s="135"/>
      <c r="AD938" s="135"/>
    </row>
    <row r="939" ht="28.5" customHeight="1">
      <c r="A939" s="135"/>
      <c r="B939" s="135"/>
      <c r="C939" s="135"/>
      <c r="D939" s="135"/>
      <c r="E939" s="135"/>
      <c r="F939" s="135"/>
      <c r="G939" s="135"/>
      <c r="H939" s="135"/>
      <c r="I939" s="135"/>
      <c r="J939" s="135"/>
      <c r="K939" s="135"/>
      <c r="L939" s="135"/>
      <c r="M939" s="135"/>
      <c r="N939" s="135"/>
      <c r="O939" s="135"/>
      <c r="P939" s="135"/>
      <c r="Q939" s="135"/>
      <c r="R939" s="135"/>
      <c r="S939" s="135"/>
      <c r="T939" s="135"/>
      <c r="U939" s="135"/>
      <c r="V939" s="135"/>
      <c r="W939" s="135"/>
      <c r="X939" s="135"/>
      <c r="Y939" s="135"/>
      <c r="Z939" s="135"/>
      <c r="AA939" s="135"/>
      <c r="AB939" s="135"/>
      <c r="AC939" s="135"/>
      <c r="AD939" s="135"/>
    </row>
    <row r="940" ht="28.5" customHeight="1">
      <c r="A940" s="135"/>
      <c r="B940" s="135"/>
      <c r="C940" s="135"/>
      <c r="D940" s="135"/>
      <c r="E940" s="135"/>
      <c r="F940" s="135"/>
      <c r="G940" s="135"/>
      <c r="H940" s="135"/>
      <c r="I940" s="135"/>
      <c r="J940" s="135"/>
      <c r="K940" s="135"/>
      <c r="L940" s="135"/>
      <c r="M940" s="135"/>
      <c r="N940" s="135"/>
      <c r="O940" s="135"/>
      <c r="P940" s="135"/>
      <c r="Q940" s="135"/>
      <c r="R940" s="135"/>
      <c r="S940" s="135"/>
      <c r="T940" s="135"/>
      <c r="U940" s="135"/>
      <c r="V940" s="135"/>
      <c r="W940" s="135"/>
      <c r="X940" s="135"/>
      <c r="Y940" s="135"/>
      <c r="Z940" s="135"/>
      <c r="AA940" s="135"/>
      <c r="AB940" s="135"/>
      <c r="AC940" s="135"/>
      <c r="AD940" s="135"/>
    </row>
    <row r="941" ht="28.5" customHeight="1">
      <c r="A941" s="135"/>
      <c r="B941" s="135"/>
      <c r="C941" s="135"/>
      <c r="D941" s="135"/>
      <c r="E941" s="135"/>
      <c r="F941" s="135"/>
      <c r="G941" s="135"/>
      <c r="H941" s="135"/>
      <c r="I941" s="135"/>
      <c r="J941" s="135"/>
      <c r="K941" s="135"/>
      <c r="L941" s="135"/>
      <c r="M941" s="135"/>
      <c r="N941" s="135"/>
      <c r="O941" s="135"/>
      <c r="P941" s="135"/>
      <c r="Q941" s="135"/>
      <c r="R941" s="135"/>
      <c r="S941" s="135"/>
      <c r="T941" s="135"/>
      <c r="U941" s="135"/>
      <c r="V941" s="135"/>
      <c r="W941" s="135"/>
      <c r="X941" s="135"/>
      <c r="Y941" s="135"/>
      <c r="Z941" s="135"/>
      <c r="AA941" s="135"/>
      <c r="AB941" s="135"/>
      <c r="AC941" s="135"/>
      <c r="AD941" s="135"/>
    </row>
    <row r="942" ht="28.5" customHeight="1">
      <c r="A942" s="135"/>
      <c r="B942" s="135"/>
      <c r="C942" s="135"/>
      <c r="D942" s="135"/>
      <c r="E942" s="135"/>
      <c r="F942" s="135"/>
      <c r="G942" s="135"/>
      <c r="H942" s="135"/>
      <c r="I942" s="135"/>
      <c r="J942" s="135"/>
      <c r="K942" s="135"/>
      <c r="L942" s="135"/>
      <c r="M942" s="135"/>
      <c r="N942" s="135"/>
      <c r="O942" s="135"/>
      <c r="P942" s="135"/>
      <c r="Q942" s="135"/>
      <c r="R942" s="135"/>
      <c r="S942" s="135"/>
      <c r="T942" s="135"/>
      <c r="U942" s="135"/>
      <c r="V942" s="135"/>
      <c r="W942" s="135"/>
      <c r="X942" s="135"/>
      <c r="Y942" s="135"/>
      <c r="Z942" s="135"/>
      <c r="AA942" s="135"/>
      <c r="AB942" s="135"/>
      <c r="AC942" s="135"/>
      <c r="AD942" s="135"/>
    </row>
    <row r="943" ht="28.5" customHeight="1">
      <c r="A943" s="135"/>
      <c r="B943" s="135"/>
      <c r="C943" s="135"/>
      <c r="D943" s="135"/>
      <c r="E943" s="135"/>
      <c r="F943" s="135"/>
      <c r="G943" s="135"/>
      <c r="H943" s="135"/>
      <c r="I943" s="135"/>
      <c r="J943" s="135"/>
      <c r="K943" s="135"/>
      <c r="L943" s="135"/>
      <c r="M943" s="135"/>
      <c r="N943" s="135"/>
      <c r="O943" s="135"/>
      <c r="P943" s="135"/>
      <c r="Q943" s="135"/>
      <c r="R943" s="135"/>
      <c r="S943" s="135"/>
      <c r="T943" s="135"/>
      <c r="U943" s="135"/>
      <c r="V943" s="135"/>
      <c r="W943" s="135"/>
      <c r="X943" s="135"/>
      <c r="Y943" s="135"/>
      <c r="Z943" s="135"/>
      <c r="AA943" s="135"/>
      <c r="AB943" s="135"/>
      <c r="AC943" s="135"/>
      <c r="AD943" s="135"/>
    </row>
    <row r="944" ht="28.5" customHeight="1">
      <c r="A944" s="135"/>
      <c r="B944" s="135"/>
      <c r="C944" s="135"/>
      <c r="D944" s="135"/>
      <c r="E944" s="135"/>
      <c r="F944" s="135"/>
      <c r="G944" s="135"/>
      <c r="H944" s="135"/>
      <c r="I944" s="135"/>
      <c r="J944" s="135"/>
      <c r="K944" s="135"/>
      <c r="L944" s="135"/>
      <c r="M944" s="135"/>
      <c r="N944" s="135"/>
      <c r="O944" s="135"/>
      <c r="P944" s="135"/>
      <c r="Q944" s="135"/>
      <c r="R944" s="135"/>
      <c r="S944" s="135"/>
      <c r="T944" s="135"/>
      <c r="U944" s="135"/>
      <c r="V944" s="135"/>
      <c r="W944" s="135"/>
      <c r="X944" s="135"/>
      <c r="Y944" s="135"/>
      <c r="Z944" s="135"/>
      <c r="AA944" s="135"/>
      <c r="AB944" s="135"/>
      <c r="AC944" s="135"/>
      <c r="AD944" s="135"/>
    </row>
    <row r="945" ht="28.5" customHeight="1">
      <c r="A945" s="135"/>
      <c r="B945" s="135"/>
      <c r="C945" s="135"/>
      <c r="D945" s="135"/>
      <c r="E945" s="135"/>
      <c r="F945" s="135"/>
      <c r="G945" s="135"/>
      <c r="H945" s="135"/>
      <c r="I945" s="135"/>
      <c r="J945" s="135"/>
      <c r="K945" s="135"/>
      <c r="L945" s="135"/>
      <c r="M945" s="135"/>
      <c r="N945" s="135"/>
      <c r="O945" s="135"/>
      <c r="P945" s="135"/>
      <c r="Q945" s="135"/>
      <c r="R945" s="135"/>
      <c r="S945" s="135"/>
      <c r="T945" s="135"/>
      <c r="U945" s="135"/>
      <c r="V945" s="135"/>
      <c r="W945" s="135"/>
      <c r="X945" s="135"/>
      <c r="Y945" s="135"/>
      <c r="Z945" s="135"/>
      <c r="AA945" s="135"/>
      <c r="AB945" s="135"/>
      <c r="AC945" s="135"/>
      <c r="AD945" s="135"/>
    </row>
    <row r="946" ht="28.5" customHeight="1">
      <c r="A946" s="135"/>
      <c r="B946" s="135"/>
      <c r="C946" s="135"/>
      <c r="D946" s="135"/>
      <c r="E946" s="135"/>
      <c r="F946" s="135"/>
      <c r="G946" s="135"/>
      <c r="H946" s="135"/>
      <c r="I946" s="135"/>
      <c r="J946" s="135"/>
      <c r="K946" s="135"/>
      <c r="L946" s="135"/>
      <c r="M946" s="135"/>
      <c r="N946" s="135"/>
      <c r="O946" s="135"/>
      <c r="P946" s="135"/>
      <c r="Q946" s="135"/>
      <c r="R946" s="135"/>
      <c r="S946" s="135"/>
      <c r="T946" s="135"/>
      <c r="U946" s="135"/>
      <c r="V946" s="135"/>
      <c r="W946" s="135"/>
      <c r="X946" s="135"/>
      <c r="Y946" s="135"/>
      <c r="Z946" s="135"/>
      <c r="AA946" s="135"/>
      <c r="AB946" s="135"/>
      <c r="AC946" s="135"/>
      <c r="AD946" s="135"/>
    </row>
    <row r="947" ht="28.5" customHeight="1">
      <c r="A947" s="135"/>
      <c r="B947" s="135"/>
      <c r="C947" s="135"/>
      <c r="D947" s="135"/>
      <c r="E947" s="135"/>
      <c r="F947" s="135"/>
      <c r="G947" s="135"/>
      <c r="H947" s="135"/>
      <c r="I947" s="135"/>
      <c r="J947" s="135"/>
      <c r="K947" s="135"/>
      <c r="L947" s="135"/>
      <c r="M947" s="135"/>
      <c r="N947" s="135"/>
      <c r="O947" s="135"/>
      <c r="P947" s="135"/>
      <c r="Q947" s="135"/>
      <c r="R947" s="135"/>
      <c r="S947" s="135"/>
      <c r="T947" s="135"/>
      <c r="U947" s="135"/>
      <c r="V947" s="135"/>
      <c r="W947" s="135"/>
      <c r="X947" s="135"/>
      <c r="Y947" s="135"/>
      <c r="Z947" s="135"/>
      <c r="AA947" s="135"/>
      <c r="AB947" s="135"/>
      <c r="AC947" s="135"/>
      <c r="AD947" s="135"/>
    </row>
    <row r="948" ht="28.5" customHeight="1">
      <c r="A948" s="135"/>
      <c r="B948" s="135"/>
      <c r="C948" s="135"/>
      <c r="D948" s="135"/>
      <c r="E948" s="135"/>
      <c r="F948" s="135"/>
      <c r="G948" s="135"/>
      <c r="H948" s="135"/>
      <c r="I948" s="135"/>
      <c r="J948" s="135"/>
      <c r="K948" s="135"/>
      <c r="L948" s="135"/>
      <c r="M948" s="135"/>
      <c r="N948" s="135"/>
      <c r="O948" s="135"/>
      <c r="P948" s="135"/>
      <c r="Q948" s="135"/>
      <c r="R948" s="135"/>
      <c r="S948" s="135"/>
      <c r="T948" s="135"/>
      <c r="U948" s="135"/>
      <c r="V948" s="135"/>
      <c r="W948" s="135"/>
      <c r="X948" s="135"/>
      <c r="Y948" s="135"/>
      <c r="Z948" s="135"/>
      <c r="AA948" s="135"/>
      <c r="AB948" s="135"/>
      <c r="AC948" s="135"/>
      <c r="AD948" s="135"/>
    </row>
    <row r="949" ht="28.5" customHeight="1">
      <c r="A949" s="135"/>
      <c r="B949" s="135"/>
      <c r="C949" s="135"/>
      <c r="D949" s="135"/>
      <c r="E949" s="135"/>
      <c r="F949" s="135"/>
      <c r="G949" s="135"/>
      <c r="H949" s="135"/>
      <c r="I949" s="135"/>
      <c r="J949" s="135"/>
      <c r="K949" s="135"/>
      <c r="L949" s="135"/>
      <c r="M949" s="135"/>
      <c r="N949" s="135"/>
      <c r="O949" s="135"/>
      <c r="P949" s="135"/>
      <c r="Q949" s="135"/>
      <c r="R949" s="135"/>
      <c r="S949" s="135"/>
      <c r="T949" s="135"/>
      <c r="U949" s="135"/>
      <c r="V949" s="135"/>
      <c r="W949" s="135"/>
      <c r="X949" s="135"/>
      <c r="Y949" s="135"/>
      <c r="Z949" s="135"/>
      <c r="AA949" s="135"/>
      <c r="AB949" s="135"/>
      <c r="AC949" s="135"/>
      <c r="AD949" s="135"/>
    </row>
    <row r="950" ht="28.5" customHeight="1">
      <c r="A950" s="135"/>
      <c r="B950" s="135"/>
      <c r="C950" s="135"/>
      <c r="D950" s="135"/>
      <c r="E950" s="135"/>
      <c r="F950" s="135"/>
      <c r="G950" s="135"/>
      <c r="H950" s="135"/>
      <c r="I950" s="135"/>
      <c r="J950" s="135"/>
      <c r="K950" s="135"/>
      <c r="L950" s="135"/>
      <c r="M950" s="135"/>
      <c r="N950" s="135"/>
      <c r="O950" s="135"/>
      <c r="P950" s="135"/>
      <c r="Q950" s="135"/>
      <c r="R950" s="135"/>
      <c r="S950" s="135"/>
      <c r="T950" s="135"/>
      <c r="U950" s="135"/>
      <c r="V950" s="135"/>
      <c r="W950" s="135"/>
      <c r="X950" s="135"/>
      <c r="Y950" s="135"/>
      <c r="Z950" s="135"/>
      <c r="AA950" s="135"/>
      <c r="AB950" s="135"/>
      <c r="AC950" s="135"/>
      <c r="AD950" s="135"/>
    </row>
    <row r="951" ht="28.5" customHeight="1">
      <c r="A951" s="135"/>
      <c r="B951" s="135"/>
      <c r="C951" s="135"/>
      <c r="D951" s="135"/>
      <c r="E951" s="135"/>
      <c r="F951" s="135"/>
      <c r="G951" s="135"/>
      <c r="H951" s="135"/>
      <c r="I951" s="135"/>
      <c r="J951" s="135"/>
      <c r="K951" s="135"/>
      <c r="L951" s="135"/>
      <c r="M951" s="135"/>
      <c r="N951" s="135"/>
      <c r="O951" s="135"/>
      <c r="P951" s="135"/>
      <c r="Q951" s="135"/>
      <c r="R951" s="135"/>
      <c r="S951" s="135"/>
      <c r="T951" s="135"/>
      <c r="U951" s="135"/>
      <c r="V951" s="135"/>
      <c r="W951" s="135"/>
      <c r="X951" s="135"/>
      <c r="Y951" s="135"/>
      <c r="Z951" s="135"/>
      <c r="AA951" s="135"/>
      <c r="AB951" s="135"/>
      <c r="AC951" s="135"/>
      <c r="AD951" s="135"/>
    </row>
    <row r="952" ht="28.5" customHeight="1">
      <c r="A952" s="135"/>
      <c r="B952" s="135"/>
      <c r="C952" s="135"/>
      <c r="D952" s="135"/>
      <c r="E952" s="135"/>
      <c r="F952" s="135"/>
      <c r="G952" s="135"/>
      <c r="H952" s="135"/>
      <c r="I952" s="135"/>
      <c r="J952" s="135"/>
      <c r="K952" s="135"/>
      <c r="L952" s="135"/>
      <c r="M952" s="135"/>
      <c r="N952" s="135"/>
      <c r="O952" s="135"/>
      <c r="P952" s="135"/>
      <c r="Q952" s="135"/>
      <c r="R952" s="135"/>
      <c r="S952" s="135"/>
      <c r="T952" s="135"/>
      <c r="U952" s="135"/>
      <c r="V952" s="135"/>
      <c r="W952" s="135"/>
      <c r="X952" s="135"/>
      <c r="Y952" s="135"/>
      <c r="Z952" s="135"/>
      <c r="AA952" s="135"/>
      <c r="AB952" s="135"/>
      <c r="AC952" s="135"/>
      <c r="AD952" s="135"/>
    </row>
    <row r="953" ht="28.5" customHeight="1">
      <c r="A953" s="135"/>
      <c r="B953" s="135"/>
      <c r="C953" s="135"/>
      <c r="D953" s="135"/>
      <c r="E953" s="135"/>
      <c r="F953" s="135"/>
      <c r="G953" s="135"/>
      <c r="H953" s="135"/>
      <c r="I953" s="135"/>
      <c r="J953" s="135"/>
      <c r="K953" s="135"/>
      <c r="L953" s="135"/>
      <c r="M953" s="135"/>
      <c r="N953" s="135"/>
      <c r="O953" s="135"/>
      <c r="P953" s="135"/>
      <c r="Q953" s="135"/>
      <c r="R953" s="135"/>
      <c r="S953" s="135"/>
      <c r="T953" s="135"/>
      <c r="U953" s="135"/>
      <c r="V953" s="135"/>
      <c r="W953" s="135"/>
      <c r="X953" s="135"/>
      <c r="Y953" s="135"/>
      <c r="Z953" s="135"/>
      <c r="AA953" s="135"/>
      <c r="AB953" s="135"/>
      <c r="AC953" s="135"/>
      <c r="AD953" s="135"/>
    </row>
    <row r="954" ht="28.5" customHeight="1">
      <c r="A954" s="135"/>
      <c r="B954" s="135"/>
      <c r="C954" s="135"/>
      <c r="D954" s="135"/>
      <c r="E954" s="135"/>
      <c r="F954" s="135"/>
      <c r="G954" s="135"/>
      <c r="H954" s="135"/>
      <c r="I954" s="135"/>
      <c r="J954" s="135"/>
      <c r="K954" s="135"/>
      <c r="L954" s="135"/>
      <c r="M954" s="135"/>
      <c r="N954" s="135"/>
      <c r="O954" s="135"/>
      <c r="P954" s="135"/>
      <c r="Q954" s="135"/>
      <c r="R954" s="135"/>
      <c r="S954" s="135"/>
      <c r="T954" s="135"/>
      <c r="U954" s="135"/>
      <c r="V954" s="135"/>
      <c r="W954" s="135"/>
      <c r="X954" s="135"/>
      <c r="Y954" s="135"/>
      <c r="Z954" s="135"/>
      <c r="AA954" s="135"/>
      <c r="AB954" s="135"/>
      <c r="AC954" s="135"/>
      <c r="AD954" s="135"/>
    </row>
    <row r="955" ht="28.5" customHeight="1">
      <c r="A955" s="135"/>
      <c r="B955" s="135"/>
      <c r="C955" s="135"/>
      <c r="D955" s="135"/>
      <c r="E955" s="135"/>
      <c r="F955" s="135"/>
      <c r="G955" s="135"/>
      <c r="H955" s="135"/>
      <c r="I955" s="135"/>
      <c r="J955" s="135"/>
      <c r="K955" s="135"/>
      <c r="L955" s="135"/>
      <c r="M955" s="135"/>
      <c r="N955" s="135"/>
      <c r="O955" s="135"/>
      <c r="P955" s="135"/>
      <c r="Q955" s="135"/>
      <c r="R955" s="135"/>
      <c r="S955" s="135"/>
      <c r="T955" s="135"/>
      <c r="U955" s="135"/>
      <c r="V955" s="135"/>
      <c r="W955" s="135"/>
      <c r="X955" s="135"/>
      <c r="Y955" s="135"/>
      <c r="Z955" s="135"/>
      <c r="AA955" s="135"/>
      <c r="AB955" s="135"/>
      <c r="AC955" s="135"/>
      <c r="AD955" s="135"/>
    </row>
    <row r="956" ht="28.5" customHeight="1">
      <c r="A956" s="135"/>
      <c r="B956" s="135"/>
      <c r="C956" s="135"/>
      <c r="D956" s="135"/>
      <c r="E956" s="135"/>
      <c r="F956" s="135"/>
      <c r="G956" s="135"/>
      <c r="H956" s="135"/>
      <c r="I956" s="135"/>
      <c r="J956" s="135"/>
      <c r="K956" s="135"/>
      <c r="L956" s="135"/>
      <c r="M956" s="135"/>
      <c r="N956" s="135"/>
      <c r="O956" s="135"/>
      <c r="P956" s="135"/>
      <c r="Q956" s="135"/>
      <c r="R956" s="135"/>
      <c r="S956" s="135"/>
      <c r="T956" s="135"/>
      <c r="U956" s="135"/>
      <c r="V956" s="135"/>
      <c r="W956" s="135"/>
      <c r="X956" s="135"/>
      <c r="Y956" s="135"/>
      <c r="Z956" s="135"/>
      <c r="AA956" s="135"/>
      <c r="AB956" s="135"/>
      <c r="AC956" s="135"/>
      <c r="AD956" s="135"/>
    </row>
    <row r="957" ht="28.5" customHeight="1">
      <c r="A957" s="135"/>
      <c r="B957" s="135"/>
      <c r="C957" s="135"/>
      <c r="D957" s="135"/>
      <c r="E957" s="135"/>
      <c r="F957" s="135"/>
      <c r="G957" s="135"/>
      <c r="H957" s="135"/>
      <c r="I957" s="135"/>
      <c r="J957" s="135"/>
      <c r="K957" s="135"/>
      <c r="L957" s="135"/>
      <c r="M957" s="135"/>
      <c r="N957" s="135"/>
      <c r="O957" s="135"/>
      <c r="P957" s="135"/>
      <c r="Q957" s="135"/>
      <c r="R957" s="135"/>
      <c r="S957" s="135"/>
      <c r="T957" s="135"/>
      <c r="U957" s="135"/>
      <c r="V957" s="135"/>
      <c r="W957" s="135"/>
      <c r="X957" s="135"/>
      <c r="Y957" s="135"/>
      <c r="Z957" s="135"/>
      <c r="AA957" s="135"/>
      <c r="AB957" s="135"/>
      <c r="AC957" s="135"/>
      <c r="AD957" s="135"/>
    </row>
    <row r="958" ht="28.5" customHeight="1">
      <c r="A958" s="135"/>
      <c r="B958" s="135"/>
      <c r="C958" s="135"/>
      <c r="D958" s="135"/>
      <c r="E958" s="135"/>
      <c r="F958" s="135"/>
      <c r="G958" s="135"/>
      <c r="H958" s="135"/>
      <c r="I958" s="135"/>
      <c r="J958" s="135"/>
      <c r="K958" s="135"/>
      <c r="L958" s="135"/>
      <c r="M958" s="135"/>
      <c r="N958" s="135"/>
      <c r="O958" s="135"/>
      <c r="P958" s="135"/>
      <c r="Q958" s="135"/>
      <c r="R958" s="135"/>
      <c r="S958" s="135"/>
      <c r="T958" s="135"/>
      <c r="U958" s="135"/>
      <c r="V958" s="135"/>
      <c r="W958" s="135"/>
      <c r="X958" s="135"/>
      <c r="Y958" s="135"/>
      <c r="Z958" s="135"/>
      <c r="AA958" s="135"/>
      <c r="AB958" s="135"/>
      <c r="AC958" s="135"/>
      <c r="AD958" s="135"/>
    </row>
    <row r="959" ht="28.5" customHeight="1">
      <c r="A959" s="135"/>
      <c r="B959" s="135"/>
      <c r="C959" s="135"/>
      <c r="D959" s="135"/>
      <c r="E959" s="135"/>
      <c r="F959" s="135"/>
      <c r="G959" s="135"/>
      <c r="H959" s="135"/>
      <c r="I959" s="135"/>
      <c r="J959" s="135"/>
      <c r="K959" s="135"/>
      <c r="L959" s="135"/>
      <c r="M959" s="135"/>
      <c r="N959" s="135"/>
      <c r="O959" s="135"/>
      <c r="P959" s="135"/>
      <c r="Q959" s="135"/>
      <c r="R959" s="135"/>
      <c r="S959" s="135"/>
      <c r="T959" s="135"/>
      <c r="U959" s="135"/>
      <c r="V959" s="135"/>
      <c r="W959" s="135"/>
      <c r="X959" s="135"/>
      <c r="Y959" s="135"/>
      <c r="Z959" s="135"/>
      <c r="AA959" s="135"/>
      <c r="AB959" s="135"/>
      <c r="AC959" s="135"/>
      <c r="AD959" s="135"/>
    </row>
    <row r="960" ht="28.5" customHeight="1">
      <c r="A960" s="135"/>
      <c r="B960" s="135"/>
      <c r="C960" s="135"/>
      <c r="D960" s="135"/>
      <c r="E960" s="135"/>
      <c r="F960" s="135"/>
      <c r="G960" s="135"/>
      <c r="H960" s="135"/>
      <c r="I960" s="135"/>
      <c r="J960" s="135"/>
      <c r="K960" s="135"/>
      <c r="L960" s="135"/>
      <c r="M960" s="135"/>
      <c r="N960" s="135"/>
      <c r="O960" s="135"/>
      <c r="P960" s="135"/>
      <c r="Q960" s="135"/>
      <c r="R960" s="135"/>
      <c r="S960" s="135"/>
      <c r="T960" s="135"/>
      <c r="U960" s="135"/>
      <c r="V960" s="135"/>
      <c r="W960" s="135"/>
      <c r="X960" s="135"/>
      <c r="Y960" s="135"/>
      <c r="Z960" s="135"/>
      <c r="AA960" s="135"/>
      <c r="AB960" s="135"/>
      <c r="AC960" s="135"/>
      <c r="AD960" s="135"/>
    </row>
    <row r="961" ht="28.5" customHeight="1">
      <c r="A961" s="135"/>
      <c r="B961" s="135"/>
      <c r="C961" s="135"/>
      <c r="D961" s="135"/>
      <c r="E961" s="135"/>
      <c r="F961" s="135"/>
      <c r="G961" s="135"/>
      <c r="H961" s="135"/>
      <c r="I961" s="135"/>
      <c r="J961" s="135"/>
      <c r="K961" s="135"/>
      <c r="L961" s="135"/>
      <c r="M961" s="135"/>
      <c r="N961" s="135"/>
      <c r="O961" s="135"/>
      <c r="P961" s="135"/>
      <c r="Q961" s="135"/>
      <c r="R961" s="135"/>
      <c r="S961" s="135"/>
      <c r="T961" s="135"/>
      <c r="U961" s="135"/>
      <c r="V961" s="135"/>
      <c r="W961" s="135"/>
      <c r="X961" s="135"/>
      <c r="Y961" s="135"/>
      <c r="Z961" s="135"/>
      <c r="AA961" s="135"/>
      <c r="AB961" s="135"/>
      <c r="AC961" s="135"/>
      <c r="AD961" s="135"/>
    </row>
    <row r="962" ht="28.5" customHeight="1">
      <c r="A962" s="135"/>
      <c r="B962" s="135"/>
      <c r="C962" s="135"/>
      <c r="D962" s="135"/>
      <c r="E962" s="135"/>
      <c r="F962" s="135"/>
      <c r="G962" s="135"/>
      <c r="H962" s="135"/>
      <c r="I962" s="135"/>
      <c r="J962" s="135"/>
      <c r="K962" s="135"/>
      <c r="L962" s="135"/>
      <c r="M962" s="135"/>
      <c r="N962" s="135"/>
      <c r="O962" s="135"/>
      <c r="P962" s="135"/>
      <c r="Q962" s="135"/>
      <c r="R962" s="135"/>
      <c r="S962" s="135"/>
      <c r="T962" s="135"/>
      <c r="U962" s="135"/>
      <c r="V962" s="135"/>
      <c r="W962" s="135"/>
      <c r="X962" s="135"/>
      <c r="Y962" s="135"/>
      <c r="Z962" s="135"/>
      <c r="AA962" s="135"/>
      <c r="AB962" s="135"/>
      <c r="AC962" s="135"/>
      <c r="AD962" s="135"/>
    </row>
    <row r="963" ht="28.5" customHeight="1">
      <c r="A963" s="135"/>
      <c r="B963" s="135"/>
      <c r="C963" s="135"/>
      <c r="D963" s="135"/>
      <c r="E963" s="135"/>
      <c r="F963" s="135"/>
      <c r="G963" s="135"/>
      <c r="H963" s="135"/>
      <c r="I963" s="135"/>
      <c r="J963" s="135"/>
      <c r="K963" s="135"/>
      <c r="L963" s="135"/>
      <c r="M963" s="135"/>
      <c r="N963" s="135"/>
      <c r="O963" s="135"/>
      <c r="P963" s="135"/>
      <c r="Q963" s="135"/>
      <c r="R963" s="135"/>
      <c r="S963" s="135"/>
      <c r="T963" s="135"/>
      <c r="U963" s="135"/>
      <c r="V963" s="135"/>
      <c r="W963" s="135"/>
      <c r="X963" s="135"/>
      <c r="Y963" s="135"/>
      <c r="Z963" s="135"/>
      <c r="AA963" s="135"/>
      <c r="AB963" s="135"/>
      <c r="AC963" s="135"/>
      <c r="AD963" s="135"/>
    </row>
    <row r="964" ht="28.5" customHeight="1">
      <c r="A964" s="135"/>
      <c r="B964" s="135"/>
      <c r="C964" s="135"/>
      <c r="D964" s="135"/>
      <c r="E964" s="135"/>
      <c r="F964" s="135"/>
      <c r="G964" s="135"/>
      <c r="H964" s="135"/>
      <c r="I964" s="135"/>
      <c r="J964" s="135"/>
      <c r="K964" s="135"/>
      <c r="L964" s="135"/>
      <c r="M964" s="135"/>
      <c r="N964" s="135"/>
      <c r="O964" s="135"/>
      <c r="P964" s="135"/>
      <c r="Q964" s="135"/>
      <c r="R964" s="135"/>
      <c r="S964" s="135"/>
      <c r="T964" s="135"/>
      <c r="U964" s="135"/>
      <c r="V964" s="135"/>
      <c r="W964" s="135"/>
      <c r="X964" s="135"/>
      <c r="Y964" s="135"/>
      <c r="Z964" s="135"/>
      <c r="AA964" s="135"/>
      <c r="AB964" s="135"/>
      <c r="AC964" s="135"/>
      <c r="AD964" s="135"/>
    </row>
    <row r="965" ht="28.5" customHeight="1">
      <c r="A965" s="135"/>
      <c r="B965" s="135"/>
      <c r="C965" s="135"/>
      <c r="D965" s="135"/>
      <c r="E965" s="135"/>
      <c r="F965" s="135"/>
      <c r="G965" s="135"/>
      <c r="H965" s="135"/>
      <c r="I965" s="135"/>
      <c r="J965" s="135"/>
      <c r="K965" s="135"/>
      <c r="L965" s="135"/>
      <c r="M965" s="135"/>
      <c r="N965" s="135"/>
      <c r="O965" s="135"/>
      <c r="P965" s="135"/>
      <c r="Q965" s="135"/>
      <c r="R965" s="135"/>
      <c r="S965" s="135"/>
      <c r="T965" s="135"/>
      <c r="U965" s="135"/>
      <c r="V965" s="135"/>
      <c r="W965" s="135"/>
      <c r="X965" s="135"/>
      <c r="Y965" s="135"/>
      <c r="Z965" s="135"/>
      <c r="AA965" s="135"/>
      <c r="AB965" s="135"/>
      <c r="AC965" s="135"/>
      <c r="AD965" s="135"/>
    </row>
    <row r="966" ht="28.5" customHeight="1">
      <c r="A966" s="135"/>
      <c r="B966" s="135"/>
      <c r="C966" s="135"/>
      <c r="D966" s="135"/>
      <c r="E966" s="135"/>
      <c r="F966" s="135"/>
      <c r="G966" s="135"/>
      <c r="H966" s="135"/>
      <c r="I966" s="135"/>
      <c r="J966" s="135"/>
      <c r="K966" s="135"/>
      <c r="L966" s="135"/>
      <c r="M966" s="135"/>
      <c r="N966" s="135"/>
      <c r="O966" s="135"/>
      <c r="P966" s="135"/>
      <c r="Q966" s="135"/>
      <c r="R966" s="135"/>
      <c r="S966" s="135"/>
      <c r="T966" s="135"/>
      <c r="U966" s="135"/>
      <c r="V966" s="135"/>
      <c r="W966" s="135"/>
      <c r="X966" s="135"/>
      <c r="Y966" s="135"/>
      <c r="Z966" s="135"/>
      <c r="AA966" s="135"/>
      <c r="AB966" s="135"/>
      <c r="AC966" s="135"/>
      <c r="AD966" s="135"/>
    </row>
    <row r="967" ht="28.5" customHeight="1">
      <c r="A967" s="135"/>
      <c r="B967" s="135"/>
      <c r="C967" s="135"/>
      <c r="D967" s="135"/>
      <c r="E967" s="135"/>
      <c r="F967" s="135"/>
      <c r="G967" s="135"/>
      <c r="H967" s="135"/>
      <c r="I967" s="135"/>
      <c r="J967" s="135"/>
      <c r="K967" s="135"/>
      <c r="L967" s="135"/>
      <c r="M967" s="135"/>
      <c r="N967" s="135"/>
      <c r="O967" s="135"/>
      <c r="P967" s="135"/>
      <c r="Q967" s="135"/>
      <c r="R967" s="135"/>
      <c r="S967" s="135"/>
      <c r="T967" s="135"/>
      <c r="U967" s="135"/>
      <c r="V967" s="135"/>
      <c r="W967" s="135"/>
      <c r="X967" s="135"/>
      <c r="Y967" s="135"/>
      <c r="Z967" s="135"/>
      <c r="AA967" s="135"/>
      <c r="AB967" s="135"/>
      <c r="AC967" s="135"/>
      <c r="AD967" s="135"/>
    </row>
    <row r="968" ht="28.5" customHeight="1">
      <c r="A968" s="135"/>
      <c r="B968" s="135"/>
      <c r="C968" s="135"/>
      <c r="D968" s="135"/>
      <c r="E968" s="135"/>
      <c r="F968" s="135"/>
      <c r="G968" s="135"/>
      <c r="H968" s="135"/>
      <c r="I968" s="135"/>
      <c r="J968" s="135"/>
      <c r="K968" s="135"/>
      <c r="L968" s="135"/>
      <c r="M968" s="135"/>
      <c r="N968" s="135"/>
      <c r="O968" s="135"/>
      <c r="P968" s="135"/>
      <c r="Q968" s="135"/>
      <c r="R968" s="135"/>
      <c r="S968" s="135"/>
      <c r="T968" s="135"/>
      <c r="U968" s="135"/>
      <c r="V968" s="135"/>
      <c r="W968" s="135"/>
      <c r="X968" s="135"/>
      <c r="Y968" s="135"/>
      <c r="Z968" s="135"/>
      <c r="AA968" s="135"/>
      <c r="AB968" s="135"/>
      <c r="AC968" s="135"/>
      <c r="AD968" s="135"/>
    </row>
    <row r="969" ht="28.5" customHeight="1">
      <c r="A969" s="135"/>
      <c r="B969" s="135"/>
      <c r="C969" s="135"/>
      <c r="D969" s="135"/>
      <c r="E969" s="135"/>
      <c r="F969" s="135"/>
      <c r="G969" s="135"/>
      <c r="H969" s="135"/>
      <c r="I969" s="135"/>
      <c r="J969" s="135"/>
      <c r="K969" s="135"/>
      <c r="L969" s="135"/>
      <c r="M969" s="135"/>
      <c r="N969" s="135"/>
      <c r="O969" s="135"/>
      <c r="P969" s="135"/>
      <c r="Q969" s="135"/>
      <c r="R969" s="135"/>
      <c r="S969" s="135"/>
      <c r="T969" s="135"/>
      <c r="U969" s="135"/>
      <c r="V969" s="135"/>
      <c r="W969" s="135"/>
      <c r="X969" s="135"/>
      <c r="Y969" s="135"/>
      <c r="Z969" s="135"/>
      <c r="AA969" s="135"/>
      <c r="AB969" s="135"/>
      <c r="AC969" s="135"/>
      <c r="AD969" s="135"/>
    </row>
    <row r="970" ht="28.5" customHeight="1">
      <c r="A970" s="135"/>
      <c r="B970" s="135"/>
      <c r="C970" s="135"/>
      <c r="D970" s="135"/>
      <c r="E970" s="135"/>
      <c r="F970" s="135"/>
      <c r="G970" s="135"/>
      <c r="H970" s="135"/>
      <c r="I970" s="135"/>
      <c r="J970" s="135"/>
      <c r="K970" s="135"/>
      <c r="L970" s="135"/>
      <c r="M970" s="135"/>
      <c r="N970" s="135"/>
      <c r="O970" s="135"/>
      <c r="P970" s="135"/>
      <c r="Q970" s="135"/>
      <c r="R970" s="135"/>
      <c r="S970" s="135"/>
      <c r="T970" s="135"/>
      <c r="U970" s="135"/>
      <c r="V970" s="135"/>
      <c r="W970" s="135"/>
      <c r="X970" s="135"/>
      <c r="Y970" s="135"/>
      <c r="Z970" s="135"/>
      <c r="AA970" s="135"/>
      <c r="AB970" s="135"/>
      <c r="AC970" s="135"/>
      <c r="AD970" s="135"/>
    </row>
    <row r="971" ht="28.5" customHeight="1">
      <c r="A971" s="135"/>
      <c r="B971" s="135"/>
      <c r="C971" s="135"/>
      <c r="D971" s="135"/>
      <c r="E971" s="135"/>
      <c r="F971" s="135"/>
      <c r="G971" s="135"/>
      <c r="H971" s="135"/>
      <c r="I971" s="135"/>
      <c r="J971" s="135"/>
      <c r="K971" s="135"/>
      <c r="L971" s="135"/>
      <c r="M971" s="135"/>
      <c r="N971" s="135"/>
      <c r="O971" s="135"/>
      <c r="P971" s="135"/>
      <c r="Q971" s="135"/>
      <c r="R971" s="135"/>
      <c r="S971" s="135"/>
      <c r="T971" s="135"/>
      <c r="U971" s="135"/>
      <c r="V971" s="135"/>
      <c r="W971" s="135"/>
      <c r="X971" s="135"/>
      <c r="Y971" s="135"/>
      <c r="Z971" s="135"/>
      <c r="AA971" s="135"/>
      <c r="AB971" s="135"/>
      <c r="AC971" s="135"/>
      <c r="AD971" s="135"/>
    </row>
    <row r="972" ht="28.5" customHeight="1">
      <c r="A972" s="135"/>
      <c r="B972" s="135"/>
      <c r="C972" s="135"/>
      <c r="D972" s="135"/>
      <c r="E972" s="135"/>
      <c r="F972" s="135"/>
      <c r="G972" s="135"/>
      <c r="H972" s="135"/>
      <c r="I972" s="135"/>
      <c r="J972" s="135"/>
      <c r="K972" s="135"/>
      <c r="L972" s="135"/>
      <c r="M972" s="135"/>
      <c r="N972" s="135"/>
      <c r="O972" s="135"/>
      <c r="P972" s="135"/>
      <c r="Q972" s="135"/>
      <c r="R972" s="135"/>
      <c r="S972" s="135"/>
      <c r="T972" s="135"/>
      <c r="U972" s="135"/>
      <c r="V972" s="135"/>
      <c r="W972" s="135"/>
      <c r="X972" s="135"/>
      <c r="Y972" s="135"/>
      <c r="Z972" s="135"/>
      <c r="AA972" s="135"/>
      <c r="AB972" s="135"/>
      <c r="AC972" s="135"/>
      <c r="AD972" s="135"/>
    </row>
    <row r="973" ht="28.5" customHeight="1">
      <c r="A973" s="135"/>
      <c r="B973" s="135"/>
      <c r="C973" s="135"/>
      <c r="D973" s="135"/>
      <c r="E973" s="135"/>
      <c r="F973" s="135"/>
      <c r="G973" s="135"/>
      <c r="H973" s="135"/>
      <c r="I973" s="135"/>
      <c r="J973" s="135"/>
      <c r="K973" s="135"/>
      <c r="L973" s="135"/>
      <c r="M973" s="135"/>
      <c r="N973" s="135"/>
      <c r="O973" s="135"/>
      <c r="P973" s="135"/>
      <c r="Q973" s="135"/>
      <c r="R973" s="135"/>
      <c r="S973" s="135"/>
      <c r="T973" s="135"/>
      <c r="U973" s="135"/>
      <c r="V973" s="135"/>
      <c r="W973" s="135"/>
      <c r="X973" s="135"/>
      <c r="Y973" s="135"/>
      <c r="Z973" s="135"/>
      <c r="AA973" s="135"/>
      <c r="AB973" s="135"/>
      <c r="AC973" s="135"/>
      <c r="AD973" s="135"/>
    </row>
    <row r="974" ht="28.5" customHeight="1">
      <c r="A974" s="135"/>
      <c r="B974" s="135"/>
      <c r="C974" s="135"/>
      <c r="D974" s="135"/>
      <c r="E974" s="135"/>
      <c r="F974" s="135"/>
      <c r="G974" s="135"/>
      <c r="H974" s="135"/>
      <c r="I974" s="135"/>
      <c r="J974" s="135"/>
      <c r="K974" s="135"/>
      <c r="L974" s="135"/>
      <c r="M974" s="135"/>
      <c r="N974" s="135"/>
      <c r="O974" s="135"/>
      <c r="P974" s="135"/>
      <c r="Q974" s="135"/>
      <c r="R974" s="135"/>
      <c r="S974" s="135"/>
      <c r="T974" s="135"/>
      <c r="U974" s="135"/>
      <c r="V974" s="135"/>
      <c r="W974" s="135"/>
      <c r="X974" s="135"/>
      <c r="Y974" s="135"/>
      <c r="Z974" s="135"/>
      <c r="AA974" s="135"/>
      <c r="AB974" s="135"/>
      <c r="AC974" s="135"/>
      <c r="AD974" s="135"/>
    </row>
    <row r="975" ht="28.5" customHeight="1">
      <c r="A975" s="135"/>
      <c r="B975" s="135"/>
      <c r="C975" s="135"/>
      <c r="D975" s="135"/>
      <c r="E975" s="135"/>
      <c r="F975" s="135"/>
      <c r="G975" s="135"/>
      <c r="H975" s="135"/>
      <c r="I975" s="135"/>
      <c r="J975" s="135"/>
      <c r="K975" s="135"/>
      <c r="L975" s="135"/>
      <c r="M975" s="135"/>
      <c r="N975" s="135"/>
      <c r="O975" s="135"/>
      <c r="P975" s="135"/>
      <c r="Q975" s="135"/>
      <c r="R975" s="135"/>
      <c r="S975" s="135"/>
      <c r="T975" s="135"/>
      <c r="U975" s="135"/>
      <c r="V975" s="135"/>
      <c r="W975" s="135"/>
      <c r="X975" s="135"/>
      <c r="Y975" s="135"/>
      <c r="Z975" s="135"/>
      <c r="AA975" s="135"/>
      <c r="AB975" s="135"/>
      <c r="AC975" s="135"/>
      <c r="AD975" s="135"/>
    </row>
    <row r="976" ht="28.5" customHeight="1">
      <c r="A976" s="135"/>
      <c r="B976" s="135"/>
      <c r="C976" s="135"/>
      <c r="D976" s="135"/>
      <c r="E976" s="135"/>
      <c r="F976" s="135"/>
      <c r="G976" s="135"/>
      <c r="H976" s="135"/>
      <c r="I976" s="135"/>
      <c r="J976" s="135"/>
      <c r="K976" s="135"/>
      <c r="L976" s="135"/>
      <c r="M976" s="135"/>
      <c r="N976" s="135"/>
      <c r="O976" s="135"/>
      <c r="P976" s="135"/>
      <c r="Q976" s="135"/>
      <c r="R976" s="135"/>
      <c r="S976" s="135"/>
      <c r="T976" s="135"/>
      <c r="U976" s="135"/>
      <c r="V976" s="135"/>
      <c r="W976" s="135"/>
      <c r="X976" s="135"/>
      <c r="Y976" s="135"/>
      <c r="Z976" s="135"/>
      <c r="AA976" s="135"/>
      <c r="AB976" s="135"/>
      <c r="AC976" s="135"/>
      <c r="AD976" s="135"/>
    </row>
    <row r="977" ht="28.5" customHeight="1">
      <c r="A977" s="135"/>
      <c r="B977" s="135"/>
      <c r="C977" s="135"/>
      <c r="D977" s="135"/>
      <c r="E977" s="135"/>
      <c r="F977" s="135"/>
      <c r="G977" s="135"/>
      <c r="H977" s="135"/>
      <c r="I977" s="135"/>
      <c r="J977" s="135"/>
      <c r="K977" s="135"/>
      <c r="L977" s="135"/>
      <c r="M977" s="135"/>
      <c r="N977" s="135"/>
      <c r="O977" s="135"/>
      <c r="P977" s="135"/>
      <c r="Q977" s="135"/>
      <c r="R977" s="135"/>
      <c r="S977" s="135"/>
      <c r="T977" s="135"/>
      <c r="U977" s="135"/>
      <c r="V977" s="135"/>
      <c r="W977" s="135"/>
      <c r="X977" s="135"/>
      <c r="Y977" s="135"/>
      <c r="Z977" s="135"/>
      <c r="AA977" s="135"/>
      <c r="AB977" s="135"/>
      <c r="AC977" s="135"/>
      <c r="AD977" s="135"/>
    </row>
    <row r="978" ht="28.5" customHeight="1">
      <c r="A978" s="135"/>
      <c r="B978" s="135"/>
      <c r="C978" s="135"/>
      <c r="D978" s="135"/>
      <c r="E978" s="135"/>
      <c r="F978" s="135"/>
      <c r="G978" s="135"/>
      <c r="H978" s="135"/>
      <c r="I978" s="135"/>
      <c r="J978" s="135"/>
      <c r="K978" s="135"/>
      <c r="L978" s="135"/>
      <c r="M978" s="135"/>
      <c r="N978" s="135"/>
      <c r="O978" s="135"/>
      <c r="P978" s="135"/>
      <c r="Q978" s="135"/>
      <c r="R978" s="135"/>
      <c r="S978" s="135"/>
      <c r="T978" s="135"/>
      <c r="U978" s="135"/>
      <c r="V978" s="135"/>
      <c r="W978" s="135"/>
      <c r="X978" s="135"/>
      <c r="Y978" s="135"/>
      <c r="Z978" s="135"/>
      <c r="AA978" s="135"/>
      <c r="AB978" s="135"/>
      <c r="AC978" s="135"/>
      <c r="AD978" s="135"/>
    </row>
    <row r="979" ht="28.5" customHeight="1">
      <c r="A979" s="135"/>
      <c r="B979" s="135"/>
      <c r="C979" s="135"/>
      <c r="D979" s="135"/>
      <c r="E979" s="135"/>
      <c r="F979" s="135"/>
      <c r="G979" s="135"/>
      <c r="H979" s="135"/>
      <c r="I979" s="135"/>
      <c r="J979" s="135"/>
      <c r="K979" s="135"/>
      <c r="L979" s="135"/>
      <c r="M979" s="135"/>
      <c r="N979" s="135"/>
      <c r="O979" s="135"/>
      <c r="P979" s="135"/>
      <c r="Q979" s="135"/>
      <c r="R979" s="135"/>
      <c r="S979" s="135"/>
      <c r="T979" s="135"/>
      <c r="U979" s="135"/>
      <c r="V979" s="135"/>
      <c r="W979" s="135"/>
      <c r="X979" s="135"/>
      <c r="Y979" s="135"/>
      <c r="Z979" s="135"/>
      <c r="AA979" s="135"/>
      <c r="AB979" s="135"/>
      <c r="AC979" s="135"/>
      <c r="AD979" s="135"/>
    </row>
    <row r="980" ht="28.5" customHeight="1">
      <c r="A980" s="135"/>
      <c r="B980" s="135"/>
      <c r="C980" s="135"/>
      <c r="D980" s="135"/>
      <c r="E980" s="135"/>
      <c r="F980" s="135"/>
      <c r="G980" s="135"/>
      <c r="H980" s="135"/>
      <c r="I980" s="135"/>
      <c r="J980" s="135"/>
      <c r="K980" s="135"/>
      <c r="L980" s="135"/>
      <c r="M980" s="135"/>
      <c r="N980" s="135"/>
      <c r="O980" s="135"/>
      <c r="P980" s="135"/>
      <c r="Q980" s="135"/>
      <c r="R980" s="135"/>
      <c r="S980" s="135"/>
      <c r="T980" s="135"/>
      <c r="U980" s="135"/>
      <c r="V980" s="135"/>
      <c r="W980" s="135"/>
      <c r="X980" s="135"/>
      <c r="Y980" s="135"/>
      <c r="Z980" s="135"/>
      <c r="AA980" s="135"/>
      <c r="AB980" s="135"/>
      <c r="AC980" s="135"/>
      <c r="AD980" s="135"/>
    </row>
    <row r="981" ht="28.5" customHeight="1">
      <c r="A981" s="135"/>
      <c r="B981" s="135"/>
      <c r="C981" s="135"/>
      <c r="D981" s="135"/>
      <c r="E981" s="135"/>
      <c r="F981" s="135"/>
      <c r="G981" s="135"/>
      <c r="H981" s="135"/>
      <c r="I981" s="135"/>
      <c r="J981" s="135"/>
      <c r="K981" s="135"/>
      <c r="L981" s="135"/>
      <c r="M981" s="135"/>
      <c r="N981" s="135"/>
      <c r="O981" s="135"/>
      <c r="P981" s="135"/>
      <c r="Q981" s="135"/>
      <c r="R981" s="135"/>
      <c r="S981" s="135"/>
      <c r="T981" s="135"/>
      <c r="U981" s="135"/>
      <c r="V981" s="135"/>
      <c r="W981" s="135"/>
      <c r="X981" s="135"/>
      <c r="Y981" s="135"/>
      <c r="Z981" s="135"/>
      <c r="AA981" s="135"/>
      <c r="AB981" s="135"/>
      <c r="AC981" s="135"/>
      <c r="AD981" s="135"/>
    </row>
    <row r="982" ht="28.5" customHeight="1">
      <c r="A982" s="135"/>
      <c r="B982" s="135"/>
      <c r="C982" s="135"/>
      <c r="D982" s="135"/>
      <c r="E982" s="135"/>
      <c r="F982" s="135"/>
      <c r="G982" s="135"/>
      <c r="H982" s="135"/>
      <c r="I982" s="135"/>
      <c r="J982" s="135"/>
      <c r="K982" s="135"/>
      <c r="L982" s="135"/>
      <c r="M982" s="135"/>
      <c r="N982" s="135"/>
      <c r="O982" s="135"/>
      <c r="P982" s="135"/>
      <c r="Q982" s="135"/>
      <c r="R982" s="135"/>
      <c r="S982" s="135"/>
      <c r="T982" s="135"/>
      <c r="U982" s="135"/>
      <c r="V982" s="135"/>
      <c r="W982" s="135"/>
      <c r="X982" s="135"/>
      <c r="Y982" s="135"/>
      <c r="Z982" s="135"/>
      <c r="AA982" s="135"/>
      <c r="AB982" s="135"/>
      <c r="AC982" s="135"/>
      <c r="AD982" s="135"/>
    </row>
    <row r="983" ht="28.5" customHeight="1">
      <c r="A983" s="135"/>
      <c r="B983" s="135"/>
      <c r="C983" s="135"/>
      <c r="D983" s="135"/>
      <c r="E983" s="135"/>
      <c r="F983" s="135"/>
      <c r="G983" s="135"/>
      <c r="H983" s="135"/>
      <c r="I983" s="135"/>
      <c r="J983" s="135"/>
      <c r="K983" s="135"/>
      <c r="L983" s="135"/>
      <c r="M983" s="135"/>
      <c r="N983" s="135"/>
      <c r="O983" s="135"/>
      <c r="P983" s="135"/>
      <c r="Q983" s="135"/>
      <c r="R983" s="135"/>
      <c r="S983" s="135"/>
      <c r="T983" s="135"/>
      <c r="U983" s="135"/>
      <c r="V983" s="135"/>
      <c r="W983" s="135"/>
      <c r="X983" s="135"/>
      <c r="Y983" s="135"/>
      <c r="Z983" s="135"/>
      <c r="AA983" s="135"/>
      <c r="AB983" s="135"/>
      <c r="AC983" s="135"/>
      <c r="AD983" s="135"/>
    </row>
    <row r="984" ht="28.5" customHeight="1">
      <c r="A984" s="135"/>
      <c r="B984" s="135"/>
      <c r="C984" s="135"/>
      <c r="D984" s="135"/>
      <c r="E984" s="135"/>
      <c r="F984" s="135"/>
      <c r="G984" s="135"/>
      <c r="H984" s="135"/>
      <c r="I984" s="135"/>
      <c r="J984" s="135"/>
      <c r="K984" s="135"/>
      <c r="L984" s="135"/>
      <c r="M984" s="135"/>
      <c r="N984" s="135"/>
      <c r="O984" s="135"/>
      <c r="P984" s="135"/>
      <c r="Q984" s="135"/>
      <c r="R984" s="135"/>
      <c r="S984" s="135"/>
      <c r="T984" s="135"/>
      <c r="U984" s="135"/>
      <c r="V984" s="135"/>
      <c r="W984" s="135"/>
      <c r="X984" s="135"/>
      <c r="Y984" s="135"/>
      <c r="Z984" s="135"/>
      <c r="AA984" s="135"/>
      <c r="AB984" s="135"/>
      <c r="AC984" s="135"/>
      <c r="AD984" s="135"/>
    </row>
    <row r="985" ht="28.5" customHeight="1">
      <c r="A985" s="135"/>
      <c r="B985" s="135"/>
      <c r="C985" s="135"/>
      <c r="D985" s="135"/>
      <c r="E985" s="135"/>
      <c r="F985" s="135"/>
      <c r="G985" s="135"/>
      <c r="H985" s="135"/>
      <c r="I985" s="135"/>
      <c r="J985" s="135"/>
      <c r="K985" s="135"/>
      <c r="L985" s="135"/>
      <c r="M985" s="135"/>
      <c r="N985" s="135"/>
      <c r="O985" s="135"/>
      <c r="P985" s="135"/>
      <c r="Q985" s="135"/>
      <c r="R985" s="135"/>
      <c r="S985" s="135"/>
      <c r="T985" s="135"/>
      <c r="U985" s="135"/>
      <c r="V985" s="135"/>
      <c r="W985" s="135"/>
      <c r="X985" s="135"/>
      <c r="Y985" s="135"/>
      <c r="Z985" s="135"/>
      <c r="AA985" s="135"/>
      <c r="AB985" s="135"/>
      <c r="AC985" s="135"/>
      <c r="AD985" s="135"/>
    </row>
    <row r="986" ht="28.5" customHeight="1">
      <c r="A986" s="135"/>
      <c r="B986" s="135"/>
      <c r="C986" s="135"/>
      <c r="D986" s="135"/>
      <c r="E986" s="135"/>
      <c r="F986" s="135"/>
      <c r="G986" s="135"/>
      <c r="H986" s="135"/>
      <c r="I986" s="135"/>
      <c r="J986" s="135"/>
      <c r="K986" s="135"/>
      <c r="L986" s="135"/>
      <c r="M986" s="135"/>
      <c r="N986" s="135"/>
      <c r="O986" s="135"/>
      <c r="P986" s="135"/>
      <c r="Q986" s="135"/>
      <c r="R986" s="135"/>
      <c r="S986" s="135"/>
      <c r="T986" s="135"/>
      <c r="U986" s="135"/>
      <c r="V986" s="135"/>
      <c r="W986" s="135"/>
      <c r="X986" s="135"/>
      <c r="Y986" s="135"/>
      <c r="Z986" s="135"/>
      <c r="AA986" s="135"/>
      <c r="AB986" s="135"/>
      <c r="AC986" s="135"/>
      <c r="AD986" s="135"/>
    </row>
    <row r="987" ht="28.5" customHeight="1">
      <c r="A987" s="135"/>
      <c r="B987" s="135"/>
      <c r="C987" s="135"/>
      <c r="D987" s="135"/>
      <c r="E987" s="135"/>
      <c r="F987" s="135"/>
      <c r="G987" s="135"/>
      <c r="H987" s="135"/>
      <c r="I987" s="135"/>
      <c r="J987" s="135"/>
      <c r="K987" s="135"/>
      <c r="L987" s="135"/>
      <c r="M987" s="135"/>
      <c r="N987" s="135"/>
      <c r="O987" s="135"/>
      <c r="P987" s="135"/>
      <c r="Q987" s="135"/>
      <c r="R987" s="135"/>
      <c r="S987" s="135"/>
      <c r="T987" s="135"/>
      <c r="U987" s="135"/>
      <c r="V987" s="135"/>
      <c r="W987" s="135"/>
      <c r="X987" s="135"/>
      <c r="Y987" s="135"/>
      <c r="Z987" s="135"/>
      <c r="AA987" s="135"/>
      <c r="AB987" s="135"/>
      <c r="AC987" s="135"/>
      <c r="AD987" s="135"/>
    </row>
    <row r="988" ht="28.5" customHeight="1">
      <c r="A988" s="135"/>
      <c r="B988" s="135"/>
      <c r="C988" s="135"/>
      <c r="D988" s="135"/>
      <c r="E988" s="135"/>
      <c r="F988" s="135"/>
      <c r="G988" s="135"/>
      <c r="H988" s="135"/>
      <c r="I988" s="135"/>
      <c r="J988" s="135"/>
      <c r="K988" s="135"/>
      <c r="L988" s="135"/>
      <c r="M988" s="135"/>
      <c r="N988" s="135"/>
      <c r="O988" s="135"/>
      <c r="P988" s="135"/>
      <c r="Q988" s="135"/>
      <c r="R988" s="135"/>
      <c r="S988" s="135"/>
      <c r="T988" s="135"/>
      <c r="U988" s="135"/>
      <c r="V988" s="135"/>
      <c r="W988" s="135"/>
      <c r="X988" s="135"/>
      <c r="Y988" s="135"/>
      <c r="Z988" s="135"/>
      <c r="AA988" s="135"/>
      <c r="AB988" s="135"/>
      <c r="AC988" s="135"/>
      <c r="AD988" s="135"/>
    </row>
    <row r="989" ht="28.5" customHeight="1">
      <c r="A989" s="135"/>
      <c r="B989" s="135"/>
      <c r="C989" s="135"/>
      <c r="D989" s="135"/>
      <c r="E989" s="135"/>
      <c r="F989" s="135"/>
      <c r="G989" s="135"/>
      <c r="H989" s="135"/>
      <c r="I989" s="135"/>
      <c r="J989" s="135"/>
      <c r="K989" s="135"/>
      <c r="L989" s="135"/>
      <c r="M989" s="135"/>
      <c r="N989" s="135"/>
      <c r="O989" s="135"/>
      <c r="P989" s="135"/>
      <c r="Q989" s="135"/>
      <c r="R989" s="135"/>
      <c r="S989" s="135"/>
      <c r="T989" s="135"/>
      <c r="U989" s="135"/>
      <c r="V989" s="135"/>
      <c r="W989" s="135"/>
      <c r="X989" s="135"/>
      <c r="Y989" s="135"/>
      <c r="Z989" s="135"/>
      <c r="AA989" s="135"/>
      <c r="AB989" s="135"/>
      <c r="AC989" s="135"/>
      <c r="AD989" s="135"/>
    </row>
    <row r="990" ht="28.5" customHeight="1">
      <c r="A990" s="135"/>
      <c r="B990" s="135"/>
      <c r="C990" s="135"/>
      <c r="D990" s="135"/>
      <c r="E990" s="135"/>
      <c r="F990" s="135"/>
      <c r="G990" s="135"/>
      <c r="H990" s="135"/>
      <c r="I990" s="135"/>
      <c r="J990" s="135"/>
      <c r="K990" s="135"/>
      <c r="L990" s="135"/>
      <c r="M990" s="135"/>
      <c r="N990" s="135"/>
      <c r="O990" s="135"/>
      <c r="P990" s="135"/>
      <c r="Q990" s="135"/>
      <c r="R990" s="135"/>
      <c r="S990" s="135"/>
      <c r="T990" s="135"/>
      <c r="U990" s="135"/>
      <c r="V990" s="135"/>
      <c r="W990" s="135"/>
      <c r="X990" s="135"/>
      <c r="Y990" s="135"/>
      <c r="Z990" s="135"/>
      <c r="AA990" s="135"/>
      <c r="AB990" s="135"/>
      <c r="AC990" s="135"/>
      <c r="AD990" s="135"/>
    </row>
    <row r="991" ht="28.5" customHeight="1">
      <c r="A991" s="135"/>
      <c r="B991" s="135"/>
      <c r="C991" s="135"/>
      <c r="D991" s="135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35"/>
      <c r="Q991" s="135"/>
      <c r="R991" s="135"/>
      <c r="S991" s="135"/>
      <c r="T991" s="135"/>
      <c r="U991" s="135"/>
      <c r="V991" s="135"/>
      <c r="W991" s="135"/>
      <c r="X991" s="135"/>
      <c r="Y991" s="135"/>
      <c r="Z991" s="135"/>
      <c r="AA991" s="135"/>
      <c r="AB991" s="135"/>
      <c r="AC991" s="135"/>
      <c r="AD991" s="135"/>
    </row>
    <row r="992" ht="28.5" customHeight="1">
      <c r="A992" s="135"/>
      <c r="B992" s="135"/>
      <c r="C992" s="135"/>
      <c r="D992" s="135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35"/>
      <c r="Q992" s="135"/>
      <c r="R992" s="135"/>
      <c r="S992" s="135"/>
      <c r="T992" s="135"/>
      <c r="U992" s="135"/>
      <c r="V992" s="135"/>
      <c r="W992" s="135"/>
      <c r="X992" s="135"/>
      <c r="Y992" s="135"/>
      <c r="Z992" s="135"/>
      <c r="AA992" s="135"/>
      <c r="AB992" s="135"/>
      <c r="AC992" s="135"/>
      <c r="AD992" s="135"/>
    </row>
    <row r="993" ht="28.5" customHeight="1">
      <c r="A993" s="135"/>
      <c r="B993" s="135"/>
      <c r="C993" s="135"/>
      <c r="D993" s="135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35"/>
      <c r="Q993" s="135"/>
      <c r="R993" s="135"/>
      <c r="S993" s="135"/>
      <c r="T993" s="135"/>
      <c r="U993" s="135"/>
      <c r="V993" s="135"/>
      <c r="W993" s="135"/>
      <c r="X993" s="135"/>
      <c r="Y993" s="135"/>
      <c r="Z993" s="135"/>
      <c r="AA993" s="135"/>
      <c r="AB993" s="135"/>
      <c r="AC993" s="135"/>
      <c r="AD993" s="135"/>
    </row>
    <row r="994" ht="28.5" customHeight="1">
      <c r="A994" s="135"/>
      <c r="B994" s="135"/>
      <c r="C994" s="135"/>
      <c r="D994" s="135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35"/>
      <c r="Q994" s="135"/>
      <c r="R994" s="135"/>
      <c r="S994" s="135"/>
      <c r="T994" s="135"/>
      <c r="U994" s="135"/>
      <c r="V994" s="135"/>
      <c r="W994" s="135"/>
      <c r="X994" s="135"/>
      <c r="Y994" s="135"/>
      <c r="Z994" s="135"/>
      <c r="AA994" s="135"/>
      <c r="AB994" s="135"/>
      <c r="AC994" s="135"/>
      <c r="AD994" s="135"/>
    </row>
    <row r="995" ht="28.5" customHeight="1">
      <c r="A995" s="135"/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  <c r="Q995" s="135"/>
      <c r="R995" s="135"/>
      <c r="S995" s="135"/>
      <c r="T995" s="135"/>
      <c r="U995" s="135"/>
      <c r="V995" s="135"/>
      <c r="W995" s="135"/>
      <c r="X995" s="135"/>
      <c r="Y995" s="135"/>
      <c r="Z995" s="135"/>
      <c r="AA995" s="135"/>
      <c r="AB995" s="135"/>
      <c r="AC995" s="135"/>
      <c r="AD995" s="135"/>
    </row>
    <row r="996" ht="28.5" customHeight="1">
      <c r="A996" s="135"/>
      <c r="B996" s="135"/>
      <c r="C996" s="135"/>
      <c r="D996" s="135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35"/>
      <c r="Q996" s="135"/>
      <c r="R996" s="135"/>
      <c r="S996" s="135"/>
      <c r="T996" s="135"/>
      <c r="U996" s="135"/>
      <c r="V996" s="135"/>
      <c r="W996" s="135"/>
      <c r="X996" s="135"/>
      <c r="Y996" s="135"/>
      <c r="Z996" s="135"/>
      <c r="AA996" s="135"/>
      <c r="AB996" s="135"/>
      <c r="AC996" s="135"/>
      <c r="AD996" s="135"/>
    </row>
    <row r="997" ht="28.5" customHeight="1">
      <c r="A997" s="135"/>
      <c r="B997" s="135"/>
      <c r="C997" s="135"/>
      <c r="D997" s="135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35"/>
      <c r="Q997" s="135"/>
      <c r="R997" s="135"/>
      <c r="S997" s="135"/>
      <c r="T997" s="135"/>
      <c r="U997" s="135"/>
      <c r="V997" s="135"/>
      <c r="W997" s="135"/>
      <c r="X997" s="135"/>
      <c r="Y997" s="135"/>
      <c r="Z997" s="135"/>
      <c r="AA997" s="135"/>
      <c r="AB997" s="135"/>
      <c r="AC997" s="135"/>
      <c r="AD997" s="135"/>
    </row>
    <row r="998" ht="28.5" customHeight="1">
      <c r="A998" s="135"/>
      <c r="B998" s="135"/>
      <c r="C998" s="135"/>
      <c r="D998" s="135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35"/>
      <c r="Q998" s="135"/>
      <c r="R998" s="135"/>
      <c r="S998" s="135"/>
      <c r="T998" s="135"/>
      <c r="U998" s="135"/>
      <c r="V998" s="135"/>
      <c r="W998" s="135"/>
      <c r="X998" s="135"/>
      <c r="Y998" s="135"/>
      <c r="Z998" s="135"/>
      <c r="AA998" s="135"/>
      <c r="AB998" s="135"/>
      <c r="AC998" s="135"/>
      <c r="AD998" s="135"/>
    </row>
    <row r="999" ht="28.5" customHeight="1">
      <c r="A999" s="135"/>
      <c r="B999" s="135"/>
      <c r="C999" s="135"/>
      <c r="D999" s="135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35"/>
      <c r="Q999" s="135"/>
      <c r="R999" s="135"/>
      <c r="S999" s="135"/>
      <c r="T999" s="135"/>
      <c r="U999" s="135"/>
      <c r="V999" s="135"/>
      <c r="W999" s="135"/>
      <c r="X999" s="135"/>
      <c r="Y999" s="135"/>
      <c r="Z999" s="135"/>
      <c r="AA999" s="135"/>
      <c r="AB999" s="135"/>
      <c r="AC999" s="135"/>
      <c r="AD999" s="135"/>
    </row>
    <row r="1000" ht="28.5" customHeight="1">
      <c r="A1000" s="135"/>
      <c r="B1000" s="135"/>
      <c r="C1000" s="135"/>
      <c r="D1000" s="135"/>
      <c r="E1000" s="135"/>
      <c r="F1000" s="135"/>
      <c r="G1000" s="135"/>
      <c r="H1000" s="135"/>
      <c r="I1000" s="135"/>
      <c r="J1000" s="135"/>
      <c r="K1000" s="135"/>
      <c r="L1000" s="135"/>
      <c r="M1000" s="135"/>
      <c r="N1000" s="135"/>
      <c r="O1000" s="135"/>
      <c r="P1000" s="135"/>
      <c r="Q1000" s="135"/>
      <c r="R1000" s="135"/>
      <c r="S1000" s="135"/>
      <c r="T1000" s="135"/>
      <c r="U1000" s="135"/>
      <c r="V1000" s="135"/>
      <c r="W1000" s="135"/>
      <c r="X1000" s="135"/>
      <c r="Y1000" s="135"/>
      <c r="Z1000" s="135"/>
      <c r="AA1000" s="135"/>
      <c r="AB1000" s="135"/>
      <c r="AC1000" s="135"/>
      <c r="AD1000" s="135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</hyperlinks>
  <drawing r:id="rId54"/>
</worksheet>
</file>